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040" windowHeight="8016" firstSheet="3" activeTab="3"/>
  </bookViews>
  <sheets>
    <sheet name="SALES" sheetId="19" r:id="rId1"/>
    <sheet name="PARTYWISE SALE" sheetId="15" r:id="rId2"/>
    <sheet name="HSN SALE SUMMERY" sheetId="16" r:id="rId3"/>
    <sheet name="PURCHASE" sheetId="20" r:id="rId4"/>
    <sheet name="PARTYWISE PURCHASE" sheetId="17" r:id="rId5"/>
    <sheet name="RETURN NOT SUBMIT" sheetId="24" r:id="rId6"/>
    <sheet name="HSN PURCHASE SUMMERY" sheetId="18" r:id="rId7"/>
    <sheet name="REVERSE CHARGE MECHANISM " sheetId="22" r:id="rId8"/>
    <sheet name="EXEMPTED NIL NON GST PURCHASE" sheetId="23" r:id="rId9"/>
    <sheet name="RETURN SUMMERY" sheetId="21" r:id="rId10"/>
    <sheet name="B2B" sheetId="4" r:id="rId11"/>
    <sheet name="B2CLARG" sheetId="5" r:id="rId12"/>
    <sheet name="B2CSMALL" sheetId="6" r:id="rId13"/>
    <sheet name="DEBIT CREDIT NOTE" sheetId="7" r:id="rId14"/>
    <sheet name="DEBIT NOTE CREDIT NOTE URD" sheetId="8" r:id="rId15"/>
    <sheet name="EXPORT" sheetId="9" r:id="rId16"/>
    <sheet name="ADVANCE" sheetId="10" r:id="rId17"/>
    <sheet name="ADVANCE ADJ" sheetId="11" r:id="rId18"/>
    <sheet name="EXEMPED NIL RETURN" sheetId="12" r:id="rId19"/>
    <sheet name="HSN SUMMERY" sheetId="13" r:id="rId20"/>
    <sheet name="DOC SUMMERY" sheetId="14" r:id="rId21"/>
  </sheets>
  <definedNames>
    <definedName name="_xlnm._FilterDatabase" localSheetId="6" hidden="1">'HSN PURCHASE SUMMERY'!$A$1:$A$64</definedName>
    <definedName name="_xlnm._FilterDatabase" localSheetId="4" hidden="1">'PARTYWISE PURCHASE'!$A$4:$J$36</definedName>
    <definedName name="_xlnm._FilterDatabase" localSheetId="3" hidden="1">PURCHASE!$A$1:$W$221</definedName>
  </definedNames>
  <calcPr calcId="152511"/>
</workbook>
</file>

<file path=xl/calcChain.xml><?xml version="1.0" encoding="utf-8"?>
<calcChain xmlns="http://schemas.openxmlformats.org/spreadsheetml/2006/main">
  <c r="J11" i="24" l="1"/>
  <c r="I11" i="24"/>
  <c r="H11" i="24"/>
  <c r="G11" i="24"/>
  <c r="F11" i="24"/>
  <c r="E11" i="24"/>
  <c r="D11" i="24"/>
  <c r="J10" i="24"/>
  <c r="I10" i="24"/>
  <c r="H10" i="24"/>
  <c r="G10" i="24"/>
  <c r="F10" i="24"/>
  <c r="E10" i="24"/>
  <c r="D10" i="24"/>
  <c r="J9" i="24"/>
  <c r="I9" i="24"/>
  <c r="H9" i="24"/>
  <c r="G9" i="24"/>
  <c r="F9" i="24"/>
  <c r="E9" i="24"/>
  <c r="D9" i="24"/>
  <c r="J8" i="24"/>
  <c r="I8" i="24"/>
  <c r="H8" i="24"/>
  <c r="G8" i="24"/>
  <c r="F8" i="24"/>
  <c r="E8" i="24"/>
  <c r="D8" i="24"/>
  <c r="J7" i="24"/>
  <c r="I7" i="24"/>
  <c r="H7" i="24"/>
  <c r="G7" i="24"/>
  <c r="F7" i="24"/>
  <c r="E7" i="24"/>
  <c r="D7" i="24"/>
  <c r="J6" i="24"/>
  <c r="I6" i="24"/>
  <c r="H6" i="24"/>
  <c r="G6" i="24"/>
  <c r="F6" i="24"/>
  <c r="E6" i="24"/>
  <c r="D6" i="24"/>
  <c r="J5" i="24"/>
  <c r="I5" i="24"/>
  <c r="H5" i="24"/>
  <c r="G5" i="24"/>
  <c r="F5" i="24"/>
  <c r="E5" i="24"/>
  <c r="D5" i="24"/>
  <c r="J4" i="24"/>
  <c r="J12" i="24" s="1"/>
  <c r="I4" i="24"/>
  <c r="I12" i="24" s="1"/>
  <c r="H4" i="24"/>
  <c r="H12" i="24" s="1"/>
  <c r="G4" i="24"/>
  <c r="G12" i="24" s="1"/>
  <c r="F4" i="24"/>
  <c r="F12" i="24" s="1"/>
  <c r="E4" i="24"/>
  <c r="E12" i="24" s="1"/>
  <c r="D4" i="24"/>
  <c r="D12" i="24" s="1"/>
  <c r="H44" i="21" l="1"/>
  <c r="J40" i="17" l="1"/>
  <c r="I40" i="17"/>
  <c r="H40" i="17"/>
  <c r="G40" i="17"/>
  <c r="F40" i="17"/>
  <c r="E40" i="17"/>
  <c r="H43" i="21" l="1"/>
  <c r="G23" i="15" l="1"/>
  <c r="P30" i="22" l="1"/>
  <c r="P29" i="22"/>
  <c r="P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P12" i="22"/>
  <c r="P11" i="22"/>
  <c r="P10" i="22"/>
  <c r="P9" i="22"/>
  <c r="E218" i="20"/>
  <c r="E217" i="20"/>
  <c r="E216" i="20"/>
  <c r="N219" i="20"/>
  <c r="M219" i="20"/>
  <c r="L219" i="20"/>
  <c r="K219" i="20"/>
  <c r="D40" i="17" l="1"/>
  <c r="E29" i="21"/>
  <c r="E28" i="21"/>
  <c r="D29" i="21"/>
  <c r="D28" i="21"/>
  <c r="E27" i="21"/>
  <c r="D27" i="21"/>
  <c r="F30" i="21"/>
  <c r="E30" i="21"/>
  <c r="D30" i="21"/>
  <c r="C30" i="21"/>
  <c r="B30" i="21"/>
  <c r="F29" i="21"/>
  <c r="C29" i="21"/>
  <c r="F28" i="21"/>
  <c r="C28" i="21"/>
  <c r="F26" i="21"/>
  <c r="E26" i="21"/>
  <c r="D26" i="21"/>
  <c r="C26" i="21"/>
  <c r="B26" i="21"/>
  <c r="F25" i="21"/>
  <c r="E25" i="21"/>
  <c r="D25" i="21"/>
  <c r="C25" i="21"/>
  <c r="B25" i="21"/>
  <c r="D18" i="21"/>
  <c r="B16" i="21"/>
  <c r="C16" i="21"/>
  <c r="D16" i="21"/>
  <c r="E16" i="21"/>
  <c r="F16" i="21"/>
  <c r="B17" i="21"/>
  <c r="C17" i="21"/>
  <c r="D17" i="21"/>
  <c r="E17" i="21"/>
  <c r="F17" i="21"/>
  <c r="B18" i="21"/>
  <c r="C18" i="21"/>
  <c r="E18" i="21"/>
  <c r="F18" i="21"/>
  <c r="B19" i="21"/>
  <c r="C19" i="21"/>
  <c r="D19" i="21"/>
  <c r="E19" i="21"/>
  <c r="F19" i="21"/>
  <c r="C20" i="21"/>
  <c r="D20" i="21"/>
  <c r="E20" i="21"/>
  <c r="F20" i="21"/>
  <c r="C21" i="21"/>
  <c r="D21" i="21"/>
  <c r="E21" i="21"/>
  <c r="F21" i="21"/>
  <c r="N53" i="22"/>
  <c r="M53" i="22"/>
  <c r="K23" i="22"/>
  <c r="K9" i="22"/>
  <c r="K19" i="22"/>
  <c r="K28" i="22"/>
  <c r="K26" i="22"/>
  <c r="K27" i="22"/>
  <c r="K24" i="22"/>
  <c r="K25" i="22"/>
  <c r="K52" i="22"/>
  <c r="K22" i="22"/>
  <c r="K12" i="22"/>
  <c r="K13" i="22"/>
  <c r="K51" i="22"/>
  <c r="K50" i="22"/>
  <c r="K49" i="22"/>
  <c r="K48" i="22"/>
  <c r="K47" i="22"/>
  <c r="K11" i="22"/>
  <c r="K30" i="22"/>
  <c r="K20" i="22"/>
  <c r="K46" i="22"/>
  <c r="K45" i="22"/>
  <c r="K44" i="22"/>
  <c r="K16" i="22"/>
  <c r="K43" i="22"/>
  <c r="K17" i="22"/>
  <c r="K42" i="22"/>
  <c r="K21" i="22"/>
  <c r="K41" i="22"/>
  <c r="K40" i="22"/>
  <c r="K18" i="22"/>
  <c r="K15" i="22"/>
  <c r="K39" i="22"/>
  <c r="K38" i="22"/>
  <c r="K37" i="22"/>
  <c r="K36" i="22"/>
  <c r="K14" i="22"/>
  <c r="K29" i="22"/>
  <c r="K10" i="22"/>
  <c r="K35" i="22"/>
  <c r="K34" i="22"/>
  <c r="K33" i="22"/>
  <c r="K32" i="22"/>
  <c r="K31" i="22"/>
  <c r="B28" i="21" s="1"/>
  <c r="J225" i="20"/>
  <c r="H224" i="20"/>
  <c r="J215" i="20"/>
  <c r="J214" i="20"/>
  <c r="J213" i="20"/>
  <c r="B29" i="21" l="1"/>
  <c r="I29" i="21" s="1"/>
  <c r="B27" i="21"/>
  <c r="I27" i="21" s="1"/>
  <c r="I28" i="21"/>
  <c r="K53" i="22"/>
  <c r="V212" i="20"/>
  <c r="J39" i="17"/>
  <c r="I39" i="17"/>
  <c r="H39" i="17"/>
  <c r="G39" i="17"/>
  <c r="F39" i="17"/>
  <c r="E39" i="17"/>
  <c r="D39" i="17"/>
  <c r="J38" i="17"/>
  <c r="I38" i="17"/>
  <c r="H38" i="17"/>
  <c r="G38" i="17"/>
  <c r="F38" i="17"/>
  <c r="E38" i="17"/>
  <c r="D38" i="17"/>
  <c r="J37" i="17"/>
  <c r="I37" i="17"/>
  <c r="H37" i="17"/>
  <c r="G37" i="17"/>
  <c r="F37" i="17"/>
  <c r="E37" i="17"/>
  <c r="D37" i="17"/>
  <c r="M221" i="20"/>
  <c r="L221" i="20"/>
  <c r="K221" i="20"/>
  <c r="V211" i="20"/>
  <c r="M7" i="19" l="1"/>
  <c r="N7" i="19"/>
  <c r="M8" i="19"/>
  <c r="N8" i="19"/>
  <c r="D31" i="21" l="1"/>
  <c r="F12" i="21"/>
  <c r="F11" i="21"/>
  <c r="C11" i="21"/>
  <c r="F10" i="21"/>
  <c r="E10" i="21"/>
  <c r="D10" i="21"/>
  <c r="C10" i="21"/>
  <c r="F9" i="21"/>
  <c r="E9" i="21"/>
  <c r="D9" i="21"/>
  <c r="C9" i="21"/>
  <c r="F8" i="21"/>
  <c r="E8" i="21"/>
  <c r="D8" i="21"/>
  <c r="C8" i="21"/>
  <c r="F7" i="21"/>
  <c r="E7" i="21"/>
  <c r="D7" i="21"/>
  <c r="C7" i="21"/>
  <c r="B12" i="21"/>
  <c r="B11" i="21"/>
  <c r="B10" i="21"/>
  <c r="B9" i="21"/>
  <c r="B8" i="21"/>
  <c r="B7" i="21"/>
  <c r="O19" i="22"/>
  <c r="L19" i="22"/>
  <c r="O53" i="22" l="1"/>
  <c r="F27" i="21"/>
  <c r="F31" i="21" s="1"/>
  <c r="L53" i="22"/>
  <c r="C27" i="21"/>
  <c r="C31" i="21" s="1"/>
  <c r="E35" i="21" s="1"/>
  <c r="E31" i="21"/>
  <c r="G26" i="21"/>
  <c r="G28" i="21"/>
  <c r="H28" i="21" s="1"/>
  <c r="G29" i="21"/>
  <c r="G30" i="21"/>
  <c r="H30" i="21" s="1"/>
  <c r="G20" i="21"/>
  <c r="E22" i="21"/>
  <c r="I38" i="21" s="1"/>
  <c r="F13" i="21"/>
  <c r="G7" i="21"/>
  <c r="G8" i="21"/>
  <c r="G9" i="21"/>
  <c r="H9" i="21" s="1"/>
  <c r="G10" i="21"/>
  <c r="H10" i="21" s="1"/>
  <c r="D22" i="21"/>
  <c r="F22" i="21"/>
  <c r="G17" i="21"/>
  <c r="G18" i="21"/>
  <c r="H18" i="21" s="1"/>
  <c r="G19" i="21"/>
  <c r="G21" i="21"/>
  <c r="B31" i="21"/>
  <c r="G16" i="21"/>
  <c r="C22" i="21"/>
  <c r="E36" i="21" s="1"/>
  <c r="G25" i="21"/>
  <c r="G35" i="21"/>
  <c r="F35" i="21"/>
  <c r="H17" i="21"/>
  <c r="H16" i="21"/>
  <c r="H8" i="21"/>
  <c r="H29" i="21"/>
  <c r="V208" i="20"/>
  <c r="V206" i="20"/>
  <c r="V205" i="20"/>
  <c r="V204" i="20"/>
  <c r="V203" i="20"/>
  <c r="V202" i="20"/>
  <c r="G27" i="21" l="1"/>
  <c r="H27" i="21" s="1"/>
  <c r="G22" i="21"/>
  <c r="H25" i="21"/>
  <c r="H26" i="21"/>
  <c r="H19" i="21"/>
  <c r="H35" i="21"/>
  <c r="H7" i="21"/>
  <c r="V210" i="20"/>
  <c r="V209" i="20"/>
  <c r="G31" i="21" l="1"/>
  <c r="H31" i="21"/>
  <c r="J60" i="18"/>
  <c r="I60" i="18"/>
  <c r="H60" i="18"/>
  <c r="G60" i="18"/>
  <c r="F60" i="18"/>
  <c r="E60" i="18"/>
  <c r="D60" i="18"/>
  <c r="J59" i="18"/>
  <c r="I59" i="18"/>
  <c r="H59" i="18"/>
  <c r="G59" i="18"/>
  <c r="F59" i="18"/>
  <c r="E59" i="18"/>
  <c r="D59" i="18"/>
  <c r="J58" i="18"/>
  <c r="I58" i="18"/>
  <c r="H58" i="18"/>
  <c r="G58" i="18"/>
  <c r="F58" i="18"/>
  <c r="E58" i="18"/>
  <c r="D58" i="18"/>
  <c r="J57" i="18"/>
  <c r="I57" i="18"/>
  <c r="H57" i="18"/>
  <c r="G57" i="18"/>
  <c r="F57" i="18"/>
  <c r="E57" i="18"/>
  <c r="D57" i="18"/>
  <c r="J56" i="18"/>
  <c r="I56" i="18"/>
  <c r="H56" i="18"/>
  <c r="G56" i="18"/>
  <c r="F56" i="18"/>
  <c r="E56" i="18"/>
  <c r="D56" i="18"/>
  <c r="J55" i="18"/>
  <c r="I55" i="18"/>
  <c r="H55" i="18"/>
  <c r="G55" i="18"/>
  <c r="F55" i="18"/>
  <c r="E55" i="18"/>
  <c r="D55" i="18"/>
  <c r="J54" i="18"/>
  <c r="I54" i="18"/>
  <c r="H54" i="18"/>
  <c r="G54" i="18"/>
  <c r="F54" i="18"/>
  <c r="D54" i="18"/>
  <c r="J53" i="18"/>
  <c r="I53" i="18"/>
  <c r="H53" i="18"/>
  <c r="G53" i="18"/>
  <c r="J52" i="18"/>
  <c r="I52" i="18"/>
  <c r="H52" i="18"/>
  <c r="G52" i="18"/>
  <c r="F52" i="18"/>
  <c r="E52" i="18"/>
  <c r="D52" i="18"/>
  <c r="J51" i="18"/>
  <c r="I51" i="18"/>
  <c r="H51" i="18"/>
  <c r="G51" i="18"/>
  <c r="F51" i="18"/>
  <c r="E51" i="18"/>
  <c r="D51" i="18"/>
  <c r="J50" i="18"/>
  <c r="I50" i="18"/>
  <c r="H50" i="18"/>
  <c r="G50" i="18"/>
  <c r="F50" i="18"/>
  <c r="E50" i="18"/>
  <c r="D50" i="18"/>
  <c r="J49" i="18"/>
  <c r="I49" i="18"/>
  <c r="H49" i="18"/>
  <c r="G49" i="18"/>
  <c r="E49" i="18"/>
  <c r="J48" i="18"/>
  <c r="I48" i="18"/>
  <c r="H48" i="18"/>
  <c r="G48" i="18"/>
  <c r="F48" i="18"/>
  <c r="E48" i="18"/>
  <c r="D48" i="18"/>
  <c r="J47" i="18"/>
  <c r="I47" i="18"/>
  <c r="H47" i="18"/>
  <c r="G47" i="18"/>
  <c r="F47" i="18"/>
  <c r="E47" i="18"/>
  <c r="D47" i="18"/>
  <c r="J46" i="18"/>
  <c r="I46" i="18"/>
  <c r="H46" i="18"/>
  <c r="G46" i="18"/>
  <c r="F46" i="18"/>
  <c r="E46" i="18"/>
  <c r="J45" i="18"/>
  <c r="I45" i="18"/>
  <c r="H45" i="18"/>
  <c r="G45" i="18"/>
  <c r="F45" i="18"/>
  <c r="E45" i="18"/>
  <c r="D45" i="18"/>
  <c r="J44" i="18"/>
  <c r="I44" i="18"/>
  <c r="H44" i="18"/>
  <c r="G44" i="18"/>
  <c r="F44" i="18"/>
  <c r="E44" i="18"/>
  <c r="D44" i="18"/>
  <c r="J43" i="18"/>
  <c r="I43" i="18"/>
  <c r="H43" i="18"/>
  <c r="G43" i="18"/>
  <c r="F43" i="18"/>
  <c r="E43" i="18"/>
  <c r="D43" i="18"/>
  <c r="J42" i="18"/>
  <c r="I42" i="18"/>
  <c r="H42" i="18"/>
  <c r="G42" i="18"/>
  <c r="F42" i="18"/>
  <c r="E42" i="18"/>
  <c r="D42" i="18"/>
  <c r="J41" i="18"/>
  <c r="I41" i="18"/>
  <c r="H41" i="18"/>
  <c r="G41" i="18"/>
  <c r="F41" i="18"/>
  <c r="E41" i="18"/>
  <c r="D41" i="18"/>
  <c r="J40" i="18"/>
  <c r="I40" i="18"/>
  <c r="H40" i="18"/>
  <c r="G40" i="18"/>
  <c r="F40" i="18"/>
  <c r="E40" i="18"/>
  <c r="D40" i="18"/>
  <c r="J39" i="18"/>
  <c r="I39" i="18"/>
  <c r="H39" i="18"/>
  <c r="G39" i="18"/>
  <c r="F39" i="18"/>
  <c r="E39" i="18"/>
  <c r="D39" i="18"/>
  <c r="J38" i="18"/>
  <c r="I38" i="18"/>
  <c r="H38" i="18"/>
  <c r="G38" i="18"/>
  <c r="F38" i="18"/>
  <c r="E38" i="18"/>
  <c r="D38" i="18"/>
  <c r="J37" i="18"/>
  <c r="I37" i="18"/>
  <c r="H37" i="18"/>
  <c r="G37" i="18"/>
  <c r="F37" i="18"/>
  <c r="E37" i="18"/>
  <c r="D37" i="18"/>
  <c r="J36" i="18"/>
  <c r="I36" i="18"/>
  <c r="H36" i="18"/>
  <c r="G36" i="18"/>
  <c r="F36" i="18"/>
  <c r="E36" i="18"/>
  <c r="D36" i="18"/>
  <c r="J35" i="18"/>
  <c r="I35" i="18"/>
  <c r="H35" i="18"/>
  <c r="G35" i="18"/>
  <c r="F35" i="18"/>
  <c r="E35" i="18"/>
  <c r="D35" i="18"/>
  <c r="J34" i="18"/>
  <c r="I34" i="18"/>
  <c r="H34" i="18"/>
  <c r="G34" i="18"/>
  <c r="F34" i="18"/>
  <c r="E34" i="18"/>
  <c r="D34" i="18"/>
  <c r="J33" i="18"/>
  <c r="I33" i="18"/>
  <c r="H33" i="18"/>
  <c r="G33" i="18"/>
  <c r="F33" i="18"/>
  <c r="E33" i="18"/>
  <c r="D33" i="18"/>
  <c r="J32" i="18"/>
  <c r="I32" i="18"/>
  <c r="H32" i="18"/>
  <c r="G32" i="18"/>
  <c r="F32" i="18"/>
  <c r="E32" i="18"/>
  <c r="D32" i="18"/>
  <c r="J31" i="18"/>
  <c r="I31" i="18"/>
  <c r="H31" i="18"/>
  <c r="G31" i="18"/>
  <c r="F31" i="18"/>
  <c r="E31" i="18"/>
  <c r="D31" i="18"/>
  <c r="J30" i="18"/>
  <c r="I30" i="18"/>
  <c r="H30" i="18"/>
  <c r="G30" i="18"/>
  <c r="F30" i="18"/>
  <c r="E30" i="18"/>
  <c r="D30" i="18"/>
  <c r="J29" i="18"/>
  <c r="I29" i="18"/>
  <c r="H29" i="18"/>
  <c r="G29" i="18"/>
  <c r="F29" i="18"/>
  <c r="E29" i="18"/>
  <c r="D29" i="18"/>
  <c r="J28" i="18"/>
  <c r="I28" i="18"/>
  <c r="H28" i="18"/>
  <c r="G28" i="18"/>
  <c r="F28" i="18"/>
  <c r="E28" i="18"/>
  <c r="D28" i="18"/>
  <c r="J27" i="18"/>
  <c r="I27" i="18"/>
  <c r="H27" i="18"/>
  <c r="G27" i="18"/>
  <c r="F27" i="18"/>
  <c r="E27" i="18"/>
  <c r="D27" i="18"/>
  <c r="J26" i="18"/>
  <c r="I26" i="18"/>
  <c r="H26" i="18"/>
  <c r="G26" i="18"/>
  <c r="F26" i="18"/>
  <c r="E26" i="18"/>
  <c r="D26" i="18"/>
  <c r="J25" i="18"/>
  <c r="I25" i="18"/>
  <c r="H25" i="18"/>
  <c r="G25" i="18"/>
  <c r="F25" i="18"/>
  <c r="E25" i="18"/>
  <c r="D25" i="18"/>
  <c r="J24" i="18"/>
  <c r="I24" i="18"/>
  <c r="H24" i="18"/>
  <c r="G24" i="18"/>
  <c r="F24" i="18"/>
  <c r="E24" i="18"/>
  <c r="D24" i="18"/>
  <c r="J36" i="17"/>
  <c r="I36" i="17"/>
  <c r="H36" i="17"/>
  <c r="G36" i="17"/>
  <c r="F36" i="17"/>
  <c r="E36" i="17"/>
  <c r="D36" i="17"/>
  <c r="J35" i="17"/>
  <c r="I35" i="17"/>
  <c r="H35" i="17"/>
  <c r="G35" i="17"/>
  <c r="F35" i="17"/>
  <c r="E35" i="17"/>
  <c r="D35" i="17"/>
  <c r="J34" i="17"/>
  <c r="I34" i="17"/>
  <c r="H34" i="17"/>
  <c r="G34" i="17"/>
  <c r="F34" i="17"/>
  <c r="E34" i="17"/>
  <c r="D34" i="17"/>
  <c r="J33" i="17"/>
  <c r="I33" i="17"/>
  <c r="H33" i="17"/>
  <c r="G33" i="17"/>
  <c r="F33" i="17"/>
  <c r="E33" i="17"/>
  <c r="D33" i="17"/>
  <c r="V207" i="20"/>
  <c r="V201" i="20"/>
  <c r="V200" i="20"/>
  <c r="V199" i="20"/>
  <c r="E174" i="20" l="1"/>
  <c r="E173" i="20"/>
  <c r="E171" i="20"/>
  <c r="E170" i="20"/>
  <c r="E165" i="20"/>
  <c r="E54" i="18" s="1"/>
  <c r="E164" i="20"/>
  <c r="E163" i="20"/>
  <c r="E53" i="18" s="1"/>
  <c r="E151" i="20"/>
  <c r="E150" i="20"/>
  <c r="E129" i="20"/>
  <c r="E128" i="20"/>
  <c r="E127" i="20"/>
  <c r="E126" i="20"/>
  <c r="E219" i="20" l="1"/>
  <c r="E221" i="20" s="1"/>
  <c r="F222" i="20" s="1"/>
  <c r="J32" i="17"/>
  <c r="I32" i="17"/>
  <c r="H32" i="17"/>
  <c r="G32" i="17"/>
  <c r="F32" i="17"/>
  <c r="E32" i="17"/>
  <c r="D32" i="17"/>
  <c r="J31" i="17"/>
  <c r="I31" i="17"/>
  <c r="H31" i="17"/>
  <c r="G31" i="17"/>
  <c r="F31" i="17"/>
  <c r="E31" i="17"/>
  <c r="D31" i="17"/>
  <c r="J30" i="17"/>
  <c r="I30" i="17"/>
  <c r="H30" i="17"/>
  <c r="G30" i="17"/>
  <c r="F30" i="17"/>
  <c r="E30" i="17"/>
  <c r="D30" i="17"/>
  <c r="J29" i="17"/>
  <c r="I29" i="17"/>
  <c r="H29" i="17"/>
  <c r="G29" i="17"/>
  <c r="F29" i="17"/>
  <c r="E29" i="17"/>
  <c r="D29" i="17"/>
  <c r="J28" i="17"/>
  <c r="I28" i="17"/>
  <c r="H28" i="17"/>
  <c r="G28" i="17"/>
  <c r="F28" i="17"/>
  <c r="E28" i="17"/>
  <c r="D28" i="17"/>
  <c r="J27" i="17"/>
  <c r="I27" i="17"/>
  <c r="H27" i="17"/>
  <c r="G27" i="17"/>
  <c r="F27" i="17"/>
  <c r="E27" i="17"/>
  <c r="D27" i="17"/>
  <c r="J26" i="17"/>
  <c r="I26" i="17"/>
  <c r="H26" i="17"/>
  <c r="G26" i="17"/>
  <c r="F26" i="17"/>
  <c r="E26" i="17"/>
  <c r="D26" i="17"/>
  <c r="J25" i="17"/>
  <c r="I25" i="17"/>
  <c r="H25" i="17"/>
  <c r="G25" i="17"/>
  <c r="F25" i="17"/>
  <c r="E25" i="17"/>
  <c r="D25" i="17"/>
  <c r="J24" i="17"/>
  <c r="I24" i="17"/>
  <c r="H24" i="17"/>
  <c r="G24" i="17"/>
  <c r="F24" i="17"/>
  <c r="E24" i="17"/>
  <c r="D24" i="17"/>
  <c r="J23" i="17"/>
  <c r="I23" i="17"/>
  <c r="H23" i="17"/>
  <c r="G23" i="17"/>
  <c r="F23" i="17"/>
  <c r="E23" i="17"/>
  <c r="D23" i="17"/>
  <c r="J22" i="17"/>
  <c r="I22" i="17"/>
  <c r="H22" i="17"/>
  <c r="G22" i="17"/>
  <c r="F22" i="17"/>
  <c r="E22" i="17"/>
  <c r="D22" i="17"/>
  <c r="J21" i="17"/>
  <c r="I21" i="17"/>
  <c r="H21" i="17"/>
  <c r="G21" i="17"/>
  <c r="F21" i="17"/>
  <c r="E21" i="17"/>
  <c r="D21" i="17"/>
  <c r="J20" i="17"/>
  <c r="I20" i="17"/>
  <c r="H20" i="17"/>
  <c r="G20" i="17"/>
  <c r="F20" i="17"/>
  <c r="E20" i="17"/>
  <c r="D20" i="17"/>
  <c r="J19" i="17"/>
  <c r="I19" i="17"/>
  <c r="H19" i="17"/>
  <c r="G19" i="17"/>
  <c r="F19" i="17"/>
  <c r="D19" i="17"/>
  <c r="J18" i="17"/>
  <c r="I18" i="17"/>
  <c r="H18" i="17"/>
  <c r="G18" i="17"/>
  <c r="F18" i="17"/>
  <c r="E18" i="17"/>
  <c r="D18" i="17"/>
  <c r="J17" i="17"/>
  <c r="I17" i="17"/>
  <c r="H17" i="17"/>
  <c r="G17" i="17"/>
  <c r="F17" i="17"/>
  <c r="E17" i="17"/>
  <c r="D17" i="17"/>
  <c r="J16" i="17"/>
  <c r="I16" i="17"/>
  <c r="H16" i="17"/>
  <c r="G16" i="17"/>
  <c r="F16" i="17"/>
  <c r="E16" i="17"/>
  <c r="D16" i="17"/>
  <c r="J15" i="17"/>
  <c r="I15" i="17"/>
  <c r="H15" i="17"/>
  <c r="G15" i="17"/>
  <c r="D15" i="17"/>
  <c r="J14" i="17"/>
  <c r="I14" i="17"/>
  <c r="H14" i="17"/>
  <c r="G14" i="17"/>
  <c r="D14" i="17"/>
  <c r="J13" i="17"/>
  <c r="I13" i="17"/>
  <c r="H13" i="17"/>
  <c r="G13" i="17"/>
  <c r="F13" i="17"/>
  <c r="E13" i="17"/>
  <c r="D13" i="17"/>
  <c r="J12" i="17"/>
  <c r="I12" i="17"/>
  <c r="H12" i="17"/>
  <c r="G12" i="17"/>
  <c r="D12" i="17"/>
  <c r="J11" i="17"/>
  <c r="I11" i="17"/>
  <c r="H11" i="17"/>
  <c r="G11" i="17"/>
  <c r="F11" i="17"/>
  <c r="E11" i="17"/>
  <c r="D11" i="17"/>
  <c r="J10" i="17"/>
  <c r="I10" i="17"/>
  <c r="H10" i="17"/>
  <c r="G10" i="17"/>
  <c r="F10" i="17"/>
  <c r="E10" i="17"/>
  <c r="D10" i="17"/>
  <c r="J9" i="17"/>
  <c r="I9" i="17"/>
  <c r="H9" i="17"/>
  <c r="G9" i="17"/>
  <c r="F9" i="17"/>
  <c r="E9" i="17"/>
  <c r="D9" i="17"/>
  <c r="J8" i="17"/>
  <c r="I8" i="17"/>
  <c r="H8" i="17"/>
  <c r="G8" i="17"/>
  <c r="D8" i="17"/>
  <c r="J7" i="17"/>
  <c r="I7" i="17"/>
  <c r="H7" i="17"/>
  <c r="G7" i="17"/>
  <c r="F7" i="17"/>
  <c r="E7" i="17"/>
  <c r="D7" i="17"/>
  <c r="J6" i="17"/>
  <c r="I6" i="17"/>
  <c r="H6" i="17"/>
  <c r="G6" i="17"/>
  <c r="F6" i="17"/>
  <c r="E6" i="17"/>
  <c r="D6" i="17"/>
  <c r="J5" i="17"/>
  <c r="I5" i="17"/>
  <c r="H5" i="17"/>
  <c r="G5" i="17"/>
  <c r="F5" i="17"/>
  <c r="E5" i="17"/>
  <c r="D5" i="17"/>
  <c r="J4" i="17"/>
  <c r="I4" i="17"/>
  <c r="H4" i="17"/>
  <c r="G4" i="17"/>
  <c r="F4" i="17"/>
  <c r="D4" i="17"/>
  <c r="J23" i="18"/>
  <c r="I23" i="18"/>
  <c r="H23" i="18"/>
  <c r="G23" i="18"/>
  <c r="F23" i="18"/>
  <c r="E23" i="18"/>
  <c r="J22" i="18"/>
  <c r="I22" i="18"/>
  <c r="H22" i="18"/>
  <c r="G22" i="18"/>
  <c r="F22" i="18"/>
  <c r="E22" i="18"/>
  <c r="J21" i="18"/>
  <c r="I21" i="18"/>
  <c r="H21" i="18"/>
  <c r="G21" i="18"/>
  <c r="F21" i="18"/>
  <c r="E21" i="18"/>
  <c r="J20" i="18"/>
  <c r="I20" i="18"/>
  <c r="H20" i="18"/>
  <c r="G20" i="18"/>
  <c r="F20" i="18"/>
  <c r="E20" i="18"/>
  <c r="J19" i="18"/>
  <c r="I19" i="18"/>
  <c r="H19" i="18"/>
  <c r="G19" i="18"/>
  <c r="F19" i="18"/>
  <c r="E19" i="18"/>
  <c r="J18" i="18"/>
  <c r="I18" i="18"/>
  <c r="H18" i="18"/>
  <c r="G18" i="18"/>
  <c r="F18" i="18"/>
  <c r="E18" i="18"/>
  <c r="J17" i="18"/>
  <c r="I17" i="18"/>
  <c r="H17" i="18"/>
  <c r="G17" i="18"/>
  <c r="F17" i="18"/>
  <c r="E17" i="18"/>
  <c r="J16" i="18"/>
  <c r="I16" i="18"/>
  <c r="H16" i="18"/>
  <c r="G16" i="18"/>
  <c r="F16" i="18"/>
  <c r="E16" i="18"/>
  <c r="J15" i="18"/>
  <c r="I15" i="18"/>
  <c r="H15" i="18"/>
  <c r="G15" i="18"/>
  <c r="F15" i="18"/>
  <c r="E15" i="18"/>
  <c r="J14" i="18"/>
  <c r="I14" i="18"/>
  <c r="H14" i="18"/>
  <c r="G14" i="18"/>
  <c r="E14" i="18"/>
  <c r="J13" i="18"/>
  <c r="I13" i="18"/>
  <c r="H13" i="18"/>
  <c r="G13" i="18"/>
  <c r="F13" i="18"/>
  <c r="E13" i="18"/>
  <c r="J12" i="18"/>
  <c r="I12" i="18"/>
  <c r="H12" i="18"/>
  <c r="G12" i="18"/>
  <c r="F12" i="18"/>
  <c r="E12" i="18"/>
  <c r="J11" i="18"/>
  <c r="I11" i="18"/>
  <c r="H11" i="18"/>
  <c r="G11" i="18"/>
  <c r="F11" i="18"/>
  <c r="E11" i="18"/>
  <c r="J10" i="18"/>
  <c r="I10" i="18"/>
  <c r="H10" i="18"/>
  <c r="G10" i="18"/>
  <c r="F10" i="18"/>
  <c r="E10" i="18"/>
  <c r="J9" i="18"/>
  <c r="I9" i="18"/>
  <c r="H9" i="18"/>
  <c r="G9" i="18"/>
  <c r="F9" i="18"/>
  <c r="E9" i="18"/>
  <c r="J8" i="18"/>
  <c r="I8" i="18"/>
  <c r="H8" i="18"/>
  <c r="G8" i="18"/>
  <c r="F8" i="18"/>
  <c r="E8" i="18"/>
  <c r="J7" i="18"/>
  <c r="I7" i="18"/>
  <c r="H7" i="18"/>
  <c r="G7" i="18"/>
  <c r="F7" i="18"/>
  <c r="E7" i="18"/>
  <c r="J6" i="18"/>
  <c r="I6" i="18"/>
  <c r="H6" i="18"/>
  <c r="G6" i="18"/>
  <c r="F6" i="18"/>
  <c r="E6" i="18"/>
  <c r="J5" i="18"/>
  <c r="I5" i="18"/>
  <c r="H5" i="18"/>
  <c r="G5" i="18"/>
  <c r="E5" i="18"/>
  <c r="J4" i="18"/>
  <c r="I4" i="18"/>
  <c r="H4" i="18"/>
  <c r="G4" i="18"/>
  <c r="F4" i="18"/>
  <c r="E4" i="18"/>
  <c r="D23" i="18"/>
  <c r="D22" i="18"/>
  <c r="D21" i="18"/>
  <c r="D20" i="18"/>
  <c r="D19" i="18"/>
  <c r="D17" i="18"/>
  <c r="D16" i="18"/>
  <c r="D15" i="18"/>
  <c r="D13" i="18"/>
  <c r="D11" i="18"/>
  <c r="D10" i="18"/>
  <c r="D9" i="18"/>
  <c r="D8" i="18"/>
  <c r="D7" i="18"/>
  <c r="D4" i="18"/>
  <c r="W198" i="20"/>
  <c r="D49" i="18" s="1"/>
  <c r="V198" i="20"/>
  <c r="V197" i="20"/>
  <c r="V196" i="20"/>
  <c r="V195" i="20"/>
  <c r="V194" i="20"/>
  <c r="W193" i="20"/>
  <c r="E15" i="17" s="1"/>
  <c r="V193" i="20"/>
  <c r="V192" i="20"/>
  <c r="V191" i="20"/>
  <c r="V190" i="20"/>
  <c r="V189" i="20"/>
  <c r="V188" i="20"/>
  <c r="V187" i="20"/>
  <c r="V186" i="20"/>
  <c r="V185" i="20"/>
  <c r="V184" i="20"/>
  <c r="V183" i="20"/>
  <c r="V182" i="20"/>
  <c r="V181" i="20"/>
  <c r="V180" i="20"/>
  <c r="V179" i="20"/>
  <c r="W178" i="20"/>
  <c r="E8" i="17" s="1"/>
  <c r="V178" i="20"/>
  <c r="W177" i="20"/>
  <c r="E19" i="17" s="1"/>
  <c r="V177" i="20"/>
  <c r="W176" i="20"/>
  <c r="V176" i="20"/>
  <c r="V175" i="20"/>
  <c r="V174" i="20"/>
  <c r="V173" i="20"/>
  <c r="V172" i="20"/>
  <c r="V171" i="20"/>
  <c r="V170" i="20"/>
  <c r="V169" i="20"/>
  <c r="V168" i="20"/>
  <c r="V167" i="20"/>
  <c r="V166" i="20"/>
  <c r="V165" i="20"/>
  <c r="V164" i="20"/>
  <c r="W163" i="20"/>
  <c r="D53" i="18" s="1"/>
  <c r="V163" i="20"/>
  <c r="W162" i="20"/>
  <c r="D46" i="18" s="1"/>
  <c r="V162" i="20"/>
  <c r="W161" i="20"/>
  <c r="E12" i="17" s="1"/>
  <c r="V161" i="20"/>
  <c r="W160" i="20"/>
  <c r="V160" i="20"/>
  <c r="V159" i="20"/>
  <c r="V158" i="20"/>
  <c r="V157" i="20"/>
  <c r="V156" i="20"/>
  <c r="V155" i="20"/>
  <c r="V154" i="20"/>
  <c r="V153" i="20"/>
  <c r="W152" i="20"/>
  <c r="V152" i="20"/>
  <c r="V151" i="20"/>
  <c r="V150" i="20"/>
  <c r="V149" i="20"/>
  <c r="V148" i="20"/>
  <c r="V147" i="20"/>
  <c r="V146" i="20"/>
  <c r="V145" i="20"/>
  <c r="V144" i="20"/>
  <c r="V143" i="20"/>
  <c r="V142" i="20"/>
  <c r="V141" i="20"/>
  <c r="V140" i="20"/>
  <c r="V139" i="20"/>
  <c r="V138" i="20"/>
  <c r="V137" i="20"/>
  <c r="V136" i="20"/>
  <c r="V135" i="20"/>
  <c r="V134" i="20"/>
  <c r="V133" i="20"/>
  <c r="V132" i="20"/>
  <c r="V131" i="20"/>
  <c r="V130" i="20"/>
  <c r="V129" i="20"/>
  <c r="V128" i="20"/>
  <c r="V127" i="20"/>
  <c r="V126" i="20"/>
  <c r="V125" i="20"/>
  <c r="V124" i="20"/>
  <c r="V123" i="20"/>
  <c r="V122" i="20"/>
  <c r="V121" i="20"/>
  <c r="V120" i="20"/>
  <c r="V119" i="20"/>
  <c r="V118" i="20"/>
  <c r="V117" i="20"/>
  <c r="V116" i="20"/>
  <c r="V115" i="20"/>
  <c r="V114" i="20"/>
  <c r="V113" i="20"/>
  <c r="V112" i="20"/>
  <c r="V111" i="20"/>
  <c r="V110" i="20"/>
  <c r="V109" i="20"/>
  <c r="V108" i="20"/>
  <c r="V107" i="20"/>
  <c r="V106" i="20"/>
  <c r="V105" i="20"/>
  <c r="V104" i="20"/>
  <c r="V103" i="20"/>
  <c r="V102" i="20"/>
  <c r="V101" i="20"/>
  <c r="V100" i="20"/>
  <c r="V99" i="20"/>
  <c r="V98" i="20"/>
  <c r="V97" i="20"/>
  <c r="V96" i="20"/>
  <c r="V95" i="20"/>
  <c r="V94" i="20"/>
  <c r="V93" i="20"/>
  <c r="V92" i="20"/>
  <c r="V91" i="20"/>
  <c r="V90" i="20"/>
  <c r="V89" i="20"/>
  <c r="V88" i="20"/>
  <c r="V87" i="20"/>
  <c r="V86" i="20"/>
  <c r="V85" i="20"/>
  <c r="V84" i="20"/>
  <c r="V83" i="20"/>
  <c r="V82" i="20"/>
  <c r="V81" i="20"/>
  <c r="V80" i="20"/>
  <c r="V79" i="20"/>
  <c r="V78" i="20"/>
  <c r="V77" i="20"/>
  <c r="V76" i="20"/>
  <c r="V75" i="20"/>
  <c r="V74" i="20"/>
  <c r="V73" i="20"/>
  <c r="V72" i="20"/>
  <c r="V71" i="20"/>
  <c r="V70" i="20"/>
  <c r="V69" i="20"/>
  <c r="V68" i="20"/>
  <c r="V67" i="20"/>
  <c r="V66" i="20"/>
  <c r="V65" i="20"/>
  <c r="V64" i="20"/>
  <c r="V63" i="20"/>
  <c r="V62" i="20"/>
  <c r="V61" i="20"/>
  <c r="V60" i="20"/>
  <c r="V59" i="20"/>
  <c r="V58" i="20"/>
  <c r="V57" i="20"/>
  <c r="V56" i="20"/>
  <c r="V55" i="20"/>
  <c r="V54" i="20"/>
  <c r="V53" i="20"/>
  <c r="V52" i="20"/>
  <c r="V51" i="20"/>
  <c r="V50" i="20"/>
  <c r="V49" i="20"/>
  <c r="V48" i="20"/>
  <c r="V47" i="20"/>
  <c r="V46" i="20"/>
  <c r="V45" i="20"/>
  <c r="V44" i="20"/>
  <c r="V43" i="20"/>
  <c r="V42" i="20"/>
  <c r="V41" i="20"/>
  <c r="V40" i="20"/>
  <c r="V39" i="20"/>
  <c r="V38" i="20"/>
  <c r="V37" i="20"/>
  <c r="V36" i="20"/>
  <c r="V35" i="20"/>
  <c r="V34" i="20"/>
  <c r="V33" i="20"/>
  <c r="V32" i="20"/>
  <c r="V31" i="20"/>
  <c r="V30" i="20"/>
  <c r="V29" i="20"/>
  <c r="V28" i="20"/>
  <c r="V27" i="20"/>
  <c r="V26" i="20"/>
  <c r="V25" i="20"/>
  <c r="V24" i="20"/>
  <c r="V23" i="20"/>
  <c r="V22" i="20"/>
  <c r="V21" i="20"/>
  <c r="V20" i="20"/>
  <c r="V19" i="20"/>
  <c r="V18" i="20"/>
  <c r="V17" i="20"/>
  <c r="V16" i="20"/>
  <c r="V15" i="20"/>
  <c r="V14" i="20"/>
  <c r="V13" i="20"/>
  <c r="V12" i="20"/>
  <c r="V11" i="20"/>
  <c r="V10" i="20"/>
  <c r="V9" i="20"/>
  <c r="V8" i="20"/>
  <c r="V7" i="20"/>
  <c r="J198" i="20"/>
  <c r="F49" i="18" s="1"/>
  <c r="J196" i="20"/>
  <c r="J195" i="20"/>
  <c r="J193" i="20"/>
  <c r="F15" i="17" s="1"/>
  <c r="J187" i="20"/>
  <c r="J186" i="20"/>
  <c r="J180" i="20"/>
  <c r="J179" i="20"/>
  <c r="J178" i="20"/>
  <c r="J167" i="20"/>
  <c r="J166" i="20"/>
  <c r="J163" i="20"/>
  <c r="B20" i="21" s="1"/>
  <c r="J158" i="20"/>
  <c r="J140" i="20"/>
  <c r="J132" i="20"/>
  <c r="J122" i="20"/>
  <c r="J121" i="20"/>
  <c r="B21" i="21" l="1"/>
  <c r="B22" i="21" s="1"/>
  <c r="J219" i="20"/>
  <c r="G43" i="17"/>
  <c r="I43" i="17"/>
  <c r="D43" i="17"/>
  <c r="H43" i="17"/>
  <c r="J43" i="17"/>
  <c r="D6" i="18"/>
  <c r="F53" i="18"/>
  <c r="E4" i="17"/>
  <c r="D14" i="18"/>
  <c r="D18" i="18"/>
  <c r="D5" i="18"/>
  <c r="F5" i="18"/>
  <c r="F14" i="18"/>
  <c r="F8" i="17"/>
  <c r="F12" i="17"/>
  <c r="F14" i="17"/>
  <c r="D12" i="18"/>
  <c r="E14" i="17"/>
  <c r="H64" i="18"/>
  <c r="G64" i="18"/>
  <c r="I64" i="18"/>
  <c r="J64" i="18"/>
  <c r="E64" i="18"/>
  <c r="E65" i="18" s="1"/>
  <c r="F17" i="15"/>
  <c r="E17" i="15"/>
  <c r="D17" i="15"/>
  <c r="J16" i="15"/>
  <c r="G16" i="15"/>
  <c r="F16" i="15"/>
  <c r="E16" i="15"/>
  <c r="D16" i="15"/>
  <c r="J15" i="15"/>
  <c r="G15" i="15"/>
  <c r="F15" i="15"/>
  <c r="E15" i="15"/>
  <c r="D15" i="15"/>
  <c r="J14" i="15"/>
  <c r="G14" i="15"/>
  <c r="F14" i="15"/>
  <c r="E14" i="15"/>
  <c r="D14" i="15"/>
  <c r="J13" i="15"/>
  <c r="G13" i="15"/>
  <c r="F13" i="15"/>
  <c r="E13" i="15"/>
  <c r="D13" i="15"/>
  <c r="J12" i="15"/>
  <c r="G12" i="15"/>
  <c r="F12" i="15"/>
  <c r="E12" i="15"/>
  <c r="D12" i="15"/>
  <c r="J11" i="15"/>
  <c r="I11" i="15"/>
  <c r="H11" i="15"/>
  <c r="F11" i="15"/>
  <c r="E11" i="15"/>
  <c r="D11" i="15"/>
  <c r="J10" i="15"/>
  <c r="G10" i="15"/>
  <c r="F10" i="15"/>
  <c r="E10" i="15"/>
  <c r="D10" i="15"/>
  <c r="J9" i="15"/>
  <c r="G9" i="15"/>
  <c r="F9" i="15"/>
  <c r="E9" i="15"/>
  <c r="D9" i="15"/>
  <c r="J8" i="15"/>
  <c r="G8" i="15"/>
  <c r="F8" i="15"/>
  <c r="E8" i="15"/>
  <c r="D8" i="15"/>
  <c r="J7" i="15"/>
  <c r="I7" i="15"/>
  <c r="H7" i="15"/>
  <c r="F7" i="15"/>
  <c r="E7" i="15"/>
  <c r="D7" i="15"/>
  <c r="J6" i="15"/>
  <c r="G6" i="15"/>
  <c r="F6" i="15"/>
  <c r="E6" i="15"/>
  <c r="D6" i="15"/>
  <c r="J5" i="15"/>
  <c r="G5" i="15"/>
  <c r="F5" i="15"/>
  <c r="E5" i="15"/>
  <c r="D5" i="15"/>
  <c r="J4" i="15"/>
  <c r="G4" i="15"/>
  <c r="F4" i="15"/>
  <c r="E4" i="15"/>
  <c r="D4" i="15"/>
  <c r="E11" i="16"/>
  <c r="E10" i="16"/>
  <c r="E9" i="16"/>
  <c r="E8" i="16"/>
  <c r="E7" i="16"/>
  <c r="E6" i="16"/>
  <c r="E5" i="16"/>
  <c r="E4" i="16"/>
  <c r="J11" i="16"/>
  <c r="I11" i="16"/>
  <c r="H11" i="16"/>
  <c r="G11" i="16"/>
  <c r="J10" i="16"/>
  <c r="I10" i="16"/>
  <c r="H10" i="16"/>
  <c r="G10" i="16"/>
  <c r="J9" i="16"/>
  <c r="G9" i="16"/>
  <c r="J8" i="16"/>
  <c r="G8" i="16"/>
  <c r="J7" i="16"/>
  <c r="G7" i="16"/>
  <c r="J6" i="16"/>
  <c r="G6" i="16"/>
  <c r="J5" i="16"/>
  <c r="J4" i="16"/>
  <c r="F11" i="16"/>
  <c r="F10" i="16"/>
  <c r="F9" i="16"/>
  <c r="F8" i="16"/>
  <c r="F7" i="16"/>
  <c r="F6" i="16"/>
  <c r="F5" i="16"/>
  <c r="F4" i="16"/>
  <c r="D11" i="16"/>
  <c r="D10" i="16"/>
  <c r="D9" i="16"/>
  <c r="D8" i="16"/>
  <c r="D7" i="16"/>
  <c r="D6" i="16"/>
  <c r="D5" i="16"/>
  <c r="D4" i="16"/>
  <c r="V294" i="19"/>
  <c r="T294" i="19"/>
  <c r="S294" i="19"/>
  <c r="U291" i="19"/>
  <c r="U290" i="19"/>
  <c r="U289" i="19"/>
  <c r="U288" i="19"/>
  <c r="U287" i="19"/>
  <c r="U286" i="19"/>
  <c r="U285" i="19"/>
  <c r="U284" i="19"/>
  <c r="U283" i="19"/>
  <c r="U282" i="19"/>
  <c r="U281" i="19"/>
  <c r="U280" i="19"/>
  <c r="U279" i="19"/>
  <c r="U278" i="19"/>
  <c r="U277" i="19"/>
  <c r="U276" i="19"/>
  <c r="U275" i="19"/>
  <c r="U274" i="19"/>
  <c r="U273" i="19"/>
  <c r="U272" i="19"/>
  <c r="U271" i="19"/>
  <c r="U270" i="19"/>
  <c r="U269" i="19"/>
  <c r="U268" i="19"/>
  <c r="U267" i="19"/>
  <c r="U266" i="19"/>
  <c r="U265" i="19"/>
  <c r="U264" i="19"/>
  <c r="U263" i="19"/>
  <c r="U262" i="19"/>
  <c r="U261" i="19"/>
  <c r="U260" i="19"/>
  <c r="U259" i="19"/>
  <c r="U258" i="19"/>
  <c r="U257" i="19"/>
  <c r="U256" i="19"/>
  <c r="U255" i="19"/>
  <c r="U254" i="19"/>
  <c r="U253" i="19"/>
  <c r="U252" i="19"/>
  <c r="U251" i="19"/>
  <c r="U250" i="19"/>
  <c r="U249" i="19"/>
  <c r="U248" i="19"/>
  <c r="U247" i="19"/>
  <c r="U246" i="19"/>
  <c r="U245" i="19"/>
  <c r="U244" i="19"/>
  <c r="U243" i="19"/>
  <c r="U242" i="19"/>
  <c r="U241" i="19"/>
  <c r="U240" i="19"/>
  <c r="U239" i="19"/>
  <c r="U238" i="19"/>
  <c r="U237" i="19"/>
  <c r="U236" i="19"/>
  <c r="U235" i="19"/>
  <c r="U234" i="19"/>
  <c r="U233" i="19"/>
  <c r="U232" i="19"/>
  <c r="U231" i="19"/>
  <c r="U230" i="19"/>
  <c r="U229" i="19"/>
  <c r="U228" i="19"/>
  <c r="U227" i="19"/>
  <c r="U226" i="19"/>
  <c r="U225" i="19"/>
  <c r="U224" i="19"/>
  <c r="U223" i="19"/>
  <c r="U222" i="19"/>
  <c r="U221" i="19"/>
  <c r="U220" i="19"/>
  <c r="U219" i="19"/>
  <c r="U218" i="19"/>
  <c r="U217" i="19"/>
  <c r="U216" i="19"/>
  <c r="U215" i="19"/>
  <c r="U214" i="19"/>
  <c r="U213" i="19"/>
  <c r="U212" i="19"/>
  <c r="U211" i="19"/>
  <c r="U210" i="19"/>
  <c r="U209" i="19"/>
  <c r="U208" i="19"/>
  <c r="U207" i="19"/>
  <c r="U206" i="19"/>
  <c r="U205" i="19"/>
  <c r="U204" i="19"/>
  <c r="U203" i="19"/>
  <c r="U202" i="19"/>
  <c r="U201" i="19"/>
  <c r="U200" i="19"/>
  <c r="U199" i="19"/>
  <c r="U198" i="19"/>
  <c r="U197" i="19"/>
  <c r="U196" i="19"/>
  <c r="U195" i="19"/>
  <c r="U194" i="19"/>
  <c r="U193" i="19"/>
  <c r="U192" i="19"/>
  <c r="U191" i="19"/>
  <c r="U190" i="19"/>
  <c r="U189" i="19"/>
  <c r="U188" i="19"/>
  <c r="U187" i="19"/>
  <c r="U186" i="19"/>
  <c r="U185" i="19"/>
  <c r="U184" i="19"/>
  <c r="U183" i="19"/>
  <c r="U182" i="19"/>
  <c r="U181" i="19"/>
  <c r="U180" i="19"/>
  <c r="U179" i="19"/>
  <c r="U178" i="19"/>
  <c r="U177" i="19"/>
  <c r="U176" i="19"/>
  <c r="U175" i="19"/>
  <c r="U174" i="19"/>
  <c r="U173" i="19"/>
  <c r="U172" i="19"/>
  <c r="U171" i="19"/>
  <c r="U170" i="19"/>
  <c r="U169" i="19"/>
  <c r="U168" i="19"/>
  <c r="U167" i="19"/>
  <c r="U166" i="19"/>
  <c r="U165" i="19"/>
  <c r="U164" i="19"/>
  <c r="U163" i="19"/>
  <c r="U162" i="19"/>
  <c r="U161" i="19"/>
  <c r="U160" i="19"/>
  <c r="U159" i="19"/>
  <c r="U158" i="19"/>
  <c r="U157" i="19"/>
  <c r="U156" i="19"/>
  <c r="U155" i="19"/>
  <c r="U154" i="19"/>
  <c r="U153" i="19"/>
  <c r="U152" i="19"/>
  <c r="U151" i="19"/>
  <c r="U150" i="19"/>
  <c r="U149" i="19"/>
  <c r="U148" i="19"/>
  <c r="U147" i="19"/>
  <c r="U146" i="19"/>
  <c r="U145" i="19"/>
  <c r="U144" i="19"/>
  <c r="U143" i="19"/>
  <c r="U142" i="19"/>
  <c r="U141" i="19"/>
  <c r="U140" i="19"/>
  <c r="U139" i="19"/>
  <c r="U138" i="19"/>
  <c r="U137" i="19"/>
  <c r="U136" i="19"/>
  <c r="U135" i="19"/>
  <c r="U134" i="19"/>
  <c r="U133" i="19"/>
  <c r="U132" i="19"/>
  <c r="U131" i="19"/>
  <c r="U130" i="19"/>
  <c r="U129" i="19"/>
  <c r="U128" i="19"/>
  <c r="U127" i="19"/>
  <c r="U126" i="19"/>
  <c r="U125" i="19"/>
  <c r="U124" i="19"/>
  <c r="U123" i="19"/>
  <c r="U122" i="19"/>
  <c r="U121" i="19"/>
  <c r="U120" i="19"/>
  <c r="U119" i="19"/>
  <c r="U118" i="19"/>
  <c r="U117" i="19"/>
  <c r="U116" i="19"/>
  <c r="U115" i="19"/>
  <c r="U114" i="19"/>
  <c r="U113" i="19"/>
  <c r="U112" i="19"/>
  <c r="U111" i="19"/>
  <c r="U110" i="19"/>
  <c r="U109" i="19"/>
  <c r="U108" i="19"/>
  <c r="U107" i="19"/>
  <c r="U106" i="19"/>
  <c r="U105" i="19"/>
  <c r="U104" i="19"/>
  <c r="U103" i="19"/>
  <c r="U102" i="19"/>
  <c r="U101" i="19"/>
  <c r="U100" i="19"/>
  <c r="U99" i="19"/>
  <c r="U98" i="19"/>
  <c r="U97" i="19"/>
  <c r="U96" i="19"/>
  <c r="U95" i="19"/>
  <c r="U94" i="19"/>
  <c r="U93" i="19"/>
  <c r="U92" i="19"/>
  <c r="U91" i="19"/>
  <c r="U90" i="19"/>
  <c r="U89" i="19"/>
  <c r="U88" i="19"/>
  <c r="U87" i="19"/>
  <c r="U86" i="19"/>
  <c r="U85" i="19"/>
  <c r="U84" i="19"/>
  <c r="U83" i="19"/>
  <c r="U82" i="19"/>
  <c r="U81" i="19"/>
  <c r="U80" i="19"/>
  <c r="U79" i="19"/>
  <c r="U78" i="19"/>
  <c r="U77" i="19"/>
  <c r="U76" i="19"/>
  <c r="U75" i="19"/>
  <c r="U74" i="19"/>
  <c r="U73" i="19"/>
  <c r="U72" i="19"/>
  <c r="U71" i="19"/>
  <c r="U70" i="19"/>
  <c r="U69" i="19"/>
  <c r="U68" i="19"/>
  <c r="U67" i="19"/>
  <c r="U66" i="19"/>
  <c r="U65" i="19"/>
  <c r="U64" i="19"/>
  <c r="U63" i="19"/>
  <c r="U62" i="19"/>
  <c r="U61" i="19"/>
  <c r="U60" i="19"/>
  <c r="U59" i="19"/>
  <c r="U58" i="19"/>
  <c r="U57" i="19"/>
  <c r="U56" i="19"/>
  <c r="U55" i="19"/>
  <c r="U54" i="19"/>
  <c r="U53" i="19"/>
  <c r="U52" i="19"/>
  <c r="U51" i="19"/>
  <c r="U50" i="19"/>
  <c r="U49" i="19"/>
  <c r="U48" i="19"/>
  <c r="U47" i="19"/>
  <c r="U46" i="19"/>
  <c r="U45" i="19"/>
  <c r="U44" i="19"/>
  <c r="U43" i="19"/>
  <c r="U42" i="19"/>
  <c r="U41" i="19"/>
  <c r="U40" i="19"/>
  <c r="U39" i="19"/>
  <c r="U38" i="19"/>
  <c r="U37" i="19"/>
  <c r="U36" i="19"/>
  <c r="U35" i="19"/>
  <c r="U34" i="19"/>
  <c r="U33" i="19"/>
  <c r="U32" i="19"/>
  <c r="U31" i="19"/>
  <c r="U30" i="19"/>
  <c r="U29" i="19"/>
  <c r="U28" i="19"/>
  <c r="U27" i="19"/>
  <c r="U26" i="19"/>
  <c r="U25" i="19"/>
  <c r="U24" i="19"/>
  <c r="U23" i="19"/>
  <c r="U22" i="19"/>
  <c r="U21" i="19"/>
  <c r="U20" i="19"/>
  <c r="U19" i="19"/>
  <c r="U18" i="19"/>
  <c r="U17" i="19"/>
  <c r="U16" i="19"/>
  <c r="U15" i="19"/>
  <c r="U14" i="19"/>
  <c r="U13" i="19"/>
  <c r="U12" i="19"/>
  <c r="U11" i="19"/>
  <c r="U10" i="19"/>
  <c r="U9" i="19"/>
  <c r="U8" i="19"/>
  <c r="U7" i="19"/>
  <c r="O294" i="19"/>
  <c r="N291" i="19"/>
  <c r="M291" i="19"/>
  <c r="N290" i="19"/>
  <c r="M290" i="19"/>
  <c r="N289" i="19"/>
  <c r="M289" i="19"/>
  <c r="N288" i="19"/>
  <c r="M288" i="19"/>
  <c r="N287" i="19"/>
  <c r="M287" i="19"/>
  <c r="N286" i="19"/>
  <c r="M286" i="19"/>
  <c r="N285" i="19"/>
  <c r="M285" i="19"/>
  <c r="N284" i="19"/>
  <c r="M284" i="19"/>
  <c r="N283" i="19"/>
  <c r="M283" i="19"/>
  <c r="N282" i="19"/>
  <c r="M282" i="19"/>
  <c r="N281" i="19"/>
  <c r="M281" i="19"/>
  <c r="N280" i="19"/>
  <c r="M280" i="19"/>
  <c r="N279" i="19"/>
  <c r="M279" i="19"/>
  <c r="N278" i="19"/>
  <c r="M278" i="19"/>
  <c r="N277" i="19"/>
  <c r="M277" i="19"/>
  <c r="N276" i="19"/>
  <c r="M276" i="19"/>
  <c r="N275" i="19"/>
  <c r="M275" i="19"/>
  <c r="N274" i="19"/>
  <c r="M274" i="19"/>
  <c r="N273" i="19"/>
  <c r="M273" i="19"/>
  <c r="N272" i="19"/>
  <c r="M272" i="19"/>
  <c r="N271" i="19"/>
  <c r="M271" i="19"/>
  <c r="N270" i="19"/>
  <c r="M270" i="19"/>
  <c r="N269" i="19"/>
  <c r="M269" i="19"/>
  <c r="N268" i="19"/>
  <c r="M268" i="19"/>
  <c r="N267" i="19"/>
  <c r="M267" i="19"/>
  <c r="N266" i="19"/>
  <c r="M266" i="19"/>
  <c r="N265" i="19"/>
  <c r="M265" i="19"/>
  <c r="N264" i="19"/>
  <c r="M264" i="19"/>
  <c r="N263" i="19"/>
  <c r="M263" i="19"/>
  <c r="N262" i="19"/>
  <c r="M262" i="19"/>
  <c r="N261" i="19"/>
  <c r="M261" i="19"/>
  <c r="N260" i="19"/>
  <c r="M260" i="19"/>
  <c r="N259" i="19"/>
  <c r="M259" i="19"/>
  <c r="N258" i="19"/>
  <c r="M258" i="19"/>
  <c r="N257" i="19"/>
  <c r="M257" i="19"/>
  <c r="N256" i="19"/>
  <c r="M256" i="19"/>
  <c r="N255" i="19"/>
  <c r="M255" i="19"/>
  <c r="N254" i="19"/>
  <c r="M254" i="19"/>
  <c r="N253" i="19"/>
  <c r="M253" i="19"/>
  <c r="N252" i="19"/>
  <c r="M252" i="19"/>
  <c r="N251" i="19"/>
  <c r="M251" i="19"/>
  <c r="N250" i="19"/>
  <c r="M250" i="19"/>
  <c r="N249" i="19"/>
  <c r="M249" i="19"/>
  <c r="N248" i="19"/>
  <c r="M248" i="19"/>
  <c r="N247" i="19"/>
  <c r="M247" i="19"/>
  <c r="N246" i="19"/>
  <c r="M246" i="19"/>
  <c r="N245" i="19"/>
  <c r="M245" i="19"/>
  <c r="N244" i="19"/>
  <c r="M244" i="19"/>
  <c r="N243" i="19"/>
  <c r="M243" i="19"/>
  <c r="N242" i="19"/>
  <c r="M242" i="19"/>
  <c r="N241" i="19"/>
  <c r="M241" i="19"/>
  <c r="N240" i="19"/>
  <c r="M240" i="19"/>
  <c r="N239" i="19"/>
  <c r="M239" i="19"/>
  <c r="N238" i="19"/>
  <c r="M238" i="19"/>
  <c r="N237" i="19"/>
  <c r="M237" i="19"/>
  <c r="N236" i="19"/>
  <c r="M236" i="19"/>
  <c r="N235" i="19"/>
  <c r="M235" i="19"/>
  <c r="N234" i="19"/>
  <c r="M234" i="19"/>
  <c r="N233" i="19"/>
  <c r="M233" i="19"/>
  <c r="N232" i="19"/>
  <c r="M232" i="19"/>
  <c r="N231" i="19"/>
  <c r="M231" i="19"/>
  <c r="N230" i="19"/>
  <c r="M230" i="19"/>
  <c r="L229" i="19"/>
  <c r="N228" i="19"/>
  <c r="M228" i="19"/>
  <c r="N227" i="19"/>
  <c r="M227" i="19"/>
  <c r="N226" i="19"/>
  <c r="M226" i="19"/>
  <c r="N225" i="19"/>
  <c r="M225" i="19"/>
  <c r="N224" i="19"/>
  <c r="M224" i="19"/>
  <c r="N223" i="19"/>
  <c r="M223" i="19"/>
  <c r="N222" i="19"/>
  <c r="M222" i="19"/>
  <c r="N221" i="19"/>
  <c r="M221" i="19"/>
  <c r="L220" i="19"/>
  <c r="L219" i="19"/>
  <c r="L218" i="19"/>
  <c r="L217" i="19"/>
  <c r="L216" i="19"/>
  <c r="L215" i="19"/>
  <c r="L214" i="19"/>
  <c r="L213" i="19"/>
  <c r="N212" i="19"/>
  <c r="M212" i="19"/>
  <c r="N211" i="19"/>
  <c r="M211" i="19"/>
  <c r="N210" i="19"/>
  <c r="M210" i="19"/>
  <c r="N209" i="19"/>
  <c r="M209" i="19"/>
  <c r="N208" i="19"/>
  <c r="M208" i="19"/>
  <c r="N207" i="19"/>
  <c r="M207" i="19"/>
  <c r="N206" i="19"/>
  <c r="M206" i="19"/>
  <c r="N205" i="19"/>
  <c r="M205" i="19"/>
  <c r="N204" i="19"/>
  <c r="M204" i="19"/>
  <c r="N203" i="19"/>
  <c r="M203" i="19"/>
  <c r="N202" i="19"/>
  <c r="M202" i="19"/>
  <c r="N201" i="19"/>
  <c r="M201" i="19"/>
  <c r="N200" i="19"/>
  <c r="M200" i="19"/>
  <c r="N199" i="19"/>
  <c r="M199" i="19"/>
  <c r="N198" i="19"/>
  <c r="M198" i="19"/>
  <c r="N197" i="19"/>
  <c r="M197" i="19"/>
  <c r="N196" i="19"/>
  <c r="M196" i="19"/>
  <c r="N195" i="19"/>
  <c r="M195" i="19"/>
  <c r="N194" i="19"/>
  <c r="M194" i="19"/>
  <c r="N193" i="19"/>
  <c r="M193" i="19"/>
  <c r="N192" i="19"/>
  <c r="M192" i="19"/>
  <c r="N191" i="19"/>
  <c r="M191" i="19"/>
  <c r="N190" i="19"/>
  <c r="M190" i="19"/>
  <c r="N189" i="19"/>
  <c r="M189" i="19"/>
  <c r="N188" i="19"/>
  <c r="M188" i="19"/>
  <c r="L187" i="19"/>
  <c r="N186" i="19"/>
  <c r="M186" i="19"/>
  <c r="N185" i="19"/>
  <c r="M185" i="19"/>
  <c r="N184" i="19"/>
  <c r="M184" i="19"/>
  <c r="N183" i="19"/>
  <c r="M183" i="19"/>
  <c r="N182" i="19"/>
  <c r="M182" i="19"/>
  <c r="N181" i="19"/>
  <c r="M181" i="19"/>
  <c r="N180" i="19"/>
  <c r="M180" i="19"/>
  <c r="N179" i="19"/>
  <c r="M179" i="19"/>
  <c r="N178" i="19"/>
  <c r="M178" i="19"/>
  <c r="N177" i="19"/>
  <c r="M177" i="19"/>
  <c r="N176" i="19"/>
  <c r="M176" i="19"/>
  <c r="N175" i="19"/>
  <c r="M175" i="19"/>
  <c r="N174" i="19"/>
  <c r="M174" i="19"/>
  <c r="N173" i="19"/>
  <c r="M173" i="19"/>
  <c r="N172" i="19"/>
  <c r="M172" i="19"/>
  <c r="N171" i="19"/>
  <c r="M171" i="19"/>
  <c r="N170" i="19"/>
  <c r="M170" i="19"/>
  <c r="N169" i="19"/>
  <c r="M169" i="19"/>
  <c r="N168" i="19"/>
  <c r="M168" i="19"/>
  <c r="N167" i="19"/>
  <c r="M167" i="19"/>
  <c r="N166" i="19"/>
  <c r="M166" i="19"/>
  <c r="N165" i="19"/>
  <c r="M165" i="19"/>
  <c r="N164" i="19"/>
  <c r="M164" i="19"/>
  <c r="N163" i="19"/>
  <c r="M163" i="19"/>
  <c r="L162" i="19"/>
  <c r="L161" i="19"/>
  <c r="L160" i="19"/>
  <c r="L159" i="19"/>
  <c r="L158" i="19"/>
  <c r="L157" i="19"/>
  <c r="N156" i="19"/>
  <c r="M156" i="19"/>
  <c r="N155" i="19"/>
  <c r="M155" i="19"/>
  <c r="N154" i="19"/>
  <c r="M154" i="19"/>
  <c r="N153" i="19"/>
  <c r="M153" i="19"/>
  <c r="N152" i="19"/>
  <c r="M152" i="19"/>
  <c r="N151" i="19"/>
  <c r="M151" i="19"/>
  <c r="N150" i="19"/>
  <c r="M150" i="19"/>
  <c r="N149" i="19"/>
  <c r="M149" i="19"/>
  <c r="N148" i="19"/>
  <c r="M148" i="19"/>
  <c r="N147" i="19"/>
  <c r="M147" i="19"/>
  <c r="N146" i="19"/>
  <c r="M146" i="19"/>
  <c r="N145" i="19"/>
  <c r="M145" i="19"/>
  <c r="N144" i="19"/>
  <c r="M144" i="19"/>
  <c r="N143" i="19"/>
  <c r="M143" i="19"/>
  <c r="N142" i="19"/>
  <c r="M142" i="19"/>
  <c r="N141" i="19"/>
  <c r="M141" i="19"/>
  <c r="N140" i="19"/>
  <c r="M140" i="19"/>
  <c r="N139" i="19"/>
  <c r="M139" i="19"/>
  <c r="N138" i="19"/>
  <c r="M138" i="19"/>
  <c r="N137" i="19"/>
  <c r="M137" i="19"/>
  <c r="N136" i="19"/>
  <c r="M136" i="19"/>
  <c r="N135" i="19"/>
  <c r="M135" i="19"/>
  <c r="N134" i="19"/>
  <c r="M134" i="19"/>
  <c r="N133" i="19"/>
  <c r="M133" i="19"/>
  <c r="N132" i="19"/>
  <c r="M132" i="19"/>
  <c r="N131" i="19"/>
  <c r="M131" i="19"/>
  <c r="N130" i="19"/>
  <c r="M130" i="19"/>
  <c r="N129" i="19"/>
  <c r="M129" i="19"/>
  <c r="N128" i="19"/>
  <c r="M128" i="19"/>
  <c r="N127" i="19"/>
  <c r="M127" i="19"/>
  <c r="N126" i="19"/>
  <c r="M126" i="19"/>
  <c r="N125" i="19"/>
  <c r="M125" i="19"/>
  <c r="N124" i="19"/>
  <c r="M124" i="19"/>
  <c r="N123" i="19"/>
  <c r="M123" i="19"/>
  <c r="N122" i="19"/>
  <c r="M122" i="19"/>
  <c r="N121" i="19"/>
  <c r="M121" i="19"/>
  <c r="N120" i="19"/>
  <c r="M120" i="19"/>
  <c r="N119" i="19"/>
  <c r="M119" i="19"/>
  <c r="N118" i="19"/>
  <c r="M118" i="19"/>
  <c r="N117" i="19"/>
  <c r="M117" i="19"/>
  <c r="N116" i="19"/>
  <c r="M116" i="19"/>
  <c r="N115" i="19"/>
  <c r="M115" i="19"/>
  <c r="N114" i="19"/>
  <c r="M114" i="19"/>
  <c r="N113" i="19"/>
  <c r="M113" i="19"/>
  <c r="N112" i="19"/>
  <c r="M112" i="19"/>
  <c r="N111" i="19"/>
  <c r="M111" i="19"/>
  <c r="N110" i="19"/>
  <c r="M110" i="19"/>
  <c r="N109" i="19"/>
  <c r="M109" i="19"/>
  <c r="N108" i="19"/>
  <c r="M108" i="19"/>
  <c r="N107" i="19"/>
  <c r="M107" i="19"/>
  <c r="N106" i="19"/>
  <c r="M106" i="19"/>
  <c r="N105" i="19"/>
  <c r="M105" i="19"/>
  <c r="N104" i="19"/>
  <c r="M104" i="19"/>
  <c r="N103" i="19"/>
  <c r="M103" i="19"/>
  <c r="N102" i="19"/>
  <c r="M102" i="19"/>
  <c r="N101" i="19"/>
  <c r="M101" i="19"/>
  <c r="N100" i="19"/>
  <c r="M100" i="19"/>
  <c r="N99" i="19"/>
  <c r="M99" i="19"/>
  <c r="N98" i="19"/>
  <c r="M98" i="19"/>
  <c r="N97" i="19"/>
  <c r="M97" i="19"/>
  <c r="N96" i="19"/>
  <c r="M96" i="19"/>
  <c r="N95" i="19"/>
  <c r="M95" i="19"/>
  <c r="N94" i="19"/>
  <c r="M94" i="19"/>
  <c r="N93" i="19"/>
  <c r="M93" i="19"/>
  <c r="N92" i="19"/>
  <c r="M92" i="19"/>
  <c r="N91" i="19"/>
  <c r="M91" i="19"/>
  <c r="N90" i="19"/>
  <c r="M90" i="19"/>
  <c r="N89" i="19"/>
  <c r="M89" i="19"/>
  <c r="N88" i="19"/>
  <c r="M88" i="19"/>
  <c r="N87" i="19"/>
  <c r="M87" i="19"/>
  <c r="N86" i="19"/>
  <c r="M86" i="19"/>
  <c r="N85" i="19"/>
  <c r="M85" i="19"/>
  <c r="N84" i="19"/>
  <c r="M84" i="19"/>
  <c r="N83" i="19"/>
  <c r="M83" i="19"/>
  <c r="N82" i="19"/>
  <c r="M82" i="19"/>
  <c r="N81" i="19"/>
  <c r="M81" i="19"/>
  <c r="N80" i="19"/>
  <c r="M80" i="19"/>
  <c r="N79" i="19"/>
  <c r="M79" i="19"/>
  <c r="N78" i="19"/>
  <c r="M78" i="19"/>
  <c r="N77" i="19"/>
  <c r="M77" i="19"/>
  <c r="N76" i="19"/>
  <c r="M76" i="19"/>
  <c r="N75" i="19"/>
  <c r="M75" i="19"/>
  <c r="N74" i="19"/>
  <c r="M74" i="19"/>
  <c r="N73" i="19"/>
  <c r="M73" i="19"/>
  <c r="N72" i="19"/>
  <c r="M72" i="19"/>
  <c r="N71" i="19"/>
  <c r="M71" i="19"/>
  <c r="N70" i="19"/>
  <c r="M70" i="19"/>
  <c r="N69" i="19"/>
  <c r="M69" i="19"/>
  <c r="N68" i="19"/>
  <c r="M68" i="19"/>
  <c r="N67" i="19"/>
  <c r="M67" i="19"/>
  <c r="N66" i="19"/>
  <c r="M66" i="19"/>
  <c r="N65" i="19"/>
  <c r="M65" i="19"/>
  <c r="N64" i="19"/>
  <c r="M64" i="19"/>
  <c r="N63" i="19"/>
  <c r="M63" i="19"/>
  <c r="N62" i="19"/>
  <c r="M62" i="19"/>
  <c r="N61" i="19"/>
  <c r="M61" i="19"/>
  <c r="N60" i="19"/>
  <c r="M60" i="19"/>
  <c r="L59" i="19"/>
  <c r="L58" i="19"/>
  <c r="L57" i="19"/>
  <c r="L56" i="19"/>
  <c r="L55" i="19"/>
  <c r="L54" i="19"/>
  <c r="L53" i="19"/>
  <c r="L52" i="19"/>
  <c r="L51" i="19"/>
  <c r="G11" i="15" s="1"/>
  <c r="N50" i="19"/>
  <c r="M50" i="19"/>
  <c r="N49" i="19"/>
  <c r="M49" i="19"/>
  <c r="N48" i="19"/>
  <c r="M48" i="19"/>
  <c r="N47" i="19"/>
  <c r="M47" i="19"/>
  <c r="N46" i="19"/>
  <c r="M46" i="19"/>
  <c r="N45" i="19"/>
  <c r="M45" i="19"/>
  <c r="N44" i="19"/>
  <c r="M44" i="19"/>
  <c r="N43" i="19"/>
  <c r="M43" i="19"/>
  <c r="N42" i="19"/>
  <c r="M42" i="19"/>
  <c r="N41" i="19"/>
  <c r="M41" i="19"/>
  <c r="N40" i="19"/>
  <c r="M40" i="19"/>
  <c r="N39" i="19"/>
  <c r="M39" i="19"/>
  <c r="L38" i="19"/>
  <c r="N37" i="19"/>
  <c r="M37" i="19"/>
  <c r="N36" i="19"/>
  <c r="M36" i="19"/>
  <c r="N35" i="19"/>
  <c r="M35" i="19"/>
  <c r="N34" i="19"/>
  <c r="M34" i="19"/>
  <c r="N33" i="19"/>
  <c r="M33" i="19"/>
  <c r="N32" i="19"/>
  <c r="M32" i="19"/>
  <c r="N31" i="19"/>
  <c r="M31" i="19"/>
  <c r="N30" i="19"/>
  <c r="M30" i="19"/>
  <c r="N29" i="19"/>
  <c r="M29" i="19"/>
  <c r="N28" i="19"/>
  <c r="M28" i="19"/>
  <c r="N27" i="19"/>
  <c r="M27" i="19"/>
  <c r="N26" i="19"/>
  <c r="M26" i="19"/>
  <c r="N25" i="19"/>
  <c r="M25" i="19"/>
  <c r="N24" i="19"/>
  <c r="M24" i="19"/>
  <c r="N23" i="19"/>
  <c r="M23" i="19"/>
  <c r="N22" i="19"/>
  <c r="M22" i="19"/>
  <c r="N21" i="19"/>
  <c r="M21" i="19"/>
  <c r="N20" i="19"/>
  <c r="M20" i="19"/>
  <c r="N19" i="19"/>
  <c r="M19" i="19"/>
  <c r="N18" i="19"/>
  <c r="M18" i="19"/>
  <c r="N17" i="19"/>
  <c r="M17" i="19"/>
  <c r="N16" i="19"/>
  <c r="M16" i="19"/>
  <c r="N15" i="19"/>
  <c r="M15" i="19"/>
  <c r="N14" i="19"/>
  <c r="M14" i="19"/>
  <c r="N13" i="19"/>
  <c r="M13" i="19"/>
  <c r="N12" i="19"/>
  <c r="M12" i="19"/>
  <c r="N11" i="19"/>
  <c r="M11" i="19"/>
  <c r="N10" i="19"/>
  <c r="M10" i="19"/>
  <c r="N9" i="19"/>
  <c r="M9" i="19"/>
  <c r="K294" i="19"/>
  <c r="E294" i="19"/>
  <c r="F43" i="17" l="1"/>
  <c r="E43" i="17"/>
  <c r="J221" i="20"/>
  <c r="J222" i="20" s="1"/>
  <c r="J223" i="20" s="1"/>
  <c r="H221" i="20"/>
  <c r="H223" i="20" s="1"/>
  <c r="J226" i="20"/>
  <c r="J227" i="20" s="1"/>
  <c r="D12" i="21"/>
  <c r="H6" i="16"/>
  <c r="H4" i="16"/>
  <c r="H7" i="16"/>
  <c r="H8" i="15"/>
  <c r="C12" i="21"/>
  <c r="C13" i="21" s="1"/>
  <c r="E34" i="21" s="1"/>
  <c r="E37" i="21" s="1"/>
  <c r="N294" i="19"/>
  <c r="I4" i="15"/>
  <c r="I9" i="15"/>
  <c r="H14" i="15"/>
  <c r="H9" i="16"/>
  <c r="H13" i="15"/>
  <c r="H12" i="15"/>
  <c r="H9" i="15"/>
  <c r="H15" i="15"/>
  <c r="I6" i="15"/>
  <c r="E21" i="15"/>
  <c r="H4" i="15"/>
  <c r="D11" i="21"/>
  <c r="E11" i="21"/>
  <c r="E12" i="21"/>
  <c r="I6" i="16"/>
  <c r="I4" i="16"/>
  <c r="I10" i="15"/>
  <c r="I14" i="15"/>
  <c r="I16" i="15"/>
  <c r="I13" i="15"/>
  <c r="I12" i="15"/>
  <c r="I15" i="15"/>
  <c r="H20" i="21"/>
  <c r="G36" i="21"/>
  <c r="L294" i="19"/>
  <c r="H5" i="16"/>
  <c r="H8" i="16"/>
  <c r="H5" i="15"/>
  <c r="I8" i="15"/>
  <c r="U294" i="19"/>
  <c r="G4" i="16"/>
  <c r="G5" i="16"/>
  <c r="I5" i="16"/>
  <c r="I7" i="16"/>
  <c r="I8" i="16"/>
  <c r="I9" i="16"/>
  <c r="I5" i="15"/>
  <c r="H6" i="15"/>
  <c r="G7" i="15"/>
  <c r="G21" i="15" s="1"/>
  <c r="D24" i="15" s="1"/>
  <c r="H10" i="15"/>
  <c r="H16" i="15"/>
  <c r="M294" i="19"/>
  <c r="D64" i="18"/>
  <c r="F64" i="18"/>
  <c r="D21" i="15"/>
  <c r="F21" i="15"/>
  <c r="D23" i="15" s="1"/>
  <c r="J21" i="15"/>
  <c r="D27" i="15" s="1"/>
  <c r="G12" i="21" l="1"/>
  <c r="H21" i="15"/>
  <c r="D25" i="15" s="1"/>
  <c r="I21" i="15"/>
  <c r="D26" i="15" s="1"/>
  <c r="E13" i="21"/>
  <c r="G11" i="21"/>
  <c r="H11" i="21" s="1"/>
  <c r="D13" i="21"/>
  <c r="H21" i="21"/>
  <c r="H22" i="21" s="1"/>
  <c r="D28" i="15" l="1"/>
  <c r="D29" i="15" s="1"/>
  <c r="F36" i="21"/>
  <c r="H36" i="21" s="1"/>
  <c r="D12" i="16"/>
  <c r="F12" i="16"/>
  <c r="E3" i="14" l="1"/>
  <c r="D3" i="14"/>
  <c r="J3" i="13"/>
  <c r="I3" i="13"/>
  <c r="H3" i="13"/>
  <c r="G3" i="13"/>
  <c r="F3" i="13"/>
  <c r="E3" i="13"/>
  <c r="A3" i="13"/>
  <c r="D3" i="12"/>
  <c r="C3" i="12"/>
  <c r="B3" i="12"/>
  <c r="D3" i="11"/>
  <c r="C3" i="11"/>
  <c r="D3" i="10"/>
  <c r="C3" i="10"/>
  <c r="I3" i="9"/>
  <c r="F3" i="9"/>
  <c r="D3" i="9"/>
  <c r="B3" i="9"/>
  <c r="L3" i="7"/>
  <c r="K3" i="7"/>
  <c r="I3" i="7"/>
  <c r="D3" i="7"/>
  <c r="B3" i="7"/>
  <c r="A3" i="7"/>
  <c r="L3" i="8"/>
  <c r="K3" i="8"/>
  <c r="I3" i="8"/>
  <c r="E3" i="8"/>
  <c r="B3" i="8"/>
  <c r="E3" i="6"/>
  <c r="D3" i="6"/>
  <c r="K3" i="4"/>
  <c r="J3" i="4"/>
  <c r="D3" i="4"/>
  <c r="B3" i="4"/>
  <c r="A3" i="4"/>
  <c r="G3" i="5"/>
  <c r="F3" i="5"/>
  <c r="C3" i="5"/>
  <c r="A3" i="5"/>
  <c r="J12" i="16" l="1"/>
  <c r="G12" i="16"/>
  <c r="H12" i="16" l="1"/>
  <c r="I12" i="16"/>
  <c r="E12" i="16" l="1"/>
  <c r="B13" i="21" l="1"/>
  <c r="G34" i="21"/>
  <c r="G37" i="21" s="1"/>
  <c r="G13" i="21"/>
  <c r="G38" i="21" l="1"/>
  <c r="G40" i="21"/>
  <c r="F34" i="21"/>
  <c r="F37" i="21" s="1"/>
  <c r="H12" i="21"/>
  <c r="H13" i="21" s="1"/>
  <c r="H34" i="21" l="1"/>
  <c r="H37" i="21" s="1"/>
</calcChain>
</file>

<file path=xl/sharedStrings.xml><?xml version="1.0" encoding="utf-8"?>
<sst xmlns="http://schemas.openxmlformats.org/spreadsheetml/2006/main" count="5150" uniqueCount="702">
  <si>
    <t>GSTN NO.</t>
  </si>
  <si>
    <t>IGST</t>
  </si>
  <si>
    <t>CGST</t>
  </si>
  <si>
    <t>SGST</t>
  </si>
  <si>
    <t>CESS</t>
  </si>
  <si>
    <t>27AABCM2508F1ZU</t>
  </si>
  <si>
    <t>Varroc Polymers Pvt.ltd.</t>
  </si>
  <si>
    <t>HSN</t>
  </si>
  <si>
    <t>MFG</t>
  </si>
  <si>
    <t>DES</t>
  </si>
  <si>
    <t>BAL</t>
  </si>
  <si>
    <t>N</t>
  </si>
  <si>
    <t>Regular</t>
  </si>
  <si>
    <t>Nos</t>
  </si>
  <si>
    <t>27-Maharashatra</t>
  </si>
  <si>
    <t>Party Name</t>
  </si>
  <si>
    <t>Invoice No.</t>
  </si>
  <si>
    <t>Date</t>
  </si>
  <si>
    <t>Amount</t>
  </si>
  <si>
    <t>Invoice</t>
  </si>
  <si>
    <t>Description</t>
  </si>
  <si>
    <t>OF Goods</t>
  </si>
  <si>
    <t>Parts &amp; Accessories Of Motor Vehicles Other</t>
  </si>
  <si>
    <t>Unit</t>
  </si>
  <si>
    <t>Rate</t>
  </si>
  <si>
    <t>Taxabe</t>
  </si>
  <si>
    <t>Place of</t>
  </si>
  <si>
    <t>Supply</t>
  </si>
  <si>
    <t>Type</t>
  </si>
  <si>
    <t>Reverse</t>
  </si>
  <si>
    <t>Charges</t>
  </si>
  <si>
    <t>Total</t>
  </si>
  <si>
    <t>Qty</t>
  </si>
  <si>
    <t>Code</t>
  </si>
  <si>
    <t>03.07.17</t>
  </si>
  <si>
    <t>Tax</t>
  </si>
  <si>
    <t>673/17-18</t>
  </si>
  <si>
    <t>674/17-18</t>
  </si>
  <si>
    <t>672/17-18</t>
  </si>
  <si>
    <t>27AABFJ4217F1ZP</t>
  </si>
  <si>
    <t>Japtech Industries</t>
  </si>
  <si>
    <t>675/17-18</t>
  </si>
  <si>
    <t>676/17-18</t>
  </si>
  <si>
    <t>677/17-18</t>
  </si>
  <si>
    <t>27AACT1848E1ZH</t>
  </si>
  <si>
    <t>Tata Autocomp Systems Ltd.(x1)</t>
  </si>
  <si>
    <t>678/17-18</t>
  </si>
  <si>
    <t>TOTAL</t>
  </si>
  <si>
    <t>No. of Invoices</t>
  </si>
  <si>
    <t>Total Invoice Value</t>
  </si>
  <si>
    <t>Total Taxable Value</t>
  </si>
  <si>
    <t>Total Cess</t>
  </si>
  <si>
    <t>Invoice Number</t>
  </si>
  <si>
    <t>Invoice date</t>
  </si>
  <si>
    <t>Invoice Value</t>
  </si>
  <si>
    <t>Place Of Supply</t>
  </si>
  <si>
    <t>Reverse Charge</t>
  </si>
  <si>
    <t>Invoice Type</t>
  </si>
  <si>
    <t>E-Commerce GSTIN</t>
  </si>
  <si>
    <t>Taxable Value</t>
  </si>
  <si>
    <t>Cess Amount</t>
  </si>
  <si>
    <t>37-Andhra Pradesh</t>
  </si>
  <si>
    <t>A-KNP/1000/06-17</t>
  </si>
  <si>
    <t>06-17/LKO/1052</t>
  </si>
  <si>
    <t>06-17/LKO/1053</t>
  </si>
  <si>
    <t>A-KNP/1002/06-17</t>
  </si>
  <si>
    <t>A-KNP/1003/06-17</t>
  </si>
  <si>
    <t>01-Jammu &amp; Kashmir</t>
  </si>
  <si>
    <t>A-KNP/1004/06-17</t>
  </si>
  <si>
    <t>Summary For B2CL(5)</t>
  </si>
  <si>
    <t>Total Inv Value</t>
  </si>
  <si>
    <t>05BJKPK5619P1ZN</t>
  </si>
  <si>
    <t>32-Kerala</t>
  </si>
  <si>
    <t>02-Himachal Pradesh</t>
  </si>
  <si>
    <t>04-Chandigarh</t>
  </si>
  <si>
    <t>Summary For B2B(4)</t>
  </si>
  <si>
    <t>No. of Recipients</t>
  </si>
  <si>
    <t>GSTIN/UIN of Recipient</t>
  </si>
  <si>
    <t>19AAAWB0478A1ZZ</t>
  </si>
  <si>
    <t>Summary For B2CS(7)</t>
  </si>
  <si>
    <t>Total Taxable  Value</t>
  </si>
  <si>
    <t>E</t>
  </si>
  <si>
    <t>OE</t>
  </si>
  <si>
    <t>Summary For CDNR(9B)</t>
  </si>
  <si>
    <t>No. of Notes/Vouchers</t>
  </si>
  <si>
    <t>Total Note/Refund Voucher Value</t>
  </si>
  <si>
    <t>Invoice/Advance Receipt Number</t>
  </si>
  <si>
    <t>Invoice/Advance Receipt date</t>
  </si>
  <si>
    <t>Note/Refund Voucher Number</t>
  </si>
  <si>
    <t>Note/Refund Voucher date</t>
  </si>
  <si>
    <t>Document Type</t>
  </si>
  <si>
    <t>Reason For Issuing document</t>
  </si>
  <si>
    <t>Note/Refund Voucher Value</t>
  </si>
  <si>
    <t>Pre GST</t>
  </si>
  <si>
    <t>36AAATG0019A1ZJ</t>
  </si>
  <si>
    <t>C</t>
  </si>
  <si>
    <t>Sales Return</t>
  </si>
  <si>
    <t>05BJKPK5619P1ZA</t>
  </si>
  <si>
    <t>A1000</t>
  </si>
  <si>
    <t>R</t>
  </si>
  <si>
    <t>Correction in invoice</t>
  </si>
  <si>
    <t>Y</t>
  </si>
  <si>
    <t>D</t>
  </si>
  <si>
    <t>Deficiency in service</t>
  </si>
  <si>
    <t>Summary For CDNUR(9B)</t>
  </si>
  <si>
    <t>Total Note Value</t>
  </si>
  <si>
    <t>UR Type</t>
  </si>
  <si>
    <t>B2CL</t>
  </si>
  <si>
    <t>EXP</t>
  </si>
  <si>
    <t>Finalization of Provisional assessment</t>
  </si>
  <si>
    <t>Summary For EXP(6)</t>
  </si>
  <si>
    <t>No. of Shipping Bill</t>
  </si>
  <si>
    <t>Export Type</t>
  </si>
  <si>
    <t>Port Code</t>
  </si>
  <si>
    <t>Shipping Bill Number</t>
  </si>
  <si>
    <t>Shipping Bill Date</t>
  </si>
  <si>
    <t>WOPAY</t>
  </si>
  <si>
    <t>ASB995</t>
  </si>
  <si>
    <t>ASB996</t>
  </si>
  <si>
    <t>WPAY</t>
  </si>
  <si>
    <t>ASB997</t>
  </si>
  <si>
    <t>ASB998</t>
  </si>
  <si>
    <t>ASB999</t>
  </si>
  <si>
    <t>ASB101</t>
  </si>
  <si>
    <t xml:space="preserve">Summary For Advance Adjusted (11B) </t>
  </si>
  <si>
    <t>Total Advance Received</t>
  </si>
  <si>
    <t>Gross Advance Received</t>
  </si>
  <si>
    <t>Total Advance Adjusted</t>
  </si>
  <si>
    <t>Gross Advance Adjusted</t>
  </si>
  <si>
    <t>Summary For Nil rated, exempted and non GST outward supplies (8)</t>
  </si>
  <si>
    <t>Total Nil Rated Supplies</t>
  </si>
  <si>
    <t>Total Exempted Supplies</t>
  </si>
  <si>
    <t>Total Non-GST Supplies</t>
  </si>
  <si>
    <t>Nil Rated Supplies</t>
  </si>
  <si>
    <t>Exempted (other than nil rated/non GST supply )</t>
  </si>
  <si>
    <t>Non-GST supplies</t>
  </si>
  <si>
    <t>Inter-State supplies to registered persons</t>
  </si>
  <si>
    <t>Intra-State supplies to registered persons</t>
  </si>
  <si>
    <t>Inter-State supplies to unregistered persons</t>
  </si>
  <si>
    <t>Intra-State supplies to unregistered persons</t>
  </si>
  <si>
    <t>Summary For HSN(12)</t>
  </si>
  <si>
    <t>No. of HSN</t>
  </si>
  <si>
    <t>Total Value</t>
  </si>
  <si>
    <t>Total Integrated Tax</t>
  </si>
  <si>
    <t>Total Central Tax</t>
  </si>
  <si>
    <t>Total State/UT Tax</t>
  </si>
  <si>
    <t>UQC</t>
  </si>
  <si>
    <t>Total Quantity</t>
  </si>
  <si>
    <t>Integrated Tax Amount</t>
  </si>
  <si>
    <t>Central Tax Amount</t>
  </si>
  <si>
    <t>State/UT Tax Amount</t>
  </si>
  <si>
    <t>Copper</t>
  </si>
  <si>
    <t>KGS-Kilograms</t>
  </si>
  <si>
    <t>Iron &amp; Steel</t>
  </si>
  <si>
    <t>MTS-METRIC TON</t>
  </si>
  <si>
    <t>Fabric</t>
  </si>
  <si>
    <t>MTR-METER</t>
  </si>
  <si>
    <t>Biscuit</t>
  </si>
  <si>
    <t>Aerated Drinks</t>
  </si>
  <si>
    <t>NOS-Numbers</t>
  </si>
  <si>
    <t>Summary of documents issued during the tax period (13)</t>
  </si>
  <si>
    <t>Total Number</t>
  </si>
  <si>
    <t>Total Cancelled</t>
  </si>
  <si>
    <t>Nature  of Document</t>
  </si>
  <si>
    <t>Sr. No. From</t>
  </si>
  <si>
    <t>Sr. No. To</t>
  </si>
  <si>
    <t>Cancelled</t>
  </si>
  <si>
    <t>Invoice for outward supply</t>
  </si>
  <si>
    <t>LKO/1001</t>
  </si>
  <si>
    <t>LKO/10090</t>
  </si>
  <si>
    <t>KNP/552</t>
  </si>
  <si>
    <t>KNP/890</t>
  </si>
  <si>
    <t>Debit Note</t>
  </si>
  <si>
    <t>PUN/78</t>
  </si>
  <si>
    <t>PUN/98</t>
  </si>
  <si>
    <t>Delivery Challan for job work</t>
  </si>
  <si>
    <t>Invoice for inward supply from unregistered person</t>
  </si>
  <si>
    <t>Refund Voucher</t>
  </si>
  <si>
    <t>27AAACT1818E1ZH</t>
  </si>
  <si>
    <t>679/17-18</t>
  </si>
  <si>
    <t>680/17-18</t>
  </si>
  <si>
    <t>681/17-18</t>
  </si>
  <si>
    <t>682/17-18</t>
  </si>
  <si>
    <t>683/17-18</t>
  </si>
  <si>
    <t>27AAACD4090Q1Z8</t>
  </si>
  <si>
    <t>Lumax Auto Technologies Ltd.</t>
  </si>
  <si>
    <t>684/17-18</t>
  </si>
  <si>
    <t>Tata Autocomp Systems LTD.(X1)</t>
  </si>
  <si>
    <t>Lumax Ancillary Limited.</t>
  </si>
  <si>
    <t>27AAACD2571J1ZO</t>
  </si>
  <si>
    <t>685/17-18</t>
  </si>
  <si>
    <t>686/17-18</t>
  </si>
  <si>
    <t>687/17-18</t>
  </si>
  <si>
    <t>688/17-18</t>
  </si>
  <si>
    <t>689/17-18</t>
  </si>
  <si>
    <t>690/17-18</t>
  </si>
  <si>
    <t>691/17-18</t>
  </si>
  <si>
    <t>692/17-18</t>
  </si>
  <si>
    <t>693/17-18</t>
  </si>
  <si>
    <t>694/17-18</t>
  </si>
  <si>
    <t>695/17-18</t>
  </si>
  <si>
    <t>696/17-18</t>
  </si>
  <si>
    <t>697/17-18</t>
  </si>
  <si>
    <t>698/17-18</t>
  </si>
  <si>
    <t>699/17-18</t>
  </si>
  <si>
    <t>700/17-18</t>
  </si>
  <si>
    <t>701/17-18</t>
  </si>
  <si>
    <t>702/17-18</t>
  </si>
  <si>
    <t>23AABCE9378F1ZK</t>
  </si>
  <si>
    <t>VE Commercial vehicles Ltd</t>
  </si>
  <si>
    <t>703/17-18</t>
  </si>
  <si>
    <t>23-Madhya Pradesh</t>
  </si>
  <si>
    <t>704/17-18</t>
  </si>
  <si>
    <t>705/17-18</t>
  </si>
  <si>
    <t>Rinder India Pvt Ltd.</t>
  </si>
  <si>
    <t>27AAACH4211R1ZF</t>
  </si>
  <si>
    <t>706/17-18</t>
  </si>
  <si>
    <t>707/17-18</t>
  </si>
  <si>
    <t>708/17-18</t>
  </si>
  <si>
    <t>709/17-18</t>
  </si>
  <si>
    <t>710/17-18</t>
  </si>
  <si>
    <t>711/17-18</t>
  </si>
  <si>
    <t>712/17-18</t>
  </si>
  <si>
    <t>713/17-18</t>
  </si>
  <si>
    <t>714/17-18</t>
  </si>
  <si>
    <t>715/17-18</t>
  </si>
  <si>
    <t>23AXLPP2030P1Z9</t>
  </si>
  <si>
    <t>Migma Packtron</t>
  </si>
  <si>
    <t>716/17-18</t>
  </si>
  <si>
    <t>717/17-18</t>
  </si>
  <si>
    <t>718/17-18</t>
  </si>
  <si>
    <t>719/17-18</t>
  </si>
  <si>
    <t>720/17-18</t>
  </si>
  <si>
    <t>721/17-18</t>
  </si>
  <si>
    <t>722/17-18</t>
  </si>
  <si>
    <t>723/17-18</t>
  </si>
  <si>
    <t>724/17-18</t>
  </si>
  <si>
    <t>725/17-18</t>
  </si>
  <si>
    <t>726/17-18</t>
  </si>
  <si>
    <t>727/17-18</t>
  </si>
  <si>
    <t>728/17-18</t>
  </si>
  <si>
    <t>729/17-18</t>
  </si>
  <si>
    <t>27AAJFA8391F1Z7</t>
  </si>
  <si>
    <t>Adm Engineering</t>
  </si>
  <si>
    <t>27AABCL0595K1Z9</t>
  </si>
  <si>
    <t>Lotus Tapes (India) Pvt Ltd,</t>
  </si>
  <si>
    <t>Self-Adhesive Tape</t>
  </si>
  <si>
    <t>27AAECD2713N1ZK</t>
  </si>
  <si>
    <t>Axalta Coating Systems India Pvt.Ltd,</t>
  </si>
  <si>
    <t>Ltr</t>
  </si>
  <si>
    <t>Others ( Paint &amp; Varnishes)</t>
  </si>
  <si>
    <t>Misc Chemical Products Thinner</t>
  </si>
  <si>
    <t>27AMMPB3648M1ZO</t>
  </si>
  <si>
    <t>Aditya Enteprises</t>
  </si>
  <si>
    <t>Lighting &amp; Fitting</t>
  </si>
  <si>
    <t>23AAACT6376M1ZZ</t>
  </si>
  <si>
    <t>Tech-Force Composites Pvt,Ltd.,(Indore)</t>
  </si>
  <si>
    <t>27AABFA1883E1ZQ</t>
  </si>
  <si>
    <t>Aeroaids Corporation</t>
  </si>
  <si>
    <t>Can</t>
  </si>
  <si>
    <t>27AAHCA1363L1ZK</t>
  </si>
  <si>
    <t>Atharva Polymers Pvt Ltd,</t>
  </si>
  <si>
    <t>27AJZPM220M1ZL</t>
  </si>
  <si>
    <t>Sai Traders</t>
  </si>
  <si>
    <t>Polish Paper</t>
  </si>
  <si>
    <t>730/17-18</t>
  </si>
  <si>
    <t>731/17-18</t>
  </si>
  <si>
    <t>732/17-18</t>
  </si>
  <si>
    <t>733/17-18</t>
  </si>
  <si>
    <t>27AAPFG4989F1ZR</t>
  </si>
  <si>
    <t>Gawade Steel Traders</t>
  </si>
  <si>
    <t>Gypsum Powder</t>
  </si>
  <si>
    <t>Bags</t>
  </si>
  <si>
    <t>27AAACA8832H1ZO</t>
  </si>
  <si>
    <t>Ppg Asian Paints Pvt Ltd,</t>
  </si>
  <si>
    <t>734/17-18</t>
  </si>
  <si>
    <t>735/17-18</t>
  </si>
  <si>
    <t>736/17-18</t>
  </si>
  <si>
    <t>737/17-18</t>
  </si>
  <si>
    <t>738/17-18</t>
  </si>
  <si>
    <t>739/17-18</t>
  </si>
  <si>
    <t>740/17-18</t>
  </si>
  <si>
    <t>Varroc Polymers Pvt Ltd,</t>
  </si>
  <si>
    <t>27AAHFP1154BIZN</t>
  </si>
  <si>
    <t>Premier Sales Corporation</t>
  </si>
  <si>
    <t>Surgical Glove</t>
  </si>
  <si>
    <t>Broom</t>
  </si>
  <si>
    <t>Tackrog</t>
  </si>
  <si>
    <t>Cotton Gloves</t>
  </si>
  <si>
    <t>Cloth Lint</t>
  </si>
  <si>
    <t>Mtr</t>
  </si>
  <si>
    <t>Cloth Filter</t>
  </si>
  <si>
    <t>Pencil</t>
  </si>
  <si>
    <t>Nitrial Glove</t>
  </si>
  <si>
    <t>Pair</t>
  </si>
  <si>
    <t>Finger</t>
  </si>
  <si>
    <t>pkt</t>
  </si>
  <si>
    <t>Battery</t>
  </si>
  <si>
    <t>Liquid</t>
  </si>
  <si>
    <t>Wiper</t>
  </si>
  <si>
    <t>Distilled Water</t>
  </si>
  <si>
    <t>Lambi Patti</t>
  </si>
  <si>
    <t>27ACFPY4813JIZ6</t>
  </si>
  <si>
    <t>Om Enterprises</t>
  </si>
  <si>
    <t>Bopp Tapes</t>
  </si>
  <si>
    <t>Cutter</t>
  </si>
  <si>
    <t>Calculator</t>
  </si>
  <si>
    <t>27AAACB4599E1ZL</t>
  </si>
  <si>
    <t>BASF India Limited</t>
  </si>
  <si>
    <t>27ABXPV6045J1ZP</t>
  </si>
  <si>
    <t>Nation Chemicals</t>
  </si>
  <si>
    <t>Toluene</t>
  </si>
  <si>
    <t>IPA</t>
  </si>
  <si>
    <t>741/17-18</t>
  </si>
  <si>
    <t>742/17-18</t>
  </si>
  <si>
    <t>743/17-18</t>
  </si>
  <si>
    <t>744/17-18</t>
  </si>
  <si>
    <t>745/17-18</t>
  </si>
  <si>
    <t>746/17-18</t>
  </si>
  <si>
    <t>747/17-18</t>
  </si>
  <si>
    <t>748/17-18</t>
  </si>
  <si>
    <t>749/17-18</t>
  </si>
  <si>
    <t>750/17-18</t>
  </si>
  <si>
    <t>751/17-18</t>
  </si>
  <si>
    <t>752/17-18</t>
  </si>
  <si>
    <t>753/17-18</t>
  </si>
  <si>
    <t>754/17-18</t>
  </si>
  <si>
    <t>27AAGCP0139E1ZP</t>
  </si>
  <si>
    <t>Pricol Ltd (Formerly Pricol Pune Ltd)</t>
  </si>
  <si>
    <t>755/17-18</t>
  </si>
  <si>
    <t>756/17-18</t>
  </si>
  <si>
    <t>757/17-18</t>
  </si>
  <si>
    <t>758/17-18</t>
  </si>
  <si>
    <t>759/17-18</t>
  </si>
  <si>
    <t>760/17-18</t>
  </si>
  <si>
    <t>761/17-18</t>
  </si>
  <si>
    <t>762/17-18</t>
  </si>
  <si>
    <t>763/17-18</t>
  </si>
  <si>
    <t>Mask</t>
  </si>
  <si>
    <t>Lizol</t>
  </si>
  <si>
    <t>Cement</t>
  </si>
  <si>
    <t>27AAACT1249H1ZG</t>
  </si>
  <si>
    <t>TI METAL FORMING</t>
  </si>
  <si>
    <t>764/17-18</t>
  </si>
  <si>
    <t>765/17-18</t>
  </si>
  <si>
    <t>766/17-18</t>
  </si>
  <si>
    <t>767/17-18</t>
  </si>
  <si>
    <t>768/17-18</t>
  </si>
  <si>
    <t>769/17-18</t>
  </si>
  <si>
    <t>770/17-18</t>
  </si>
  <si>
    <t>771/17-18</t>
  </si>
  <si>
    <t>772/17-18</t>
  </si>
  <si>
    <t>773/17-18</t>
  </si>
  <si>
    <t>774/17-18</t>
  </si>
  <si>
    <t>775/17-18</t>
  </si>
  <si>
    <t>776/17-18</t>
  </si>
  <si>
    <t>777/17-18</t>
  </si>
  <si>
    <t>778/17-18</t>
  </si>
  <si>
    <t>779/17-18</t>
  </si>
  <si>
    <t>780/17-18</t>
  </si>
  <si>
    <t>781/17-18</t>
  </si>
  <si>
    <t>782/17-18</t>
  </si>
  <si>
    <t>783/17-18</t>
  </si>
  <si>
    <t>784/17-18</t>
  </si>
  <si>
    <t>785/17-18</t>
  </si>
  <si>
    <t>786/17-18</t>
  </si>
  <si>
    <t>787/17-18</t>
  </si>
  <si>
    <t>788/17-18</t>
  </si>
  <si>
    <t>789/17-18</t>
  </si>
  <si>
    <t>790/17-18</t>
  </si>
  <si>
    <t>791/17-18</t>
  </si>
  <si>
    <t>792/17-18</t>
  </si>
  <si>
    <t>793/17-18</t>
  </si>
  <si>
    <t>794/17-18</t>
  </si>
  <si>
    <t>795/17-18</t>
  </si>
  <si>
    <t>27AAECM8871A1ZF</t>
  </si>
  <si>
    <t>Mittal Precision Auto Comps Pvt Ltd,</t>
  </si>
  <si>
    <t>796/17-18</t>
  </si>
  <si>
    <t>797/17-18</t>
  </si>
  <si>
    <t>798/17-18</t>
  </si>
  <si>
    <t>799/17-18</t>
  </si>
  <si>
    <t>800/17-18</t>
  </si>
  <si>
    <t>27AACCA4196J1ZG</t>
  </si>
  <si>
    <t>Alpha Foam Ltd</t>
  </si>
  <si>
    <t>801/17-18</t>
  </si>
  <si>
    <t>802/17-18</t>
  </si>
  <si>
    <t>803/17-18</t>
  </si>
  <si>
    <t>804/17-18</t>
  </si>
  <si>
    <t>06AAACM6984G1Z9</t>
  </si>
  <si>
    <t>Machino Plastics Ltd. Unit-II</t>
  </si>
  <si>
    <t>27AHVPG8951G1ZQ</t>
  </si>
  <si>
    <t>Sam Systems</t>
  </si>
  <si>
    <t>Automatic Data Processing</t>
  </si>
  <si>
    <t>Parts &amp; Accessories Of Other Cover</t>
  </si>
  <si>
    <t>27AAZFM6461A1ZY</t>
  </si>
  <si>
    <t>Micro Plast</t>
  </si>
  <si>
    <t>27AASCS0290B1ZC</t>
  </si>
  <si>
    <t>S &amp; P Electrocoating Pvt Ltd,</t>
  </si>
  <si>
    <t>27AAACQ1376N1ZC</t>
  </si>
  <si>
    <t>Kansai Nerolac Paints Ltd,</t>
  </si>
  <si>
    <t>J271010281</t>
  </si>
  <si>
    <t>J271010282</t>
  </si>
  <si>
    <t>805/17-18</t>
  </si>
  <si>
    <t>806/17-18</t>
  </si>
  <si>
    <t>807/17-18</t>
  </si>
  <si>
    <t>810/17-18</t>
  </si>
  <si>
    <t>811/17-18</t>
  </si>
  <si>
    <t>812/17-18</t>
  </si>
  <si>
    <t>809/17-18</t>
  </si>
  <si>
    <t>808/17-18</t>
  </si>
  <si>
    <t>813/17-18</t>
  </si>
  <si>
    <t>814/17-18</t>
  </si>
  <si>
    <t>815/17-18</t>
  </si>
  <si>
    <t>816/17-18</t>
  </si>
  <si>
    <t>817/17-18</t>
  </si>
  <si>
    <t>27AAACT5755A1ZJ</t>
  </si>
  <si>
    <t>Tata Ficosa Automotves Ltd</t>
  </si>
  <si>
    <t>818/17-18</t>
  </si>
  <si>
    <t>819/17-18</t>
  </si>
  <si>
    <t>820/17-18</t>
  </si>
  <si>
    <t>821/17-18</t>
  </si>
  <si>
    <t>822/17-18</t>
  </si>
  <si>
    <t>823/17-18</t>
  </si>
  <si>
    <t>824/17-18</t>
  </si>
  <si>
    <t>825/17-18</t>
  </si>
  <si>
    <t>826/17-18</t>
  </si>
  <si>
    <t>827/17-18</t>
  </si>
  <si>
    <t>828/17-18</t>
  </si>
  <si>
    <t>829/17-18</t>
  </si>
  <si>
    <t>830/17-18</t>
  </si>
  <si>
    <t>831/17-18</t>
  </si>
  <si>
    <t>832/17-18</t>
  </si>
  <si>
    <t>833/17-18</t>
  </si>
  <si>
    <t>834/17-18</t>
  </si>
  <si>
    <t>27AATPC2316A1Z7</t>
  </si>
  <si>
    <t>Raj Hardware &amp; Electricals</t>
  </si>
  <si>
    <t>27AJAPG7696KZP</t>
  </si>
  <si>
    <t>Deep Enterprises</t>
  </si>
  <si>
    <t>835/17-18</t>
  </si>
  <si>
    <t>836/17-18</t>
  </si>
  <si>
    <t>837/17-18</t>
  </si>
  <si>
    <t>838/17-18</t>
  </si>
  <si>
    <t>839/17-18</t>
  </si>
  <si>
    <t>840/17-18</t>
  </si>
  <si>
    <t>841/17-18</t>
  </si>
  <si>
    <t>842/17-18</t>
  </si>
  <si>
    <t>843/17-18</t>
  </si>
  <si>
    <t>844/17-18</t>
  </si>
  <si>
    <t>845/17-18</t>
  </si>
  <si>
    <t>846/17-18</t>
  </si>
  <si>
    <t>847/17-18</t>
  </si>
  <si>
    <t>848/17-18</t>
  </si>
  <si>
    <t>849/17-18</t>
  </si>
  <si>
    <t>850/17-18</t>
  </si>
  <si>
    <t>851/17-18</t>
  </si>
  <si>
    <t>852/17-18</t>
  </si>
  <si>
    <t>853/17-18</t>
  </si>
  <si>
    <t>854/17-18</t>
  </si>
  <si>
    <t>855/17-18</t>
  </si>
  <si>
    <t>856/17-18</t>
  </si>
  <si>
    <t>857/17-18</t>
  </si>
  <si>
    <t>858/17-18</t>
  </si>
  <si>
    <t>859/17-18</t>
  </si>
  <si>
    <t>860/17-18</t>
  </si>
  <si>
    <t>861/17-18</t>
  </si>
  <si>
    <t>862/17-18</t>
  </si>
  <si>
    <t>863/17-18</t>
  </si>
  <si>
    <t>864/17-18</t>
  </si>
  <si>
    <t>865/17-18</t>
  </si>
  <si>
    <t>866/17-18</t>
  </si>
  <si>
    <t>867/17-18</t>
  </si>
  <si>
    <t>868/17-18</t>
  </si>
  <si>
    <t>869/17-18</t>
  </si>
  <si>
    <t>870/17-18</t>
  </si>
  <si>
    <t>871/17-18</t>
  </si>
  <si>
    <t>872/17-18</t>
  </si>
  <si>
    <t>873/17-18</t>
  </si>
  <si>
    <t>874/17-18</t>
  </si>
  <si>
    <t>875/17-18</t>
  </si>
  <si>
    <t>876/17-18</t>
  </si>
  <si>
    <t>877/17-18</t>
  </si>
  <si>
    <t>878/17-18</t>
  </si>
  <si>
    <t>879/17-18</t>
  </si>
  <si>
    <t>880/17-18</t>
  </si>
  <si>
    <t>881/17-18</t>
  </si>
  <si>
    <t>882/17-18</t>
  </si>
  <si>
    <t>883/17-18</t>
  </si>
  <si>
    <t>884/17-18</t>
  </si>
  <si>
    <t>885/17-18</t>
  </si>
  <si>
    <t>886/17-18</t>
  </si>
  <si>
    <t>887/17-18</t>
  </si>
  <si>
    <t>888/17-18</t>
  </si>
  <si>
    <t>889/17-18</t>
  </si>
  <si>
    <t>890/17-18</t>
  </si>
  <si>
    <t>891/17-18</t>
  </si>
  <si>
    <t>892/17-18</t>
  </si>
  <si>
    <t>893/17-18</t>
  </si>
  <si>
    <t>894/17-18</t>
  </si>
  <si>
    <t>895/17-18</t>
  </si>
  <si>
    <t>896/17-18</t>
  </si>
  <si>
    <t>897/17-18</t>
  </si>
  <si>
    <t>898/17-18</t>
  </si>
  <si>
    <t>899/17-18</t>
  </si>
  <si>
    <t>900/17-18</t>
  </si>
  <si>
    <t>901/17-18</t>
  </si>
  <si>
    <t>902/17-18</t>
  </si>
  <si>
    <t>903/17-18</t>
  </si>
  <si>
    <t>904/17-18</t>
  </si>
  <si>
    <t>905/17-18</t>
  </si>
  <si>
    <t>906/17-18</t>
  </si>
  <si>
    <t>907/17-18</t>
  </si>
  <si>
    <t>908/17-18</t>
  </si>
  <si>
    <t>909/17-18</t>
  </si>
  <si>
    <t>910/17-18</t>
  </si>
  <si>
    <t>911/17-18</t>
  </si>
  <si>
    <t>912/17-18</t>
  </si>
  <si>
    <t>913/17-18</t>
  </si>
  <si>
    <t>914/17-18</t>
  </si>
  <si>
    <t>27ATWPK5509M1ZV</t>
  </si>
  <si>
    <t>Disha Fire Solutions</t>
  </si>
  <si>
    <t>Fire Extinguishers</t>
  </si>
  <si>
    <t>915/17-18</t>
  </si>
  <si>
    <t>916/17-18</t>
  </si>
  <si>
    <t>917/17-18</t>
  </si>
  <si>
    <t>918/17-18</t>
  </si>
  <si>
    <t>919/17-18</t>
  </si>
  <si>
    <t>920/17-18</t>
  </si>
  <si>
    <t>921/17-18</t>
  </si>
  <si>
    <t>922/17-18</t>
  </si>
  <si>
    <t>923/17-18</t>
  </si>
  <si>
    <t>924/17-18</t>
  </si>
  <si>
    <t>925/17-18</t>
  </si>
  <si>
    <t>926/17-18</t>
  </si>
  <si>
    <t>927/17-18</t>
  </si>
  <si>
    <t>928/17-18</t>
  </si>
  <si>
    <t>929/17-18</t>
  </si>
  <si>
    <t>930/17-18</t>
  </si>
  <si>
    <t>931/17-18</t>
  </si>
  <si>
    <t>932/17-18</t>
  </si>
  <si>
    <t>933/17-18</t>
  </si>
  <si>
    <t>934/17-18</t>
  </si>
  <si>
    <t>935/17-18</t>
  </si>
  <si>
    <t>936/17-18</t>
  </si>
  <si>
    <t>937/17-18</t>
  </si>
  <si>
    <t>938/17-18</t>
  </si>
  <si>
    <t>939/17-18</t>
  </si>
  <si>
    <t>940/17-18</t>
  </si>
  <si>
    <t>941/17-18</t>
  </si>
  <si>
    <t>942/17-18</t>
  </si>
  <si>
    <t>943/17-18</t>
  </si>
  <si>
    <t>944/17-18</t>
  </si>
  <si>
    <t>945/17-18</t>
  </si>
  <si>
    <t>Filter Cloth</t>
  </si>
  <si>
    <t>Hand Glove</t>
  </si>
  <si>
    <t>27BSEPS5026B1ZX</t>
  </si>
  <si>
    <t>Riddhi Traders</t>
  </si>
  <si>
    <t>27AABC08467D1ZA</t>
  </si>
  <si>
    <t>Origa Renting Pvt Ltd</t>
  </si>
  <si>
    <t>rental</t>
  </si>
  <si>
    <t>27AABCP6517B1ZQ</t>
  </si>
  <si>
    <t>Premier Seals (India) Pvt Ltd</t>
  </si>
  <si>
    <t>946/17-18</t>
  </si>
  <si>
    <t>947/17-18</t>
  </si>
  <si>
    <t>948/17-18</t>
  </si>
  <si>
    <t>949/17-18</t>
  </si>
  <si>
    <t>950/17-18</t>
  </si>
  <si>
    <t>951/17-18</t>
  </si>
  <si>
    <t>952/17-18</t>
  </si>
  <si>
    <t>953/17-18</t>
  </si>
  <si>
    <t>954/17-18</t>
  </si>
  <si>
    <t>955/17-18</t>
  </si>
  <si>
    <t>956/17-18</t>
  </si>
  <si>
    <t>Value</t>
  </si>
  <si>
    <t>PARTYWISE SALE</t>
  </si>
  <si>
    <t>MONTH</t>
  </si>
  <si>
    <t>JULY</t>
  </si>
  <si>
    <t>IGST TOTAL</t>
  </si>
  <si>
    <t>CGST TOTAL</t>
  </si>
  <si>
    <t>SGST TOTAL</t>
  </si>
  <si>
    <t>DIFF AMOUNT</t>
  </si>
  <si>
    <t>TAXABLE AMOUNT</t>
  </si>
  <si>
    <t>CESS TOTAL</t>
  </si>
  <si>
    <t>NOS</t>
  </si>
  <si>
    <t>HSN SALE SUMMERY</t>
  </si>
  <si>
    <t>SALES REGISTER MONTH OF JULY 2017</t>
  </si>
  <si>
    <t>s.no.</t>
  </si>
  <si>
    <t>Ganesh Total Gaz Distributor</t>
  </si>
  <si>
    <t>27AAMFG7702P1ZS</t>
  </si>
  <si>
    <t>Petroleum Gases &amp; Other</t>
  </si>
  <si>
    <t>TDS DIFFE-7538.48</t>
  </si>
  <si>
    <t>Yeshodeep enterpises</t>
  </si>
  <si>
    <t>27ADOPJ4418Q1ZV</t>
  </si>
  <si>
    <t>Shubham Biz Facility Management (p) Ltd,</t>
  </si>
  <si>
    <t>27AASCS9231J1ZO</t>
  </si>
  <si>
    <t>G0031</t>
  </si>
  <si>
    <t>G0030</t>
  </si>
  <si>
    <t>Vnet Corporation</t>
  </si>
  <si>
    <t>27AYCPB9228K1ZA</t>
  </si>
  <si>
    <t>Vnet/17-18/598</t>
  </si>
  <si>
    <t>United India Insurance Company Ltd,</t>
  </si>
  <si>
    <t>27AAACU5552C1ZJ</t>
  </si>
  <si>
    <t>16190011P5577181</t>
  </si>
  <si>
    <t>Cash</t>
  </si>
  <si>
    <t>Pratibha Tea House</t>
  </si>
  <si>
    <t>Yash Transport</t>
  </si>
  <si>
    <t>Name of Client:</t>
  </si>
  <si>
    <t>Period:</t>
  </si>
  <si>
    <t>GSTIN:</t>
  </si>
  <si>
    <t>Particular</t>
  </si>
  <si>
    <t xml:space="preserve">    CGST </t>
  </si>
  <si>
    <t xml:space="preserve">SGST </t>
  </si>
  <si>
    <t>Cess Amt</t>
  </si>
  <si>
    <t>Total Output Tax</t>
  </si>
  <si>
    <t>Total Amt</t>
  </si>
  <si>
    <t>Total OutPut Tax</t>
  </si>
  <si>
    <t>Tax Payable under Reverse Charge Mechanism</t>
  </si>
  <si>
    <t>Total Input Tax Credit</t>
  </si>
  <si>
    <t>Liability / (Credit)</t>
  </si>
  <si>
    <t>Note:</t>
  </si>
  <si>
    <t>At the end you can adjust the Liability or Credit in the following prefereance</t>
  </si>
  <si>
    <t>Total A</t>
  </si>
  <si>
    <t>Credit of</t>
  </si>
  <si>
    <t>Against Liability of:</t>
  </si>
  <si>
    <t>1st Preference</t>
  </si>
  <si>
    <t>2nd Preferance</t>
  </si>
  <si>
    <t>3rd Preference</t>
  </si>
  <si>
    <t>Total Input Tax</t>
  </si>
  <si>
    <t>Total B</t>
  </si>
  <si>
    <t>Total C</t>
  </si>
  <si>
    <t xml:space="preserve">Rate </t>
  </si>
  <si>
    <t>AUTOFINA</t>
  </si>
  <si>
    <t>27AASFA7303G1ZE</t>
  </si>
  <si>
    <t xml:space="preserve">GST Computation For Form 3B </t>
  </si>
  <si>
    <t>om logistics ltd.</t>
  </si>
  <si>
    <t>06AAACO4716C1ZX</t>
  </si>
  <si>
    <t>06-Hariyana</t>
  </si>
  <si>
    <t>Goods</t>
  </si>
  <si>
    <t>Service</t>
  </si>
  <si>
    <t>Maharashatra electricity Disc co.ltd</t>
  </si>
  <si>
    <t>27ABXFSO61P1Z5</t>
  </si>
  <si>
    <t>0243/gst/17-18</t>
  </si>
  <si>
    <t>S R Enterprises</t>
  </si>
  <si>
    <t>Bank Interest</t>
  </si>
  <si>
    <t>JV</t>
  </si>
  <si>
    <t>TDS</t>
  </si>
  <si>
    <t xml:space="preserve">Voucher </t>
  </si>
  <si>
    <t>Pur</t>
  </si>
  <si>
    <t>Rohit Gadsing &amp; Co.</t>
  </si>
  <si>
    <t>Transport Cash</t>
  </si>
  <si>
    <t>Karle Plumbing Works</t>
  </si>
  <si>
    <t>Golden Winding Works</t>
  </si>
  <si>
    <t>Samarth Transport</t>
  </si>
  <si>
    <t>Shree Ram Scrap Center</t>
  </si>
  <si>
    <t>14</t>
  </si>
  <si>
    <t>114</t>
  </si>
  <si>
    <t>117</t>
  </si>
  <si>
    <t>1</t>
  </si>
  <si>
    <t>2</t>
  </si>
  <si>
    <t>122</t>
  </si>
  <si>
    <t>3</t>
  </si>
  <si>
    <t>128</t>
  </si>
  <si>
    <t>129</t>
  </si>
  <si>
    <t>130</t>
  </si>
  <si>
    <t>4</t>
  </si>
  <si>
    <t>5</t>
  </si>
  <si>
    <t>6</t>
  </si>
  <si>
    <t>133</t>
  </si>
  <si>
    <t>7</t>
  </si>
  <si>
    <t>8</t>
  </si>
  <si>
    <t>9</t>
  </si>
  <si>
    <t>10</t>
  </si>
  <si>
    <t>11</t>
  </si>
  <si>
    <t>12</t>
  </si>
  <si>
    <t>140</t>
  </si>
  <si>
    <t>141</t>
  </si>
  <si>
    <t>13</t>
  </si>
  <si>
    <t>143</t>
  </si>
  <si>
    <t>15</t>
  </si>
  <si>
    <t>145</t>
  </si>
  <si>
    <t>146</t>
  </si>
  <si>
    <t>16</t>
  </si>
  <si>
    <t>18</t>
  </si>
  <si>
    <t>19</t>
  </si>
  <si>
    <t>17</t>
  </si>
  <si>
    <t>20</t>
  </si>
  <si>
    <t>21</t>
  </si>
  <si>
    <t>24</t>
  </si>
  <si>
    <t>25</t>
  </si>
  <si>
    <t>26</t>
  </si>
  <si>
    <t>27</t>
  </si>
  <si>
    <t>28</t>
  </si>
  <si>
    <t>23</t>
  </si>
  <si>
    <t>22</t>
  </si>
  <si>
    <t>Sales (Output)</t>
  </si>
  <si>
    <t xml:space="preserve"> Purchase (Input)</t>
  </si>
  <si>
    <t>Liability under Reverse Charge (Purchase Input)</t>
  </si>
  <si>
    <t>personal exe. Internert 5% reduction</t>
  </si>
  <si>
    <t>inliegable credit on constracton  gavde (office building)</t>
  </si>
  <si>
    <t>mseb</t>
  </si>
  <si>
    <t>27AAACT1848E1ZH</t>
  </si>
  <si>
    <t>`</t>
  </si>
  <si>
    <t>PARTYWISE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</si>
</sst>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;[Red]0"/>
    <numFmt numFmtId="165" formatCode="_(* #,##0.0000_);_(* \(#,##0.0000\);_(* &quot;-&quot;??_);_(@_)"/>
    <numFmt numFmtId="167" formatCode="dd/mm/yyyy;@"/>
  </numFmts>
  <fonts count="17" x14ac:knownFonts="1"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A010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31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49" fontId="1" fillId="0" borderId="2" xfId="0" applyNumberFormat="1" applyFont="1" applyBorder="1" applyAlignment="1">
      <alignment vertical="top"/>
    </xf>
    <xf numFmtId="0" fontId="0" fillId="0" borderId="4" xfId="0" applyBorder="1"/>
    <xf numFmtId="43" fontId="0" fillId="0" borderId="2" xfId="0" applyNumberFormat="1" applyBorder="1"/>
    <xf numFmtId="43" fontId="0" fillId="0" borderId="4" xfId="0" applyNumberForma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43" fontId="2" fillId="0" borderId="2" xfId="0" applyNumberFormat="1" applyFont="1" applyBorder="1"/>
    <xf numFmtId="43" fontId="2" fillId="0" borderId="4" xfId="0" applyNumberFormat="1" applyFont="1" applyBorder="1"/>
    <xf numFmtId="43" fontId="0" fillId="2" borderId="2" xfId="0" applyNumberFormat="1" applyFill="1" applyBorder="1"/>
    <xf numFmtId="43" fontId="0" fillId="2" borderId="4" xfId="0" applyNumberFormat="1" applyFill="1" applyBorder="1"/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>
      <alignment vertical="top"/>
    </xf>
    <xf numFmtId="2" fontId="0" fillId="0" borderId="1" xfId="0" applyNumberFormat="1" applyBorder="1"/>
    <xf numFmtId="0" fontId="2" fillId="0" borderId="4" xfId="0" applyFont="1" applyBorder="1"/>
    <xf numFmtId="0" fontId="0" fillId="0" borderId="6" xfId="0" applyBorder="1"/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4" fillId="3" borderId="14" xfId="0" applyFont="1" applyFill="1" applyBorder="1" applyAlignment="1" applyProtection="1">
      <alignment horizontal="center"/>
    </xf>
    <xf numFmtId="2" fontId="4" fillId="3" borderId="14" xfId="0" applyNumberFormat="1" applyFont="1" applyFill="1" applyBorder="1" applyAlignment="1" applyProtection="1">
      <alignment horizontal="right"/>
    </xf>
    <xf numFmtId="0" fontId="4" fillId="3" borderId="14" xfId="0" applyFont="1" applyFill="1" applyBorder="1" applyAlignment="1" applyProtection="1">
      <alignment horizontal="left"/>
    </xf>
    <xf numFmtId="0" fontId="5" fillId="0" borderId="14" xfId="0" applyFont="1" applyBorder="1" applyAlignment="1" applyProtection="1">
      <alignment horizontal="center"/>
    </xf>
    <xf numFmtId="2" fontId="6" fillId="0" borderId="14" xfId="0" applyNumberFormat="1" applyFont="1" applyBorder="1" applyProtection="1"/>
    <xf numFmtId="0" fontId="5" fillId="0" borderId="14" xfId="0" applyFont="1" applyBorder="1" applyAlignment="1" applyProtection="1">
      <alignment horizontal="left"/>
    </xf>
    <xf numFmtId="0" fontId="5" fillId="0" borderId="14" xfId="0" applyFont="1" applyBorder="1" applyAlignment="1" applyProtection="1">
      <alignment horizontal="right"/>
    </xf>
    <xf numFmtId="2" fontId="5" fillId="0" borderId="14" xfId="0" applyNumberFormat="1" applyFont="1" applyBorder="1" applyAlignment="1" applyProtection="1">
      <alignment horizontal="right"/>
    </xf>
    <xf numFmtId="0" fontId="7" fillId="4" borderId="0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left"/>
      <protection locked="0"/>
    </xf>
    <xf numFmtId="15" fontId="5" fillId="0" borderId="0" xfId="0" applyNumberFormat="1" applyFont="1" applyAlignment="1" applyProtection="1">
      <alignment horizontal="center"/>
      <protection locked="0"/>
    </xf>
    <xf numFmtId="2" fontId="5" fillId="0" borderId="0" xfId="0" applyNumberFormat="1" applyFont="1" applyProtection="1">
      <protection locked="0"/>
    </xf>
    <xf numFmtId="1" fontId="5" fillId="0" borderId="0" xfId="0" applyNumberFormat="1" applyFont="1" applyAlignment="1" applyProtection="1">
      <alignment horizontal="left"/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14" fontId="5" fillId="0" borderId="0" xfId="0" applyNumberFormat="1" applyFont="1" applyAlignment="1" applyProtection="1">
      <alignment horizontal="left" wrapText="1"/>
      <protection locked="0"/>
    </xf>
    <xf numFmtId="2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4" fillId="3" borderId="2" xfId="0" applyFont="1" applyFill="1" applyBorder="1" applyAlignment="1" applyProtection="1">
      <alignment horizontal="center" vertical="top"/>
    </xf>
    <xf numFmtId="0" fontId="8" fillId="5" borderId="2" xfId="1" applyFill="1" applyBorder="1" applyAlignment="1" applyProtection="1">
      <alignment horizontal="center"/>
    </xf>
    <xf numFmtId="2" fontId="5" fillId="0" borderId="0" xfId="0" applyNumberFormat="1" applyFont="1" applyProtection="1"/>
    <xf numFmtId="0" fontId="5" fillId="0" borderId="0" xfId="0" applyFont="1" applyProtection="1"/>
    <xf numFmtId="2" fontId="5" fillId="0" borderId="0" xfId="0" applyNumberFormat="1" applyFont="1" applyAlignment="1" applyProtection="1">
      <alignment horizontal="right"/>
    </xf>
    <xf numFmtId="2" fontId="5" fillId="0" borderId="0" xfId="0" applyNumberFormat="1" applyFont="1" applyAlignment="1" applyProtection="1">
      <alignment horizontal="right" wrapText="1"/>
    </xf>
    <xf numFmtId="0" fontId="9" fillId="0" borderId="2" xfId="1" applyFont="1" applyFill="1" applyBorder="1" applyAlignment="1" applyProtection="1">
      <alignment horizontal="center" vertical="top" wrapText="1"/>
    </xf>
    <xf numFmtId="2" fontId="4" fillId="3" borderId="14" xfId="0" applyNumberFormat="1" applyFont="1" applyFill="1" applyBorder="1" applyAlignment="1" applyProtection="1">
      <alignment horizontal="center"/>
    </xf>
    <xf numFmtId="2" fontId="4" fillId="3" borderId="14" xfId="0" applyNumberFormat="1" applyFont="1" applyFill="1" applyBorder="1" applyAlignment="1" applyProtection="1">
      <alignment horizontal="right" wrapText="1"/>
    </xf>
    <xf numFmtId="0" fontId="5" fillId="0" borderId="14" xfId="0" applyFont="1" applyBorder="1" applyProtection="1"/>
    <xf numFmtId="2" fontId="5" fillId="0" borderId="14" xfId="0" applyNumberFormat="1" applyFont="1" applyBorder="1" applyAlignment="1" applyProtection="1">
      <alignment horizontal="right" wrapText="1"/>
    </xf>
    <xf numFmtId="2" fontId="5" fillId="0" borderId="0" xfId="0" applyNumberFormat="1" applyFont="1" applyAlignment="1" applyProtection="1">
      <alignment horizontal="right" wrapText="1"/>
      <protection locked="0"/>
    </xf>
    <xf numFmtId="0" fontId="10" fillId="0" borderId="0" xfId="0" applyNumberFormat="1" applyFont="1" applyAlignment="1" applyProtection="1">
      <alignment horizontal="center"/>
    </xf>
    <xf numFmtId="2" fontId="10" fillId="0" borderId="0" xfId="0" applyNumberFormat="1" applyFont="1" applyAlignment="1" applyProtection="1">
      <alignment horizontal="right"/>
    </xf>
    <xf numFmtId="0" fontId="10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4" fillId="3" borderId="7" xfId="0" applyFont="1" applyFill="1" applyBorder="1" applyAlignment="1" applyProtection="1">
      <alignment horizontal="center" vertical="top"/>
    </xf>
    <xf numFmtId="0" fontId="8" fillId="5" borderId="14" xfId="1" applyFill="1" applyBorder="1" applyAlignment="1" applyProtection="1">
      <alignment horizontal="center"/>
    </xf>
    <xf numFmtId="2" fontId="5" fillId="0" borderId="14" xfId="0" applyNumberFormat="1" applyFont="1" applyBorder="1" applyAlignment="1" applyProtection="1">
      <alignment horizontal="right" vertical="top"/>
    </xf>
    <xf numFmtId="0" fontId="11" fillId="0" borderId="2" xfId="1" applyFont="1" applyFill="1" applyBorder="1" applyAlignment="1" applyProtection="1">
      <alignment horizontal="center" vertical="top" wrapText="1"/>
    </xf>
    <xf numFmtId="0" fontId="4" fillId="3" borderId="14" xfId="0" applyFont="1" applyFill="1" applyBorder="1" applyAlignment="1" applyProtection="1">
      <alignment horizontal="right"/>
    </xf>
    <xf numFmtId="14" fontId="5" fillId="0" borderId="0" xfId="0" applyNumberFormat="1" applyFont="1" applyAlignment="1" applyProtection="1">
      <alignment horizontal="left"/>
      <protection locked="0"/>
    </xf>
    <xf numFmtId="14" fontId="5" fillId="0" borderId="0" xfId="0" applyNumberFormat="1" applyFont="1" applyFill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/>
    </xf>
    <xf numFmtId="0" fontId="4" fillId="3" borderId="14" xfId="0" applyFont="1" applyFill="1" applyBorder="1" applyAlignment="1" applyProtection="1">
      <alignment horizontal="center" wrapText="1"/>
    </xf>
    <xf numFmtId="0" fontId="5" fillId="0" borderId="14" xfId="0" applyFont="1" applyBorder="1" applyAlignment="1" applyProtection="1">
      <alignment horizontal="center" wrapText="1"/>
    </xf>
    <xf numFmtId="2" fontId="6" fillId="0" borderId="14" xfId="0" applyNumberFormat="1" applyFont="1" applyBorder="1" applyAlignment="1" applyProtection="1">
      <alignment horizontal="right"/>
    </xf>
    <xf numFmtId="0" fontId="5" fillId="6" borderId="0" xfId="0" applyFont="1" applyFill="1" applyProtection="1"/>
    <xf numFmtId="0" fontId="5" fillId="6" borderId="0" xfId="0" applyFont="1" applyFill="1" applyAlignment="1" applyProtection="1">
      <alignment horizontal="left"/>
    </xf>
    <xf numFmtId="0" fontId="5" fillId="6" borderId="0" xfId="0" applyFont="1" applyFill="1" applyAlignment="1" applyProtection="1">
      <alignment horizontal="center"/>
    </xf>
    <xf numFmtId="2" fontId="5" fillId="6" borderId="0" xfId="0" applyNumberFormat="1" applyFont="1" applyFill="1" applyAlignment="1" applyProtection="1">
      <alignment horizontal="right"/>
    </xf>
    <xf numFmtId="14" fontId="5" fillId="0" borderId="0" xfId="0" applyNumberFormat="1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horizontal="left" vertical="center"/>
      <protection locked="0"/>
    </xf>
    <xf numFmtId="15" fontId="5" fillId="0" borderId="0" xfId="0" applyNumberFormat="1" applyFont="1" applyAlignment="1" applyProtection="1">
      <alignment horizontal="center" wrapText="1"/>
      <protection locked="0"/>
    </xf>
    <xf numFmtId="0" fontId="5" fillId="0" borderId="0" xfId="0" applyNumberFormat="1" applyFont="1" applyAlignment="1" applyProtection="1">
      <alignment horizontal="left"/>
      <protection locked="0"/>
    </xf>
    <xf numFmtId="2" fontId="5" fillId="0" borderId="14" xfId="0" applyNumberFormat="1" applyFont="1" applyBorder="1" applyProtection="1"/>
    <xf numFmtId="0" fontId="7" fillId="4" borderId="0" xfId="0" applyFont="1" applyFill="1" applyBorder="1" applyAlignment="1" applyProtection="1">
      <alignment horizontal="center" vertical="center"/>
    </xf>
    <xf numFmtId="15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left"/>
    </xf>
    <xf numFmtId="2" fontId="7" fillId="6" borderId="0" xfId="0" applyNumberFormat="1" applyFont="1" applyFill="1" applyBorder="1" applyAlignment="1" applyProtection="1">
      <alignment horizontal="right"/>
    </xf>
    <xf numFmtId="0" fontId="4" fillId="3" borderId="2" xfId="0" applyFont="1" applyFill="1" applyBorder="1" applyAlignment="1" applyProtection="1">
      <alignment horizontal="center" vertical="top" wrapText="1"/>
    </xf>
    <xf numFmtId="2" fontId="5" fillId="0" borderId="0" xfId="0" applyNumberFormat="1" applyFont="1" applyAlignment="1" applyProtection="1"/>
    <xf numFmtId="0" fontId="7" fillId="4" borderId="0" xfId="0" applyFont="1" applyFill="1" applyAlignment="1" applyProtection="1">
      <alignment horizontal="center"/>
    </xf>
    <xf numFmtId="2" fontId="7" fillId="4" borderId="0" xfId="0" applyNumberFormat="1" applyFont="1" applyFill="1" applyAlignment="1" applyProtection="1">
      <alignment horizontal="right"/>
    </xf>
    <xf numFmtId="2" fontId="7" fillId="4" borderId="0" xfId="0" applyNumberFormat="1" applyFont="1" applyFill="1" applyBorder="1" applyAlignment="1" applyProtection="1">
      <alignment horizontal="right"/>
    </xf>
    <xf numFmtId="2" fontId="5" fillId="0" borderId="0" xfId="0" applyNumberFormat="1" applyFont="1" applyAlignment="1" applyProtection="1">
      <protection locked="0"/>
    </xf>
    <xf numFmtId="0" fontId="7" fillId="4" borderId="0" xfId="0" applyFont="1" applyFill="1" applyAlignment="1" applyProtection="1">
      <alignment horizontal="center" vertical="top"/>
    </xf>
    <xf numFmtId="2" fontId="7" fillId="4" borderId="0" xfId="0" applyNumberFormat="1" applyFont="1" applyFill="1" applyAlignment="1" applyProtection="1">
      <alignment horizontal="right" vertical="top"/>
    </xf>
    <xf numFmtId="2" fontId="7" fillId="4" borderId="0" xfId="0" applyNumberFormat="1" applyFont="1" applyFill="1" applyAlignment="1" applyProtection="1">
      <alignment horizontal="right" wrapText="1"/>
    </xf>
    <xf numFmtId="2" fontId="7" fillId="4" borderId="0" xfId="0" applyNumberFormat="1" applyFont="1" applyFill="1" applyBorder="1" applyAlignment="1" applyProtection="1">
      <alignment horizontal="right" vertical="top" wrapText="1"/>
    </xf>
    <xf numFmtId="0" fontId="4" fillId="3" borderId="15" xfId="0" applyFont="1" applyFill="1" applyBorder="1" applyAlignment="1" applyProtection="1">
      <alignment horizontal="center"/>
    </xf>
    <xf numFmtId="0" fontId="4" fillId="3" borderId="16" xfId="0" applyFont="1" applyFill="1" applyBorder="1" applyAlignment="1" applyProtection="1">
      <alignment horizontal="left"/>
    </xf>
    <xf numFmtId="0" fontId="4" fillId="3" borderId="16" xfId="0" applyFont="1" applyFill="1" applyBorder="1" applyAlignment="1" applyProtection="1">
      <alignment horizontal="center"/>
    </xf>
    <xf numFmtId="2" fontId="4" fillId="3" borderId="16" xfId="0" applyNumberFormat="1" applyFont="1" applyFill="1" applyBorder="1" applyAlignment="1" applyProtection="1">
      <alignment horizontal="center"/>
    </xf>
    <xf numFmtId="2" fontId="4" fillId="3" borderId="16" xfId="0" applyNumberFormat="1" applyFont="1" applyFill="1" applyBorder="1" applyAlignment="1" applyProtection="1">
      <alignment horizontal="right"/>
    </xf>
    <xf numFmtId="2" fontId="4" fillId="3" borderId="17" xfId="0" applyNumberFormat="1" applyFont="1" applyFill="1" applyBorder="1" applyAlignment="1" applyProtection="1">
      <alignment horizontal="right"/>
    </xf>
    <xf numFmtId="0" fontId="5" fillId="0" borderId="18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left"/>
    </xf>
    <xf numFmtId="0" fontId="5" fillId="0" borderId="19" xfId="0" applyFont="1" applyBorder="1" applyProtection="1"/>
    <xf numFmtId="0" fontId="5" fillId="0" borderId="19" xfId="0" applyFont="1" applyBorder="1" applyAlignment="1" applyProtection="1">
      <alignment horizontal="right"/>
    </xf>
    <xf numFmtId="2" fontId="5" fillId="0" borderId="19" xfId="0" applyNumberFormat="1" applyFont="1" applyBorder="1" applyAlignment="1" applyProtection="1">
      <alignment horizontal="right"/>
    </xf>
    <xf numFmtId="2" fontId="5" fillId="0" borderId="20" xfId="0" applyNumberFormat="1" applyFont="1" applyBorder="1" applyAlignment="1" applyProtection="1">
      <alignment horizontal="right"/>
    </xf>
    <xf numFmtId="0" fontId="4" fillId="3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/>
    <xf numFmtId="0" fontId="4" fillId="3" borderId="14" xfId="0" applyFont="1" applyFill="1" applyBorder="1" applyAlignment="1" applyProtection="1"/>
    <xf numFmtId="0" fontId="5" fillId="0" borderId="14" xfId="0" applyFont="1" applyBorder="1" applyAlignment="1" applyProtection="1"/>
    <xf numFmtId="164" fontId="5" fillId="0" borderId="14" xfId="0" applyNumberFormat="1" applyFont="1" applyBorder="1" applyAlignment="1" applyProtection="1">
      <alignment horizontal="right"/>
    </xf>
    <xf numFmtId="0" fontId="7" fillId="4" borderId="0" xfId="0" applyFont="1" applyFill="1" applyBorder="1" applyAlignment="1" applyProtection="1">
      <alignment horizontal="left" vertical="top"/>
    </xf>
    <xf numFmtId="0" fontId="7" fillId="4" borderId="0" xfId="0" applyFont="1" applyFill="1" applyBorder="1" applyAlignment="1" applyProtection="1">
      <alignment vertical="top"/>
    </xf>
    <xf numFmtId="2" fontId="5" fillId="6" borderId="0" xfId="0" applyNumberFormat="1" applyFont="1" applyFill="1" applyBorder="1" applyAlignment="1" applyProtection="1">
      <alignment horizontal="right" vertical="top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>
      <alignment vertical="top"/>
    </xf>
    <xf numFmtId="49" fontId="1" fillId="0" borderId="10" xfId="0" applyNumberFormat="1" applyFont="1" applyBorder="1" applyAlignment="1">
      <alignment vertical="top"/>
    </xf>
    <xf numFmtId="0" fontId="0" fillId="2" borderId="4" xfId="0" applyFill="1" applyBorder="1"/>
    <xf numFmtId="2" fontId="3" fillId="0" borderId="3" xfId="0" applyNumberFormat="1" applyFont="1" applyBorder="1"/>
    <xf numFmtId="2" fontId="12" fillId="0" borderId="2" xfId="0" applyNumberFormat="1" applyFont="1" applyFill="1" applyBorder="1"/>
    <xf numFmtId="2" fontId="12" fillId="0" borderId="4" xfId="0" applyNumberFormat="1" applyFont="1" applyFill="1" applyBorder="1"/>
    <xf numFmtId="2" fontId="12" fillId="0" borderId="2" xfId="0" applyNumberFormat="1" applyFont="1" applyBorder="1"/>
    <xf numFmtId="2" fontId="12" fillId="0" borderId="4" xfId="0" applyNumberFormat="1" applyFont="1" applyBorder="1"/>
    <xf numFmtId="2" fontId="0" fillId="0" borderId="3" xfId="0" applyNumberFormat="1" applyBorder="1"/>
    <xf numFmtId="43" fontId="0" fillId="0" borderId="1" xfId="0" applyNumberFormat="1" applyBorder="1"/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/>
    <xf numFmtId="2" fontId="0" fillId="0" borderId="2" xfId="0" applyNumberFormat="1" applyBorder="1"/>
    <xf numFmtId="2" fontId="2" fillId="0" borderId="3" xfId="0" applyNumberFormat="1" applyFont="1" applyBorder="1"/>
    <xf numFmtId="2" fontId="0" fillId="2" borderId="3" xfId="0" applyNumberFormat="1" applyFill="1" applyBorder="1"/>
    <xf numFmtId="2" fontId="0" fillId="0" borderId="4" xfId="0" applyNumberFormat="1" applyBorder="1"/>
    <xf numFmtId="2" fontId="1" fillId="0" borderId="4" xfId="0" applyNumberFormat="1" applyFont="1" applyBorder="1" applyAlignment="1">
      <alignment vertical="top"/>
    </xf>
    <xf numFmtId="2" fontId="2" fillId="0" borderId="4" xfId="0" applyNumberFormat="1" applyFont="1" applyBorder="1"/>
    <xf numFmtId="2" fontId="0" fillId="2" borderId="4" xfId="0" applyNumberFormat="1" applyFill="1" applyBorder="1"/>
    <xf numFmtId="2" fontId="0" fillId="0" borderId="8" xfId="0" applyNumberFormat="1" applyBorder="1"/>
    <xf numFmtId="2" fontId="0" fillId="0" borderId="0" xfId="0" applyNumberFormat="1" applyBorder="1"/>
    <xf numFmtId="2" fontId="0" fillId="0" borderId="5" xfId="0" applyNumberFormat="1" applyBorder="1"/>
    <xf numFmtId="14" fontId="0" fillId="0" borderId="4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2" fontId="12" fillId="0" borderId="35" xfId="0" applyNumberFormat="1" applyFont="1" applyFill="1" applyBorder="1"/>
    <xf numFmtId="0" fontId="0" fillId="0" borderId="36" xfId="0" applyBorder="1"/>
    <xf numFmtId="2" fontId="12" fillId="0" borderId="37" xfId="0" applyNumberFormat="1" applyFont="1" applyFill="1" applyBorder="1"/>
    <xf numFmtId="0" fontId="0" fillId="0" borderId="38" xfId="0" applyBorder="1"/>
    <xf numFmtId="2" fontId="0" fillId="0" borderId="39" xfId="0" applyNumberFormat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26" xfId="0" applyBorder="1"/>
    <xf numFmtId="2" fontId="0" fillId="0" borderId="25" xfId="0" applyNumberFormat="1" applyBorder="1"/>
    <xf numFmtId="1" fontId="0" fillId="0" borderId="0" xfId="0" applyNumberFormat="1"/>
    <xf numFmtId="1" fontId="0" fillId="0" borderId="3" xfId="0" applyNumberFormat="1" applyBorder="1"/>
    <xf numFmtId="1" fontId="0" fillId="0" borderId="4" xfId="0" applyNumberFormat="1" applyBorder="1"/>
    <xf numFmtId="1" fontId="0" fillId="0" borderId="1" xfId="0" applyNumberFormat="1" applyBorder="1"/>
    <xf numFmtId="2" fontId="12" fillId="0" borderId="3" xfId="0" applyNumberFormat="1" applyFont="1" applyFill="1" applyBorder="1"/>
    <xf numFmtId="0" fontId="2" fillId="0" borderId="23" xfId="0" applyFont="1" applyBorder="1"/>
    <xf numFmtId="1" fontId="0" fillId="0" borderId="23" xfId="0" applyNumberFormat="1" applyBorder="1"/>
    <xf numFmtId="0" fontId="0" fillId="0" borderId="48" xfId="0" applyBorder="1"/>
    <xf numFmtId="0" fontId="2" fillId="0" borderId="0" xfId="0" applyFont="1" applyBorder="1"/>
    <xf numFmtId="1" fontId="0" fillId="0" borderId="0" xfId="0" applyNumberFormat="1" applyBorder="1"/>
    <xf numFmtId="0" fontId="0" fillId="0" borderId="49" xfId="0" applyBorder="1"/>
    <xf numFmtId="0" fontId="0" fillId="0" borderId="50" xfId="0" applyBorder="1"/>
    <xf numFmtId="0" fontId="2" fillId="0" borderId="50" xfId="0" applyFont="1" applyBorder="1"/>
    <xf numFmtId="1" fontId="0" fillId="0" borderId="50" xfId="0" applyNumberFormat="1" applyBorder="1"/>
    <xf numFmtId="0" fontId="0" fillId="0" borderId="5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2" fontId="12" fillId="0" borderId="37" xfId="0" applyNumberFormat="1" applyFont="1" applyBorder="1"/>
    <xf numFmtId="2" fontId="12" fillId="0" borderId="25" xfId="0" applyNumberFormat="1" applyFont="1" applyBorder="1"/>
    <xf numFmtId="2" fontId="12" fillId="0" borderId="27" xfId="0" applyNumberFormat="1" applyFont="1" applyBorder="1"/>
    <xf numFmtId="2" fontId="0" fillId="0" borderId="52" xfId="0" applyNumberFormat="1" applyBorder="1"/>
    <xf numFmtId="0" fontId="7" fillId="4" borderId="23" xfId="0" applyFont="1" applyFill="1" applyBorder="1" applyAlignment="1" applyProtection="1">
      <alignment horizontal="center"/>
    </xf>
    <xf numFmtId="2" fontId="0" fillId="2" borderId="53" xfId="0" applyNumberFormat="1" applyFill="1" applyBorder="1" applyAlignment="1">
      <alignment horizontal="left"/>
    </xf>
    <xf numFmtId="2" fontId="2" fillId="0" borderId="52" xfId="0" applyNumberFormat="1" applyFont="1" applyBorder="1"/>
    <xf numFmtId="2" fontId="0" fillId="0" borderId="54" xfId="0" applyNumberFormat="1" applyBorder="1" applyAlignment="1"/>
    <xf numFmtId="2" fontId="0" fillId="0" borderId="54" xfId="0" applyNumberFormat="1" applyBorder="1" applyAlignment="1">
      <alignment horizontal="center"/>
    </xf>
    <xf numFmtId="1" fontId="0" fillId="0" borderId="52" xfId="0" applyNumberFormat="1" applyBorder="1"/>
    <xf numFmtId="0" fontId="0" fillId="0" borderId="1" xfId="0" applyFill="1" applyBorder="1"/>
    <xf numFmtId="0" fontId="0" fillId="2" borderId="1" xfId="0" applyFill="1" applyBorder="1"/>
    <xf numFmtId="43" fontId="0" fillId="0" borderId="0" xfId="0" applyNumberFormat="1"/>
    <xf numFmtId="0" fontId="3" fillId="0" borderId="4" xfId="0" applyFont="1" applyBorder="1"/>
    <xf numFmtId="0" fontId="0" fillId="5" borderId="0" xfId="0" applyFill="1" applyBorder="1"/>
    <xf numFmtId="0" fontId="0" fillId="5" borderId="31" xfId="0" applyFill="1" applyBorder="1"/>
    <xf numFmtId="0" fontId="14" fillId="5" borderId="8" xfId="0" applyFont="1" applyFill="1" applyBorder="1"/>
    <xf numFmtId="0" fontId="14" fillId="5" borderId="1" xfId="0" applyFont="1" applyFill="1" applyBorder="1"/>
    <xf numFmtId="43" fontId="0" fillId="8" borderId="14" xfId="2" applyFont="1" applyFill="1" applyBorder="1"/>
    <xf numFmtId="43" fontId="0" fillId="8" borderId="61" xfId="2" applyFont="1" applyFill="1" applyBorder="1"/>
    <xf numFmtId="43" fontId="0" fillId="0" borderId="14" xfId="2" applyFont="1" applyBorder="1"/>
    <xf numFmtId="43" fontId="14" fillId="8" borderId="14" xfId="2" applyFont="1" applyFill="1" applyBorder="1" applyAlignment="1">
      <alignment vertical="center"/>
    </xf>
    <xf numFmtId="43" fontId="14" fillId="8" borderId="61" xfId="2" applyFont="1" applyFill="1" applyBorder="1" applyAlignment="1">
      <alignment vertical="center"/>
    </xf>
    <xf numFmtId="43" fontId="14" fillId="8" borderId="16" xfId="2" applyFont="1" applyFill="1" applyBorder="1"/>
    <xf numFmtId="0" fontId="14" fillId="9" borderId="14" xfId="0" applyFont="1" applyFill="1" applyBorder="1"/>
    <xf numFmtId="0" fontId="14" fillId="9" borderId="61" xfId="0" applyFont="1" applyFill="1" applyBorder="1"/>
    <xf numFmtId="0" fontId="0" fillId="0" borderId="66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61" xfId="0" applyFont="1" applyFill="1" applyBorder="1" applyAlignment="1">
      <alignment vertical="center"/>
    </xf>
    <xf numFmtId="0" fontId="0" fillId="0" borderId="66" xfId="0" applyFont="1" applyBorder="1"/>
    <xf numFmtId="0" fontId="0" fillId="0" borderId="14" xfId="0" applyFont="1" applyBorder="1"/>
    <xf numFmtId="0" fontId="0" fillId="10" borderId="61" xfId="0" applyFont="1" applyFill="1" applyBorder="1"/>
    <xf numFmtId="0" fontId="0" fillId="0" borderId="67" xfId="0" applyFont="1" applyBorder="1"/>
    <xf numFmtId="0" fontId="0" fillId="0" borderId="62" xfId="0" applyFont="1" applyBorder="1"/>
    <xf numFmtId="0" fontId="0" fillId="10" borderId="63" xfId="0" applyFont="1" applyFill="1" applyBorder="1"/>
    <xf numFmtId="39" fontId="0" fillId="8" borderId="60" xfId="0" applyNumberFormat="1" applyFill="1" applyBorder="1"/>
    <xf numFmtId="43" fontId="0" fillId="0" borderId="69" xfId="2" applyFont="1" applyBorder="1"/>
    <xf numFmtId="43" fontId="0" fillId="0" borderId="58" xfId="2" applyFont="1" applyBorder="1"/>
    <xf numFmtId="43" fontId="14" fillId="8" borderId="58" xfId="2" applyFont="1" applyFill="1" applyBorder="1" applyAlignment="1">
      <alignment vertical="center"/>
    </xf>
    <xf numFmtId="43" fontId="14" fillId="8" borderId="68" xfId="2" applyFont="1" applyFill="1" applyBorder="1" applyAlignment="1">
      <alignment vertical="center"/>
    </xf>
    <xf numFmtId="43" fontId="14" fillId="8" borderId="69" xfId="2" applyFont="1" applyFill="1" applyBorder="1" applyAlignment="1">
      <alignment vertical="center"/>
    </xf>
    <xf numFmtId="39" fontId="0" fillId="8" borderId="57" xfId="0" applyNumberFormat="1" applyFill="1" applyBorder="1"/>
    <xf numFmtId="43" fontId="14" fillId="8" borderId="59" xfId="2" applyFont="1" applyFill="1" applyBorder="1" applyAlignment="1">
      <alignment vertical="center"/>
    </xf>
    <xf numFmtId="0" fontId="14" fillId="7" borderId="5" xfId="0" applyFont="1" applyFill="1" applyBorder="1"/>
    <xf numFmtId="43" fontId="14" fillId="8" borderId="17" xfId="2" applyFont="1" applyFill="1" applyBorder="1"/>
    <xf numFmtId="0" fontId="0" fillId="7" borderId="15" xfId="0" applyFill="1" applyBorder="1"/>
    <xf numFmtId="43" fontId="0" fillId="8" borderId="16" xfId="2" applyFont="1" applyFill="1" applyBorder="1"/>
    <xf numFmtId="43" fontId="0" fillId="8" borderId="17" xfId="2" applyFont="1" applyFill="1" applyBorder="1"/>
    <xf numFmtId="43" fontId="0" fillId="8" borderId="59" xfId="2" applyFont="1" applyFill="1" applyBorder="1"/>
    <xf numFmtId="43" fontId="0" fillId="8" borderId="70" xfId="2" applyFont="1" applyFill="1" applyBorder="1"/>
    <xf numFmtId="0" fontId="14" fillId="7" borderId="16" xfId="0" applyFont="1" applyFill="1" applyBorder="1"/>
    <xf numFmtId="0" fontId="14" fillId="7" borderId="17" xfId="0" applyFont="1" applyFill="1" applyBorder="1"/>
    <xf numFmtId="43" fontId="0" fillId="8" borderId="68" xfId="2" applyFont="1" applyFill="1" applyBorder="1"/>
    <xf numFmtId="0" fontId="15" fillId="5" borderId="3" xfId="0" applyFont="1" applyFill="1" applyBorder="1"/>
    <xf numFmtId="0" fontId="0" fillId="0" borderId="73" xfId="0" applyBorder="1"/>
    <xf numFmtId="0" fontId="15" fillId="7" borderId="74" xfId="0" applyFont="1" applyFill="1" applyBorder="1" applyAlignment="1"/>
    <xf numFmtId="0" fontId="15" fillId="7" borderId="75" xfId="0" applyFont="1" applyFill="1" applyBorder="1" applyAlignment="1"/>
    <xf numFmtId="39" fontId="0" fillId="8" borderId="65" xfId="0" applyNumberFormat="1" applyFill="1" applyBorder="1"/>
    <xf numFmtId="43" fontId="14" fillId="8" borderId="70" xfId="2" applyFont="1" applyFill="1" applyBorder="1" applyAlignment="1">
      <alignment vertical="center"/>
    </xf>
    <xf numFmtId="0" fontId="14" fillId="7" borderId="15" xfId="0" applyFont="1" applyFill="1" applyBorder="1" applyAlignment="1">
      <alignment wrapText="1"/>
    </xf>
    <xf numFmtId="0" fontId="14" fillId="7" borderId="21" xfId="0" applyFont="1" applyFill="1" applyBorder="1" applyAlignment="1">
      <alignment vertical="center"/>
    </xf>
    <xf numFmtId="0" fontId="14" fillId="7" borderId="16" xfId="0" applyFont="1" applyFill="1" applyBorder="1" applyAlignment="1">
      <alignment vertical="center"/>
    </xf>
    <xf numFmtId="0" fontId="14" fillId="7" borderId="17" xfId="0" applyFont="1" applyFill="1" applyBorder="1" applyAlignment="1">
      <alignment vertical="center"/>
    </xf>
    <xf numFmtId="2" fontId="0" fillId="0" borderId="53" xfId="0" applyNumberFormat="1" applyBorder="1" applyAlignment="1">
      <alignment horizontal="center"/>
    </xf>
    <xf numFmtId="43" fontId="0" fillId="0" borderId="4" xfId="0" applyNumberFormat="1" applyFill="1" applyBorder="1"/>
    <xf numFmtId="2" fontId="12" fillId="2" borderId="4" xfId="0" applyNumberFormat="1" applyFont="1" applyFill="1" applyBorder="1"/>
    <xf numFmtId="2" fontId="3" fillId="0" borderId="4" xfId="0" applyNumberFormat="1" applyFont="1" applyBorder="1"/>
    <xf numFmtId="43" fontId="0" fillId="2" borderId="1" xfId="0" applyNumberFormat="1" applyFill="1" applyBorder="1"/>
    <xf numFmtId="43" fontId="2" fillId="0" borderId="1" xfId="0" applyNumberFormat="1" applyFont="1" applyBorder="1"/>
    <xf numFmtId="0" fontId="0" fillId="11" borderId="4" xfId="0" applyFill="1" applyBorder="1"/>
    <xf numFmtId="0" fontId="3" fillId="11" borderId="4" xfId="0" applyFont="1" applyFill="1" applyBorder="1"/>
    <xf numFmtId="165" fontId="0" fillId="0" borderId="0" xfId="0" applyNumberFormat="1"/>
    <xf numFmtId="0" fontId="0" fillId="2" borderId="2" xfId="0" applyFill="1" applyBorder="1"/>
    <xf numFmtId="2" fontId="3" fillId="2" borderId="4" xfId="0" applyNumberFormat="1" applyFont="1" applyFill="1" applyBorder="1"/>
    <xf numFmtId="0" fontId="12" fillId="11" borderId="4" xfId="0" applyFont="1" applyFill="1" applyBorder="1"/>
    <xf numFmtId="0" fontId="0" fillId="0" borderId="76" xfId="0" applyBorder="1"/>
    <xf numFmtId="2" fontId="0" fillId="0" borderId="76" xfId="0" applyNumberFormat="1" applyBorder="1"/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7" fontId="15" fillId="5" borderId="5" xfId="0" applyNumberFormat="1" applyFont="1" applyFill="1" applyBorder="1" applyAlignment="1">
      <alignment horizontal="center"/>
    </xf>
    <xf numFmtId="17" fontId="15" fillId="5" borderId="21" xfId="0" applyNumberFormat="1" applyFont="1" applyFill="1" applyBorder="1" applyAlignment="1">
      <alignment horizontal="center"/>
    </xf>
    <xf numFmtId="0" fontId="15" fillId="5" borderId="21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6" fillId="7" borderId="5" xfId="0" applyFont="1" applyFill="1" applyBorder="1" applyAlignment="1">
      <alignment horizontal="center"/>
    </xf>
    <xf numFmtId="0" fontId="16" fillId="7" borderId="21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top" wrapText="1"/>
    </xf>
    <xf numFmtId="0" fontId="14" fillId="9" borderId="65" xfId="0" applyFont="1" applyFill="1" applyBorder="1" applyAlignment="1">
      <alignment horizontal="center" vertical="top" wrapText="1"/>
    </xf>
    <xf numFmtId="0" fontId="14" fillId="9" borderId="64" xfId="0" applyFont="1" applyFill="1" applyBorder="1" applyAlignment="1">
      <alignment horizontal="center" vertical="top" wrapText="1"/>
    </xf>
    <xf numFmtId="0" fontId="14" fillId="9" borderId="55" xfId="0" applyFont="1" applyFill="1" applyBorder="1" applyAlignment="1">
      <alignment horizontal="center" vertical="top" wrapText="1"/>
    </xf>
    <xf numFmtId="0" fontId="14" fillId="9" borderId="56" xfId="0" applyFont="1" applyFill="1" applyBorder="1" applyAlignment="1">
      <alignment horizontal="center" vertical="top" wrapText="1"/>
    </xf>
    <xf numFmtId="0" fontId="0" fillId="7" borderId="8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71" xfId="0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4" fillId="7" borderId="21" xfId="0" applyFont="1" applyFill="1" applyBorder="1" applyAlignment="1">
      <alignment horizontal="center"/>
    </xf>
    <xf numFmtId="0" fontId="14" fillId="7" borderId="72" xfId="0" applyFont="1" applyFill="1" applyBorder="1" applyAlignment="1">
      <alignment horizontal="center"/>
    </xf>
    <xf numFmtId="0" fontId="0" fillId="7" borderId="60" xfId="0" applyFill="1" applyBorder="1" applyAlignment="1">
      <alignment horizontal="center" wrapText="1"/>
    </xf>
    <xf numFmtId="0" fontId="0" fillId="7" borderId="14" xfId="0" applyFill="1" applyBorder="1" applyAlignment="1">
      <alignment horizontal="center" wrapText="1"/>
    </xf>
    <xf numFmtId="167" fontId="0" fillId="0" borderId="2" xfId="0" applyNumberFormat="1" applyBorder="1"/>
    <xf numFmtId="167" fontId="0" fillId="0" borderId="4" xfId="0" applyNumberFormat="1" applyBorder="1"/>
    <xf numFmtId="167" fontId="0" fillId="0" borderId="23" xfId="0" applyNumberFormat="1" applyBorder="1"/>
    <xf numFmtId="167" fontId="0" fillId="0" borderId="0" xfId="0" applyNumberFormat="1" applyBorder="1"/>
    <xf numFmtId="167" fontId="0" fillId="0" borderId="50" xfId="0" applyNumberFormat="1" applyBorder="1"/>
    <xf numFmtId="167" fontId="0" fillId="0" borderId="52" xfId="0" applyNumberFormat="1" applyBorder="1"/>
    <xf numFmtId="167" fontId="0" fillId="0" borderId="3" xfId="0" applyNumberFormat="1" applyBorder="1"/>
    <xf numFmtId="167" fontId="0" fillId="0" borderId="1" xfId="0" applyNumberFormat="1" applyBorder="1"/>
    <xf numFmtId="167" fontId="0" fillId="0" borderId="0" xfId="0" applyNumberFormat="1"/>
  </cellXfs>
  <cellStyles count="3">
    <cellStyle name="Comma" xfId="2" builtinId="3"/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4"/>
  <sheetViews>
    <sheetView topLeftCell="A199" workbookViewId="0">
      <selection activeCell="A207" sqref="A207"/>
    </sheetView>
  </sheetViews>
  <sheetFormatPr defaultRowHeight="14.4" x14ac:dyDescent="0.3"/>
  <cols>
    <col min="1" max="1" width="26.6640625" customWidth="1"/>
    <col min="2" max="2" width="17.109375" customWidth="1"/>
    <col min="3" max="3" width="11.33203125"/>
    <col min="4" max="4" width="11.44140625" bestFit="1" customWidth="1"/>
    <col min="5" max="5" width="11.6640625" bestFit="1" customWidth="1"/>
    <col min="6" max="6" width="11.33203125"/>
    <col min="7" max="7" width="7.44140625" bestFit="1" customWidth="1"/>
    <col min="10" max="10" width="6.77734375" bestFit="1" customWidth="1"/>
    <col min="11" max="11" width="12.21875" style="8" bestFit="1" customWidth="1"/>
    <col min="12" max="12" width="9.5546875" customWidth="1"/>
    <col min="13" max="13" width="11.44140625" bestFit="1" customWidth="1"/>
    <col min="14" max="14" width="10.5546875" customWidth="1"/>
    <col min="15" max="15" width="9.109375" customWidth="1"/>
    <col min="16" max="16" width="11.5546875" style="173" bestFit="1" customWidth="1"/>
    <col min="17" max="17" width="11.33203125"/>
    <col min="18" max="18" width="4.44140625" bestFit="1" customWidth="1"/>
    <col min="19" max="20" width="9.5546875" bestFit="1" customWidth="1"/>
    <col min="21" max="21" width="4.5546875" bestFit="1" customWidth="1"/>
    <col min="22" max="22" width="9.5546875" bestFit="1" customWidth="1"/>
  </cols>
  <sheetData>
    <row r="1" spans="1:22" ht="15" thickTop="1" x14ac:dyDescent="0.3">
      <c r="A1" s="144"/>
      <c r="B1" s="145"/>
      <c r="C1" s="145"/>
      <c r="D1" s="145"/>
      <c r="E1" s="145"/>
      <c r="F1" s="145"/>
      <c r="G1" s="145"/>
      <c r="H1" s="145"/>
      <c r="I1" s="145"/>
      <c r="J1" s="145"/>
      <c r="K1" s="178"/>
      <c r="L1" s="145"/>
      <c r="M1" s="145"/>
      <c r="N1" s="145"/>
      <c r="O1" s="145"/>
      <c r="P1" s="179"/>
      <c r="Q1" s="145"/>
      <c r="R1" s="145"/>
      <c r="S1" s="145"/>
      <c r="T1" s="145"/>
      <c r="U1" s="145"/>
      <c r="V1" s="180"/>
    </row>
    <row r="2" spans="1:22" x14ac:dyDescent="0.3">
      <c r="A2" s="165"/>
      <c r="B2" s="118"/>
      <c r="C2" s="118"/>
      <c r="D2" s="118"/>
      <c r="E2" s="118"/>
      <c r="F2" s="118"/>
      <c r="G2" s="118"/>
      <c r="H2" s="118"/>
      <c r="I2" s="118"/>
      <c r="J2" s="118"/>
      <c r="K2" s="181"/>
      <c r="L2" s="118"/>
      <c r="M2" s="118"/>
      <c r="N2" s="118"/>
      <c r="O2" s="118"/>
      <c r="P2" s="182"/>
      <c r="Q2" s="118"/>
      <c r="R2" s="118"/>
      <c r="S2" s="118"/>
      <c r="T2" s="118"/>
      <c r="U2" s="118"/>
      <c r="V2" s="166"/>
    </row>
    <row r="3" spans="1:22" x14ac:dyDescent="0.3">
      <c r="A3" s="165"/>
      <c r="B3" s="118"/>
      <c r="C3" s="118" t="s">
        <v>584</v>
      </c>
      <c r="D3" s="118"/>
      <c r="E3" s="118"/>
      <c r="F3" s="118"/>
      <c r="G3" s="118"/>
      <c r="H3" s="118"/>
      <c r="I3" s="118"/>
      <c r="J3" s="118"/>
      <c r="K3" s="181"/>
      <c r="L3" s="118"/>
      <c r="M3" s="118"/>
      <c r="N3" s="118"/>
      <c r="O3" s="118"/>
      <c r="P3" s="182"/>
      <c r="Q3" s="118"/>
      <c r="R3" s="118"/>
      <c r="S3" s="118"/>
      <c r="T3" s="118"/>
      <c r="U3" s="118"/>
      <c r="V3" s="166"/>
    </row>
    <row r="4" spans="1:22" ht="15" thickBot="1" x14ac:dyDescent="0.35">
      <c r="A4" s="183"/>
      <c r="B4" s="184"/>
      <c r="C4" s="184"/>
      <c r="D4" s="184"/>
      <c r="E4" s="184"/>
      <c r="F4" s="184"/>
      <c r="G4" s="184"/>
      <c r="H4" s="184"/>
      <c r="I4" s="184"/>
      <c r="J4" s="184"/>
      <c r="K4" s="185"/>
      <c r="L4" s="184"/>
      <c r="M4" s="184"/>
      <c r="N4" s="184"/>
      <c r="O4" s="184"/>
      <c r="P4" s="186"/>
      <c r="Q4" s="184"/>
      <c r="R4" s="184"/>
      <c r="S4" s="184"/>
      <c r="T4" s="184"/>
      <c r="U4" s="184"/>
      <c r="V4" s="187"/>
    </row>
    <row r="5" spans="1:22" ht="15.6" thickTop="1" thickBot="1" x14ac:dyDescent="0.35">
      <c r="A5" s="193" t="s">
        <v>15</v>
      </c>
      <c r="B5" s="193" t="s">
        <v>0</v>
      </c>
      <c r="C5" s="193" t="s">
        <v>16</v>
      </c>
      <c r="D5" s="193" t="s">
        <v>17</v>
      </c>
      <c r="E5" s="193" t="s">
        <v>19</v>
      </c>
      <c r="F5" s="193" t="s">
        <v>26</v>
      </c>
      <c r="G5" s="193" t="s">
        <v>29</v>
      </c>
      <c r="H5" s="193" t="s">
        <v>19</v>
      </c>
      <c r="I5" s="194" t="s">
        <v>58</v>
      </c>
      <c r="J5" s="195" t="s">
        <v>35</v>
      </c>
      <c r="K5" s="196" t="s">
        <v>25</v>
      </c>
      <c r="L5" s="197" t="s">
        <v>1</v>
      </c>
      <c r="M5" s="198" t="s">
        <v>2</v>
      </c>
      <c r="N5" s="198" t="s">
        <v>3</v>
      </c>
      <c r="O5" s="198" t="s">
        <v>4</v>
      </c>
      <c r="P5" s="199" t="s">
        <v>7</v>
      </c>
      <c r="Q5" s="193" t="s">
        <v>20</v>
      </c>
      <c r="R5" s="193" t="s">
        <v>23</v>
      </c>
      <c r="S5" s="193" t="s">
        <v>8</v>
      </c>
      <c r="T5" s="193" t="s">
        <v>9</v>
      </c>
      <c r="U5" s="193" t="s">
        <v>10</v>
      </c>
      <c r="V5" s="193" t="s">
        <v>31</v>
      </c>
    </row>
    <row r="6" spans="1:22" ht="15" thickBot="1" x14ac:dyDescent="0.35">
      <c r="A6" s="127"/>
      <c r="B6" s="127"/>
      <c r="C6" s="127"/>
      <c r="D6" s="127"/>
      <c r="E6" s="127" t="s">
        <v>18</v>
      </c>
      <c r="F6" s="127" t="s">
        <v>27</v>
      </c>
      <c r="G6" s="127" t="s">
        <v>30</v>
      </c>
      <c r="H6" s="127" t="s">
        <v>28</v>
      </c>
      <c r="I6" s="23"/>
      <c r="J6" s="135" t="s">
        <v>24</v>
      </c>
      <c r="K6" s="134" t="s">
        <v>18</v>
      </c>
      <c r="L6" s="18" t="s">
        <v>18</v>
      </c>
      <c r="M6" s="18" t="s">
        <v>18</v>
      </c>
      <c r="N6" s="18" t="s">
        <v>18</v>
      </c>
      <c r="O6" s="18" t="s">
        <v>18</v>
      </c>
      <c r="P6" s="174" t="s">
        <v>33</v>
      </c>
      <c r="Q6" s="127" t="s">
        <v>21</v>
      </c>
      <c r="R6" s="127"/>
      <c r="S6" s="127" t="s">
        <v>32</v>
      </c>
      <c r="T6" s="127" t="s">
        <v>32</v>
      </c>
      <c r="U6" s="127" t="s">
        <v>32</v>
      </c>
      <c r="V6" s="127" t="s">
        <v>32</v>
      </c>
    </row>
    <row r="7" spans="1:22" x14ac:dyDescent="0.3">
      <c r="A7" s="136" t="s">
        <v>40</v>
      </c>
      <c r="B7" s="136" t="s">
        <v>39</v>
      </c>
      <c r="C7" s="136" t="s">
        <v>38</v>
      </c>
      <c r="D7" s="37">
        <v>42919</v>
      </c>
      <c r="E7" s="136">
        <v>10058.56</v>
      </c>
      <c r="F7" s="136" t="s">
        <v>14</v>
      </c>
      <c r="G7" s="140" t="s">
        <v>11</v>
      </c>
      <c r="H7" s="136" t="s">
        <v>12</v>
      </c>
      <c r="J7" s="139">
        <v>18</v>
      </c>
      <c r="K7" s="138">
        <v>8524.2000000000007</v>
      </c>
      <c r="L7" s="136">
        <v>0</v>
      </c>
      <c r="M7" s="136">
        <f t="shared" ref="M7:M37" si="0">+J7/100*K7/2</f>
        <v>767.178</v>
      </c>
      <c r="N7" s="136">
        <f t="shared" ref="N7:N37" si="1">+J7/100*K7/2</f>
        <v>767.178</v>
      </c>
      <c r="O7" s="136">
        <v>0</v>
      </c>
      <c r="P7" s="175">
        <v>998898</v>
      </c>
      <c r="Q7" s="137" t="s">
        <v>22</v>
      </c>
      <c r="R7" s="136" t="s">
        <v>13</v>
      </c>
      <c r="S7" s="136">
        <v>0</v>
      </c>
      <c r="T7" s="136">
        <v>0</v>
      </c>
      <c r="U7" s="136">
        <f t="shared" ref="U7:U70" si="2">+S7-T7</f>
        <v>0</v>
      </c>
      <c r="V7" s="136">
        <v>30</v>
      </c>
    </row>
    <row r="8" spans="1:22" x14ac:dyDescent="0.3">
      <c r="A8" s="136" t="s">
        <v>6</v>
      </c>
      <c r="B8" s="136" t="s">
        <v>5</v>
      </c>
      <c r="C8" s="136" t="s">
        <v>36</v>
      </c>
      <c r="D8" s="143">
        <v>42919</v>
      </c>
      <c r="E8" s="136">
        <v>52235.44</v>
      </c>
      <c r="F8" s="136" t="s">
        <v>14</v>
      </c>
      <c r="G8" s="140" t="s">
        <v>11</v>
      </c>
      <c r="H8" s="136" t="s">
        <v>12</v>
      </c>
      <c r="J8" s="139">
        <v>28</v>
      </c>
      <c r="K8" s="138">
        <v>40808.94</v>
      </c>
      <c r="L8" s="136">
        <v>0</v>
      </c>
      <c r="M8" s="136">
        <f t="shared" si="0"/>
        <v>5713.2516000000005</v>
      </c>
      <c r="N8" s="136">
        <f t="shared" si="1"/>
        <v>5713.2516000000005</v>
      </c>
      <c r="O8" s="136">
        <v>0</v>
      </c>
      <c r="P8" s="175">
        <v>87081090</v>
      </c>
      <c r="Q8" s="137" t="s">
        <v>22</v>
      </c>
      <c r="R8" s="136" t="s">
        <v>13</v>
      </c>
      <c r="S8" s="136">
        <v>492</v>
      </c>
      <c r="T8" s="136">
        <v>492</v>
      </c>
      <c r="U8" s="136">
        <f t="shared" si="2"/>
        <v>0</v>
      </c>
      <c r="V8" s="136">
        <v>492</v>
      </c>
    </row>
    <row r="9" spans="1:22" x14ac:dyDescent="0.3">
      <c r="A9" s="136" t="s">
        <v>6</v>
      </c>
      <c r="B9" s="136" t="s">
        <v>5</v>
      </c>
      <c r="C9" s="136" t="s">
        <v>37</v>
      </c>
      <c r="D9" s="143">
        <v>42919</v>
      </c>
      <c r="E9" s="136">
        <v>9632</v>
      </c>
      <c r="F9" s="136" t="s">
        <v>14</v>
      </c>
      <c r="G9" s="140" t="s">
        <v>11</v>
      </c>
      <c r="H9" s="136" t="s">
        <v>12</v>
      </c>
      <c r="J9" s="139">
        <v>28</v>
      </c>
      <c r="K9" s="138">
        <v>7525</v>
      </c>
      <c r="L9" s="136">
        <v>0</v>
      </c>
      <c r="M9" s="136">
        <f t="shared" si="0"/>
        <v>1053.5</v>
      </c>
      <c r="N9" s="136">
        <f t="shared" si="1"/>
        <v>1053.5</v>
      </c>
      <c r="O9" s="136">
        <v>0</v>
      </c>
      <c r="P9" s="175">
        <v>87141090</v>
      </c>
      <c r="Q9" s="137" t="s">
        <v>22</v>
      </c>
      <c r="R9" s="136" t="s">
        <v>13</v>
      </c>
      <c r="S9" s="136">
        <v>100</v>
      </c>
      <c r="T9" s="136">
        <v>100</v>
      </c>
      <c r="U9" s="136">
        <f t="shared" si="2"/>
        <v>0</v>
      </c>
      <c r="V9" s="136">
        <v>100</v>
      </c>
    </row>
    <row r="10" spans="1:22" x14ac:dyDescent="0.3">
      <c r="A10" s="136" t="s">
        <v>6</v>
      </c>
      <c r="B10" s="136" t="s">
        <v>5</v>
      </c>
      <c r="C10" s="136" t="s">
        <v>41</v>
      </c>
      <c r="D10" s="143">
        <v>42919</v>
      </c>
      <c r="E10" s="136">
        <v>50961.4</v>
      </c>
      <c r="F10" s="136" t="s">
        <v>14</v>
      </c>
      <c r="G10" s="140" t="s">
        <v>11</v>
      </c>
      <c r="H10" s="136" t="s">
        <v>12</v>
      </c>
      <c r="J10" s="139">
        <v>28</v>
      </c>
      <c r="K10" s="138">
        <v>39813.599999999999</v>
      </c>
      <c r="L10" s="136">
        <v>0</v>
      </c>
      <c r="M10" s="136">
        <f t="shared" si="0"/>
        <v>5573.9040000000005</v>
      </c>
      <c r="N10" s="136">
        <f t="shared" si="1"/>
        <v>5573.9040000000005</v>
      </c>
      <c r="O10" s="136">
        <v>0</v>
      </c>
      <c r="P10" s="175">
        <v>87081090</v>
      </c>
      <c r="Q10" s="137" t="s">
        <v>22</v>
      </c>
      <c r="R10" s="136" t="s">
        <v>13</v>
      </c>
      <c r="S10" s="136">
        <v>480</v>
      </c>
      <c r="T10" s="136">
        <v>480</v>
      </c>
      <c r="U10" s="136">
        <f t="shared" si="2"/>
        <v>0</v>
      </c>
      <c r="V10" s="136">
        <v>480</v>
      </c>
    </row>
    <row r="11" spans="1:22" x14ac:dyDescent="0.3">
      <c r="A11" s="136" t="s">
        <v>6</v>
      </c>
      <c r="B11" s="136" t="s">
        <v>5</v>
      </c>
      <c r="C11" s="136" t="s">
        <v>42</v>
      </c>
      <c r="D11" s="143">
        <v>42919</v>
      </c>
      <c r="E11" s="136">
        <v>25480.720000000001</v>
      </c>
      <c r="F11" s="136" t="s">
        <v>14</v>
      </c>
      <c r="G11" s="140" t="s">
        <v>11</v>
      </c>
      <c r="H11" s="136" t="s">
        <v>12</v>
      </c>
      <c r="J11" s="139">
        <v>28</v>
      </c>
      <c r="K11" s="138">
        <v>19906.8</v>
      </c>
      <c r="L11" s="136">
        <v>0</v>
      </c>
      <c r="M11" s="136">
        <f t="shared" si="0"/>
        <v>2786.9520000000002</v>
      </c>
      <c r="N11" s="136">
        <f t="shared" si="1"/>
        <v>2786.9520000000002</v>
      </c>
      <c r="O11" s="136">
        <v>0</v>
      </c>
      <c r="P11" s="175">
        <v>87081090</v>
      </c>
      <c r="Q11" s="137" t="s">
        <v>22</v>
      </c>
      <c r="R11" s="136" t="s">
        <v>13</v>
      </c>
      <c r="S11" s="136">
        <v>240</v>
      </c>
      <c r="T11" s="136">
        <v>240</v>
      </c>
      <c r="U11" s="136">
        <f t="shared" si="2"/>
        <v>0</v>
      </c>
      <c r="V11" s="136">
        <v>240</v>
      </c>
    </row>
    <row r="12" spans="1:22" x14ac:dyDescent="0.3">
      <c r="A12" s="136" t="s">
        <v>40</v>
      </c>
      <c r="B12" s="136" t="s">
        <v>39</v>
      </c>
      <c r="C12" s="136" t="s">
        <v>43</v>
      </c>
      <c r="D12" s="143">
        <v>42919</v>
      </c>
      <c r="E12" s="136">
        <v>10058.56</v>
      </c>
      <c r="F12" s="136" t="s">
        <v>14</v>
      </c>
      <c r="G12" s="140" t="s">
        <v>11</v>
      </c>
      <c r="H12" s="136" t="s">
        <v>12</v>
      </c>
      <c r="J12" s="139">
        <v>18</v>
      </c>
      <c r="K12" s="138">
        <v>8524.2000000000007</v>
      </c>
      <c r="L12" s="136">
        <v>0</v>
      </c>
      <c r="M12" s="136">
        <f t="shared" si="0"/>
        <v>767.178</v>
      </c>
      <c r="N12" s="136">
        <f t="shared" si="1"/>
        <v>767.178</v>
      </c>
      <c r="O12" s="136">
        <v>0</v>
      </c>
      <c r="P12" s="175">
        <v>998898</v>
      </c>
      <c r="Q12" s="137" t="s">
        <v>22</v>
      </c>
      <c r="R12" s="136" t="s">
        <v>13</v>
      </c>
      <c r="S12" s="136">
        <v>0</v>
      </c>
      <c r="T12" s="136">
        <v>0</v>
      </c>
      <c r="U12" s="136">
        <f t="shared" si="2"/>
        <v>0</v>
      </c>
      <c r="V12" s="136">
        <v>30</v>
      </c>
    </row>
    <row r="13" spans="1:22" x14ac:dyDescent="0.3">
      <c r="A13" s="136" t="s">
        <v>187</v>
      </c>
      <c r="B13" s="136" t="s">
        <v>178</v>
      </c>
      <c r="C13" s="136" t="s">
        <v>46</v>
      </c>
      <c r="D13" s="143">
        <v>42919</v>
      </c>
      <c r="E13" s="136">
        <v>47886.73</v>
      </c>
      <c r="F13" s="136" t="s">
        <v>14</v>
      </c>
      <c r="G13" s="140" t="s">
        <v>11</v>
      </c>
      <c r="H13" s="136" t="s">
        <v>12</v>
      </c>
      <c r="J13" s="139">
        <v>28</v>
      </c>
      <c r="K13" s="138">
        <v>37411.51</v>
      </c>
      <c r="L13" s="136">
        <v>0</v>
      </c>
      <c r="M13" s="136">
        <f t="shared" si="0"/>
        <v>5237.6114000000007</v>
      </c>
      <c r="N13" s="136">
        <f t="shared" si="1"/>
        <v>5237.6114000000007</v>
      </c>
      <c r="O13" s="136">
        <v>0</v>
      </c>
      <c r="P13" s="175">
        <v>87089900</v>
      </c>
      <c r="Q13" s="137" t="s">
        <v>22</v>
      </c>
      <c r="R13" s="136" t="s">
        <v>13</v>
      </c>
      <c r="S13" s="136">
        <v>109</v>
      </c>
      <c r="T13" s="136">
        <v>109</v>
      </c>
      <c r="U13" s="136">
        <f t="shared" si="2"/>
        <v>0</v>
      </c>
      <c r="V13" s="136">
        <v>109</v>
      </c>
    </row>
    <row r="14" spans="1:22" x14ac:dyDescent="0.3">
      <c r="A14" s="136" t="s">
        <v>6</v>
      </c>
      <c r="B14" s="136" t="s">
        <v>5</v>
      </c>
      <c r="C14" s="136" t="s">
        <v>179</v>
      </c>
      <c r="D14" s="143">
        <v>42919</v>
      </c>
      <c r="E14" s="136">
        <v>35673</v>
      </c>
      <c r="F14" s="136" t="s">
        <v>14</v>
      </c>
      <c r="G14" s="140" t="s">
        <v>11</v>
      </c>
      <c r="H14" s="136" t="s">
        <v>12</v>
      </c>
      <c r="J14" s="139">
        <v>28</v>
      </c>
      <c r="K14" s="138">
        <v>27869.52</v>
      </c>
      <c r="L14" s="136">
        <v>0</v>
      </c>
      <c r="M14" s="136">
        <f t="shared" si="0"/>
        <v>3901.7328000000002</v>
      </c>
      <c r="N14" s="136">
        <f t="shared" si="1"/>
        <v>3901.7328000000002</v>
      </c>
      <c r="O14" s="136">
        <v>0</v>
      </c>
      <c r="P14" s="175">
        <v>87081090</v>
      </c>
      <c r="Q14" s="137" t="s">
        <v>22</v>
      </c>
      <c r="R14" s="136" t="s">
        <v>13</v>
      </c>
      <c r="S14" s="136">
        <v>336</v>
      </c>
      <c r="T14" s="136">
        <v>336</v>
      </c>
      <c r="U14" s="136">
        <f t="shared" si="2"/>
        <v>0</v>
      </c>
      <c r="V14" s="136">
        <v>336</v>
      </c>
    </row>
    <row r="15" spans="1:22" x14ac:dyDescent="0.3">
      <c r="A15" s="136" t="s">
        <v>6</v>
      </c>
      <c r="B15" s="136" t="s">
        <v>5</v>
      </c>
      <c r="C15" s="136" t="s">
        <v>180</v>
      </c>
      <c r="D15" s="143">
        <v>42920</v>
      </c>
      <c r="E15" s="136">
        <v>26754.720000000001</v>
      </c>
      <c r="F15" s="136" t="s">
        <v>14</v>
      </c>
      <c r="G15" s="140" t="s">
        <v>11</v>
      </c>
      <c r="H15" s="136" t="s">
        <v>12</v>
      </c>
      <c r="J15" s="139">
        <v>28</v>
      </c>
      <c r="K15" s="138">
        <v>20902.14</v>
      </c>
      <c r="L15" s="136">
        <v>0</v>
      </c>
      <c r="M15" s="136">
        <f t="shared" si="0"/>
        <v>2926.2996000000003</v>
      </c>
      <c r="N15" s="136">
        <f t="shared" si="1"/>
        <v>2926.2996000000003</v>
      </c>
      <c r="O15" s="136">
        <v>0</v>
      </c>
      <c r="P15" s="175">
        <v>87081090</v>
      </c>
      <c r="Q15" s="137" t="s">
        <v>22</v>
      </c>
      <c r="R15" s="136" t="s">
        <v>13</v>
      </c>
      <c r="S15" s="136">
        <v>252</v>
      </c>
      <c r="T15" s="136">
        <v>252</v>
      </c>
      <c r="U15" s="136">
        <f t="shared" si="2"/>
        <v>0</v>
      </c>
      <c r="V15" s="136">
        <v>252</v>
      </c>
    </row>
    <row r="16" spans="1:22" x14ac:dyDescent="0.3">
      <c r="A16" s="136" t="s">
        <v>6</v>
      </c>
      <c r="B16" s="136" t="s">
        <v>5</v>
      </c>
      <c r="C16" s="136" t="s">
        <v>181</v>
      </c>
      <c r="D16" s="143">
        <v>42920</v>
      </c>
      <c r="E16" s="136">
        <v>49687.360000000001</v>
      </c>
      <c r="F16" s="136" t="s">
        <v>14</v>
      </c>
      <c r="G16" s="140" t="s">
        <v>11</v>
      </c>
      <c r="H16" s="136" t="s">
        <v>12</v>
      </c>
      <c r="J16" s="139">
        <v>28</v>
      </c>
      <c r="K16" s="138">
        <v>38818.26</v>
      </c>
      <c r="L16" s="136">
        <v>0</v>
      </c>
      <c r="M16" s="136">
        <f t="shared" si="0"/>
        <v>5434.5564000000004</v>
      </c>
      <c r="N16" s="136">
        <f t="shared" si="1"/>
        <v>5434.5564000000004</v>
      </c>
      <c r="O16" s="136">
        <v>0</v>
      </c>
      <c r="P16" s="175">
        <v>87081090</v>
      </c>
      <c r="Q16" s="137" t="s">
        <v>22</v>
      </c>
      <c r="R16" s="136" t="s">
        <v>13</v>
      </c>
      <c r="S16" s="136">
        <v>468</v>
      </c>
      <c r="T16" s="136">
        <v>468</v>
      </c>
      <c r="U16" s="136">
        <f t="shared" si="2"/>
        <v>0</v>
      </c>
      <c r="V16" s="136">
        <v>468</v>
      </c>
    </row>
    <row r="17" spans="1:22" x14ac:dyDescent="0.3">
      <c r="A17" s="136" t="s">
        <v>40</v>
      </c>
      <c r="B17" s="136" t="s">
        <v>39</v>
      </c>
      <c r="C17" s="136" t="s">
        <v>182</v>
      </c>
      <c r="D17" s="143">
        <v>42920</v>
      </c>
      <c r="E17" s="136">
        <v>10058.56</v>
      </c>
      <c r="F17" s="136" t="s">
        <v>14</v>
      </c>
      <c r="G17" s="140" t="s">
        <v>11</v>
      </c>
      <c r="H17" s="136" t="s">
        <v>12</v>
      </c>
      <c r="J17" s="139">
        <v>18</v>
      </c>
      <c r="K17" s="138">
        <v>8524.2000000000007</v>
      </c>
      <c r="L17" s="136">
        <v>0</v>
      </c>
      <c r="M17" s="136">
        <f t="shared" si="0"/>
        <v>767.178</v>
      </c>
      <c r="N17" s="136">
        <f t="shared" si="1"/>
        <v>767.178</v>
      </c>
      <c r="O17" s="136">
        <v>0</v>
      </c>
      <c r="P17" s="175">
        <v>998898</v>
      </c>
      <c r="Q17" s="137" t="s">
        <v>22</v>
      </c>
      <c r="R17" s="136" t="s">
        <v>13</v>
      </c>
      <c r="S17" s="136">
        <v>0</v>
      </c>
      <c r="T17" s="136">
        <v>0</v>
      </c>
      <c r="U17" s="136">
        <f t="shared" si="2"/>
        <v>0</v>
      </c>
      <c r="V17" s="136">
        <v>30</v>
      </c>
    </row>
    <row r="18" spans="1:22" x14ac:dyDescent="0.3">
      <c r="A18" s="136" t="s">
        <v>6</v>
      </c>
      <c r="B18" s="136" t="s">
        <v>5</v>
      </c>
      <c r="C18" s="136" t="s">
        <v>183</v>
      </c>
      <c r="D18" s="143">
        <v>42920</v>
      </c>
      <c r="E18" s="136">
        <v>53509.48</v>
      </c>
      <c r="F18" s="136" t="s">
        <v>14</v>
      </c>
      <c r="G18" s="140" t="s">
        <v>11</v>
      </c>
      <c r="H18" s="136" t="s">
        <v>12</v>
      </c>
      <c r="J18" s="139">
        <v>28</v>
      </c>
      <c r="K18" s="138">
        <v>41804.28</v>
      </c>
      <c r="L18" s="136">
        <v>0</v>
      </c>
      <c r="M18" s="136">
        <f t="shared" si="0"/>
        <v>5852.5992000000006</v>
      </c>
      <c r="N18" s="136">
        <f t="shared" si="1"/>
        <v>5852.5992000000006</v>
      </c>
      <c r="O18" s="136">
        <v>0</v>
      </c>
      <c r="P18" s="175">
        <v>87081090</v>
      </c>
      <c r="Q18" s="137" t="s">
        <v>22</v>
      </c>
      <c r="R18" s="136" t="s">
        <v>13</v>
      </c>
      <c r="S18" s="136">
        <v>504</v>
      </c>
      <c r="T18" s="136">
        <v>504</v>
      </c>
      <c r="U18" s="136">
        <f t="shared" si="2"/>
        <v>0</v>
      </c>
      <c r="V18" s="136">
        <v>504</v>
      </c>
    </row>
    <row r="19" spans="1:22" x14ac:dyDescent="0.3">
      <c r="A19" s="136" t="s">
        <v>185</v>
      </c>
      <c r="B19" s="136" t="s">
        <v>184</v>
      </c>
      <c r="C19" s="136" t="s">
        <v>186</v>
      </c>
      <c r="D19" s="143">
        <v>42920</v>
      </c>
      <c r="E19" s="136">
        <v>55277.56</v>
      </c>
      <c r="F19" s="136" t="s">
        <v>14</v>
      </c>
      <c r="G19" s="140" t="s">
        <v>11</v>
      </c>
      <c r="H19" s="136" t="s">
        <v>12</v>
      </c>
      <c r="J19" s="139">
        <v>28</v>
      </c>
      <c r="K19" s="138">
        <v>43185.599999999999</v>
      </c>
      <c r="L19" s="136">
        <v>0</v>
      </c>
      <c r="M19" s="136">
        <f t="shared" si="0"/>
        <v>6045.9840000000004</v>
      </c>
      <c r="N19" s="136">
        <f t="shared" si="1"/>
        <v>6045.9840000000004</v>
      </c>
      <c r="O19" s="136">
        <v>0</v>
      </c>
      <c r="P19" s="175">
        <v>85129000</v>
      </c>
      <c r="Q19" s="137" t="s">
        <v>22</v>
      </c>
      <c r="R19" s="136" t="s">
        <v>13</v>
      </c>
      <c r="S19" s="136">
        <v>720</v>
      </c>
      <c r="T19" s="136">
        <v>720</v>
      </c>
      <c r="U19" s="136">
        <f t="shared" si="2"/>
        <v>0</v>
      </c>
      <c r="V19" s="136">
        <v>720</v>
      </c>
    </row>
    <row r="20" spans="1:22" x14ac:dyDescent="0.3">
      <c r="A20" s="136" t="s">
        <v>188</v>
      </c>
      <c r="B20" s="136" t="s">
        <v>189</v>
      </c>
      <c r="C20" s="136" t="s">
        <v>190</v>
      </c>
      <c r="D20" s="143">
        <v>42920</v>
      </c>
      <c r="E20" s="136">
        <v>38071.300000000003</v>
      </c>
      <c r="F20" s="136" t="s">
        <v>14</v>
      </c>
      <c r="G20" s="140" t="s">
        <v>11</v>
      </c>
      <c r="H20" s="136" t="s">
        <v>12</v>
      </c>
      <c r="J20" s="139">
        <v>28</v>
      </c>
      <c r="K20" s="138">
        <v>29743.200000000001</v>
      </c>
      <c r="L20" s="136">
        <v>0</v>
      </c>
      <c r="M20" s="136">
        <f t="shared" si="0"/>
        <v>4164.0480000000007</v>
      </c>
      <c r="N20" s="136">
        <f t="shared" si="1"/>
        <v>4164.0480000000007</v>
      </c>
      <c r="O20" s="136">
        <v>0</v>
      </c>
      <c r="P20" s="175">
        <v>87141090</v>
      </c>
      <c r="Q20" s="137" t="s">
        <v>22</v>
      </c>
      <c r="R20" s="136" t="s">
        <v>13</v>
      </c>
      <c r="S20" s="136">
        <v>1296</v>
      </c>
      <c r="T20" s="136">
        <v>1296</v>
      </c>
      <c r="U20" s="136">
        <f t="shared" si="2"/>
        <v>0</v>
      </c>
      <c r="V20" s="136">
        <v>1296</v>
      </c>
    </row>
    <row r="21" spans="1:22" x14ac:dyDescent="0.3">
      <c r="A21" s="136" t="s">
        <v>188</v>
      </c>
      <c r="B21" s="136" t="s">
        <v>189</v>
      </c>
      <c r="C21" s="136" t="s">
        <v>191</v>
      </c>
      <c r="D21" s="143">
        <v>42920</v>
      </c>
      <c r="E21" s="136">
        <v>74732.539999999994</v>
      </c>
      <c r="F21" s="136" t="s">
        <v>14</v>
      </c>
      <c r="G21" s="140" t="s">
        <v>11</v>
      </c>
      <c r="H21" s="136" t="s">
        <v>12</v>
      </c>
      <c r="J21" s="139">
        <v>28</v>
      </c>
      <c r="K21" s="138">
        <v>58384.800000000003</v>
      </c>
      <c r="L21" s="136">
        <v>0</v>
      </c>
      <c r="M21" s="136">
        <f t="shared" si="0"/>
        <v>8173.8720000000012</v>
      </c>
      <c r="N21" s="136">
        <f t="shared" si="1"/>
        <v>8173.8720000000012</v>
      </c>
      <c r="O21" s="136">
        <v>0</v>
      </c>
      <c r="P21" s="175">
        <v>87141090</v>
      </c>
      <c r="Q21" s="137" t="s">
        <v>22</v>
      </c>
      <c r="R21" s="136" t="s">
        <v>13</v>
      </c>
      <c r="S21" s="136">
        <v>2544</v>
      </c>
      <c r="T21" s="136">
        <v>2544</v>
      </c>
      <c r="U21" s="136">
        <f t="shared" si="2"/>
        <v>0</v>
      </c>
      <c r="V21" s="136">
        <v>2544</v>
      </c>
    </row>
    <row r="22" spans="1:22" x14ac:dyDescent="0.3">
      <c r="A22" s="136" t="s">
        <v>6</v>
      </c>
      <c r="B22" s="136" t="s">
        <v>5</v>
      </c>
      <c r="C22" s="136" t="s">
        <v>192</v>
      </c>
      <c r="D22" s="143">
        <v>42920</v>
      </c>
      <c r="E22" s="136">
        <v>42043.16</v>
      </c>
      <c r="F22" s="136" t="s">
        <v>14</v>
      </c>
      <c r="G22" s="140" t="s">
        <v>11</v>
      </c>
      <c r="H22" s="136" t="s">
        <v>12</v>
      </c>
      <c r="J22" s="139">
        <v>28</v>
      </c>
      <c r="K22" s="138">
        <v>32846.22</v>
      </c>
      <c r="L22" s="136">
        <v>0</v>
      </c>
      <c r="M22" s="136">
        <f t="shared" si="0"/>
        <v>4598.470800000001</v>
      </c>
      <c r="N22" s="136">
        <f t="shared" si="1"/>
        <v>4598.470800000001</v>
      </c>
      <c r="O22" s="136">
        <v>0</v>
      </c>
      <c r="P22" s="175">
        <v>87081090</v>
      </c>
      <c r="Q22" s="137" t="s">
        <v>22</v>
      </c>
      <c r="R22" s="136" t="s">
        <v>13</v>
      </c>
      <c r="S22" s="136">
        <v>396</v>
      </c>
      <c r="T22" s="136">
        <v>396</v>
      </c>
      <c r="U22" s="136">
        <f t="shared" si="2"/>
        <v>0</v>
      </c>
      <c r="V22" s="136">
        <v>396</v>
      </c>
    </row>
    <row r="23" spans="1:22" x14ac:dyDescent="0.3">
      <c r="A23" s="136" t="s">
        <v>6</v>
      </c>
      <c r="B23" s="136" t="s">
        <v>5</v>
      </c>
      <c r="C23" s="136" t="s">
        <v>193</v>
      </c>
      <c r="D23" s="143">
        <v>42920</v>
      </c>
      <c r="E23" s="136">
        <v>13484.8</v>
      </c>
      <c r="F23" s="136" t="s">
        <v>14</v>
      </c>
      <c r="G23" s="140" t="s">
        <v>11</v>
      </c>
      <c r="H23" s="136" t="s">
        <v>12</v>
      </c>
      <c r="J23" s="139">
        <v>28</v>
      </c>
      <c r="K23" s="138">
        <v>10535</v>
      </c>
      <c r="L23" s="136">
        <v>0</v>
      </c>
      <c r="M23" s="136">
        <f t="shared" si="0"/>
        <v>1474.9</v>
      </c>
      <c r="N23" s="136">
        <f t="shared" si="1"/>
        <v>1474.9</v>
      </c>
      <c r="O23" s="136">
        <v>0</v>
      </c>
      <c r="P23" s="175">
        <v>87141090</v>
      </c>
      <c r="Q23" s="137" t="s">
        <v>22</v>
      </c>
      <c r="R23" s="136" t="s">
        <v>13</v>
      </c>
      <c r="S23" s="136">
        <v>140</v>
      </c>
      <c r="T23" s="136">
        <v>140</v>
      </c>
      <c r="U23" s="136">
        <f t="shared" si="2"/>
        <v>0</v>
      </c>
      <c r="V23" s="136">
        <v>140</v>
      </c>
    </row>
    <row r="24" spans="1:22" x14ac:dyDescent="0.3">
      <c r="A24" s="136" t="s">
        <v>6</v>
      </c>
      <c r="B24" s="136" t="s">
        <v>5</v>
      </c>
      <c r="C24" s="136" t="s">
        <v>194</v>
      </c>
      <c r="D24" s="143">
        <v>42921</v>
      </c>
      <c r="E24" s="136">
        <v>53509.48</v>
      </c>
      <c r="F24" s="136" t="s">
        <v>14</v>
      </c>
      <c r="G24" s="140" t="s">
        <v>11</v>
      </c>
      <c r="H24" s="136" t="s">
        <v>12</v>
      </c>
      <c r="J24" s="139">
        <v>28</v>
      </c>
      <c r="K24" s="138">
        <v>41804.28</v>
      </c>
      <c r="L24" s="136">
        <v>0</v>
      </c>
      <c r="M24" s="136">
        <f t="shared" si="0"/>
        <v>5852.5992000000006</v>
      </c>
      <c r="N24" s="136">
        <f t="shared" si="1"/>
        <v>5852.5992000000006</v>
      </c>
      <c r="O24" s="136">
        <v>0</v>
      </c>
      <c r="P24" s="175">
        <v>87081090</v>
      </c>
      <c r="Q24" s="137" t="s">
        <v>22</v>
      </c>
      <c r="R24" s="136" t="s">
        <v>13</v>
      </c>
      <c r="S24" s="136">
        <v>504</v>
      </c>
      <c r="T24" s="136">
        <v>504</v>
      </c>
      <c r="U24" s="136">
        <f t="shared" si="2"/>
        <v>0</v>
      </c>
      <c r="V24" s="136">
        <v>504</v>
      </c>
    </row>
    <row r="25" spans="1:22" x14ac:dyDescent="0.3">
      <c r="A25" s="136" t="s">
        <v>187</v>
      </c>
      <c r="B25" s="136" t="s">
        <v>178</v>
      </c>
      <c r="C25" s="136" t="s">
        <v>195</v>
      </c>
      <c r="D25" s="143">
        <v>42921</v>
      </c>
      <c r="E25" s="136">
        <v>76238.460000000006</v>
      </c>
      <c r="F25" s="136" t="s">
        <v>14</v>
      </c>
      <c r="G25" s="140" t="s">
        <v>11</v>
      </c>
      <c r="H25" s="136" t="s">
        <v>12</v>
      </c>
      <c r="J25" s="139">
        <v>28</v>
      </c>
      <c r="K25" s="138">
        <v>59561.3</v>
      </c>
      <c r="L25" s="136">
        <v>0</v>
      </c>
      <c r="M25" s="136">
        <f t="shared" si="0"/>
        <v>8338.5820000000003</v>
      </c>
      <c r="N25" s="136">
        <f t="shared" si="1"/>
        <v>8338.5820000000003</v>
      </c>
      <c r="O25" s="136">
        <v>0</v>
      </c>
      <c r="P25" s="175">
        <v>87089900</v>
      </c>
      <c r="Q25" s="137" t="s">
        <v>22</v>
      </c>
      <c r="R25" s="136" t="s">
        <v>13</v>
      </c>
      <c r="S25" s="136">
        <v>650</v>
      </c>
      <c r="T25" s="136">
        <v>650</v>
      </c>
      <c r="U25" s="136">
        <f t="shared" si="2"/>
        <v>0</v>
      </c>
      <c r="V25" s="136">
        <v>650</v>
      </c>
    </row>
    <row r="26" spans="1:22" x14ac:dyDescent="0.3">
      <c r="A26" s="136" t="s">
        <v>6</v>
      </c>
      <c r="B26" s="136" t="s">
        <v>5</v>
      </c>
      <c r="C26" s="136" t="s">
        <v>196</v>
      </c>
      <c r="D26" s="143">
        <v>42921</v>
      </c>
      <c r="E26" s="136">
        <v>63701.760000000002</v>
      </c>
      <c r="F26" s="136" t="s">
        <v>14</v>
      </c>
      <c r="G26" s="140" t="s">
        <v>11</v>
      </c>
      <c r="H26" s="136" t="s">
        <v>12</v>
      </c>
      <c r="J26" s="139">
        <v>28</v>
      </c>
      <c r="K26" s="138">
        <v>49767</v>
      </c>
      <c r="L26" s="136">
        <v>0</v>
      </c>
      <c r="M26" s="136">
        <f t="shared" si="0"/>
        <v>6967.380000000001</v>
      </c>
      <c r="N26" s="136">
        <f t="shared" si="1"/>
        <v>6967.380000000001</v>
      </c>
      <c r="O26" s="136">
        <v>0</v>
      </c>
      <c r="P26" s="175">
        <v>87081090</v>
      </c>
      <c r="Q26" s="137" t="s">
        <v>22</v>
      </c>
      <c r="R26" s="136" t="s">
        <v>13</v>
      </c>
      <c r="S26" s="136">
        <v>600</v>
      </c>
      <c r="T26" s="136">
        <v>600</v>
      </c>
      <c r="U26" s="136">
        <f t="shared" si="2"/>
        <v>0</v>
      </c>
      <c r="V26" s="136">
        <v>600</v>
      </c>
    </row>
    <row r="27" spans="1:22" x14ac:dyDescent="0.3">
      <c r="A27" s="136" t="s">
        <v>188</v>
      </c>
      <c r="B27" s="136" t="s">
        <v>189</v>
      </c>
      <c r="C27" s="136" t="s">
        <v>197</v>
      </c>
      <c r="D27" s="143">
        <v>42921</v>
      </c>
      <c r="E27" s="136">
        <v>33841.160000000003</v>
      </c>
      <c r="F27" s="136" t="s">
        <v>14</v>
      </c>
      <c r="G27" s="140" t="s">
        <v>11</v>
      </c>
      <c r="H27" s="136" t="s">
        <v>12</v>
      </c>
      <c r="J27" s="139">
        <v>28</v>
      </c>
      <c r="K27" s="138">
        <v>26438.400000000001</v>
      </c>
      <c r="L27" s="136">
        <v>0</v>
      </c>
      <c r="M27" s="136">
        <f t="shared" si="0"/>
        <v>3701.3760000000007</v>
      </c>
      <c r="N27" s="136">
        <f t="shared" si="1"/>
        <v>3701.3760000000007</v>
      </c>
      <c r="O27" s="136">
        <v>0</v>
      </c>
      <c r="P27" s="175">
        <v>87141090</v>
      </c>
      <c r="Q27" s="137" t="s">
        <v>22</v>
      </c>
      <c r="R27" s="136" t="s">
        <v>13</v>
      </c>
      <c r="S27" s="136">
        <v>1152</v>
      </c>
      <c r="T27" s="136">
        <v>1152</v>
      </c>
      <c r="U27" s="136">
        <f t="shared" si="2"/>
        <v>0</v>
      </c>
      <c r="V27" s="136">
        <v>1152</v>
      </c>
    </row>
    <row r="28" spans="1:22" x14ac:dyDescent="0.3">
      <c r="A28" s="136" t="s">
        <v>6</v>
      </c>
      <c r="B28" s="136" t="s">
        <v>5</v>
      </c>
      <c r="C28" s="136" t="s">
        <v>198</v>
      </c>
      <c r="D28" s="143">
        <v>42921</v>
      </c>
      <c r="E28" s="136">
        <v>42467.839999999997</v>
      </c>
      <c r="F28" s="136" t="s">
        <v>14</v>
      </c>
      <c r="G28" s="140" t="s">
        <v>11</v>
      </c>
      <c r="H28" s="136" t="s">
        <v>12</v>
      </c>
      <c r="J28" s="139">
        <v>28</v>
      </c>
      <c r="K28" s="138">
        <v>33178</v>
      </c>
      <c r="L28" s="136">
        <v>0</v>
      </c>
      <c r="M28" s="136">
        <f t="shared" si="0"/>
        <v>4644.92</v>
      </c>
      <c r="N28" s="136">
        <f t="shared" si="1"/>
        <v>4644.92</v>
      </c>
      <c r="O28" s="136">
        <v>0</v>
      </c>
      <c r="P28" s="175">
        <v>87081090</v>
      </c>
      <c r="Q28" s="137" t="s">
        <v>22</v>
      </c>
      <c r="R28" s="136" t="s">
        <v>13</v>
      </c>
      <c r="S28" s="136">
        <v>400</v>
      </c>
      <c r="T28" s="136">
        <v>400</v>
      </c>
      <c r="U28" s="136">
        <f t="shared" si="2"/>
        <v>0</v>
      </c>
      <c r="V28" s="136">
        <v>400</v>
      </c>
    </row>
    <row r="29" spans="1:22" x14ac:dyDescent="0.3">
      <c r="A29" s="136" t="s">
        <v>6</v>
      </c>
      <c r="B29" s="136" t="s">
        <v>5</v>
      </c>
      <c r="C29" s="136" t="s">
        <v>199</v>
      </c>
      <c r="D29" s="143">
        <v>42921</v>
      </c>
      <c r="E29" s="136">
        <v>16181.76</v>
      </c>
      <c r="F29" s="136" t="s">
        <v>14</v>
      </c>
      <c r="G29" s="140" t="s">
        <v>11</v>
      </c>
      <c r="H29" s="136" t="s">
        <v>12</v>
      </c>
      <c r="J29" s="139">
        <v>28</v>
      </c>
      <c r="K29" s="138">
        <v>12642</v>
      </c>
      <c r="L29" s="136">
        <v>0</v>
      </c>
      <c r="M29" s="136">
        <f t="shared" si="0"/>
        <v>1769.88</v>
      </c>
      <c r="N29" s="136">
        <f t="shared" si="1"/>
        <v>1769.88</v>
      </c>
      <c r="O29" s="136">
        <v>0</v>
      </c>
      <c r="P29" s="175">
        <v>87141090</v>
      </c>
      <c r="Q29" s="137" t="s">
        <v>22</v>
      </c>
      <c r="R29" s="136" t="s">
        <v>13</v>
      </c>
      <c r="S29" s="136">
        <v>168</v>
      </c>
      <c r="T29" s="136">
        <v>168</v>
      </c>
      <c r="U29" s="136">
        <f t="shared" si="2"/>
        <v>0</v>
      </c>
      <c r="V29" s="136">
        <v>168</v>
      </c>
    </row>
    <row r="30" spans="1:22" x14ac:dyDescent="0.3">
      <c r="A30" s="136" t="s">
        <v>6</v>
      </c>
      <c r="B30" s="136" t="s">
        <v>5</v>
      </c>
      <c r="C30" s="136" t="s">
        <v>200</v>
      </c>
      <c r="D30" s="143">
        <v>42921</v>
      </c>
      <c r="E30" s="136">
        <v>44591.24</v>
      </c>
      <c r="F30" s="136" t="s">
        <v>14</v>
      </c>
      <c r="G30" s="140" t="s">
        <v>11</v>
      </c>
      <c r="H30" s="136" t="s">
        <v>12</v>
      </c>
      <c r="J30" s="139">
        <v>28</v>
      </c>
      <c r="K30" s="138">
        <v>34836.9</v>
      </c>
      <c r="L30" s="136">
        <v>0</v>
      </c>
      <c r="M30" s="136">
        <f t="shared" si="0"/>
        <v>4877.1660000000011</v>
      </c>
      <c r="N30" s="136">
        <f t="shared" si="1"/>
        <v>4877.1660000000011</v>
      </c>
      <c r="O30" s="136">
        <v>0</v>
      </c>
      <c r="P30" s="175">
        <v>87081090</v>
      </c>
      <c r="Q30" s="137" t="s">
        <v>22</v>
      </c>
      <c r="R30" s="136" t="s">
        <v>13</v>
      </c>
      <c r="S30" s="136">
        <v>420</v>
      </c>
      <c r="T30" s="136">
        <v>420</v>
      </c>
      <c r="U30" s="136">
        <f t="shared" si="2"/>
        <v>0</v>
      </c>
      <c r="V30" s="136">
        <v>420</v>
      </c>
    </row>
    <row r="31" spans="1:22" x14ac:dyDescent="0.3">
      <c r="A31" s="136" t="s">
        <v>40</v>
      </c>
      <c r="B31" s="136" t="s">
        <v>39</v>
      </c>
      <c r="C31" s="136" t="s">
        <v>201</v>
      </c>
      <c r="D31" s="143">
        <v>42922</v>
      </c>
      <c r="E31" s="136">
        <v>10058.56</v>
      </c>
      <c r="F31" s="136" t="s">
        <v>14</v>
      </c>
      <c r="G31" s="140" t="s">
        <v>11</v>
      </c>
      <c r="H31" s="136" t="s">
        <v>12</v>
      </c>
      <c r="J31" s="139">
        <v>18</v>
      </c>
      <c r="K31" s="138">
        <v>8524.2000000000007</v>
      </c>
      <c r="L31" s="136">
        <v>0</v>
      </c>
      <c r="M31" s="136">
        <f t="shared" si="0"/>
        <v>767.178</v>
      </c>
      <c r="N31" s="136">
        <f t="shared" si="1"/>
        <v>767.178</v>
      </c>
      <c r="O31" s="136">
        <v>0</v>
      </c>
      <c r="P31" s="175">
        <v>998898</v>
      </c>
      <c r="Q31" s="137" t="s">
        <v>22</v>
      </c>
      <c r="R31" s="136" t="s">
        <v>13</v>
      </c>
      <c r="S31" s="136">
        <v>0</v>
      </c>
      <c r="T31" s="136">
        <v>0</v>
      </c>
      <c r="U31" s="136">
        <f t="shared" si="2"/>
        <v>0</v>
      </c>
      <c r="V31" s="136">
        <v>30</v>
      </c>
    </row>
    <row r="32" spans="1:22" x14ac:dyDescent="0.3">
      <c r="A32" s="136" t="s">
        <v>185</v>
      </c>
      <c r="B32" s="136" t="s">
        <v>184</v>
      </c>
      <c r="C32" s="136" t="s">
        <v>202</v>
      </c>
      <c r="D32" s="143">
        <v>42922</v>
      </c>
      <c r="E32" s="136">
        <v>59423.38</v>
      </c>
      <c r="F32" s="136" t="s">
        <v>14</v>
      </c>
      <c r="G32" s="140" t="s">
        <v>11</v>
      </c>
      <c r="H32" s="136" t="s">
        <v>12</v>
      </c>
      <c r="J32" s="139">
        <v>28</v>
      </c>
      <c r="K32" s="138">
        <v>46424.52</v>
      </c>
      <c r="L32" s="136">
        <v>0</v>
      </c>
      <c r="M32" s="136">
        <f t="shared" si="0"/>
        <v>6499.4328000000005</v>
      </c>
      <c r="N32" s="136">
        <f t="shared" si="1"/>
        <v>6499.4328000000005</v>
      </c>
      <c r="O32" s="136">
        <v>0</v>
      </c>
      <c r="P32" s="175">
        <v>85129000</v>
      </c>
      <c r="Q32" s="137" t="s">
        <v>22</v>
      </c>
      <c r="R32" s="136" t="s">
        <v>13</v>
      </c>
      <c r="S32" s="136">
        <v>774</v>
      </c>
      <c r="T32" s="136">
        <v>774</v>
      </c>
      <c r="U32" s="136">
        <f t="shared" si="2"/>
        <v>0</v>
      </c>
      <c r="V32" s="136">
        <v>774</v>
      </c>
    </row>
    <row r="33" spans="1:22" x14ac:dyDescent="0.3">
      <c r="A33" s="136" t="s">
        <v>6</v>
      </c>
      <c r="B33" s="136" t="s">
        <v>5</v>
      </c>
      <c r="C33" s="136" t="s">
        <v>203</v>
      </c>
      <c r="D33" s="143">
        <v>42922</v>
      </c>
      <c r="E33" s="136">
        <v>40769.120000000003</v>
      </c>
      <c r="F33" s="136" t="s">
        <v>14</v>
      </c>
      <c r="G33" s="140" t="s">
        <v>11</v>
      </c>
      <c r="H33" s="136" t="s">
        <v>12</v>
      </c>
      <c r="J33" s="139">
        <v>28</v>
      </c>
      <c r="K33" s="138">
        <v>31850.880000000001</v>
      </c>
      <c r="L33" s="136">
        <v>0</v>
      </c>
      <c r="M33" s="136">
        <f t="shared" si="0"/>
        <v>4459.1232000000009</v>
      </c>
      <c r="N33" s="136">
        <f t="shared" si="1"/>
        <v>4459.1232000000009</v>
      </c>
      <c r="O33" s="136">
        <v>0</v>
      </c>
      <c r="P33" s="175">
        <v>87081090</v>
      </c>
      <c r="Q33" s="137" t="s">
        <v>22</v>
      </c>
      <c r="R33" s="136" t="s">
        <v>13</v>
      </c>
      <c r="S33" s="136">
        <v>384</v>
      </c>
      <c r="T33" s="136">
        <v>384</v>
      </c>
      <c r="U33" s="136">
        <f t="shared" si="2"/>
        <v>0</v>
      </c>
      <c r="V33" s="136">
        <v>384</v>
      </c>
    </row>
    <row r="34" spans="1:22" x14ac:dyDescent="0.3">
      <c r="A34" s="136" t="s">
        <v>6</v>
      </c>
      <c r="B34" s="136" t="s">
        <v>5</v>
      </c>
      <c r="C34" s="136" t="s">
        <v>204</v>
      </c>
      <c r="D34" s="143">
        <v>42922</v>
      </c>
      <c r="E34" s="136">
        <v>28510.720000000001</v>
      </c>
      <c r="F34" s="136" t="s">
        <v>14</v>
      </c>
      <c r="G34" s="140" t="s">
        <v>11</v>
      </c>
      <c r="H34" s="136" t="s">
        <v>12</v>
      </c>
      <c r="J34" s="139">
        <v>28</v>
      </c>
      <c r="K34" s="138">
        <v>22274</v>
      </c>
      <c r="L34" s="136">
        <v>0</v>
      </c>
      <c r="M34" s="136">
        <f t="shared" si="0"/>
        <v>3118.36</v>
      </c>
      <c r="N34" s="136">
        <f t="shared" si="1"/>
        <v>3118.36</v>
      </c>
      <c r="O34" s="136">
        <v>0</v>
      </c>
      <c r="P34" s="175">
        <v>87141090</v>
      </c>
      <c r="Q34" s="137" t="s">
        <v>22</v>
      </c>
      <c r="R34" s="136" t="s">
        <v>13</v>
      </c>
      <c r="S34" s="136">
        <v>296</v>
      </c>
      <c r="T34" s="136">
        <v>296</v>
      </c>
      <c r="U34" s="136">
        <f t="shared" si="2"/>
        <v>0</v>
      </c>
      <c r="V34" s="136">
        <v>296</v>
      </c>
    </row>
    <row r="35" spans="1:22" x14ac:dyDescent="0.3">
      <c r="A35" s="136" t="s">
        <v>187</v>
      </c>
      <c r="B35" s="136" t="s">
        <v>178</v>
      </c>
      <c r="C35" s="136" t="s">
        <v>205</v>
      </c>
      <c r="D35" s="143">
        <v>42922</v>
      </c>
      <c r="E35" s="136">
        <v>31903.759999999998</v>
      </c>
      <c r="F35" s="136" t="s">
        <v>14</v>
      </c>
      <c r="G35" s="140" t="s">
        <v>11</v>
      </c>
      <c r="H35" s="136" t="s">
        <v>12</v>
      </c>
      <c r="J35" s="139">
        <v>28</v>
      </c>
      <c r="K35" s="138">
        <v>24924.799999999999</v>
      </c>
      <c r="L35" s="136">
        <v>0</v>
      </c>
      <c r="M35" s="136">
        <f t="shared" si="0"/>
        <v>3489.4720000000002</v>
      </c>
      <c r="N35" s="136">
        <f t="shared" si="1"/>
        <v>3489.4720000000002</v>
      </c>
      <c r="O35" s="136">
        <v>0</v>
      </c>
      <c r="P35" s="175">
        <v>87089900</v>
      </c>
      <c r="Q35" s="137" t="s">
        <v>22</v>
      </c>
      <c r="R35" s="136" t="s">
        <v>13</v>
      </c>
      <c r="S35" s="136">
        <v>60</v>
      </c>
      <c r="T35" s="136">
        <v>60</v>
      </c>
      <c r="U35" s="136">
        <f t="shared" si="2"/>
        <v>0</v>
      </c>
      <c r="V35" s="136">
        <v>60</v>
      </c>
    </row>
    <row r="36" spans="1:22" x14ac:dyDescent="0.3">
      <c r="A36" s="136" t="s">
        <v>6</v>
      </c>
      <c r="B36" s="136" t="s">
        <v>5</v>
      </c>
      <c r="C36" s="136" t="s">
        <v>206</v>
      </c>
      <c r="D36" s="143">
        <v>42922</v>
      </c>
      <c r="E36" s="136">
        <v>25480.720000000001</v>
      </c>
      <c r="F36" s="136" t="s">
        <v>14</v>
      </c>
      <c r="G36" s="140" t="s">
        <v>11</v>
      </c>
      <c r="H36" s="136" t="s">
        <v>12</v>
      </c>
      <c r="J36" s="139">
        <v>28</v>
      </c>
      <c r="K36" s="138">
        <v>19906.8</v>
      </c>
      <c r="L36" s="136">
        <v>0</v>
      </c>
      <c r="M36" s="136">
        <f t="shared" si="0"/>
        <v>2786.9520000000002</v>
      </c>
      <c r="N36" s="136">
        <f t="shared" si="1"/>
        <v>2786.9520000000002</v>
      </c>
      <c r="O36" s="136">
        <v>0</v>
      </c>
      <c r="P36" s="175">
        <v>87081090</v>
      </c>
      <c r="Q36" s="137" t="s">
        <v>22</v>
      </c>
      <c r="R36" s="136" t="s">
        <v>13</v>
      </c>
      <c r="S36" s="136">
        <v>240</v>
      </c>
      <c r="T36" s="136">
        <v>240</v>
      </c>
      <c r="U36" s="136">
        <f t="shared" si="2"/>
        <v>0</v>
      </c>
      <c r="V36" s="136">
        <v>240</v>
      </c>
    </row>
    <row r="37" spans="1:22" x14ac:dyDescent="0.3">
      <c r="A37" s="136" t="s">
        <v>6</v>
      </c>
      <c r="B37" s="136" t="s">
        <v>5</v>
      </c>
      <c r="C37" s="136" t="s">
        <v>207</v>
      </c>
      <c r="D37" s="143">
        <v>42922</v>
      </c>
      <c r="E37" s="136">
        <v>30359.360000000001</v>
      </c>
      <c r="F37" s="136" t="s">
        <v>14</v>
      </c>
      <c r="G37" s="140" t="s">
        <v>11</v>
      </c>
      <c r="H37" s="136" t="s">
        <v>12</v>
      </c>
      <c r="J37" s="139">
        <v>28</v>
      </c>
      <c r="K37" s="138">
        <v>23718.240000000002</v>
      </c>
      <c r="L37" s="136">
        <v>0</v>
      </c>
      <c r="M37" s="136">
        <f t="shared" si="0"/>
        <v>3320.5536000000006</v>
      </c>
      <c r="N37" s="136">
        <f t="shared" si="1"/>
        <v>3320.5536000000006</v>
      </c>
      <c r="O37" s="136">
        <v>0</v>
      </c>
      <c r="P37" s="175">
        <v>87081090</v>
      </c>
      <c r="Q37" s="137" t="s">
        <v>22</v>
      </c>
      <c r="R37" s="136" t="s">
        <v>13</v>
      </c>
      <c r="S37" s="136">
        <v>288</v>
      </c>
      <c r="T37" s="136">
        <v>288</v>
      </c>
      <c r="U37" s="136">
        <f t="shared" si="2"/>
        <v>0</v>
      </c>
      <c r="V37" s="136">
        <v>288</v>
      </c>
    </row>
    <row r="38" spans="1:22" x14ac:dyDescent="0.3">
      <c r="A38" s="136" t="s">
        <v>209</v>
      </c>
      <c r="B38" s="136" t="s">
        <v>208</v>
      </c>
      <c r="C38" s="136" t="s">
        <v>210</v>
      </c>
      <c r="D38" s="143">
        <v>42923</v>
      </c>
      <c r="E38" s="136">
        <v>21423.05</v>
      </c>
      <c r="F38" s="136" t="s">
        <v>211</v>
      </c>
      <c r="G38" s="140" t="s">
        <v>11</v>
      </c>
      <c r="H38" s="136" t="s">
        <v>12</v>
      </c>
      <c r="J38" s="139">
        <v>28</v>
      </c>
      <c r="K38" s="138">
        <v>16736.759999999998</v>
      </c>
      <c r="L38" s="136">
        <f>+J38/100*K38</f>
        <v>4686.2928000000002</v>
      </c>
      <c r="M38" s="136">
        <v>0</v>
      </c>
      <c r="N38" s="136">
        <v>0</v>
      </c>
      <c r="O38" s="136">
        <v>0</v>
      </c>
      <c r="P38" s="175">
        <v>87081090</v>
      </c>
      <c r="Q38" s="137" t="s">
        <v>22</v>
      </c>
      <c r="R38" s="136" t="s">
        <v>13</v>
      </c>
      <c r="S38" s="136">
        <v>12</v>
      </c>
      <c r="T38" s="136">
        <v>12</v>
      </c>
      <c r="U38" s="136">
        <f t="shared" si="2"/>
        <v>0</v>
      </c>
      <c r="V38" s="136">
        <v>12</v>
      </c>
    </row>
    <row r="39" spans="1:22" x14ac:dyDescent="0.3">
      <c r="A39" s="136" t="s">
        <v>188</v>
      </c>
      <c r="B39" s="136" t="s">
        <v>189</v>
      </c>
      <c r="C39" s="136" t="s">
        <v>212</v>
      </c>
      <c r="D39" s="143">
        <v>42923</v>
      </c>
      <c r="E39" s="136">
        <v>35251.199999999997</v>
      </c>
      <c r="F39" s="136" t="s">
        <v>14</v>
      </c>
      <c r="G39" s="140" t="s">
        <v>11</v>
      </c>
      <c r="H39" s="136" t="s">
        <v>12</v>
      </c>
      <c r="J39" s="139">
        <v>28</v>
      </c>
      <c r="K39" s="138">
        <v>27540</v>
      </c>
      <c r="L39" s="136">
        <v>0</v>
      </c>
      <c r="M39" s="136">
        <f t="shared" ref="M39:M50" si="3">+J39/100*K39/2</f>
        <v>3855.6000000000004</v>
      </c>
      <c r="N39" s="136">
        <f t="shared" ref="N39:N50" si="4">+J39/100*K39/2</f>
        <v>3855.6000000000004</v>
      </c>
      <c r="O39" s="136">
        <v>0</v>
      </c>
      <c r="P39" s="175">
        <v>87141090</v>
      </c>
      <c r="Q39" s="137" t="s">
        <v>22</v>
      </c>
      <c r="R39" s="136" t="s">
        <v>13</v>
      </c>
      <c r="S39" s="136">
        <v>1200</v>
      </c>
      <c r="T39" s="136">
        <v>1200</v>
      </c>
      <c r="U39" s="136">
        <f t="shared" si="2"/>
        <v>0</v>
      </c>
      <c r="V39" s="136">
        <v>1200</v>
      </c>
    </row>
    <row r="40" spans="1:22" x14ac:dyDescent="0.3">
      <c r="A40" s="136" t="s">
        <v>40</v>
      </c>
      <c r="B40" s="136" t="s">
        <v>39</v>
      </c>
      <c r="C40" s="136" t="s">
        <v>213</v>
      </c>
      <c r="D40" s="143">
        <v>42923</v>
      </c>
      <c r="E40" s="136">
        <v>10058.56</v>
      </c>
      <c r="F40" s="136" t="s">
        <v>14</v>
      </c>
      <c r="G40" s="140" t="s">
        <v>11</v>
      </c>
      <c r="H40" s="136" t="s">
        <v>12</v>
      </c>
      <c r="J40" s="139">
        <v>18</v>
      </c>
      <c r="K40" s="138">
        <v>8524.2000000000007</v>
      </c>
      <c r="L40" s="136">
        <v>0</v>
      </c>
      <c r="M40" s="136">
        <f t="shared" si="3"/>
        <v>767.178</v>
      </c>
      <c r="N40" s="136">
        <f t="shared" si="4"/>
        <v>767.178</v>
      </c>
      <c r="O40" s="136">
        <v>0</v>
      </c>
      <c r="P40" s="175">
        <v>998898</v>
      </c>
      <c r="Q40" s="137" t="s">
        <v>22</v>
      </c>
      <c r="R40" s="136" t="s">
        <v>13</v>
      </c>
      <c r="S40" s="136">
        <v>0</v>
      </c>
      <c r="T40" s="136">
        <v>0</v>
      </c>
      <c r="U40" s="136">
        <f t="shared" si="2"/>
        <v>0</v>
      </c>
      <c r="V40" s="136">
        <v>30</v>
      </c>
    </row>
    <row r="41" spans="1:22" x14ac:dyDescent="0.3">
      <c r="A41" s="136" t="s">
        <v>214</v>
      </c>
      <c r="B41" s="136" t="s">
        <v>215</v>
      </c>
      <c r="C41" s="136" t="s">
        <v>216</v>
      </c>
      <c r="D41" s="143">
        <v>42923</v>
      </c>
      <c r="E41" s="136">
        <v>60096</v>
      </c>
      <c r="F41" s="136" t="s">
        <v>14</v>
      </c>
      <c r="G41" s="140" t="s">
        <v>11</v>
      </c>
      <c r="H41" s="136" t="s">
        <v>12</v>
      </c>
      <c r="J41" s="139">
        <v>28</v>
      </c>
      <c r="K41" s="138">
        <v>46950</v>
      </c>
      <c r="L41" s="136">
        <v>0</v>
      </c>
      <c r="M41" s="136">
        <f t="shared" si="3"/>
        <v>6573.0000000000009</v>
      </c>
      <c r="N41" s="136">
        <f t="shared" si="4"/>
        <v>6573.0000000000009</v>
      </c>
      <c r="O41" s="136">
        <v>0</v>
      </c>
      <c r="P41" s="175">
        <v>85129000</v>
      </c>
      <c r="Q41" s="137" t="s">
        <v>22</v>
      </c>
      <c r="R41" s="136" t="s">
        <v>13</v>
      </c>
      <c r="S41" s="136">
        <v>1878</v>
      </c>
      <c r="T41" s="136">
        <v>1878</v>
      </c>
      <c r="U41" s="136">
        <f t="shared" si="2"/>
        <v>0</v>
      </c>
      <c r="V41" s="136">
        <v>1878</v>
      </c>
    </row>
    <row r="42" spans="1:22" x14ac:dyDescent="0.3">
      <c r="A42" s="136" t="s">
        <v>6</v>
      </c>
      <c r="B42" s="136" t="s">
        <v>5</v>
      </c>
      <c r="C42" s="136" t="s">
        <v>217</v>
      </c>
      <c r="D42" s="143">
        <v>42923</v>
      </c>
      <c r="E42" s="136">
        <v>42043.16</v>
      </c>
      <c r="F42" s="136" t="s">
        <v>14</v>
      </c>
      <c r="G42" s="140" t="s">
        <v>11</v>
      </c>
      <c r="H42" s="136" t="s">
        <v>12</v>
      </c>
      <c r="J42" s="139">
        <v>28</v>
      </c>
      <c r="K42" s="138">
        <v>32846.22</v>
      </c>
      <c r="L42" s="136">
        <v>0</v>
      </c>
      <c r="M42" s="136">
        <f t="shared" si="3"/>
        <v>4598.470800000001</v>
      </c>
      <c r="N42" s="136">
        <f t="shared" si="4"/>
        <v>4598.470800000001</v>
      </c>
      <c r="O42" s="136">
        <v>0</v>
      </c>
      <c r="P42" s="175">
        <v>87081090</v>
      </c>
      <c r="Q42" s="137" t="s">
        <v>22</v>
      </c>
      <c r="R42" s="136" t="s">
        <v>13</v>
      </c>
      <c r="S42" s="136">
        <v>396</v>
      </c>
      <c r="T42" s="136">
        <v>396</v>
      </c>
      <c r="U42" s="136">
        <f t="shared" si="2"/>
        <v>0</v>
      </c>
      <c r="V42" s="136">
        <v>396</v>
      </c>
    </row>
    <row r="43" spans="1:22" x14ac:dyDescent="0.3">
      <c r="A43" s="136" t="s">
        <v>6</v>
      </c>
      <c r="B43" s="136" t="s">
        <v>5</v>
      </c>
      <c r="C43" s="136" t="s">
        <v>218</v>
      </c>
      <c r="D43" s="143">
        <v>42923</v>
      </c>
      <c r="E43" s="136">
        <v>28896</v>
      </c>
      <c r="F43" s="136" t="s">
        <v>14</v>
      </c>
      <c r="G43" s="140" t="s">
        <v>11</v>
      </c>
      <c r="H43" s="136" t="s">
        <v>12</v>
      </c>
      <c r="J43" s="139">
        <v>28</v>
      </c>
      <c r="K43" s="138">
        <v>22575</v>
      </c>
      <c r="L43" s="136">
        <v>0</v>
      </c>
      <c r="M43" s="136">
        <f t="shared" si="3"/>
        <v>3160.5000000000005</v>
      </c>
      <c r="N43" s="136">
        <f t="shared" si="4"/>
        <v>3160.5000000000005</v>
      </c>
      <c r="O43" s="136">
        <v>0</v>
      </c>
      <c r="P43" s="175">
        <v>87141090</v>
      </c>
      <c r="Q43" s="137" t="s">
        <v>22</v>
      </c>
      <c r="R43" s="136" t="s">
        <v>13</v>
      </c>
      <c r="S43" s="136">
        <v>300</v>
      </c>
      <c r="T43" s="136">
        <v>300</v>
      </c>
      <c r="U43" s="136">
        <f t="shared" si="2"/>
        <v>0</v>
      </c>
      <c r="V43" s="136">
        <v>300</v>
      </c>
    </row>
    <row r="44" spans="1:22" x14ac:dyDescent="0.3">
      <c r="A44" s="136" t="s">
        <v>6</v>
      </c>
      <c r="B44" s="136" t="s">
        <v>5</v>
      </c>
      <c r="C44" s="136" t="s">
        <v>219</v>
      </c>
      <c r="D44" s="143">
        <v>42924</v>
      </c>
      <c r="E44" s="136">
        <v>21658.6</v>
      </c>
      <c r="F44" s="136" t="s">
        <v>14</v>
      </c>
      <c r="G44" s="140" t="s">
        <v>11</v>
      </c>
      <c r="H44" s="136" t="s">
        <v>12</v>
      </c>
      <c r="J44" s="139">
        <v>28</v>
      </c>
      <c r="K44" s="138">
        <v>16920.78</v>
      </c>
      <c r="L44" s="136">
        <v>0</v>
      </c>
      <c r="M44" s="136">
        <f t="shared" si="3"/>
        <v>2368.9092000000001</v>
      </c>
      <c r="N44" s="136">
        <f t="shared" si="4"/>
        <v>2368.9092000000001</v>
      </c>
      <c r="O44" s="136">
        <v>0</v>
      </c>
      <c r="P44" s="175">
        <v>87081090</v>
      </c>
      <c r="Q44" s="137" t="s">
        <v>22</v>
      </c>
      <c r="R44" s="136" t="s">
        <v>13</v>
      </c>
      <c r="S44" s="136">
        <v>204</v>
      </c>
      <c r="T44" s="136">
        <v>204</v>
      </c>
      <c r="U44" s="136">
        <f t="shared" si="2"/>
        <v>0</v>
      </c>
      <c r="V44" s="136">
        <v>204</v>
      </c>
    </row>
    <row r="45" spans="1:22" x14ac:dyDescent="0.3">
      <c r="A45" s="136" t="s">
        <v>40</v>
      </c>
      <c r="B45" s="136" t="s">
        <v>39</v>
      </c>
      <c r="C45" s="136" t="s">
        <v>220</v>
      </c>
      <c r="D45" s="143">
        <v>42924</v>
      </c>
      <c r="E45" s="136">
        <v>10058.56</v>
      </c>
      <c r="F45" s="136" t="s">
        <v>14</v>
      </c>
      <c r="G45" s="140" t="s">
        <v>11</v>
      </c>
      <c r="H45" s="136" t="s">
        <v>12</v>
      </c>
      <c r="J45" s="139">
        <v>18</v>
      </c>
      <c r="K45" s="138">
        <v>8524.2000000000007</v>
      </c>
      <c r="L45" s="136">
        <v>0</v>
      </c>
      <c r="M45" s="136">
        <f t="shared" si="3"/>
        <v>767.178</v>
      </c>
      <c r="N45" s="136">
        <f t="shared" si="4"/>
        <v>767.178</v>
      </c>
      <c r="O45" s="136">
        <v>0</v>
      </c>
      <c r="P45" s="175">
        <v>998898</v>
      </c>
      <c r="Q45" s="137" t="s">
        <v>22</v>
      </c>
      <c r="R45" s="136" t="s">
        <v>13</v>
      </c>
      <c r="S45" s="136">
        <v>0</v>
      </c>
      <c r="T45" s="136">
        <v>0</v>
      </c>
      <c r="U45" s="136">
        <f t="shared" si="2"/>
        <v>0</v>
      </c>
      <c r="V45" s="136">
        <v>30</v>
      </c>
    </row>
    <row r="46" spans="1:22" x14ac:dyDescent="0.3">
      <c r="A46" s="136" t="s">
        <v>214</v>
      </c>
      <c r="B46" s="136" t="s">
        <v>215</v>
      </c>
      <c r="C46" s="136" t="s">
        <v>221</v>
      </c>
      <c r="D46" s="143">
        <v>42924</v>
      </c>
      <c r="E46" s="136">
        <v>115200</v>
      </c>
      <c r="F46" s="136" t="s">
        <v>14</v>
      </c>
      <c r="G46" s="140" t="s">
        <v>11</v>
      </c>
      <c r="H46" s="136" t="s">
        <v>12</v>
      </c>
      <c r="J46" s="139">
        <v>28</v>
      </c>
      <c r="K46" s="138">
        <v>90000</v>
      </c>
      <c r="L46" s="136">
        <v>0</v>
      </c>
      <c r="M46" s="136">
        <f t="shared" si="3"/>
        <v>12600.000000000002</v>
      </c>
      <c r="N46" s="136">
        <f t="shared" si="4"/>
        <v>12600.000000000002</v>
      </c>
      <c r="O46" s="136">
        <v>0</v>
      </c>
      <c r="P46" s="175">
        <v>85129000</v>
      </c>
      <c r="Q46" s="137" t="s">
        <v>22</v>
      </c>
      <c r="R46" s="136" t="s">
        <v>13</v>
      </c>
      <c r="S46" s="136">
        <v>3600</v>
      </c>
      <c r="T46" s="136">
        <v>3600</v>
      </c>
      <c r="U46" s="136">
        <f t="shared" si="2"/>
        <v>0</v>
      </c>
      <c r="V46" s="136">
        <v>3600</v>
      </c>
    </row>
    <row r="47" spans="1:22" x14ac:dyDescent="0.3">
      <c r="A47" s="136" t="s">
        <v>6</v>
      </c>
      <c r="B47" s="136" t="s">
        <v>5</v>
      </c>
      <c r="C47" s="136" t="s">
        <v>222</v>
      </c>
      <c r="D47" s="143">
        <v>42924</v>
      </c>
      <c r="E47" s="136">
        <v>4216.58</v>
      </c>
      <c r="F47" s="136" t="s">
        <v>14</v>
      </c>
      <c r="G47" s="140" t="s">
        <v>11</v>
      </c>
      <c r="H47" s="136" t="s">
        <v>12</v>
      </c>
      <c r="J47" s="139">
        <v>28</v>
      </c>
      <c r="K47" s="138">
        <v>3294.2</v>
      </c>
      <c r="L47" s="136">
        <v>0</v>
      </c>
      <c r="M47" s="136">
        <f t="shared" si="3"/>
        <v>461.18800000000005</v>
      </c>
      <c r="N47" s="136">
        <f t="shared" si="4"/>
        <v>461.18800000000005</v>
      </c>
      <c r="O47" s="136">
        <v>0</v>
      </c>
      <c r="P47" s="175">
        <v>87081090</v>
      </c>
      <c r="Q47" s="137" t="s">
        <v>22</v>
      </c>
      <c r="R47" s="136" t="s">
        <v>13</v>
      </c>
      <c r="S47" s="136">
        <v>40</v>
      </c>
      <c r="T47" s="136">
        <v>40</v>
      </c>
      <c r="U47" s="136">
        <f t="shared" si="2"/>
        <v>0</v>
      </c>
      <c r="V47" s="136">
        <v>40</v>
      </c>
    </row>
    <row r="48" spans="1:22" x14ac:dyDescent="0.3">
      <c r="A48" s="136" t="s">
        <v>188</v>
      </c>
      <c r="B48" s="136" t="s">
        <v>189</v>
      </c>
      <c r="C48" s="136" t="s">
        <v>223</v>
      </c>
      <c r="D48" s="143">
        <v>42924</v>
      </c>
      <c r="E48" s="136">
        <v>83897.86</v>
      </c>
      <c r="F48" s="136" t="s">
        <v>14</v>
      </c>
      <c r="G48" s="140" t="s">
        <v>11</v>
      </c>
      <c r="H48" s="136" t="s">
        <v>12</v>
      </c>
      <c r="J48" s="139">
        <v>28</v>
      </c>
      <c r="K48" s="138">
        <v>65545.2</v>
      </c>
      <c r="L48" s="136">
        <v>0</v>
      </c>
      <c r="M48" s="136">
        <f t="shared" si="3"/>
        <v>9176.3280000000013</v>
      </c>
      <c r="N48" s="136">
        <f t="shared" si="4"/>
        <v>9176.3280000000013</v>
      </c>
      <c r="O48" s="136">
        <v>0</v>
      </c>
      <c r="P48" s="175">
        <v>87141090</v>
      </c>
      <c r="Q48" s="137" t="s">
        <v>22</v>
      </c>
      <c r="R48" s="136" t="s">
        <v>13</v>
      </c>
      <c r="S48" s="136">
        <v>2856</v>
      </c>
      <c r="T48" s="136">
        <v>2856</v>
      </c>
      <c r="U48" s="136">
        <f t="shared" si="2"/>
        <v>0</v>
      </c>
      <c r="V48" s="136">
        <v>2856</v>
      </c>
    </row>
    <row r="49" spans="1:22" x14ac:dyDescent="0.3">
      <c r="A49" s="136" t="s">
        <v>185</v>
      </c>
      <c r="B49" s="136" t="s">
        <v>184</v>
      </c>
      <c r="C49" s="136" t="s">
        <v>224</v>
      </c>
      <c r="D49" s="143">
        <v>42924</v>
      </c>
      <c r="E49" s="136">
        <v>55277.56</v>
      </c>
      <c r="F49" s="136" t="s">
        <v>14</v>
      </c>
      <c r="G49" s="140" t="s">
        <v>11</v>
      </c>
      <c r="H49" s="136" t="s">
        <v>12</v>
      </c>
      <c r="J49" s="139">
        <v>28</v>
      </c>
      <c r="K49" s="138">
        <v>43185.599999999999</v>
      </c>
      <c r="L49" s="136">
        <v>0</v>
      </c>
      <c r="M49" s="136">
        <f t="shared" si="3"/>
        <v>6045.9840000000004</v>
      </c>
      <c r="N49" s="136">
        <f t="shared" si="4"/>
        <v>6045.9840000000004</v>
      </c>
      <c r="O49" s="136">
        <v>0</v>
      </c>
      <c r="P49" s="175">
        <v>85129000</v>
      </c>
      <c r="Q49" s="137" t="s">
        <v>22</v>
      </c>
      <c r="R49" s="136" t="s">
        <v>13</v>
      </c>
      <c r="S49" s="136">
        <v>720</v>
      </c>
      <c r="T49" s="136">
        <v>720</v>
      </c>
      <c r="U49" s="136">
        <f t="shared" si="2"/>
        <v>0</v>
      </c>
      <c r="V49" s="136">
        <v>720</v>
      </c>
    </row>
    <row r="50" spans="1:22" x14ac:dyDescent="0.3">
      <c r="A50" s="136" t="s">
        <v>6</v>
      </c>
      <c r="B50" s="136" t="s">
        <v>5</v>
      </c>
      <c r="C50" s="136" t="s">
        <v>225</v>
      </c>
      <c r="D50" s="143">
        <v>42924</v>
      </c>
      <c r="E50" s="136">
        <v>62427.72</v>
      </c>
      <c r="F50" s="136" t="s">
        <v>14</v>
      </c>
      <c r="G50" s="140" t="s">
        <v>11</v>
      </c>
      <c r="H50" s="136" t="s">
        <v>12</v>
      </c>
      <c r="J50" s="139">
        <v>28</v>
      </c>
      <c r="K50" s="138">
        <v>48771.66</v>
      </c>
      <c r="L50" s="136">
        <v>0</v>
      </c>
      <c r="M50" s="136">
        <f t="shared" si="3"/>
        <v>6828.032400000001</v>
      </c>
      <c r="N50" s="136">
        <f t="shared" si="4"/>
        <v>6828.032400000001</v>
      </c>
      <c r="O50" s="136">
        <v>0</v>
      </c>
      <c r="P50" s="175">
        <v>87081090</v>
      </c>
      <c r="Q50" s="137" t="s">
        <v>22</v>
      </c>
      <c r="R50" s="136" t="s">
        <v>13</v>
      </c>
      <c r="S50" s="136">
        <v>588</v>
      </c>
      <c r="T50" s="136">
        <v>588</v>
      </c>
      <c r="U50" s="136">
        <f t="shared" si="2"/>
        <v>0</v>
      </c>
      <c r="V50" s="136">
        <v>588</v>
      </c>
    </row>
    <row r="51" spans="1:22" x14ac:dyDescent="0.3">
      <c r="A51" s="136" t="s">
        <v>227</v>
      </c>
      <c r="B51" s="136" t="s">
        <v>226</v>
      </c>
      <c r="C51" s="136" t="s">
        <v>228</v>
      </c>
      <c r="D51" s="143">
        <v>42924</v>
      </c>
      <c r="E51" s="136">
        <v>36517.47</v>
      </c>
      <c r="F51" s="136" t="s">
        <v>211</v>
      </c>
      <c r="G51" s="140" t="s">
        <v>11</v>
      </c>
      <c r="H51" s="136" t="s">
        <v>12</v>
      </c>
      <c r="J51" s="139">
        <v>28</v>
      </c>
      <c r="K51" s="138">
        <v>28529.27</v>
      </c>
      <c r="L51" s="136">
        <f t="shared" ref="L51:L59" si="5">+J51/100*K51</f>
        <v>7988.1956000000009</v>
      </c>
      <c r="M51" s="136">
        <v>0</v>
      </c>
      <c r="N51" s="136">
        <v>0</v>
      </c>
      <c r="O51" s="136">
        <v>0</v>
      </c>
      <c r="P51" s="175">
        <v>87089900</v>
      </c>
      <c r="Q51" s="137" t="s">
        <v>22</v>
      </c>
      <c r="R51" s="136" t="s">
        <v>13</v>
      </c>
      <c r="S51" s="136">
        <v>79</v>
      </c>
      <c r="T51" s="136">
        <v>79</v>
      </c>
      <c r="U51" s="136">
        <f t="shared" si="2"/>
        <v>0</v>
      </c>
      <c r="V51" s="136">
        <v>79</v>
      </c>
    </row>
    <row r="52" spans="1:22" x14ac:dyDescent="0.3">
      <c r="A52" s="136" t="s">
        <v>209</v>
      </c>
      <c r="B52" s="136" t="s">
        <v>208</v>
      </c>
      <c r="C52" s="136" t="s">
        <v>229</v>
      </c>
      <c r="D52" s="143">
        <v>42924</v>
      </c>
      <c r="E52" s="136">
        <v>62536.32</v>
      </c>
      <c r="F52" s="136" t="s">
        <v>211</v>
      </c>
      <c r="G52" s="140" t="s">
        <v>11</v>
      </c>
      <c r="H52" s="136" t="s">
        <v>12</v>
      </c>
      <c r="J52" s="139">
        <v>28</v>
      </c>
      <c r="K52" s="138">
        <v>48856.5</v>
      </c>
      <c r="L52" s="136">
        <f t="shared" si="5"/>
        <v>13679.820000000002</v>
      </c>
      <c r="M52" s="136">
        <v>0</v>
      </c>
      <c r="N52" s="136">
        <v>0</v>
      </c>
      <c r="O52" s="136">
        <v>0</v>
      </c>
      <c r="P52" s="175">
        <v>87081090</v>
      </c>
      <c r="Q52" s="137" t="s">
        <v>22</v>
      </c>
      <c r="R52" s="136" t="s">
        <v>13</v>
      </c>
      <c r="S52" s="136">
        <v>150</v>
      </c>
      <c r="T52" s="136">
        <v>150</v>
      </c>
      <c r="U52" s="136">
        <f t="shared" si="2"/>
        <v>0</v>
      </c>
      <c r="V52" s="136">
        <v>150</v>
      </c>
    </row>
    <row r="53" spans="1:22" x14ac:dyDescent="0.3">
      <c r="A53" s="136" t="s">
        <v>209</v>
      </c>
      <c r="B53" s="136" t="s">
        <v>208</v>
      </c>
      <c r="C53" s="136" t="s">
        <v>230</v>
      </c>
      <c r="D53" s="143">
        <v>42924</v>
      </c>
      <c r="E53" s="136">
        <v>1397.5</v>
      </c>
      <c r="F53" s="136" t="s">
        <v>211</v>
      </c>
      <c r="G53" s="140" t="s">
        <v>11</v>
      </c>
      <c r="H53" s="136" t="s">
        <v>12</v>
      </c>
      <c r="J53" s="139">
        <v>28</v>
      </c>
      <c r="K53" s="138">
        <v>1091.8</v>
      </c>
      <c r="L53" s="136">
        <f t="shared" si="5"/>
        <v>305.70400000000001</v>
      </c>
      <c r="M53" s="136">
        <v>0</v>
      </c>
      <c r="N53" s="136">
        <v>0</v>
      </c>
      <c r="O53" s="136">
        <v>0</v>
      </c>
      <c r="P53" s="175">
        <v>87081090</v>
      </c>
      <c r="Q53" s="137" t="s">
        <v>22</v>
      </c>
      <c r="R53" s="136" t="s">
        <v>13</v>
      </c>
      <c r="S53" s="136">
        <v>1</v>
      </c>
      <c r="T53" s="136">
        <v>1</v>
      </c>
      <c r="U53" s="136">
        <f t="shared" si="2"/>
        <v>0</v>
      </c>
      <c r="V53" s="136">
        <v>1</v>
      </c>
    </row>
    <row r="54" spans="1:22" x14ac:dyDescent="0.3">
      <c r="A54" s="136" t="s">
        <v>209</v>
      </c>
      <c r="B54" s="136" t="s">
        <v>208</v>
      </c>
      <c r="C54" s="136" t="s">
        <v>231</v>
      </c>
      <c r="D54" s="143">
        <v>42924</v>
      </c>
      <c r="E54" s="136">
        <v>15117.24</v>
      </c>
      <c r="F54" s="136" t="s">
        <v>211</v>
      </c>
      <c r="G54" s="140" t="s">
        <v>11</v>
      </c>
      <c r="H54" s="136" t="s">
        <v>12</v>
      </c>
      <c r="J54" s="139">
        <v>28</v>
      </c>
      <c r="K54" s="138">
        <v>11810.34</v>
      </c>
      <c r="L54" s="136">
        <f t="shared" si="5"/>
        <v>3306.8952000000004</v>
      </c>
      <c r="M54" s="136">
        <v>0</v>
      </c>
      <c r="N54" s="136">
        <v>0</v>
      </c>
      <c r="O54" s="136">
        <v>0</v>
      </c>
      <c r="P54" s="175">
        <v>87081090</v>
      </c>
      <c r="Q54" s="137" t="s">
        <v>22</v>
      </c>
      <c r="R54" s="136" t="s">
        <v>13</v>
      </c>
      <c r="S54" s="136">
        <v>6</v>
      </c>
      <c r="T54" s="136">
        <v>6</v>
      </c>
      <c r="U54" s="136">
        <f t="shared" si="2"/>
        <v>0</v>
      </c>
      <c r="V54" s="136">
        <v>6</v>
      </c>
    </row>
    <row r="55" spans="1:22" x14ac:dyDescent="0.3">
      <c r="A55" s="136" t="s">
        <v>209</v>
      </c>
      <c r="B55" s="136" t="s">
        <v>208</v>
      </c>
      <c r="C55" s="136" t="s">
        <v>232</v>
      </c>
      <c r="D55" s="143">
        <v>42924</v>
      </c>
      <c r="E55" s="136">
        <v>2403.38</v>
      </c>
      <c r="F55" s="136" t="s">
        <v>211</v>
      </c>
      <c r="G55" s="140" t="s">
        <v>11</v>
      </c>
      <c r="H55" s="136" t="s">
        <v>12</v>
      </c>
      <c r="J55" s="139">
        <v>28</v>
      </c>
      <c r="K55" s="138">
        <v>1877.64</v>
      </c>
      <c r="L55" s="136">
        <f t="shared" si="5"/>
        <v>525.7392000000001</v>
      </c>
      <c r="M55" s="136">
        <v>0</v>
      </c>
      <c r="N55" s="136">
        <v>0</v>
      </c>
      <c r="O55" s="136">
        <v>0</v>
      </c>
      <c r="P55" s="175">
        <v>87081090</v>
      </c>
      <c r="Q55" s="137" t="s">
        <v>22</v>
      </c>
      <c r="R55" s="136" t="s">
        <v>13</v>
      </c>
      <c r="S55" s="136">
        <v>2</v>
      </c>
      <c r="T55" s="136">
        <v>2</v>
      </c>
      <c r="U55" s="136">
        <f t="shared" si="2"/>
        <v>0</v>
      </c>
      <c r="V55" s="136">
        <v>2</v>
      </c>
    </row>
    <row r="56" spans="1:22" x14ac:dyDescent="0.3">
      <c r="A56" s="136" t="s">
        <v>209</v>
      </c>
      <c r="B56" s="136" t="s">
        <v>208</v>
      </c>
      <c r="C56" s="136" t="s">
        <v>233</v>
      </c>
      <c r="D56" s="143">
        <v>42924</v>
      </c>
      <c r="E56" s="136">
        <v>15597.08</v>
      </c>
      <c r="F56" s="136" t="s">
        <v>211</v>
      </c>
      <c r="G56" s="140" t="s">
        <v>11</v>
      </c>
      <c r="H56" s="136" t="s">
        <v>12</v>
      </c>
      <c r="J56" s="139">
        <v>28</v>
      </c>
      <c r="K56" s="138">
        <v>12185.22</v>
      </c>
      <c r="L56" s="136">
        <f t="shared" si="5"/>
        <v>3411.8616000000002</v>
      </c>
      <c r="M56" s="136">
        <v>0</v>
      </c>
      <c r="N56" s="136">
        <v>0</v>
      </c>
      <c r="O56" s="136">
        <v>0</v>
      </c>
      <c r="P56" s="175">
        <v>87081090</v>
      </c>
      <c r="Q56" s="137" t="s">
        <v>22</v>
      </c>
      <c r="R56" s="136" t="s">
        <v>13</v>
      </c>
      <c r="S56" s="136">
        <v>6</v>
      </c>
      <c r="T56" s="136">
        <v>6</v>
      </c>
      <c r="U56" s="136">
        <f t="shared" si="2"/>
        <v>0</v>
      </c>
      <c r="V56" s="136">
        <v>6</v>
      </c>
    </row>
    <row r="57" spans="1:22" x14ac:dyDescent="0.3">
      <c r="A57" s="136" t="s">
        <v>209</v>
      </c>
      <c r="B57" s="136" t="s">
        <v>208</v>
      </c>
      <c r="C57" s="136" t="s">
        <v>234</v>
      </c>
      <c r="D57" s="143">
        <v>42924</v>
      </c>
      <c r="E57" s="136">
        <v>2154.16</v>
      </c>
      <c r="F57" s="136" t="s">
        <v>211</v>
      </c>
      <c r="G57" s="140" t="s">
        <v>11</v>
      </c>
      <c r="H57" s="136" t="s">
        <v>12</v>
      </c>
      <c r="J57" s="139">
        <v>28</v>
      </c>
      <c r="K57" s="138">
        <v>1682.94</v>
      </c>
      <c r="L57" s="136">
        <f t="shared" si="5"/>
        <v>471.22320000000008</v>
      </c>
      <c r="M57" s="136">
        <v>0</v>
      </c>
      <c r="N57" s="136">
        <v>0</v>
      </c>
      <c r="O57" s="136">
        <v>0</v>
      </c>
      <c r="P57" s="175">
        <v>87081090</v>
      </c>
      <c r="Q57" s="137" t="s">
        <v>22</v>
      </c>
      <c r="R57" s="136" t="s">
        <v>13</v>
      </c>
      <c r="S57" s="136">
        <v>2</v>
      </c>
      <c r="T57" s="136">
        <v>2</v>
      </c>
      <c r="U57" s="136">
        <f t="shared" si="2"/>
        <v>0</v>
      </c>
      <c r="V57" s="136">
        <v>2</v>
      </c>
    </row>
    <row r="58" spans="1:22" x14ac:dyDescent="0.3">
      <c r="A58" s="136" t="s">
        <v>209</v>
      </c>
      <c r="B58" s="136" t="s">
        <v>208</v>
      </c>
      <c r="C58" s="136" t="s">
        <v>235</v>
      </c>
      <c r="D58" s="143">
        <v>42924</v>
      </c>
      <c r="E58" s="136">
        <v>24363.52</v>
      </c>
      <c r="F58" s="136" t="s">
        <v>211</v>
      </c>
      <c r="G58" s="140" t="s">
        <v>11</v>
      </c>
      <c r="H58" s="136" t="s">
        <v>12</v>
      </c>
      <c r="J58" s="139">
        <v>28</v>
      </c>
      <c r="K58" s="138">
        <v>19034</v>
      </c>
      <c r="L58" s="136">
        <f t="shared" si="5"/>
        <v>5329.52</v>
      </c>
      <c r="M58" s="136">
        <v>0</v>
      </c>
      <c r="N58" s="136">
        <v>0</v>
      </c>
      <c r="O58" s="136">
        <v>0</v>
      </c>
      <c r="P58" s="175">
        <v>87081090</v>
      </c>
      <c r="Q58" s="137" t="s">
        <v>22</v>
      </c>
      <c r="R58" s="136" t="s">
        <v>13</v>
      </c>
      <c r="S58" s="136">
        <v>10</v>
      </c>
      <c r="T58" s="136">
        <v>10</v>
      </c>
      <c r="U58" s="136">
        <f t="shared" si="2"/>
        <v>0</v>
      </c>
      <c r="V58" s="136">
        <v>10</v>
      </c>
    </row>
    <row r="59" spans="1:22" x14ac:dyDescent="0.3">
      <c r="A59" s="136" t="s">
        <v>209</v>
      </c>
      <c r="B59" s="136" t="s">
        <v>208</v>
      </c>
      <c r="C59" s="136" t="s">
        <v>236</v>
      </c>
      <c r="D59" s="143">
        <v>42924</v>
      </c>
      <c r="E59" s="136">
        <v>16577.28</v>
      </c>
      <c r="F59" s="136" t="s">
        <v>211</v>
      </c>
      <c r="G59" s="140" t="s">
        <v>11</v>
      </c>
      <c r="H59" s="136" t="s">
        <v>12</v>
      </c>
      <c r="J59" s="139">
        <v>28</v>
      </c>
      <c r="K59" s="138">
        <v>12951</v>
      </c>
      <c r="L59" s="136">
        <f t="shared" si="5"/>
        <v>3626.28</v>
      </c>
      <c r="M59" s="136">
        <v>0</v>
      </c>
      <c r="N59" s="136">
        <v>0</v>
      </c>
      <c r="O59" s="136">
        <v>0</v>
      </c>
      <c r="P59" s="175">
        <v>87081090</v>
      </c>
      <c r="Q59" s="137" t="s">
        <v>22</v>
      </c>
      <c r="R59" s="136" t="s">
        <v>13</v>
      </c>
      <c r="S59" s="136">
        <v>10</v>
      </c>
      <c r="T59" s="136">
        <v>10</v>
      </c>
      <c r="U59" s="136">
        <f t="shared" si="2"/>
        <v>0</v>
      </c>
      <c r="V59" s="136">
        <v>10</v>
      </c>
    </row>
    <row r="60" spans="1:22" x14ac:dyDescent="0.3">
      <c r="A60" s="136" t="s">
        <v>6</v>
      </c>
      <c r="B60" s="136" t="s">
        <v>5</v>
      </c>
      <c r="C60" s="136" t="s">
        <v>237</v>
      </c>
      <c r="D60" s="143">
        <v>42924</v>
      </c>
      <c r="E60" s="136">
        <v>25480.720000000001</v>
      </c>
      <c r="F60" s="136" t="s">
        <v>14</v>
      </c>
      <c r="G60" s="140" t="s">
        <v>11</v>
      </c>
      <c r="H60" s="136" t="s">
        <v>12</v>
      </c>
      <c r="J60" s="139">
        <v>28</v>
      </c>
      <c r="K60" s="138">
        <v>19906.8</v>
      </c>
      <c r="L60" s="136">
        <v>0</v>
      </c>
      <c r="M60" s="136">
        <f t="shared" ref="M60:M91" si="6">+J60/100*K60/2</f>
        <v>2786.9520000000002</v>
      </c>
      <c r="N60" s="136">
        <f t="shared" ref="N60:N91" si="7">+J60/100*K60/2</f>
        <v>2786.9520000000002</v>
      </c>
      <c r="O60" s="136">
        <v>0</v>
      </c>
      <c r="P60" s="175">
        <v>87081090</v>
      </c>
      <c r="Q60" s="137" t="s">
        <v>22</v>
      </c>
      <c r="R60" s="136" t="s">
        <v>13</v>
      </c>
      <c r="S60" s="136">
        <v>240</v>
      </c>
      <c r="T60" s="136">
        <v>240</v>
      </c>
      <c r="U60" s="136">
        <f t="shared" si="2"/>
        <v>0</v>
      </c>
      <c r="V60" s="136">
        <v>240</v>
      </c>
    </row>
    <row r="61" spans="1:22" x14ac:dyDescent="0.3">
      <c r="A61" s="136" t="s">
        <v>6</v>
      </c>
      <c r="B61" s="136" t="s">
        <v>5</v>
      </c>
      <c r="C61" s="136" t="s">
        <v>238</v>
      </c>
      <c r="D61" s="143">
        <v>42924</v>
      </c>
      <c r="E61" s="136">
        <v>23502.080000000002</v>
      </c>
      <c r="F61" s="136" t="s">
        <v>14</v>
      </c>
      <c r="G61" s="140" t="s">
        <v>11</v>
      </c>
      <c r="H61" s="136" t="s">
        <v>12</v>
      </c>
      <c r="J61" s="139">
        <v>28</v>
      </c>
      <c r="K61" s="138">
        <v>18361</v>
      </c>
      <c r="L61" s="136">
        <v>0</v>
      </c>
      <c r="M61" s="136">
        <f t="shared" si="6"/>
        <v>2570.5400000000004</v>
      </c>
      <c r="N61" s="136">
        <f t="shared" si="7"/>
        <v>2570.5400000000004</v>
      </c>
      <c r="O61" s="136">
        <v>0</v>
      </c>
      <c r="P61" s="175">
        <v>87141090</v>
      </c>
      <c r="Q61" s="137" t="s">
        <v>22</v>
      </c>
      <c r="R61" s="136" t="s">
        <v>13</v>
      </c>
      <c r="S61" s="136">
        <v>244</v>
      </c>
      <c r="T61" s="136">
        <v>244</v>
      </c>
      <c r="U61" s="136">
        <f t="shared" si="2"/>
        <v>0</v>
      </c>
      <c r="V61" s="136">
        <v>244</v>
      </c>
    </row>
    <row r="62" spans="1:22" x14ac:dyDescent="0.3">
      <c r="A62" s="136" t="s">
        <v>188</v>
      </c>
      <c r="B62" s="136" t="s">
        <v>189</v>
      </c>
      <c r="C62" s="136" t="s">
        <v>239</v>
      </c>
      <c r="D62" s="143">
        <v>42926</v>
      </c>
      <c r="E62" s="136">
        <v>42301.440000000002</v>
      </c>
      <c r="F62" s="136" t="s">
        <v>14</v>
      </c>
      <c r="G62" s="140" t="s">
        <v>11</v>
      </c>
      <c r="H62" s="136" t="s">
        <v>12</v>
      </c>
      <c r="J62" s="139">
        <v>28</v>
      </c>
      <c r="K62" s="138">
        <v>33048</v>
      </c>
      <c r="L62" s="136">
        <v>0</v>
      </c>
      <c r="M62" s="136">
        <f t="shared" si="6"/>
        <v>4626.72</v>
      </c>
      <c r="N62" s="136">
        <f t="shared" si="7"/>
        <v>4626.72</v>
      </c>
      <c r="O62" s="136">
        <v>0</v>
      </c>
      <c r="P62" s="175">
        <v>87141090</v>
      </c>
      <c r="Q62" s="137" t="s">
        <v>22</v>
      </c>
      <c r="R62" s="136" t="s">
        <v>13</v>
      </c>
      <c r="S62" s="136">
        <v>1440</v>
      </c>
      <c r="T62" s="136">
        <v>1440</v>
      </c>
      <c r="U62" s="136">
        <f t="shared" si="2"/>
        <v>0</v>
      </c>
      <c r="V62" s="136">
        <v>1440</v>
      </c>
    </row>
    <row r="63" spans="1:22" x14ac:dyDescent="0.3">
      <c r="A63" s="136" t="s">
        <v>6</v>
      </c>
      <c r="B63" s="136" t="s">
        <v>5</v>
      </c>
      <c r="C63" s="136" t="s">
        <v>240</v>
      </c>
      <c r="D63" s="143">
        <v>42926</v>
      </c>
      <c r="E63" s="136">
        <v>42043.16</v>
      </c>
      <c r="F63" s="136" t="s">
        <v>14</v>
      </c>
      <c r="G63" s="140" t="s">
        <v>11</v>
      </c>
      <c r="H63" s="136" t="s">
        <v>12</v>
      </c>
      <c r="J63" s="139">
        <v>28</v>
      </c>
      <c r="K63" s="138">
        <v>32846.22</v>
      </c>
      <c r="L63" s="136">
        <v>0</v>
      </c>
      <c r="M63" s="136">
        <f t="shared" si="6"/>
        <v>4598.470800000001</v>
      </c>
      <c r="N63" s="136">
        <f t="shared" si="7"/>
        <v>4598.470800000001</v>
      </c>
      <c r="O63" s="136">
        <v>0</v>
      </c>
      <c r="P63" s="175">
        <v>87081090</v>
      </c>
      <c r="Q63" s="137" t="s">
        <v>22</v>
      </c>
      <c r="R63" s="136" t="s">
        <v>13</v>
      </c>
      <c r="S63" s="136">
        <v>396</v>
      </c>
      <c r="T63" s="136">
        <v>396</v>
      </c>
      <c r="U63" s="136">
        <f t="shared" si="2"/>
        <v>0</v>
      </c>
      <c r="V63" s="136">
        <v>396</v>
      </c>
    </row>
    <row r="64" spans="1:22" x14ac:dyDescent="0.3">
      <c r="A64" s="136" t="s">
        <v>187</v>
      </c>
      <c r="B64" s="136" t="s">
        <v>178</v>
      </c>
      <c r="C64" s="136" t="s">
        <v>241</v>
      </c>
      <c r="D64" s="143">
        <v>42926</v>
      </c>
      <c r="E64" s="136">
        <v>26989.01</v>
      </c>
      <c r="F64" s="136" t="s">
        <v>14</v>
      </c>
      <c r="G64" s="140" t="s">
        <v>11</v>
      </c>
      <c r="H64" s="136" t="s">
        <v>12</v>
      </c>
      <c r="J64" s="139">
        <v>28</v>
      </c>
      <c r="K64" s="138">
        <v>21085.15</v>
      </c>
      <c r="L64" s="136">
        <v>0</v>
      </c>
      <c r="M64" s="136">
        <f t="shared" si="6"/>
        <v>2951.9210000000003</v>
      </c>
      <c r="N64" s="136">
        <f t="shared" si="7"/>
        <v>2951.9210000000003</v>
      </c>
      <c r="O64" s="136">
        <v>0</v>
      </c>
      <c r="P64" s="175">
        <v>87089900</v>
      </c>
      <c r="Q64" s="137" t="s">
        <v>22</v>
      </c>
      <c r="R64" s="136" t="s">
        <v>13</v>
      </c>
      <c r="S64" s="136">
        <v>61</v>
      </c>
      <c r="T64" s="136">
        <v>61</v>
      </c>
      <c r="U64" s="136">
        <f t="shared" si="2"/>
        <v>0</v>
      </c>
      <c r="V64" s="136">
        <v>61</v>
      </c>
    </row>
    <row r="65" spans="1:22" x14ac:dyDescent="0.3">
      <c r="A65" s="136" t="s">
        <v>6</v>
      </c>
      <c r="B65" s="136" t="s">
        <v>5</v>
      </c>
      <c r="C65" s="136" t="s">
        <v>265</v>
      </c>
      <c r="D65" s="143">
        <v>42926</v>
      </c>
      <c r="E65" s="136">
        <v>63701.760000000002</v>
      </c>
      <c r="F65" s="136" t="s">
        <v>14</v>
      </c>
      <c r="G65" s="140" t="s">
        <v>11</v>
      </c>
      <c r="H65" s="136" t="s">
        <v>12</v>
      </c>
      <c r="J65" s="139">
        <v>28</v>
      </c>
      <c r="K65" s="138">
        <v>49767</v>
      </c>
      <c r="L65" s="136">
        <v>0</v>
      </c>
      <c r="M65" s="136">
        <f t="shared" si="6"/>
        <v>6967.380000000001</v>
      </c>
      <c r="N65" s="136">
        <f t="shared" si="7"/>
        <v>6967.380000000001</v>
      </c>
      <c r="O65" s="136">
        <v>0</v>
      </c>
      <c r="P65" s="175">
        <v>87081090</v>
      </c>
      <c r="Q65" s="137" t="s">
        <v>22</v>
      </c>
      <c r="R65" s="136" t="s">
        <v>13</v>
      </c>
      <c r="S65" s="136">
        <v>600</v>
      </c>
      <c r="T65" s="136">
        <v>600</v>
      </c>
      <c r="U65" s="136">
        <f t="shared" si="2"/>
        <v>0</v>
      </c>
      <c r="V65" s="136">
        <v>600</v>
      </c>
    </row>
    <row r="66" spans="1:22" x14ac:dyDescent="0.3">
      <c r="A66" s="136" t="s">
        <v>185</v>
      </c>
      <c r="B66" s="136" t="s">
        <v>184</v>
      </c>
      <c r="C66" s="136" t="s">
        <v>266</v>
      </c>
      <c r="D66" s="143">
        <v>42926</v>
      </c>
      <c r="E66" s="136">
        <v>34548.480000000003</v>
      </c>
      <c r="F66" s="136" t="s">
        <v>14</v>
      </c>
      <c r="G66" s="140" t="s">
        <v>11</v>
      </c>
      <c r="H66" s="136" t="s">
        <v>12</v>
      </c>
      <c r="J66" s="139">
        <v>28</v>
      </c>
      <c r="K66" s="138">
        <v>26991</v>
      </c>
      <c r="L66" s="136">
        <v>0</v>
      </c>
      <c r="M66" s="136">
        <f t="shared" si="6"/>
        <v>3778.7400000000002</v>
      </c>
      <c r="N66" s="136">
        <f t="shared" si="7"/>
        <v>3778.7400000000002</v>
      </c>
      <c r="O66" s="136">
        <v>0</v>
      </c>
      <c r="P66" s="175">
        <v>85129000</v>
      </c>
      <c r="Q66" s="137" t="s">
        <v>22</v>
      </c>
      <c r="R66" s="136" t="s">
        <v>13</v>
      </c>
      <c r="S66" s="136">
        <v>450</v>
      </c>
      <c r="T66" s="136">
        <v>450</v>
      </c>
      <c r="U66" s="136">
        <f t="shared" si="2"/>
        <v>0</v>
      </c>
      <c r="V66" s="136">
        <v>450</v>
      </c>
    </row>
    <row r="67" spans="1:22" x14ac:dyDescent="0.3">
      <c r="A67" s="136" t="s">
        <v>6</v>
      </c>
      <c r="B67" s="136" t="s">
        <v>5</v>
      </c>
      <c r="C67" s="136" t="s">
        <v>267</v>
      </c>
      <c r="D67" s="143">
        <v>42926</v>
      </c>
      <c r="E67" s="136">
        <v>25480.720000000001</v>
      </c>
      <c r="F67" s="136" t="s">
        <v>14</v>
      </c>
      <c r="G67" s="140" t="s">
        <v>11</v>
      </c>
      <c r="H67" s="136" t="s">
        <v>12</v>
      </c>
      <c r="J67" s="139">
        <v>28</v>
      </c>
      <c r="K67" s="138">
        <v>19906.8</v>
      </c>
      <c r="L67" s="136">
        <v>0</v>
      </c>
      <c r="M67" s="136">
        <f t="shared" si="6"/>
        <v>2786.9520000000002</v>
      </c>
      <c r="N67" s="136">
        <f t="shared" si="7"/>
        <v>2786.9520000000002</v>
      </c>
      <c r="O67" s="136">
        <v>0</v>
      </c>
      <c r="P67" s="175">
        <v>87081090</v>
      </c>
      <c r="Q67" s="137" t="s">
        <v>22</v>
      </c>
      <c r="R67" s="136" t="s">
        <v>13</v>
      </c>
      <c r="S67" s="136">
        <v>240</v>
      </c>
      <c r="T67" s="136">
        <v>240</v>
      </c>
      <c r="U67" s="136">
        <f t="shared" si="2"/>
        <v>0</v>
      </c>
      <c r="V67" s="136">
        <v>240</v>
      </c>
    </row>
    <row r="68" spans="1:22" x14ac:dyDescent="0.3">
      <c r="A68" s="136" t="s">
        <v>6</v>
      </c>
      <c r="B68" s="136" t="s">
        <v>5</v>
      </c>
      <c r="C68" s="136" t="s">
        <v>268</v>
      </c>
      <c r="D68" s="143">
        <v>42926</v>
      </c>
      <c r="E68" s="136">
        <v>28896</v>
      </c>
      <c r="F68" s="136" t="s">
        <v>14</v>
      </c>
      <c r="G68" s="140" t="s">
        <v>11</v>
      </c>
      <c r="H68" s="136" t="s">
        <v>12</v>
      </c>
      <c r="J68" s="139">
        <v>28</v>
      </c>
      <c r="K68" s="138">
        <v>22575</v>
      </c>
      <c r="L68" s="136">
        <v>0</v>
      </c>
      <c r="M68" s="136">
        <f t="shared" si="6"/>
        <v>3160.5000000000005</v>
      </c>
      <c r="N68" s="136">
        <f t="shared" si="7"/>
        <v>3160.5000000000005</v>
      </c>
      <c r="O68" s="136">
        <v>0</v>
      </c>
      <c r="P68" s="175">
        <v>87141090</v>
      </c>
      <c r="Q68" s="137" t="s">
        <v>22</v>
      </c>
      <c r="R68" s="136" t="s">
        <v>13</v>
      </c>
      <c r="S68" s="136">
        <v>300</v>
      </c>
      <c r="T68" s="136">
        <v>300</v>
      </c>
      <c r="U68" s="136">
        <f t="shared" si="2"/>
        <v>0</v>
      </c>
      <c r="V68" s="136">
        <v>300</v>
      </c>
    </row>
    <row r="69" spans="1:22" x14ac:dyDescent="0.3">
      <c r="A69" s="136" t="s">
        <v>6</v>
      </c>
      <c r="B69" s="136" t="s">
        <v>5</v>
      </c>
      <c r="C69" s="136" t="s">
        <v>275</v>
      </c>
      <c r="D69" s="143">
        <v>42927</v>
      </c>
      <c r="E69" s="136">
        <v>45865.279999999999</v>
      </c>
      <c r="F69" s="136" t="s">
        <v>14</v>
      </c>
      <c r="G69" s="140" t="s">
        <v>11</v>
      </c>
      <c r="H69" s="136" t="s">
        <v>12</v>
      </c>
      <c r="J69" s="139">
        <v>28</v>
      </c>
      <c r="K69" s="138">
        <v>35832.239999999998</v>
      </c>
      <c r="L69" s="136">
        <v>0</v>
      </c>
      <c r="M69" s="136">
        <f t="shared" si="6"/>
        <v>5016.5136000000002</v>
      </c>
      <c r="N69" s="136">
        <f t="shared" si="7"/>
        <v>5016.5136000000002</v>
      </c>
      <c r="O69" s="136">
        <v>0</v>
      </c>
      <c r="P69" s="175">
        <v>87081090</v>
      </c>
      <c r="Q69" s="137" t="s">
        <v>22</v>
      </c>
      <c r="R69" s="136" t="s">
        <v>13</v>
      </c>
      <c r="S69" s="136">
        <v>432</v>
      </c>
      <c r="T69" s="136">
        <v>432</v>
      </c>
      <c r="U69" s="136">
        <f t="shared" si="2"/>
        <v>0</v>
      </c>
      <c r="V69" s="136">
        <v>432</v>
      </c>
    </row>
    <row r="70" spans="1:22" x14ac:dyDescent="0.3">
      <c r="A70" s="136" t="s">
        <v>6</v>
      </c>
      <c r="B70" s="136" t="s">
        <v>5</v>
      </c>
      <c r="C70" s="136" t="s">
        <v>276</v>
      </c>
      <c r="D70" s="143">
        <v>42927</v>
      </c>
      <c r="E70" s="136">
        <v>16181.76</v>
      </c>
      <c r="F70" s="136" t="s">
        <v>14</v>
      </c>
      <c r="G70" s="140" t="s">
        <v>11</v>
      </c>
      <c r="H70" s="136" t="s">
        <v>12</v>
      </c>
      <c r="J70" s="139">
        <v>28</v>
      </c>
      <c r="K70" s="138">
        <v>12642</v>
      </c>
      <c r="L70" s="136">
        <v>0</v>
      </c>
      <c r="M70" s="136">
        <f t="shared" si="6"/>
        <v>1769.88</v>
      </c>
      <c r="N70" s="136">
        <f t="shared" si="7"/>
        <v>1769.88</v>
      </c>
      <c r="O70" s="136">
        <v>0</v>
      </c>
      <c r="P70" s="175">
        <v>87141090</v>
      </c>
      <c r="Q70" s="137" t="s">
        <v>22</v>
      </c>
      <c r="R70" s="136" t="s">
        <v>13</v>
      </c>
      <c r="S70" s="136">
        <v>168</v>
      </c>
      <c r="T70" s="136">
        <v>168</v>
      </c>
      <c r="U70" s="136">
        <f t="shared" si="2"/>
        <v>0</v>
      </c>
      <c r="V70" s="136">
        <v>168</v>
      </c>
    </row>
    <row r="71" spans="1:22" x14ac:dyDescent="0.3">
      <c r="A71" s="136" t="s">
        <v>6</v>
      </c>
      <c r="B71" s="136" t="s">
        <v>5</v>
      </c>
      <c r="C71" s="136" t="s">
        <v>277</v>
      </c>
      <c r="D71" s="143">
        <v>42927</v>
      </c>
      <c r="E71" s="136">
        <v>20384.560000000001</v>
      </c>
      <c r="F71" s="136" t="s">
        <v>14</v>
      </c>
      <c r="G71" s="140" t="s">
        <v>11</v>
      </c>
      <c r="H71" s="136" t="s">
        <v>12</v>
      </c>
      <c r="J71" s="139">
        <v>28</v>
      </c>
      <c r="K71" s="138">
        <v>15925.44</v>
      </c>
      <c r="L71" s="136">
        <v>0</v>
      </c>
      <c r="M71" s="136">
        <f t="shared" si="6"/>
        <v>2229.5616000000005</v>
      </c>
      <c r="N71" s="136">
        <f t="shared" si="7"/>
        <v>2229.5616000000005</v>
      </c>
      <c r="O71" s="136">
        <v>0</v>
      </c>
      <c r="P71" s="175">
        <v>87081090</v>
      </c>
      <c r="Q71" s="137" t="s">
        <v>22</v>
      </c>
      <c r="R71" s="136" t="s">
        <v>13</v>
      </c>
      <c r="S71" s="136">
        <v>192</v>
      </c>
      <c r="T71" s="136">
        <v>192</v>
      </c>
      <c r="U71" s="136">
        <f t="shared" ref="U71:U134" si="8">+S71-T71</f>
        <v>0</v>
      </c>
      <c r="V71" s="136">
        <v>192</v>
      </c>
    </row>
    <row r="72" spans="1:22" x14ac:dyDescent="0.3">
      <c r="A72" s="136" t="s">
        <v>185</v>
      </c>
      <c r="B72" s="136" t="s">
        <v>184</v>
      </c>
      <c r="C72" s="136" t="s">
        <v>278</v>
      </c>
      <c r="D72" s="143">
        <v>42927</v>
      </c>
      <c r="E72" s="136">
        <v>25565.88</v>
      </c>
      <c r="F72" s="136" t="s">
        <v>14</v>
      </c>
      <c r="G72" s="140" t="s">
        <v>11</v>
      </c>
      <c r="H72" s="136" t="s">
        <v>12</v>
      </c>
      <c r="J72" s="139">
        <v>28</v>
      </c>
      <c r="K72" s="138">
        <v>19973.34</v>
      </c>
      <c r="L72" s="136">
        <v>0</v>
      </c>
      <c r="M72" s="136">
        <f t="shared" si="6"/>
        <v>2796.2676000000001</v>
      </c>
      <c r="N72" s="136">
        <f t="shared" si="7"/>
        <v>2796.2676000000001</v>
      </c>
      <c r="O72" s="136">
        <v>0</v>
      </c>
      <c r="P72" s="175">
        <v>85129000</v>
      </c>
      <c r="Q72" s="137" t="s">
        <v>22</v>
      </c>
      <c r="R72" s="136" t="s">
        <v>13</v>
      </c>
      <c r="S72" s="136">
        <v>333</v>
      </c>
      <c r="T72" s="136">
        <v>333</v>
      </c>
      <c r="U72" s="136">
        <f t="shared" si="8"/>
        <v>0</v>
      </c>
      <c r="V72" s="136">
        <v>333</v>
      </c>
    </row>
    <row r="73" spans="1:22" x14ac:dyDescent="0.3">
      <c r="A73" s="136" t="s">
        <v>187</v>
      </c>
      <c r="B73" s="136" t="s">
        <v>178</v>
      </c>
      <c r="C73" s="136" t="s">
        <v>279</v>
      </c>
      <c r="D73" s="143">
        <v>42927</v>
      </c>
      <c r="E73" s="136">
        <v>39448.42</v>
      </c>
      <c r="F73" s="136" t="s">
        <v>14</v>
      </c>
      <c r="G73" s="140" t="s">
        <v>11</v>
      </c>
      <c r="H73" s="136" t="s">
        <v>12</v>
      </c>
      <c r="J73" s="139">
        <v>28</v>
      </c>
      <c r="K73" s="138">
        <v>30819.08</v>
      </c>
      <c r="L73" s="136">
        <v>0</v>
      </c>
      <c r="M73" s="136">
        <f t="shared" si="6"/>
        <v>4314.6712000000007</v>
      </c>
      <c r="N73" s="136">
        <f t="shared" si="7"/>
        <v>4314.6712000000007</v>
      </c>
      <c r="O73" s="136">
        <v>0</v>
      </c>
      <c r="P73" s="175">
        <v>87089900</v>
      </c>
      <c r="Q73" s="137" t="s">
        <v>22</v>
      </c>
      <c r="R73" s="136" t="s">
        <v>13</v>
      </c>
      <c r="S73" s="136">
        <v>92</v>
      </c>
      <c r="T73" s="136">
        <v>92</v>
      </c>
      <c r="U73" s="136">
        <f t="shared" si="8"/>
        <v>0</v>
      </c>
      <c r="V73" s="136">
        <v>92</v>
      </c>
    </row>
    <row r="74" spans="1:22" x14ac:dyDescent="0.3">
      <c r="A74" s="136" t="s">
        <v>188</v>
      </c>
      <c r="B74" s="136" t="s">
        <v>189</v>
      </c>
      <c r="C74" s="136" t="s">
        <v>280</v>
      </c>
      <c r="D74" s="143">
        <v>42927</v>
      </c>
      <c r="E74" s="136">
        <v>105753.60000000001</v>
      </c>
      <c r="F74" s="136" t="s">
        <v>14</v>
      </c>
      <c r="G74" s="140" t="s">
        <v>11</v>
      </c>
      <c r="H74" s="136" t="s">
        <v>12</v>
      </c>
      <c r="J74" s="139">
        <v>28</v>
      </c>
      <c r="K74" s="138">
        <v>82620</v>
      </c>
      <c r="L74" s="136">
        <v>0</v>
      </c>
      <c r="M74" s="136">
        <f t="shared" si="6"/>
        <v>11566.800000000001</v>
      </c>
      <c r="N74" s="136">
        <f t="shared" si="7"/>
        <v>11566.800000000001</v>
      </c>
      <c r="O74" s="136">
        <v>0</v>
      </c>
      <c r="P74" s="175">
        <v>87141090</v>
      </c>
      <c r="Q74" s="137" t="s">
        <v>22</v>
      </c>
      <c r="R74" s="136" t="s">
        <v>13</v>
      </c>
      <c r="S74" s="136">
        <v>3600</v>
      </c>
      <c r="T74" s="136">
        <v>3600</v>
      </c>
      <c r="U74" s="136">
        <f t="shared" si="8"/>
        <v>0</v>
      </c>
      <c r="V74" s="136">
        <v>3600</v>
      </c>
    </row>
    <row r="75" spans="1:22" x14ac:dyDescent="0.3">
      <c r="A75" s="136" t="s">
        <v>6</v>
      </c>
      <c r="B75" s="136" t="s">
        <v>5</v>
      </c>
      <c r="C75" s="136" t="s">
        <v>281</v>
      </c>
      <c r="D75" s="143">
        <v>42927</v>
      </c>
      <c r="E75" s="136">
        <v>31850.880000000001</v>
      </c>
      <c r="F75" s="136" t="s">
        <v>14</v>
      </c>
      <c r="G75" s="140" t="s">
        <v>11</v>
      </c>
      <c r="H75" s="136" t="s">
        <v>12</v>
      </c>
      <c r="J75" s="139">
        <v>28</v>
      </c>
      <c r="K75" s="138">
        <v>24883.5</v>
      </c>
      <c r="L75" s="136">
        <v>0</v>
      </c>
      <c r="M75" s="136">
        <f t="shared" si="6"/>
        <v>3483.6900000000005</v>
      </c>
      <c r="N75" s="136">
        <f t="shared" si="7"/>
        <v>3483.6900000000005</v>
      </c>
      <c r="O75" s="136">
        <v>0</v>
      </c>
      <c r="P75" s="175">
        <v>87081090</v>
      </c>
      <c r="Q75" s="137" t="s">
        <v>22</v>
      </c>
      <c r="R75" s="136" t="s">
        <v>13</v>
      </c>
      <c r="S75" s="136">
        <v>300</v>
      </c>
      <c r="T75" s="136">
        <v>300</v>
      </c>
      <c r="U75" s="136">
        <f t="shared" si="8"/>
        <v>0</v>
      </c>
      <c r="V75" s="136">
        <v>300</v>
      </c>
    </row>
    <row r="76" spans="1:22" x14ac:dyDescent="0.3">
      <c r="A76" s="136" t="s">
        <v>6</v>
      </c>
      <c r="B76" s="136" t="s">
        <v>5</v>
      </c>
      <c r="C76" s="136" t="s">
        <v>313</v>
      </c>
      <c r="D76" s="143">
        <v>42927</v>
      </c>
      <c r="E76" s="136">
        <v>31850.880000000001</v>
      </c>
      <c r="F76" s="136" t="s">
        <v>14</v>
      </c>
      <c r="G76" s="140" t="s">
        <v>11</v>
      </c>
      <c r="H76" s="136" t="s">
        <v>12</v>
      </c>
      <c r="J76" s="139">
        <v>28</v>
      </c>
      <c r="K76" s="138">
        <v>24883.5</v>
      </c>
      <c r="L76" s="136">
        <v>0</v>
      </c>
      <c r="M76" s="136">
        <f t="shared" si="6"/>
        <v>3483.6900000000005</v>
      </c>
      <c r="N76" s="136">
        <f t="shared" si="7"/>
        <v>3483.6900000000005</v>
      </c>
      <c r="O76" s="136">
        <v>0</v>
      </c>
      <c r="P76" s="175">
        <v>87081090</v>
      </c>
      <c r="Q76" s="137" t="s">
        <v>22</v>
      </c>
      <c r="R76" s="136" t="s">
        <v>13</v>
      </c>
      <c r="S76" s="136">
        <v>300</v>
      </c>
      <c r="T76" s="136">
        <v>300</v>
      </c>
      <c r="U76" s="136">
        <f t="shared" si="8"/>
        <v>0</v>
      </c>
      <c r="V76" s="136">
        <v>300</v>
      </c>
    </row>
    <row r="77" spans="1:22" x14ac:dyDescent="0.3">
      <c r="A77" s="136" t="s">
        <v>6</v>
      </c>
      <c r="B77" s="136" t="s">
        <v>5</v>
      </c>
      <c r="C77" s="136" t="s">
        <v>314</v>
      </c>
      <c r="D77" s="143">
        <v>42927</v>
      </c>
      <c r="E77" s="136">
        <v>28896</v>
      </c>
      <c r="F77" s="136" t="s">
        <v>14</v>
      </c>
      <c r="G77" s="140" t="s">
        <v>11</v>
      </c>
      <c r="H77" s="136" t="s">
        <v>12</v>
      </c>
      <c r="J77" s="139">
        <v>28</v>
      </c>
      <c r="K77" s="138">
        <v>22575</v>
      </c>
      <c r="L77" s="136">
        <v>0</v>
      </c>
      <c r="M77" s="136">
        <f t="shared" si="6"/>
        <v>3160.5000000000005</v>
      </c>
      <c r="N77" s="136">
        <f t="shared" si="7"/>
        <v>3160.5000000000005</v>
      </c>
      <c r="O77" s="136">
        <v>0</v>
      </c>
      <c r="P77" s="175">
        <v>87141090</v>
      </c>
      <c r="Q77" s="137" t="s">
        <v>22</v>
      </c>
      <c r="R77" s="136" t="s">
        <v>13</v>
      </c>
      <c r="S77" s="136">
        <v>300</v>
      </c>
      <c r="T77" s="136">
        <v>300</v>
      </c>
      <c r="U77" s="136">
        <f t="shared" si="8"/>
        <v>0</v>
      </c>
      <c r="V77" s="136">
        <v>300</v>
      </c>
    </row>
    <row r="78" spans="1:22" x14ac:dyDescent="0.3">
      <c r="A78" s="136" t="s">
        <v>187</v>
      </c>
      <c r="B78" s="136" t="s">
        <v>178</v>
      </c>
      <c r="C78" s="136" t="s">
        <v>315</v>
      </c>
      <c r="D78" s="143">
        <v>42928</v>
      </c>
      <c r="E78" s="136">
        <v>42598.400000000001</v>
      </c>
      <c r="F78" s="136" t="s">
        <v>14</v>
      </c>
      <c r="G78" s="140" t="s">
        <v>11</v>
      </c>
      <c r="H78" s="136" t="s">
        <v>12</v>
      </c>
      <c r="J78" s="139">
        <v>28</v>
      </c>
      <c r="K78" s="138">
        <v>33280</v>
      </c>
      <c r="L78" s="136">
        <v>0</v>
      </c>
      <c r="M78" s="136">
        <f t="shared" si="6"/>
        <v>4659.2000000000007</v>
      </c>
      <c r="N78" s="136">
        <f t="shared" si="7"/>
        <v>4659.2000000000007</v>
      </c>
      <c r="O78" s="136">
        <v>0</v>
      </c>
      <c r="P78" s="175">
        <v>87089900</v>
      </c>
      <c r="Q78" s="137" t="s">
        <v>22</v>
      </c>
      <c r="R78" s="136" t="s">
        <v>13</v>
      </c>
      <c r="S78" s="136">
        <v>64</v>
      </c>
      <c r="T78" s="136">
        <v>64</v>
      </c>
      <c r="U78" s="136">
        <f t="shared" si="8"/>
        <v>0</v>
      </c>
      <c r="V78" s="136">
        <v>64</v>
      </c>
    </row>
    <row r="79" spans="1:22" x14ac:dyDescent="0.3">
      <c r="A79" s="136" t="s">
        <v>6</v>
      </c>
      <c r="B79" s="136" t="s">
        <v>5</v>
      </c>
      <c r="C79" s="136" t="s">
        <v>316</v>
      </c>
      <c r="D79" s="143">
        <v>42928</v>
      </c>
      <c r="E79" s="136">
        <v>18990.72</v>
      </c>
      <c r="F79" s="136" t="s">
        <v>14</v>
      </c>
      <c r="G79" s="140" t="s">
        <v>11</v>
      </c>
      <c r="H79" s="136" t="s">
        <v>12</v>
      </c>
      <c r="J79" s="139">
        <v>28</v>
      </c>
      <c r="K79" s="138">
        <v>14836.5</v>
      </c>
      <c r="L79" s="136">
        <v>0</v>
      </c>
      <c r="M79" s="136">
        <f t="shared" si="6"/>
        <v>2077.11</v>
      </c>
      <c r="N79" s="136">
        <f t="shared" si="7"/>
        <v>2077.11</v>
      </c>
      <c r="O79" s="136">
        <v>0</v>
      </c>
      <c r="P79" s="175">
        <v>87081090</v>
      </c>
      <c r="Q79" s="137" t="s">
        <v>22</v>
      </c>
      <c r="R79" s="136" t="s">
        <v>13</v>
      </c>
      <c r="S79" s="136">
        <v>180</v>
      </c>
      <c r="T79" s="136">
        <v>180</v>
      </c>
      <c r="U79" s="136">
        <f t="shared" si="8"/>
        <v>0</v>
      </c>
      <c r="V79" s="136">
        <v>180</v>
      </c>
    </row>
    <row r="80" spans="1:22" x14ac:dyDescent="0.3">
      <c r="A80" s="136" t="s">
        <v>6</v>
      </c>
      <c r="B80" s="136" t="s">
        <v>5</v>
      </c>
      <c r="C80" s="136" t="s">
        <v>317</v>
      </c>
      <c r="D80" s="143">
        <v>42928</v>
      </c>
      <c r="E80" s="136">
        <v>50961.4</v>
      </c>
      <c r="F80" s="136" t="s">
        <v>14</v>
      </c>
      <c r="G80" s="140" t="s">
        <v>11</v>
      </c>
      <c r="H80" s="136" t="s">
        <v>12</v>
      </c>
      <c r="J80" s="139">
        <v>28</v>
      </c>
      <c r="K80" s="138">
        <v>39813.599999999999</v>
      </c>
      <c r="L80" s="136">
        <v>0</v>
      </c>
      <c r="M80" s="136">
        <f t="shared" si="6"/>
        <v>5573.9040000000005</v>
      </c>
      <c r="N80" s="136">
        <f t="shared" si="7"/>
        <v>5573.9040000000005</v>
      </c>
      <c r="O80" s="136">
        <v>0</v>
      </c>
      <c r="P80" s="175">
        <v>87081090</v>
      </c>
      <c r="Q80" s="137" t="s">
        <v>22</v>
      </c>
      <c r="R80" s="136" t="s">
        <v>13</v>
      </c>
      <c r="S80" s="136">
        <v>480</v>
      </c>
      <c r="T80" s="136">
        <v>480</v>
      </c>
      <c r="U80" s="136">
        <f t="shared" si="8"/>
        <v>0</v>
      </c>
      <c r="V80" s="136">
        <v>480</v>
      </c>
    </row>
    <row r="81" spans="1:22" x14ac:dyDescent="0.3">
      <c r="A81" s="136" t="s">
        <v>6</v>
      </c>
      <c r="B81" s="136" t="s">
        <v>5</v>
      </c>
      <c r="C81" s="136" t="s">
        <v>318</v>
      </c>
      <c r="D81" s="143">
        <v>42928</v>
      </c>
      <c r="E81" s="136">
        <v>15192.58</v>
      </c>
      <c r="F81" s="136" t="s">
        <v>14</v>
      </c>
      <c r="G81" s="140" t="s">
        <v>11</v>
      </c>
      <c r="H81" s="136" t="s">
        <v>12</v>
      </c>
      <c r="J81" s="139">
        <v>28</v>
      </c>
      <c r="K81" s="138">
        <v>11869.2</v>
      </c>
      <c r="L81" s="136">
        <v>0</v>
      </c>
      <c r="M81" s="136">
        <f t="shared" si="6"/>
        <v>1661.6880000000003</v>
      </c>
      <c r="N81" s="136">
        <f t="shared" si="7"/>
        <v>1661.6880000000003</v>
      </c>
      <c r="O81" s="136">
        <v>0</v>
      </c>
      <c r="P81" s="175">
        <v>87081090</v>
      </c>
      <c r="Q81" s="137" t="s">
        <v>22</v>
      </c>
      <c r="R81" s="136" t="s">
        <v>13</v>
      </c>
      <c r="S81" s="136">
        <v>144</v>
      </c>
      <c r="T81" s="136">
        <v>144</v>
      </c>
      <c r="U81" s="136">
        <f t="shared" si="8"/>
        <v>0</v>
      </c>
      <c r="V81" s="136">
        <v>144</v>
      </c>
    </row>
    <row r="82" spans="1:22" x14ac:dyDescent="0.3">
      <c r="A82" s="136" t="s">
        <v>6</v>
      </c>
      <c r="B82" s="136" t="s">
        <v>5</v>
      </c>
      <c r="C82" s="136" t="s">
        <v>319</v>
      </c>
      <c r="D82" s="143">
        <v>42928</v>
      </c>
      <c r="E82" s="136">
        <v>21658.6</v>
      </c>
      <c r="F82" s="136" t="s">
        <v>14</v>
      </c>
      <c r="G82" s="140" t="s">
        <v>11</v>
      </c>
      <c r="H82" s="136" t="s">
        <v>12</v>
      </c>
      <c r="J82" s="139">
        <v>28</v>
      </c>
      <c r="K82" s="138">
        <v>16920.78</v>
      </c>
      <c r="L82" s="136">
        <v>0</v>
      </c>
      <c r="M82" s="136">
        <f t="shared" si="6"/>
        <v>2368.9092000000001</v>
      </c>
      <c r="N82" s="136">
        <f t="shared" si="7"/>
        <v>2368.9092000000001</v>
      </c>
      <c r="O82" s="136">
        <v>0</v>
      </c>
      <c r="P82" s="175">
        <v>87081090</v>
      </c>
      <c r="Q82" s="137" t="s">
        <v>22</v>
      </c>
      <c r="R82" s="136" t="s">
        <v>13</v>
      </c>
      <c r="S82" s="136">
        <v>204</v>
      </c>
      <c r="T82" s="136">
        <v>204</v>
      </c>
      <c r="U82" s="136">
        <f t="shared" si="8"/>
        <v>0</v>
      </c>
      <c r="V82" s="136">
        <v>204</v>
      </c>
    </row>
    <row r="83" spans="1:22" x14ac:dyDescent="0.3">
      <c r="A83" s="136" t="s">
        <v>185</v>
      </c>
      <c r="B83" s="136" t="s">
        <v>184</v>
      </c>
      <c r="C83" s="136" t="s">
        <v>320</v>
      </c>
      <c r="D83" s="143">
        <v>42928</v>
      </c>
      <c r="E83" s="136">
        <v>69096.960000000006</v>
      </c>
      <c r="F83" s="136" t="s">
        <v>14</v>
      </c>
      <c r="G83" s="140" t="s">
        <v>11</v>
      </c>
      <c r="H83" s="136" t="s">
        <v>12</v>
      </c>
      <c r="J83" s="139">
        <v>28</v>
      </c>
      <c r="K83" s="138">
        <v>53982</v>
      </c>
      <c r="L83" s="136">
        <v>0</v>
      </c>
      <c r="M83" s="136">
        <f t="shared" si="6"/>
        <v>7557.4800000000005</v>
      </c>
      <c r="N83" s="136">
        <f t="shared" si="7"/>
        <v>7557.4800000000005</v>
      </c>
      <c r="O83" s="136">
        <v>0</v>
      </c>
      <c r="P83" s="175">
        <v>85129000</v>
      </c>
      <c r="Q83" s="137" t="s">
        <v>22</v>
      </c>
      <c r="R83" s="136" t="s">
        <v>13</v>
      </c>
      <c r="S83" s="136">
        <v>900</v>
      </c>
      <c r="T83" s="136">
        <v>900</v>
      </c>
      <c r="U83" s="136">
        <f t="shared" si="8"/>
        <v>0</v>
      </c>
      <c r="V83" s="136">
        <v>900</v>
      </c>
    </row>
    <row r="84" spans="1:22" x14ac:dyDescent="0.3">
      <c r="A84" s="136" t="s">
        <v>187</v>
      </c>
      <c r="B84" s="136" t="s">
        <v>178</v>
      </c>
      <c r="C84" s="136" t="s">
        <v>321</v>
      </c>
      <c r="D84" s="143">
        <v>42928</v>
      </c>
      <c r="E84" s="136">
        <v>31824.68</v>
      </c>
      <c r="F84" s="136" t="s">
        <v>14</v>
      </c>
      <c r="G84" s="140" t="s">
        <v>11</v>
      </c>
      <c r="H84" s="136" t="s">
        <v>12</v>
      </c>
      <c r="J84" s="139">
        <v>28</v>
      </c>
      <c r="K84" s="138">
        <v>24863.040000000001</v>
      </c>
      <c r="L84" s="136">
        <v>0</v>
      </c>
      <c r="M84" s="136">
        <f t="shared" si="6"/>
        <v>3480.8256000000006</v>
      </c>
      <c r="N84" s="136">
        <f t="shared" si="7"/>
        <v>3480.8256000000006</v>
      </c>
      <c r="O84" s="136">
        <v>0</v>
      </c>
      <c r="P84" s="175">
        <v>87089900</v>
      </c>
      <c r="Q84" s="137" t="s">
        <v>22</v>
      </c>
      <c r="R84" s="136" t="s">
        <v>13</v>
      </c>
      <c r="S84" s="136">
        <v>52</v>
      </c>
      <c r="T84" s="136">
        <v>52</v>
      </c>
      <c r="U84" s="136">
        <f t="shared" si="8"/>
        <v>0</v>
      </c>
      <c r="V84" s="136">
        <v>52</v>
      </c>
    </row>
    <row r="85" spans="1:22" x14ac:dyDescent="0.3">
      <c r="A85" s="136" t="s">
        <v>187</v>
      </c>
      <c r="B85" s="136" t="s">
        <v>178</v>
      </c>
      <c r="C85" s="136" t="s">
        <v>322</v>
      </c>
      <c r="D85" s="143">
        <v>42928</v>
      </c>
      <c r="E85" s="136">
        <v>23040</v>
      </c>
      <c r="F85" s="136" t="s">
        <v>14</v>
      </c>
      <c r="G85" s="140" t="s">
        <v>11</v>
      </c>
      <c r="H85" s="136" t="s">
        <v>12</v>
      </c>
      <c r="J85" s="139">
        <v>28</v>
      </c>
      <c r="K85" s="138">
        <v>18000</v>
      </c>
      <c r="L85" s="136">
        <v>0</v>
      </c>
      <c r="M85" s="136">
        <f t="shared" si="6"/>
        <v>2520.0000000000005</v>
      </c>
      <c r="N85" s="136">
        <f t="shared" si="7"/>
        <v>2520.0000000000005</v>
      </c>
      <c r="O85" s="136">
        <v>0</v>
      </c>
      <c r="P85" s="175">
        <v>87089900</v>
      </c>
      <c r="Q85" s="137" t="s">
        <v>22</v>
      </c>
      <c r="R85" s="136" t="s">
        <v>13</v>
      </c>
      <c r="S85" s="136">
        <v>40</v>
      </c>
      <c r="T85" s="136">
        <v>40</v>
      </c>
      <c r="U85" s="136">
        <f t="shared" si="8"/>
        <v>0</v>
      </c>
      <c r="V85" s="136">
        <v>40</v>
      </c>
    </row>
    <row r="86" spans="1:22" x14ac:dyDescent="0.3">
      <c r="A86" s="136" t="s">
        <v>187</v>
      </c>
      <c r="B86" s="136" t="s">
        <v>178</v>
      </c>
      <c r="C86" s="136" t="s">
        <v>323</v>
      </c>
      <c r="D86" s="143">
        <v>42928</v>
      </c>
      <c r="E86" s="136">
        <v>13721.2</v>
      </c>
      <c r="F86" s="136" t="s">
        <v>14</v>
      </c>
      <c r="G86" s="140" t="s">
        <v>11</v>
      </c>
      <c r="H86" s="136" t="s">
        <v>12</v>
      </c>
      <c r="J86" s="139">
        <v>28</v>
      </c>
      <c r="K86" s="138">
        <v>10719.68</v>
      </c>
      <c r="L86" s="136">
        <v>0</v>
      </c>
      <c r="M86" s="136">
        <f t="shared" si="6"/>
        <v>1500.7552000000003</v>
      </c>
      <c r="N86" s="136">
        <f t="shared" si="7"/>
        <v>1500.7552000000003</v>
      </c>
      <c r="O86" s="136">
        <v>0</v>
      </c>
      <c r="P86" s="175">
        <v>87089900</v>
      </c>
      <c r="Q86" s="137" t="s">
        <v>22</v>
      </c>
      <c r="R86" s="136" t="s">
        <v>13</v>
      </c>
      <c r="S86" s="136">
        <v>32</v>
      </c>
      <c r="T86" s="136">
        <v>32</v>
      </c>
      <c r="U86" s="136">
        <f t="shared" si="8"/>
        <v>0</v>
      </c>
      <c r="V86" s="136">
        <v>32</v>
      </c>
    </row>
    <row r="87" spans="1:22" x14ac:dyDescent="0.3">
      <c r="A87" s="136" t="s">
        <v>6</v>
      </c>
      <c r="B87" s="136" t="s">
        <v>5</v>
      </c>
      <c r="C87" s="136" t="s">
        <v>324</v>
      </c>
      <c r="D87" s="143">
        <v>42928</v>
      </c>
      <c r="E87" s="136">
        <v>38645.72</v>
      </c>
      <c r="F87" s="136" t="s">
        <v>14</v>
      </c>
      <c r="G87" s="140" t="s">
        <v>11</v>
      </c>
      <c r="H87" s="136" t="s">
        <v>12</v>
      </c>
      <c r="J87" s="139">
        <v>28</v>
      </c>
      <c r="K87" s="138">
        <v>30191.98</v>
      </c>
      <c r="L87" s="136">
        <v>0</v>
      </c>
      <c r="M87" s="136">
        <f t="shared" si="6"/>
        <v>4226.8771999999999</v>
      </c>
      <c r="N87" s="136">
        <f t="shared" si="7"/>
        <v>4226.8771999999999</v>
      </c>
      <c r="O87" s="136">
        <v>0</v>
      </c>
      <c r="P87" s="175">
        <v>87081090</v>
      </c>
      <c r="Q87" s="137" t="s">
        <v>22</v>
      </c>
      <c r="R87" s="136" t="s">
        <v>13</v>
      </c>
      <c r="S87" s="136">
        <v>364</v>
      </c>
      <c r="T87" s="136">
        <v>364</v>
      </c>
      <c r="U87" s="136">
        <f t="shared" si="8"/>
        <v>0</v>
      </c>
      <c r="V87" s="136">
        <v>364</v>
      </c>
    </row>
    <row r="88" spans="1:22" x14ac:dyDescent="0.3">
      <c r="A88" s="136" t="s">
        <v>6</v>
      </c>
      <c r="B88" s="136" t="s">
        <v>5</v>
      </c>
      <c r="C88" s="136" t="s">
        <v>325</v>
      </c>
      <c r="D88" s="143">
        <v>42928</v>
      </c>
      <c r="E88" s="136">
        <v>18108.16</v>
      </c>
      <c r="F88" s="136" t="s">
        <v>14</v>
      </c>
      <c r="G88" s="140" t="s">
        <v>11</v>
      </c>
      <c r="H88" s="136" t="s">
        <v>12</v>
      </c>
      <c r="J88" s="139">
        <v>28</v>
      </c>
      <c r="K88" s="138">
        <v>14147</v>
      </c>
      <c r="L88" s="136">
        <v>0</v>
      </c>
      <c r="M88" s="136">
        <f t="shared" si="6"/>
        <v>1980.5800000000002</v>
      </c>
      <c r="N88" s="136">
        <f t="shared" si="7"/>
        <v>1980.5800000000002</v>
      </c>
      <c r="O88" s="136">
        <v>0</v>
      </c>
      <c r="P88" s="175">
        <v>87141090</v>
      </c>
      <c r="Q88" s="137" t="s">
        <v>22</v>
      </c>
      <c r="R88" s="136" t="s">
        <v>13</v>
      </c>
      <c r="S88" s="136">
        <v>188</v>
      </c>
      <c r="T88" s="136">
        <v>188</v>
      </c>
      <c r="U88" s="136">
        <f t="shared" si="8"/>
        <v>0</v>
      </c>
      <c r="V88" s="136">
        <v>188</v>
      </c>
    </row>
    <row r="89" spans="1:22" x14ac:dyDescent="0.3">
      <c r="A89" s="136" t="s">
        <v>188</v>
      </c>
      <c r="B89" s="136" t="s">
        <v>189</v>
      </c>
      <c r="C89" s="136" t="s">
        <v>326</v>
      </c>
      <c r="D89" s="143">
        <v>42929</v>
      </c>
      <c r="E89" s="136">
        <v>79667.72</v>
      </c>
      <c r="F89" s="136" t="s">
        <v>14</v>
      </c>
      <c r="G89" s="140" t="s">
        <v>11</v>
      </c>
      <c r="H89" s="136" t="s">
        <v>12</v>
      </c>
      <c r="J89" s="139">
        <v>28</v>
      </c>
      <c r="K89" s="138">
        <v>62240.4</v>
      </c>
      <c r="L89" s="136">
        <v>0</v>
      </c>
      <c r="M89" s="136">
        <f t="shared" si="6"/>
        <v>8713.6560000000009</v>
      </c>
      <c r="N89" s="136">
        <f t="shared" si="7"/>
        <v>8713.6560000000009</v>
      </c>
      <c r="O89" s="136">
        <v>0</v>
      </c>
      <c r="P89" s="175">
        <v>87141090</v>
      </c>
      <c r="Q89" s="137" t="s">
        <v>22</v>
      </c>
      <c r="R89" s="136" t="s">
        <v>13</v>
      </c>
      <c r="S89" s="136">
        <v>2712</v>
      </c>
      <c r="T89" s="136">
        <v>2712</v>
      </c>
      <c r="U89" s="136">
        <f t="shared" si="8"/>
        <v>0</v>
      </c>
      <c r="V89" s="136">
        <v>2712</v>
      </c>
    </row>
    <row r="90" spans="1:22" x14ac:dyDescent="0.3">
      <c r="A90" s="136" t="s">
        <v>328</v>
      </c>
      <c r="B90" s="136" t="s">
        <v>327</v>
      </c>
      <c r="C90" s="136" t="s">
        <v>329</v>
      </c>
      <c r="D90" s="143">
        <v>42929</v>
      </c>
      <c r="E90" s="136">
        <v>44377.86</v>
      </c>
      <c r="F90" s="136" t="s">
        <v>14</v>
      </c>
      <c r="G90" s="140" t="s">
        <v>11</v>
      </c>
      <c r="H90" s="136" t="s">
        <v>12</v>
      </c>
      <c r="J90" s="139">
        <v>28</v>
      </c>
      <c r="K90" s="138">
        <v>34670.199999999997</v>
      </c>
      <c r="L90" s="136">
        <v>0</v>
      </c>
      <c r="M90" s="136">
        <f t="shared" si="6"/>
        <v>4853.8280000000004</v>
      </c>
      <c r="N90" s="136">
        <f t="shared" si="7"/>
        <v>4853.8280000000004</v>
      </c>
      <c r="O90" s="136">
        <v>0</v>
      </c>
      <c r="P90" s="175">
        <v>87141090</v>
      </c>
      <c r="Q90" s="137" t="s">
        <v>22</v>
      </c>
      <c r="R90" s="136" t="s">
        <v>13</v>
      </c>
      <c r="S90" s="136">
        <v>460</v>
      </c>
      <c r="T90" s="136">
        <v>460</v>
      </c>
      <c r="U90" s="136">
        <f t="shared" si="8"/>
        <v>0</v>
      </c>
      <c r="V90" s="136">
        <v>460</v>
      </c>
    </row>
    <row r="91" spans="1:22" x14ac:dyDescent="0.3">
      <c r="A91" s="136" t="s">
        <v>6</v>
      </c>
      <c r="B91" s="136" t="s">
        <v>5</v>
      </c>
      <c r="C91" s="136" t="s">
        <v>330</v>
      </c>
      <c r="D91" s="143">
        <v>42929</v>
      </c>
      <c r="E91" s="136">
        <v>59454.96</v>
      </c>
      <c r="F91" s="136" t="s">
        <v>14</v>
      </c>
      <c r="G91" s="140" t="s">
        <v>11</v>
      </c>
      <c r="H91" s="136" t="s">
        <v>12</v>
      </c>
      <c r="J91" s="139">
        <v>28</v>
      </c>
      <c r="K91" s="138">
        <v>46449.2</v>
      </c>
      <c r="L91" s="136">
        <v>0</v>
      </c>
      <c r="M91" s="136">
        <f t="shared" si="6"/>
        <v>6502.8879999999999</v>
      </c>
      <c r="N91" s="136">
        <f t="shared" si="7"/>
        <v>6502.8879999999999</v>
      </c>
      <c r="O91" s="136">
        <v>0</v>
      </c>
      <c r="P91" s="175">
        <v>87081090</v>
      </c>
      <c r="Q91" s="137" t="s">
        <v>22</v>
      </c>
      <c r="R91" s="136" t="s">
        <v>13</v>
      </c>
      <c r="S91" s="136">
        <v>560</v>
      </c>
      <c r="T91" s="136">
        <v>560</v>
      </c>
      <c r="U91" s="136">
        <f t="shared" si="8"/>
        <v>0</v>
      </c>
      <c r="V91" s="136">
        <v>560</v>
      </c>
    </row>
    <row r="92" spans="1:22" x14ac:dyDescent="0.3">
      <c r="A92" s="136" t="s">
        <v>6</v>
      </c>
      <c r="B92" s="136" t="s">
        <v>5</v>
      </c>
      <c r="C92" s="136" t="s">
        <v>331</v>
      </c>
      <c r="D92" s="143">
        <v>42930</v>
      </c>
      <c r="E92" s="136">
        <v>42043.16</v>
      </c>
      <c r="F92" s="136" t="s">
        <v>14</v>
      </c>
      <c r="G92" s="140" t="s">
        <v>11</v>
      </c>
      <c r="H92" s="136" t="s">
        <v>12</v>
      </c>
      <c r="J92" s="139">
        <v>28</v>
      </c>
      <c r="K92" s="138">
        <v>32846.22</v>
      </c>
      <c r="L92" s="136">
        <v>0</v>
      </c>
      <c r="M92" s="136">
        <f t="shared" ref="M92:M123" si="9">+J92/100*K92/2</f>
        <v>4598.470800000001</v>
      </c>
      <c r="N92" s="136">
        <f t="shared" ref="N92:N123" si="10">+J92/100*K92/2</f>
        <v>4598.470800000001</v>
      </c>
      <c r="O92" s="136">
        <v>0</v>
      </c>
      <c r="P92" s="175">
        <v>87081090</v>
      </c>
      <c r="Q92" s="137" t="s">
        <v>22</v>
      </c>
      <c r="R92" s="136" t="s">
        <v>13</v>
      </c>
      <c r="S92" s="136">
        <v>396</v>
      </c>
      <c r="T92" s="136">
        <v>396</v>
      </c>
      <c r="U92" s="136">
        <f t="shared" si="8"/>
        <v>0</v>
      </c>
      <c r="V92" s="136">
        <v>396</v>
      </c>
    </row>
    <row r="93" spans="1:22" x14ac:dyDescent="0.3">
      <c r="A93" s="136" t="s">
        <v>6</v>
      </c>
      <c r="B93" s="136" t="s">
        <v>5</v>
      </c>
      <c r="C93" s="136" t="s">
        <v>332</v>
      </c>
      <c r="D93" s="143">
        <v>42930</v>
      </c>
      <c r="E93" s="136">
        <v>13870.08</v>
      </c>
      <c r="F93" s="136" t="s">
        <v>14</v>
      </c>
      <c r="G93" s="140" t="s">
        <v>11</v>
      </c>
      <c r="H93" s="136" t="s">
        <v>12</v>
      </c>
      <c r="J93" s="139">
        <v>28</v>
      </c>
      <c r="K93" s="138">
        <v>10836</v>
      </c>
      <c r="L93" s="136">
        <v>0</v>
      </c>
      <c r="M93" s="136">
        <f t="shared" si="9"/>
        <v>1517.0400000000002</v>
      </c>
      <c r="N93" s="136">
        <f t="shared" si="10"/>
        <v>1517.0400000000002</v>
      </c>
      <c r="O93" s="136">
        <v>0</v>
      </c>
      <c r="P93" s="175">
        <v>87141090</v>
      </c>
      <c r="Q93" s="137" t="s">
        <v>22</v>
      </c>
      <c r="R93" s="136" t="s">
        <v>13</v>
      </c>
      <c r="S93" s="136">
        <v>144</v>
      </c>
      <c r="T93" s="136">
        <v>144</v>
      </c>
      <c r="U93" s="136">
        <f t="shared" si="8"/>
        <v>0</v>
      </c>
      <c r="V93" s="136">
        <v>144</v>
      </c>
    </row>
    <row r="94" spans="1:22" x14ac:dyDescent="0.3">
      <c r="A94" s="136" t="s">
        <v>6</v>
      </c>
      <c r="B94" s="136" t="s">
        <v>5</v>
      </c>
      <c r="C94" s="136" t="s">
        <v>333</v>
      </c>
      <c r="D94" s="143">
        <v>42930</v>
      </c>
      <c r="E94" s="136">
        <v>50961.4</v>
      </c>
      <c r="F94" s="136" t="s">
        <v>14</v>
      </c>
      <c r="G94" s="140" t="s">
        <v>11</v>
      </c>
      <c r="H94" s="136" t="s">
        <v>12</v>
      </c>
      <c r="J94" s="139">
        <v>28</v>
      </c>
      <c r="K94" s="138">
        <v>39813.599999999999</v>
      </c>
      <c r="L94" s="136">
        <v>0</v>
      </c>
      <c r="M94" s="136">
        <f t="shared" si="9"/>
        <v>5573.9040000000005</v>
      </c>
      <c r="N94" s="136">
        <f t="shared" si="10"/>
        <v>5573.9040000000005</v>
      </c>
      <c r="O94" s="136">
        <v>0</v>
      </c>
      <c r="P94" s="175">
        <v>87081090</v>
      </c>
      <c r="Q94" s="137" t="s">
        <v>22</v>
      </c>
      <c r="R94" s="136" t="s">
        <v>13</v>
      </c>
      <c r="S94" s="136">
        <v>480</v>
      </c>
      <c r="T94" s="136">
        <v>480</v>
      </c>
      <c r="U94" s="136">
        <f t="shared" si="8"/>
        <v>0</v>
      </c>
      <c r="V94" s="136">
        <v>480</v>
      </c>
    </row>
    <row r="95" spans="1:22" x14ac:dyDescent="0.3">
      <c r="A95" s="136" t="s">
        <v>187</v>
      </c>
      <c r="B95" s="136" t="s">
        <v>178</v>
      </c>
      <c r="C95" s="136" t="s">
        <v>334</v>
      </c>
      <c r="D95" s="143">
        <v>42930</v>
      </c>
      <c r="E95" s="136">
        <v>45668.91</v>
      </c>
      <c r="F95" s="136" t="s">
        <v>14</v>
      </c>
      <c r="G95" s="140" t="s">
        <v>11</v>
      </c>
      <c r="H95" s="136" t="s">
        <v>12</v>
      </c>
      <c r="J95" s="139">
        <v>28</v>
      </c>
      <c r="K95" s="138">
        <v>35678.85</v>
      </c>
      <c r="L95" s="136">
        <v>0</v>
      </c>
      <c r="M95" s="136">
        <f t="shared" si="9"/>
        <v>4995.0390000000007</v>
      </c>
      <c r="N95" s="136">
        <f t="shared" si="10"/>
        <v>4995.0390000000007</v>
      </c>
      <c r="O95" s="136">
        <v>0</v>
      </c>
      <c r="P95" s="175">
        <v>87089900</v>
      </c>
      <c r="Q95" s="137" t="s">
        <v>22</v>
      </c>
      <c r="R95" s="136" t="s">
        <v>13</v>
      </c>
      <c r="S95" s="136">
        <v>407</v>
      </c>
      <c r="T95" s="136">
        <v>407</v>
      </c>
      <c r="U95" s="136">
        <f t="shared" si="8"/>
        <v>0</v>
      </c>
      <c r="V95" s="136">
        <v>407</v>
      </c>
    </row>
    <row r="96" spans="1:22" x14ac:dyDescent="0.3">
      <c r="A96" s="136" t="s">
        <v>187</v>
      </c>
      <c r="B96" s="136" t="s">
        <v>178</v>
      </c>
      <c r="C96" s="136" t="s">
        <v>335</v>
      </c>
      <c r="D96" s="143">
        <v>42930</v>
      </c>
      <c r="E96" s="136">
        <v>9093.1200000000008</v>
      </c>
      <c r="F96" s="136" t="s">
        <v>14</v>
      </c>
      <c r="G96" s="140" t="s">
        <v>11</v>
      </c>
      <c r="H96" s="136" t="s">
        <v>12</v>
      </c>
      <c r="J96" s="139">
        <v>28</v>
      </c>
      <c r="K96" s="138">
        <v>7104</v>
      </c>
      <c r="L96" s="136">
        <v>0</v>
      </c>
      <c r="M96" s="136">
        <f t="shared" si="9"/>
        <v>994.56000000000006</v>
      </c>
      <c r="N96" s="136">
        <f t="shared" si="10"/>
        <v>994.56000000000006</v>
      </c>
      <c r="O96" s="136">
        <v>0</v>
      </c>
      <c r="P96" s="175">
        <v>87089900</v>
      </c>
      <c r="Q96" s="137" t="s">
        <v>22</v>
      </c>
      <c r="R96" s="136" t="s">
        <v>13</v>
      </c>
      <c r="S96" s="136">
        <v>31</v>
      </c>
      <c r="T96" s="136">
        <v>31</v>
      </c>
      <c r="U96" s="136">
        <f t="shared" si="8"/>
        <v>0</v>
      </c>
      <c r="V96" s="136">
        <v>31</v>
      </c>
    </row>
    <row r="97" spans="1:22" x14ac:dyDescent="0.3">
      <c r="A97" s="136" t="s">
        <v>6</v>
      </c>
      <c r="B97" s="136" t="s">
        <v>5</v>
      </c>
      <c r="C97" s="136" t="s">
        <v>336</v>
      </c>
      <c r="D97" s="143">
        <v>42930</v>
      </c>
      <c r="E97" s="136">
        <v>44591.24</v>
      </c>
      <c r="F97" s="136" t="s">
        <v>14</v>
      </c>
      <c r="G97" s="140" t="s">
        <v>11</v>
      </c>
      <c r="H97" s="136" t="s">
        <v>12</v>
      </c>
      <c r="J97" s="139">
        <v>28</v>
      </c>
      <c r="K97" s="138">
        <v>34836.9</v>
      </c>
      <c r="L97" s="136">
        <v>0</v>
      </c>
      <c r="M97" s="136">
        <f t="shared" si="9"/>
        <v>4877.1660000000011</v>
      </c>
      <c r="N97" s="136">
        <f t="shared" si="10"/>
        <v>4877.1660000000011</v>
      </c>
      <c r="O97" s="136">
        <v>0</v>
      </c>
      <c r="P97" s="175">
        <v>87081090</v>
      </c>
      <c r="Q97" s="137" t="s">
        <v>22</v>
      </c>
      <c r="R97" s="136" t="s">
        <v>13</v>
      </c>
      <c r="S97" s="136">
        <v>420</v>
      </c>
      <c r="T97" s="136">
        <v>420</v>
      </c>
      <c r="U97" s="136">
        <f t="shared" si="8"/>
        <v>0</v>
      </c>
      <c r="V97" s="136">
        <v>420</v>
      </c>
    </row>
    <row r="98" spans="1:22" x14ac:dyDescent="0.3">
      <c r="A98" s="136" t="s">
        <v>40</v>
      </c>
      <c r="B98" s="136" t="s">
        <v>39</v>
      </c>
      <c r="C98" s="136" t="s">
        <v>337</v>
      </c>
      <c r="D98" s="143">
        <v>42930</v>
      </c>
      <c r="E98" s="136">
        <v>10058.56</v>
      </c>
      <c r="F98" s="136" t="s">
        <v>14</v>
      </c>
      <c r="G98" s="140" t="s">
        <v>11</v>
      </c>
      <c r="H98" s="136" t="s">
        <v>12</v>
      </c>
      <c r="J98" s="139">
        <v>18</v>
      </c>
      <c r="K98" s="138">
        <v>8524.2000000000007</v>
      </c>
      <c r="L98" s="136">
        <v>0</v>
      </c>
      <c r="M98" s="136">
        <f t="shared" si="9"/>
        <v>767.178</v>
      </c>
      <c r="N98" s="136">
        <f t="shared" si="10"/>
        <v>767.178</v>
      </c>
      <c r="O98" s="136">
        <v>0</v>
      </c>
      <c r="P98" s="175">
        <v>998898</v>
      </c>
      <c r="Q98" s="137" t="s">
        <v>22</v>
      </c>
      <c r="R98" s="136" t="s">
        <v>13</v>
      </c>
      <c r="S98" s="136">
        <v>0</v>
      </c>
      <c r="T98" s="136">
        <v>0</v>
      </c>
      <c r="U98" s="136">
        <f t="shared" si="8"/>
        <v>0</v>
      </c>
      <c r="V98" s="136">
        <v>30</v>
      </c>
    </row>
    <row r="99" spans="1:22" x14ac:dyDescent="0.3">
      <c r="A99" s="136" t="s">
        <v>342</v>
      </c>
      <c r="B99" s="136" t="s">
        <v>341</v>
      </c>
      <c r="C99" s="136" t="s">
        <v>343</v>
      </c>
      <c r="D99" s="143">
        <v>42930</v>
      </c>
      <c r="E99" s="136">
        <v>12636.04</v>
      </c>
      <c r="F99" s="136" t="s">
        <v>14</v>
      </c>
      <c r="G99" s="140" t="s">
        <v>11</v>
      </c>
      <c r="H99" s="136" t="s">
        <v>12</v>
      </c>
      <c r="J99" s="139">
        <v>18</v>
      </c>
      <c r="K99" s="138">
        <v>10708.5</v>
      </c>
      <c r="L99" s="136">
        <v>0</v>
      </c>
      <c r="M99" s="136">
        <f t="shared" si="9"/>
        <v>963.76499999999999</v>
      </c>
      <c r="N99" s="136">
        <f t="shared" si="10"/>
        <v>963.76499999999999</v>
      </c>
      <c r="O99" s="136">
        <v>0</v>
      </c>
      <c r="P99" s="175">
        <v>998873</v>
      </c>
      <c r="Q99" s="137" t="s">
        <v>22</v>
      </c>
      <c r="R99" s="136" t="s">
        <v>13</v>
      </c>
      <c r="S99" s="136">
        <v>0</v>
      </c>
      <c r="T99" s="136">
        <v>0</v>
      </c>
      <c r="U99" s="136">
        <f t="shared" si="8"/>
        <v>0</v>
      </c>
      <c r="V99" s="136">
        <v>363</v>
      </c>
    </row>
    <row r="100" spans="1:22" x14ac:dyDescent="0.3">
      <c r="A100" s="136" t="s">
        <v>342</v>
      </c>
      <c r="B100" s="136" t="s">
        <v>341</v>
      </c>
      <c r="C100" s="136" t="s">
        <v>344</v>
      </c>
      <c r="D100" s="143">
        <v>42930</v>
      </c>
      <c r="E100" s="136">
        <v>6962</v>
      </c>
      <c r="F100" s="136" t="s">
        <v>14</v>
      </c>
      <c r="G100" s="140" t="s">
        <v>11</v>
      </c>
      <c r="H100" s="136" t="s">
        <v>12</v>
      </c>
      <c r="J100" s="139">
        <v>18</v>
      </c>
      <c r="K100" s="138">
        <v>5900</v>
      </c>
      <c r="L100" s="136">
        <v>0</v>
      </c>
      <c r="M100" s="136">
        <f t="shared" si="9"/>
        <v>531</v>
      </c>
      <c r="N100" s="136">
        <f t="shared" si="10"/>
        <v>531</v>
      </c>
      <c r="O100" s="136">
        <v>0</v>
      </c>
      <c r="P100" s="175">
        <v>998873</v>
      </c>
      <c r="Q100" s="137" t="s">
        <v>22</v>
      </c>
      <c r="R100" s="136" t="s">
        <v>13</v>
      </c>
      <c r="S100" s="136">
        <v>0</v>
      </c>
      <c r="T100" s="136">
        <v>0</v>
      </c>
      <c r="U100" s="136">
        <f t="shared" si="8"/>
        <v>0</v>
      </c>
      <c r="V100" s="136">
        <v>200</v>
      </c>
    </row>
    <row r="101" spans="1:22" x14ac:dyDescent="0.3">
      <c r="A101" s="136" t="s">
        <v>342</v>
      </c>
      <c r="B101" s="136" t="s">
        <v>341</v>
      </c>
      <c r="C101" s="136" t="s">
        <v>345</v>
      </c>
      <c r="D101" s="143">
        <v>42930</v>
      </c>
      <c r="E101" s="136">
        <v>6962</v>
      </c>
      <c r="F101" s="136" t="s">
        <v>14</v>
      </c>
      <c r="G101" s="140" t="s">
        <v>11</v>
      </c>
      <c r="H101" s="136" t="s">
        <v>12</v>
      </c>
      <c r="J101" s="139">
        <v>18</v>
      </c>
      <c r="K101" s="138">
        <v>5900</v>
      </c>
      <c r="L101" s="136">
        <v>0</v>
      </c>
      <c r="M101" s="136">
        <f t="shared" si="9"/>
        <v>531</v>
      </c>
      <c r="N101" s="136">
        <f t="shared" si="10"/>
        <v>531</v>
      </c>
      <c r="O101" s="136">
        <v>0</v>
      </c>
      <c r="P101" s="175">
        <v>998873</v>
      </c>
      <c r="Q101" s="137" t="s">
        <v>22</v>
      </c>
      <c r="R101" s="136" t="s">
        <v>13</v>
      </c>
      <c r="S101" s="136">
        <v>0</v>
      </c>
      <c r="T101" s="136">
        <v>0</v>
      </c>
      <c r="U101" s="136">
        <f t="shared" si="8"/>
        <v>0</v>
      </c>
      <c r="V101" s="136">
        <v>200</v>
      </c>
    </row>
    <row r="102" spans="1:22" x14ac:dyDescent="0.3">
      <c r="A102" s="136" t="s">
        <v>342</v>
      </c>
      <c r="B102" s="136" t="s">
        <v>341</v>
      </c>
      <c r="C102" s="136" t="s">
        <v>346</v>
      </c>
      <c r="D102" s="143">
        <v>42930</v>
      </c>
      <c r="E102" s="136">
        <v>6962</v>
      </c>
      <c r="F102" s="136" t="s">
        <v>14</v>
      </c>
      <c r="G102" s="140" t="s">
        <v>11</v>
      </c>
      <c r="H102" s="136" t="s">
        <v>12</v>
      </c>
      <c r="J102" s="139">
        <v>18</v>
      </c>
      <c r="K102" s="138">
        <v>5900</v>
      </c>
      <c r="L102" s="136">
        <v>0</v>
      </c>
      <c r="M102" s="136">
        <f t="shared" si="9"/>
        <v>531</v>
      </c>
      <c r="N102" s="136">
        <f t="shared" si="10"/>
        <v>531</v>
      </c>
      <c r="O102" s="136">
        <v>0</v>
      </c>
      <c r="P102" s="175">
        <v>998873</v>
      </c>
      <c r="Q102" s="137" t="s">
        <v>22</v>
      </c>
      <c r="R102" s="136" t="s">
        <v>13</v>
      </c>
      <c r="S102" s="136">
        <v>0</v>
      </c>
      <c r="T102" s="136">
        <v>0</v>
      </c>
      <c r="U102" s="136">
        <f t="shared" si="8"/>
        <v>0</v>
      </c>
      <c r="V102" s="136">
        <v>200</v>
      </c>
    </row>
    <row r="103" spans="1:22" x14ac:dyDescent="0.3">
      <c r="A103" s="136" t="s">
        <v>342</v>
      </c>
      <c r="B103" s="136" t="s">
        <v>341</v>
      </c>
      <c r="C103" s="136" t="s">
        <v>347</v>
      </c>
      <c r="D103" s="143">
        <v>42930</v>
      </c>
      <c r="E103" s="136">
        <v>6857.58</v>
      </c>
      <c r="F103" s="136" t="s">
        <v>14</v>
      </c>
      <c r="G103" s="140" t="s">
        <v>11</v>
      </c>
      <c r="H103" s="136" t="s">
        <v>12</v>
      </c>
      <c r="J103" s="139">
        <v>18</v>
      </c>
      <c r="K103" s="138">
        <v>5811.5</v>
      </c>
      <c r="L103" s="136">
        <v>0</v>
      </c>
      <c r="M103" s="136">
        <f t="shared" si="9"/>
        <v>523.03499999999997</v>
      </c>
      <c r="N103" s="136">
        <f t="shared" si="10"/>
        <v>523.03499999999997</v>
      </c>
      <c r="O103" s="136">
        <v>0</v>
      </c>
      <c r="P103" s="175">
        <v>998873</v>
      </c>
      <c r="Q103" s="137" t="s">
        <v>22</v>
      </c>
      <c r="R103" s="136" t="s">
        <v>13</v>
      </c>
      <c r="S103" s="136">
        <v>0</v>
      </c>
      <c r="T103" s="136">
        <v>0</v>
      </c>
      <c r="U103" s="136">
        <f t="shared" si="8"/>
        <v>0</v>
      </c>
      <c r="V103" s="136">
        <v>197</v>
      </c>
    </row>
    <row r="104" spans="1:22" x14ac:dyDescent="0.3">
      <c r="A104" s="136" t="s">
        <v>342</v>
      </c>
      <c r="B104" s="136" t="s">
        <v>341</v>
      </c>
      <c r="C104" s="136" t="s">
        <v>348</v>
      </c>
      <c r="D104" s="143">
        <v>42930</v>
      </c>
      <c r="E104" s="136">
        <v>5743.66</v>
      </c>
      <c r="F104" s="136" t="s">
        <v>14</v>
      </c>
      <c r="G104" s="140" t="s">
        <v>11</v>
      </c>
      <c r="H104" s="136" t="s">
        <v>12</v>
      </c>
      <c r="J104" s="139">
        <v>18</v>
      </c>
      <c r="K104" s="138">
        <v>4867.5</v>
      </c>
      <c r="L104" s="136">
        <v>0</v>
      </c>
      <c r="M104" s="136">
        <f t="shared" si="9"/>
        <v>438.07499999999999</v>
      </c>
      <c r="N104" s="136">
        <f t="shared" si="10"/>
        <v>438.07499999999999</v>
      </c>
      <c r="O104" s="136">
        <v>0</v>
      </c>
      <c r="P104" s="175">
        <v>998873</v>
      </c>
      <c r="Q104" s="137" t="s">
        <v>22</v>
      </c>
      <c r="R104" s="136" t="s">
        <v>13</v>
      </c>
      <c r="S104" s="136">
        <v>0</v>
      </c>
      <c r="T104" s="136">
        <v>0</v>
      </c>
      <c r="U104" s="136">
        <f t="shared" si="8"/>
        <v>0</v>
      </c>
      <c r="V104" s="136">
        <v>165</v>
      </c>
    </row>
    <row r="105" spans="1:22" x14ac:dyDescent="0.3">
      <c r="A105" s="136" t="s">
        <v>6</v>
      </c>
      <c r="B105" s="136" t="s">
        <v>5</v>
      </c>
      <c r="C105" s="136" t="s">
        <v>349</v>
      </c>
      <c r="D105" s="143">
        <v>42930</v>
      </c>
      <c r="E105" s="136">
        <v>31850.880000000001</v>
      </c>
      <c r="F105" s="136" t="s">
        <v>14</v>
      </c>
      <c r="G105" s="140" t="s">
        <v>11</v>
      </c>
      <c r="H105" s="136" t="s">
        <v>12</v>
      </c>
      <c r="J105" s="139">
        <v>28</v>
      </c>
      <c r="K105" s="138">
        <v>24883.5</v>
      </c>
      <c r="L105" s="136">
        <v>0</v>
      </c>
      <c r="M105" s="136">
        <f t="shared" si="9"/>
        <v>3483.6900000000005</v>
      </c>
      <c r="N105" s="136">
        <f t="shared" si="10"/>
        <v>3483.6900000000005</v>
      </c>
      <c r="O105" s="136">
        <v>0</v>
      </c>
      <c r="P105" s="175">
        <v>87081090</v>
      </c>
      <c r="Q105" s="137" t="s">
        <v>22</v>
      </c>
      <c r="R105" s="136" t="s">
        <v>13</v>
      </c>
      <c r="S105" s="136">
        <v>300</v>
      </c>
      <c r="T105" s="136">
        <v>300</v>
      </c>
      <c r="U105" s="136">
        <f t="shared" si="8"/>
        <v>0</v>
      </c>
      <c r="V105" s="136">
        <v>300</v>
      </c>
    </row>
    <row r="106" spans="1:22" x14ac:dyDescent="0.3">
      <c r="A106" s="136" t="s">
        <v>6</v>
      </c>
      <c r="B106" s="136" t="s">
        <v>5</v>
      </c>
      <c r="C106" s="136" t="s">
        <v>350</v>
      </c>
      <c r="D106" s="143">
        <v>42930</v>
      </c>
      <c r="E106" s="136">
        <v>17337.599999999999</v>
      </c>
      <c r="F106" s="136" t="s">
        <v>14</v>
      </c>
      <c r="G106" s="140" t="s">
        <v>11</v>
      </c>
      <c r="H106" s="136" t="s">
        <v>12</v>
      </c>
      <c r="J106" s="139">
        <v>28</v>
      </c>
      <c r="K106" s="138">
        <v>13545</v>
      </c>
      <c r="L106" s="136">
        <v>0</v>
      </c>
      <c r="M106" s="136">
        <f t="shared" si="9"/>
        <v>1896.3000000000002</v>
      </c>
      <c r="N106" s="136">
        <f t="shared" si="10"/>
        <v>1896.3000000000002</v>
      </c>
      <c r="O106" s="136">
        <v>0</v>
      </c>
      <c r="P106" s="175">
        <v>87141090</v>
      </c>
      <c r="Q106" s="137" t="s">
        <v>22</v>
      </c>
      <c r="R106" s="136" t="s">
        <v>13</v>
      </c>
      <c r="S106" s="136">
        <v>180</v>
      </c>
      <c r="T106" s="136">
        <v>180</v>
      </c>
      <c r="U106" s="136">
        <f t="shared" si="8"/>
        <v>0</v>
      </c>
      <c r="V106" s="136">
        <v>180</v>
      </c>
    </row>
    <row r="107" spans="1:22" x14ac:dyDescent="0.3">
      <c r="A107" s="136" t="s">
        <v>185</v>
      </c>
      <c r="B107" s="136" t="s">
        <v>184</v>
      </c>
      <c r="C107" s="136" t="s">
        <v>351</v>
      </c>
      <c r="D107" s="143">
        <v>42930</v>
      </c>
      <c r="E107" s="136">
        <v>62187.26</v>
      </c>
      <c r="F107" s="136" t="s">
        <v>14</v>
      </c>
      <c r="G107" s="140" t="s">
        <v>11</v>
      </c>
      <c r="H107" s="136" t="s">
        <v>12</v>
      </c>
      <c r="J107" s="139">
        <v>28</v>
      </c>
      <c r="K107" s="138">
        <v>48583.8</v>
      </c>
      <c r="L107" s="136">
        <v>0</v>
      </c>
      <c r="M107" s="136">
        <f t="shared" si="9"/>
        <v>6801.7320000000009</v>
      </c>
      <c r="N107" s="136">
        <f t="shared" si="10"/>
        <v>6801.7320000000009</v>
      </c>
      <c r="O107" s="136">
        <v>0</v>
      </c>
      <c r="P107" s="175">
        <v>85129000</v>
      </c>
      <c r="Q107" s="137" t="s">
        <v>22</v>
      </c>
      <c r="R107" s="136" t="s">
        <v>13</v>
      </c>
      <c r="S107" s="136">
        <v>810</v>
      </c>
      <c r="T107" s="136">
        <v>810</v>
      </c>
      <c r="U107" s="136">
        <f t="shared" si="8"/>
        <v>0</v>
      </c>
      <c r="V107" s="136">
        <v>810</v>
      </c>
    </row>
    <row r="108" spans="1:22" x14ac:dyDescent="0.3">
      <c r="A108" s="136" t="s">
        <v>40</v>
      </c>
      <c r="B108" s="136" t="s">
        <v>39</v>
      </c>
      <c r="C108" s="136" t="s">
        <v>352</v>
      </c>
      <c r="D108" s="143">
        <v>42931</v>
      </c>
      <c r="E108" s="136">
        <v>10058.56</v>
      </c>
      <c r="F108" s="136" t="s">
        <v>14</v>
      </c>
      <c r="G108" s="140" t="s">
        <v>11</v>
      </c>
      <c r="H108" s="136" t="s">
        <v>12</v>
      </c>
      <c r="J108" s="139">
        <v>18</v>
      </c>
      <c r="K108" s="138">
        <v>8524.2000000000007</v>
      </c>
      <c r="L108" s="136">
        <v>0</v>
      </c>
      <c r="M108" s="136">
        <f t="shared" si="9"/>
        <v>767.178</v>
      </c>
      <c r="N108" s="136">
        <f t="shared" si="10"/>
        <v>767.178</v>
      </c>
      <c r="O108" s="136">
        <v>0</v>
      </c>
      <c r="P108" s="175">
        <v>998898</v>
      </c>
      <c r="Q108" s="137" t="s">
        <v>22</v>
      </c>
      <c r="R108" s="136" t="s">
        <v>13</v>
      </c>
      <c r="S108" s="136">
        <v>0</v>
      </c>
      <c r="T108" s="136">
        <v>0</v>
      </c>
      <c r="U108" s="136">
        <f t="shared" si="8"/>
        <v>0</v>
      </c>
      <c r="V108" s="136">
        <v>30</v>
      </c>
    </row>
    <row r="109" spans="1:22" x14ac:dyDescent="0.3">
      <c r="A109" s="136" t="s">
        <v>328</v>
      </c>
      <c r="B109" s="136" t="s">
        <v>327</v>
      </c>
      <c r="C109" s="136" t="s">
        <v>353</v>
      </c>
      <c r="D109" s="143">
        <v>42931</v>
      </c>
      <c r="E109" s="136">
        <v>38589.440000000002</v>
      </c>
      <c r="F109" s="136" t="s">
        <v>14</v>
      </c>
      <c r="G109" s="140" t="s">
        <v>11</v>
      </c>
      <c r="H109" s="136" t="s">
        <v>12</v>
      </c>
      <c r="J109" s="139">
        <v>28</v>
      </c>
      <c r="K109" s="138">
        <v>30148</v>
      </c>
      <c r="L109" s="136">
        <v>0</v>
      </c>
      <c r="M109" s="136">
        <f t="shared" si="9"/>
        <v>4220.72</v>
      </c>
      <c r="N109" s="136">
        <f t="shared" si="10"/>
        <v>4220.72</v>
      </c>
      <c r="O109" s="136">
        <v>0</v>
      </c>
      <c r="P109" s="175">
        <v>87141090</v>
      </c>
      <c r="Q109" s="137" t="s">
        <v>22</v>
      </c>
      <c r="R109" s="136" t="s">
        <v>13</v>
      </c>
      <c r="S109" s="136">
        <v>400</v>
      </c>
      <c r="T109" s="136">
        <v>400</v>
      </c>
      <c r="U109" s="136">
        <f t="shared" si="8"/>
        <v>0</v>
      </c>
      <c r="V109" s="136">
        <v>400</v>
      </c>
    </row>
    <row r="110" spans="1:22" x14ac:dyDescent="0.3">
      <c r="A110" s="136" t="s">
        <v>6</v>
      </c>
      <c r="B110" s="136" t="s">
        <v>5</v>
      </c>
      <c r="C110" s="136" t="s">
        <v>354</v>
      </c>
      <c r="D110" s="143">
        <v>42931</v>
      </c>
      <c r="E110" s="136">
        <v>50961.4</v>
      </c>
      <c r="F110" s="136" t="s">
        <v>14</v>
      </c>
      <c r="G110" s="140" t="s">
        <v>11</v>
      </c>
      <c r="H110" s="136" t="s">
        <v>12</v>
      </c>
      <c r="J110" s="139">
        <v>28</v>
      </c>
      <c r="K110" s="138">
        <v>39813.599999999999</v>
      </c>
      <c r="L110" s="136">
        <v>0</v>
      </c>
      <c r="M110" s="136">
        <f t="shared" si="9"/>
        <v>5573.9040000000005</v>
      </c>
      <c r="N110" s="136">
        <f t="shared" si="10"/>
        <v>5573.9040000000005</v>
      </c>
      <c r="O110" s="136">
        <v>0</v>
      </c>
      <c r="P110" s="175">
        <v>87081090</v>
      </c>
      <c r="Q110" s="137" t="s">
        <v>22</v>
      </c>
      <c r="R110" s="136" t="s">
        <v>13</v>
      </c>
      <c r="S110" s="136">
        <v>480</v>
      </c>
      <c r="T110" s="136">
        <v>480</v>
      </c>
      <c r="U110" s="136">
        <f t="shared" si="8"/>
        <v>0</v>
      </c>
      <c r="V110" s="136">
        <v>480</v>
      </c>
    </row>
    <row r="111" spans="1:22" x14ac:dyDescent="0.3">
      <c r="A111" s="136" t="s">
        <v>187</v>
      </c>
      <c r="B111" s="136" t="s">
        <v>178</v>
      </c>
      <c r="C111" s="136" t="s">
        <v>355</v>
      </c>
      <c r="D111" s="143">
        <v>42931</v>
      </c>
      <c r="E111" s="136">
        <v>33332.839999999997</v>
      </c>
      <c r="F111" s="136" t="s">
        <v>14</v>
      </c>
      <c r="G111" s="140" t="s">
        <v>11</v>
      </c>
      <c r="H111" s="136" t="s">
        <v>12</v>
      </c>
      <c r="J111" s="139">
        <v>28</v>
      </c>
      <c r="K111" s="138">
        <v>26041.279999999999</v>
      </c>
      <c r="L111" s="136">
        <v>0</v>
      </c>
      <c r="M111" s="136">
        <f t="shared" si="9"/>
        <v>3645.7792000000004</v>
      </c>
      <c r="N111" s="136">
        <f t="shared" si="10"/>
        <v>3645.7792000000004</v>
      </c>
      <c r="O111" s="136">
        <v>0</v>
      </c>
      <c r="P111" s="175">
        <v>87089900</v>
      </c>
      <c r="Q111" s="137" t="s">
        <v>22</v>
      </c>
      <c r="R111" s="136" t="s">
        <v>13</v>
      </c>
      <c r="S111" s="136">
        <v>64</v>
      </c>
      <c r="T111" s="136">
        <v>64</v>
      </c>
      <c r="U111" s="136">
        <f t="shared" si="8"/>
        <v>0</v>
      </c>
      <c r="V111" s="136">
        <v>64</v>
      </c>
    </row>
    <row r="112" spans="1:22" x14ac:dyDescent="0.3">
      <c r="A112" s="136" t="s">
        <v>187</v>
      </c>
      <c r="B112" s="136" t="s">
        <v>178</v>
      </c>
      <c r="C112" s="136" t="s">
        <v>356</v>
      </c>
      <c r="D112" s="143">
        <v>42931</v>
      </c>
      <c r="E112" s="136">
        <v>9267.2000000000007</v>
      </c>
      <c r="F112" s="136" t="s">
        <v>14</v>
      </c>
      <c r="G112" s="140" t="s">
        <v>11</v>
      </c>
      <c r="H112" s="136" t="s">
        <v>12</v>
      </c>
      <c r="J112" s="139">
        <v>28</v>
      </c>
      <c r="K112" s="138">
        <v>7240</v>
      </c>
      <c r="L112" s="136">
        <v>0</v>
      </c>
      <c r="M112" s="136">
        <f t="shared" si="9"/>
        <v>1013.6000000000001</v>
      </c>
      <c r="N112" s="136">
        <f t="shared" si="10"/>
        <v>1013.6000000000001</v>
      </c>
      <c r="O112" s="136">
        <v>0</v>
      </c>
      <c r="P112" s="175">
        <v>87089900</v>
      </c>
      <c r="Q112" s="137" t="s">
        <v>22</v>
      </c>
      <c r="R112" s="136" t="s">
        <v>13</v>
      </c>
      <c r="S112" s="136">
        <v>15</v>
      </c>
      <c r="T112" s="136">
        <v>15</v>
      </c>
      <c r="U112" s="136">
        <f t="shared" si="8"/>
        <v>0</v>
      </c>
      <c r="V112" s="136">
        <v>15</v>
      </c>
    </row>
    <row r="113" spans="1:22" x14ac:dyDescent="0.3">
      <c r="A113" s="136" t="s">
        <v>6</v>
      </c>
      <c r="B113" s="136" t="s">
        <v>5</v>
      </c>
      <c r="C113" s="136" t="s">
        <v>357</v>
      </c>
      <c r="D113" s="143">
        <v>42931</v>
      </c>
      <c r="E113" s="136">
        <v>50961.4</v>
      </c>
      <c r="F113" s="136" t="s">
        <v>14</v>
      </c>
      <c r="G113" s="140" t="s">
        <v>11</v>
      </c>
      <c r="H113" s="136" t="s">
        <v>12</v>
      </c>
      <c r="J113" s="139">
        <v>28</v>
      </c>
      <c r="K113" s="138">
        <v>39813.599999999999</v>
      </c>
      <c r="L113" s="136">
        <v>0</v>
      </c>
      <c r="M113" s="136">
        <f t="shared" si="9"/>
        <v>5573.9040000000005</v>
      </c>
      <c r="N113" s="136">
        <f t="shared" si="10"/>
        <v>5573.9040000000005</v>
      </c>
      <c r="O113" s="136">
        <v>0</v>
      </c>
      <c r="P113" s="175">
        <v>87081090</v>
      </c>
      <c r="Q113" s="137" t="s">
        <v>22</v>
      </c>
      <c r="R113" s="136" t="s">
        <v>13</v>
      </c>
      <c r="S113" s="136">
        <v>480</v>
      </c>
      <c r="T113" s="136">
        <v>480</v>
      </c>
      <c r="U113" s="136">
        <f t="shared" si="8"/>
        <v>0</v>
      </c>
      <c r="V113" s="136">
        <v>480</v>
      </c>
    </row>
    <row r="114" spans="1:22" x14ac:dyDescent="0.3">
      <c r="A114" s="136" t="s">
        <v>328</v>
      </c>
      <c r="B114" s="136" t="s">
        <v>327</v>
      </c>
      <c r="C114" s="136" t="s">
        <v>358</v>
      </c>
      <c r="D114" s="143">
        <v>42933</v>
      </c>
      <c r="E114" s="136">
        <v>48236.800000000003</v>
      </c>
      <c r="F114" s="136" t="s">
        <v>14</v>
      </c>
      <c r="G114" s="140" t="s">
        <v>11</v>
      </c>
      <c r="H114" s="136" t="s">
        <v>12</v>
      </c>
      <c r="J114" s="139">
        <v>28</v>
      </c>
      <c r="K114" s="138">
        <v>37685</v>
      </c>
      <c r="L114" s="136">
        <v>0</v>
      </c>
      <c r="M114" s="136">
        <f t="shared" si="9"/>
        <v>5275.9000000000005</v>
      </c>
      <c r="N114" s="136">
        <f t="shared" si="10"/>
        <v>5275.9000000000005</v>
      </c>
      <c r="O114" s="136">
        <v>0</v>
      </c>
      <c r="P114" s="175">
        <v>87141090</v>
      </c>
      <c r="Q114" s="137" t="s">
        <v>22</v>
      </c>
      <c r="R114" s="136" t="s">
        <v>13</v>
      </c>
      <c r="S114" s="136">
        <v>500</v>
      </c>
      <c r="T114" s="136">
        <v>500</v>
      </c>
      <c r="U114" s="136">
        <f t="shared" si="8"/>
        <v>0</v>
      </c>
      <c r="V114" s="136">
        <v>500</v>
      </c>
    </row>
    <row r="115" spans="1:22" x14ac:dyDescent="0.3">
      <c r="A115" s="136" t="s">
        <v>40</v>
      </c>
      <c r="B115" s="136" t="s">
        <v>39</v>
      </c>
      <c r="C115" s="136" t="s">
        <v>359</v>
      </c>
      <c r="D115" s="143">
        <v>42933</v>
      </c>
      <c r="E115" s="136">
        <v>10058.56</v>
      </c>
      <c r="F115" s="136" t="s">
        <v>14</v>
      </c>
      <c r="G115" s="140" t="s">
        <v>11</v>
      </c>
      <c r="H115" s="136" t="s">
        <v>12</v>
      </c>
      <c r="J115" s="139">
        <v>18</v>
      </c>
      <c r="K115" s="138">
        <v>8524.2000000000007</v>
      </c>
      <c r="L115" s="136">
        <v>0</v>
      </c>
      <c r="M115" s="136">
        <f t="shared" si="9"/>
        <v>767.178</v>
      </c>
      <c r="N115" s="136">
        <f t="shared" si="10"/>
        <v>767.178</v>
      </c>
      <c r="O115" s="136">
        <v>0</v>
      </c>
      <c r="P115" s="175">
        <v>998898</v>
      </c>
      <c r="Q115" s="137" t="s">
        <v>22</v>
      </c>
      <c r="R115" s="136" t="s">
        <v>13</v>
      </c>
      <c r="S115" s="136">
        <v>0</v>
      </c>
      <c r="T115" s="136">
        <v>0</v>
      </c>
      <c r="U115" s="136">
        <f t="shared" si="8"/>
        <v>0</v>
      </c>
      <c r="V115" s="136">
        <v>30</v>
      </c>
    </row>
    <row r="116" spans="1:22" x14ac:dyDescent="0.3">
      <c r="A116" s="136" t="s">
        <v>342</v>
      </c>
      <c r="B116" s="136" t="s">
        <v>341</v>
      </c>
      <c r="C116" s="136" t="s">
        <v>360</v>
      </c>
      <c r="D116" s="143">
        <v>42933</v>
      </c>
      <c r="E116" s="136">
        <v>6962</v>
      </c>
      <c r="F116" s="136" t="s">
        <v>14</v>
      </c>
      <c r="G116" s="140" t="s">
        <v>11</v>
      </c>
      <c r="H116" s="136" t="s">
        <v>12</v>
      </c>
      <c r="J116" s="139">
        <v>18</v>
      </c>
      <c r="K116" s="138">
        <v>5900</v>
      </c>
      <c r="L116" s="136">
        <v>0</v>
      </c>
      <c r="M116" s="136">
        <f t="shared" si="9"/>
        <v>531</v>
      </c>
      <c r="N116" s="136">
        <f t="shared" si="10"/>
        <v>531</v>
      </c>
      <c r="O116" s="136">
        <v>0</v>
      </c>
      <c r="P116" s="175">
        <v>998873</v>
      </c>
      <c r="Q116" s="137" t="s">
        <v>22</v>
      </c>
      <c r="R116" s="136" t="s">
        <v>13</v>
      </c>
      <c r="S116" s="136">
        <v>0</v>
      </c>
      <c r="T116" s="136">
        <v>0</v>
      </c>
      <c r="U116" s="136">
        <f t="shared" si="8"/>
        <v>0</v>
      </c>
      <c r="V116" s="136">
        <v>200</v>
      </c>
    </row>
    <row r="117" spans="1:22" x14ac:dyDescent="0.3">
      <c r="A117" s="136" t="s">
        <v>342</v>
      </c>
      <c r="B117" s="136" t="s">
        <v>341</v>
      </c>
      <c r="C117" s="136" t="s">
        <v>361</v>
      </c>
      <c r="D117" s="143">
        <v>42933</v>
      </c>
      <c r="E117" s="136">
        <v>6962</v>
      </c>
      <c r="F117" s="136" t="s">
        <v>14</v>
      </c>
      <c r="G117" s="140" t="s">
        <v>11</v>
      </c>
      <c r="H117" s="136" t="s">
        <v>12</v>
      </c>
      <c r="J117" s="139">
        <v>18</v>
      </c>
      <c r="K117" s="138">
        <v>5900</v>
      </c>
      <c r="L117" s="136">
        <v>0</v>
      </c>
      <c r="M117" s="136">
        <f t="shared" si="9"/>
        <v>531</v>
      </c>
      <c r="N117" s="136">
        <f t="shared" si="10"/>
        <v>531</v>
      </c>
      <c r="O117" s="136">
        <v>0</v>
      </c>
      <c r="P117" s="175">
        <v>998873</v>
      </c>
      <c r="Q117" s="137" t="s">
        <v>22</v>
      </c>
      <c r="R117" s="136" t="s">
        <v>13</v>
      </c>
      <c r="S117" s="136">
        <v>0</v>
      </c>
      <c r="T117" s="136">
        <v>0</v>
      </c>
      <c r="U117" s="136">
        <f t="shared" si="8"/>
        <v>0</v>
      </c>
      <c r="V117" s="136">
        <v>200</v>
      </c>
    </row>
    <row r="118" spans="1:22" x14ac:dyDescent="0.3">
      <c r="A118" s="136" t="s">
        <v>6</v>
      </c>
      <c r="B118" s="136" t="s">
        <v>5</v>
      </c>
      <c r="C118" s="136" t="s">
        <v>362</v>
      </c>
      <c r="D118" s="143">
        <v>42933</v>
      </c>
      <c r="E118" s="136">
        <v>57331.6</v>
      </c>
      <c r="F118" s="136" t="s">
        <v>14</v>
      </c>
      <c r="G118" s="140" t="s">
        <v>11</v>
      </c>
      <c r="H118" s="136" t="s">
        <v>12</v>
      </c>
      <c r="J118" s="139">
        <v>28</v>
      </c>
      <c r="K118" s="138">
        <v>44790.3</v>
      </c>
      <c r="L118" s="136">
        <v>0</v>
      </c>
      <c r="M118" s="136">
        <f t="shared" si="9"/>
        <v>6270.6420000000007</v>
      </c>
      <c r="N118" s="136">
        <f t="shared" si="10"/>
        <v>6270.6420000000007</v>
      </c>
      <c r="O118" s="136">
        <v>0</v>
      </c>
      <c r="P118" s="175">
        <v>87081090</v>
      </c>
      <c r="Q118" s="137" t="s">
        <v>22</v>
      </c>
      <c r="R118" s="136" t="s">
        <v>13</v>
      </c>
      <c r="S118" s="136">
        <v>270</v>
      </c>
      <c r="T118" s="136">
        <v>270</v>
      </c>
      <c r="U118" s="136">
        <f t="shared" si="8"/>
        <v>0</v>
      </c>
      <c r="V118" s="136">
        <v>270</v>
      </c>
    </row>
    <row r="119" spans="1:22" x14ac:dyDescent="0.3">
      <c r="A119" s="136" t="s">
        <v>188</v>
      </c>
      <c r="B119" s="136" t="s">
        <v>189</v>
      </c>
      <c r="C119" s="136" t="s">
        <v>363</v>
      </c>
      <c r="D119" s="143">
        <v>42933</v>
      </c>
      <c r="E119" s="136">
        <v>108573.7</v>
      </c>
      <c r="F119" s="136" t="s">
        <v>14</v>
      </c>
      <c r="G119" s="140" t="s">
        <v>11</v>
      </c>
      <c r="H119" s="136" t="s">
        <v>12</v>
      </c>
      <c r="J119" s="139">
        <v>28</v>
      </c>
      <c r="K119" s="138">
        <v>84823.2</v>
      </c>
      <c r="L119" s="136">
        <v>0</v>
      </c>
      <c r="M119" s="136">
        <f t="shared" si="9"/>
        <v>11875.248000000001</v>
      </c>
      <c r="N119" s="136">
        <f t="shared" si="10"/>
        <v>11875.248000000001</v>
      </c>
      <c r="O119" s="136">
        <v>0</v>
      </c>
      <c r="P119" s="175">
        <v>87141090</v>
      </c>
      <c r="Q119" s="137" t="s">
        <v>22</v>
      </c>
      <c r="R119" s="136" t="s">
        <v>13</v>
      </c>
      <c r="S119" s="136">
        <v>3696</v>
      </c>
      <c r="T119" s="136">
        <v>3696</v>
      </c>
      <c r="U119" s="136">
        <f t="shared" si="8"/>
        <v>0</v>
      </c>
      <c r="V119" s="136">
        <v>3696</v>
      </c>
    </row>
    <row r="120" spans="1:22" x14ac:dyDescent="0.3">
      <c r="A120" s="136" t="s">
        <v>6</v>
      </c>
      <c r="B120" s="136" t="s">
        <v>5</v>
      </c>
      <c r="C120" s="136" t="s">
        <v>364</v>
      </c>
      <c r="D120" s="143">
        <v>42933</v>
      </c>
      <c r="E120" s="136">
        <v>76442.12</v>
      </c>
      <c r="F120" s="136" t="s">
        <v>14</v>
      </c>
      <c r="G120" s="140" t="s">
        <v>11</v>
      </c>
      <c r="H120" s="136" t="s">
        <v>12</v>
      </c>
      <c r="J120" s="139">
        <v>28</v>
      </c>
      <c r="K120" s="138">
        <v>59720.4</v>
      </c>
      <c r="L120" s="136">
        <v>0</v>
      </c>
      <c r="M120" s="136">
        <f t="shared" si="9"/>
        <v>8360.8560000000016</v>
      </c>
      <c r="N120" s="136">
        <f t="shared" si="10"/>
        <v>8360.8560000000016</v>
      </c>
      <c r="O120" s="136">
        <v>0</v>
      </c>
      <c r="P120" s="175">
        <v>87081090</v>
      </c>
      <c r="Q120" s="137" t="s">
        <v>22</v>
      </c>
      <c r="R120" s="136" t="s">
        <v>13</v>
      </c>
      <c r="S120" s="136">
        <v>360</v>
      </c>
      <c r="T120" s="136">
        <v>360</v>
      </c>
      <c r="U120" s="136">
        <f t="shared" si="8"/>
        <v>0</v>
      </c>
      <c r="V120" s="136">
        <v>360</v>
      </c>
    </row>
    <row r="121" spans="1:22" x14ac:dyDescent="0.3">
      <c r="A121" s="136" t="s">
        <v>6</v>
      </c>
      <c r="B121" s="136" t="s">
        <v>5</v>
      </c>
      <c r="C121" s="136" t="s">
        <v>365</v>
      </c>
      <c r="D121" s="143">
        <v>42933</v>
      </c>
      <c r="E121" s="136">
        <v>17337.599999999999</v>
      </c>
      <c r="F121" s="136" t="s">
        <v>14</v>
      </c>
      <c r="G121" s="140" t="s">
        <v>11</v>
      </c>
      <c r="H121" s="136" t="s">
        <v>12</v>
      </c>
      <c r="J121" s="139">
        <v>28</v>
      </c>
      <c r="K121" s="138">
        <v>13545</v>
      </c>
      <c r="L121" s="136">
        <v>0</v>
      </c>
      <c r="M121" s="136">
        <f t="shared" si="9"/>
        <v>1896.3000000000002</v>
      </c>
      <c r="N121" s="136">
        <f t="shared" si="10"/>
        <v>1896.3000000000002</v>
      </c>
      <c r="O121" s="136">
        <v>0</v>
      </c>
      <c r="P121" s="175">
        <v>87141090</v>
      </c>
      <c r="Q121" s="137" t="s">
        <v>22</v>
      </c>
      <c r="R121" s="136" t="s">
        <v>13</v>
      </c>
      <c r="S121" s="136">
        <v>180</v>
      </c>
      <c r="T121" s="136">
        <v>180</v>
      </c>
      <c r="U121" s="136">
        <f t="shared" si="8"/>
        <v>0</v>
      </c>
      <c r="V121" s="136">
        <v>180</v>
      </c>
    </row>
    <row r="122" spans="1:22" x14ac:dyDescent="0.3">
      <c r="A122" s="136" t="s">
        <v>6</v>
      </c>
      <c r="B122" s="136" t="s">
        <v>5</v>
      </c>
      <c r="C122" s="136" t="s">
        <v>366</v>
      </c>
      <c r="D122" s="143">
        <v>42933</v>
      </c>
      <c r="E122" s="136">
        <v>5096.16</v>
      </c>
      <c r="F122" s="136" t="s">
        <v>14</v>
      </c>
      <c r="G122" s="140" t="s">
        <v>11</v>
      </c>
      <c r="H122" s="136" t="s">
        <v>12</v>
      </c>
      <c r="J122" s="139">
        <v>28</v>
      </c>
      <c r="K122" s="138">
        <v>3981.36</v>
      </c>
      <c r="L122" s="136">
        <v>0</v>
      </c>
      <c r="M122" s="136">
        <f t="shared" si="9"/>
        <v>557.39040000000011</v>
      </c>
      <c r="N122" s="136">
        <f t="shared" si="10"/>
        <v>557.39040000000011</v>
      </c>
      <c r="O122" s="136">
        <v>0</v>
      </c>
      <c r="P122" s="175">
        <v>87081090</v>
      </c>
      <c r="Q122" s="137" t="s">
        <v>22</v>
      </c>
      <c r="R122" s="136" t="s">
        <v>13</v>
      </c>
      <c r="S122" s="136">
        <v>48</v>
      </c>
      <c r="T122" s="136">
        <v>48</v>
      </c>
      <c r="U122" s="136">
        <f t="shared" si="8"/>
        <v>0</v>
      </c>
      <c r="V122" s="136">
        <v>48</v>
      </c>
    </row>
    <row r="123" spans="1:22" x14ac:dyDescent="0.3">
      <c r="A123" s="136" t="s">
        <v>6</v>
      </c>
      <c r="B123" s="136" t="s">
        <v>5</v>
      </c>
      <c r="C123" s="136" t="s">
        <v>367</v>
      </c>
      <c r="D123" s="143">
        <v>42933</v>
      </c>
      <c r="E123" s="136">
        <v>53509.48</v>
      </c>
      <c r="F123" s="136" t="s">
        <v>14</v>
      </c>
      <c r="G123" s="140" t="s">
        <v>11</v>
      </c>
      <c r="H123" s="136" t="s">
        <v>12</v>
      </c>
      <c r="J123" s="139">
        <v>28</v>
      </c>
      <c r="K123" s="138">
        <v>41804.28</v>
      </c>
      <c r="L123" s="136">
        <v>0</v>
      </c>
      <c r="M123" s="136">
        <f t="shared" si="9"/>
        <v>5852.5992000000006</v>
      </c>
      <c r="N123" s="136">
        <f t="shared" si="10"/>
        <v>5852.5992000000006</v>
      </c>
      <c r="O123" s="136">
        <v>0</v>
      </c>
      <c r="P123" s="175">
        <v>87081090</v>
      </c>
      <c r="Q123" s="137" t="s">
        <v>22</v>
      </c>
      <c r="R123" s="136" t="s">
        <v>13</v>
      </c>
      <c r="S123" s="136">
        <v>504</v>
      </c>
      <c r="T123" s="136">
        <v>504</v>
      </c>
      <c r="U123" s="136">
        <f t="shared" si="8"/>
        <v>0</v>
      </c>
      <c r="V123" s="136">
        <v>504</v>
      </c>
    </row>
    <row r="124" spans="1:22" x14ac:dyDescent="0.3">
      <c r="A124" s="136" t="s">
        <v>185</v>
      </c>
      <c r="B124" s="136" t="s">
        <v>184</v>
      </c>
      <c r="C124" s="136" t="s">
        <v>368</v>
      </c>
      <c r="D124" s="143">
        <v>42934</v>
      </c>
      <c r="E124" s="136">
        <v>85680.24</v>
      </c>
      <c r="F124" s="136" t="s">
        <v>14</v>
      </c>
      <c r="G124" s="140" t="s">
        <v>11</v>
      </c>
      <c r="H124" s="136" t="s">
        <v>12</v>
      </c>
      <c r="J124" s="139">
        <v>28</v>
      </c>
      <c r="K124" s="138">
        <v>66937.679999999993</v>
      </c>
      <c r="L124" s="136">
        <v>0</v>
      </c>
      <c r="M124" s="136">
        <f t="shared" ref="M124:M156" si="11">+J124/100*K124/2</f>
        <v>9371.2752</v>
      </c>
      <c r="N124" s="136">
        <f t="shared" ref="N124:N156" si="12">+J124/100*K124/2</f>
        <v>9371.2752</v>
      </c>
      <c r="O124" s="136">
        <v>0</v>
      </c>
      <c r="P124" s="175">
        <v>85129000</v>
      </c>
      <c r="Q124" s="137" t="s">
        <v>22</v>
      </c>
      <c r="R124" s="136" t="s">
        <v>13</v>
      </c>
      <c r="S124" s="136">
        <v>1116</v>
      </c>
      <c r="T124" s="136">
        <v>1116</v>
      </c>
      <c r="U124" s="136">
        <f t="shared" si="8"/>
        <v>0</v>
      </c>
      <c r="V124" s="136">
        <v>1116</v>
      </c>
    </row>
    <row r="125" spans="1:22" x14ac:dyDescent="0.3">
      <c r="A125" s="136" t="s">
        <v>188</v>
      </c>
      <c r="B125" s="136" t="s">
        <v>189</v>
      </c>
      <c r="C125" s="136" t="s">
        <v>369</v>
      </c>
      <c r="D125" s="143">
        <v>42934</v>
      </c>
      <c r="E125" s="136">
        <v>50056.7</v>
      </c>
      <c r="F125" s="136" t="s">
        <v>14</v>
      </c>
      <c r="G125" s="140" t="s">
        <v>11</v>
      </c>
      <c r="H125" s="136" t="s">
        <v>12</v>
      </c>
      <c r="J125" s="139">
        <v>28</v>
      </c>
      <c r="K125" s="138">
        <v>39106.800000000003</v>
      </c>
      <c r="L125" s="136">
        <v>0</v>
      </c>
      <c r="M125" s="136">
        <f t="shared" si="11"/>
        <v>5474.9520000000011</v>
      </c>
      <c r="N125" s="136">
        <f t="shared" si="12"/>
        <v>5474.9520000000011</v>
      </c>
      <c r="O125" s="136">
        <v>0</v>
      </c>
      <c r="P125" s="175">
        <v>87141090</v>
      </c>
      <c r="Q125" s="137" t="s">
        <v>22</v>
      </c>
      <c r="R125" s="136" t="s">
        <v>13</v>
      </c>
      <c r="S125" s="136">
        <v>1704</v>
      </c>
      <c r="T125" s="136">
        <v>1704</v>
      </c>
      <c r="U125" s="136">
        <f t="shared" si="8"/>
        <v>0</v>
      </c>
      <c r="V125" s="136">
        <v>1704</v>
      </c>
    </row>
    <row r="126" spans="1:22" x14ac:dyDescent="0.3">
      <c r="A126" s="136" t="s">
        <v>187</v>
      </c>
      <c r="B126" s="136" t="s">
        <v>178</v>
      </c>
      <c r="C126" s="136" t="s">
        <v>370</v>
      </c>
      <c r="D126" s="143">
        <v>42934</v>
      </c>
      <c r="E126" s="136">
        <v>47682.06</v>
      </c>
      <c r="F126" s="136" t="s">
        <v>14</v>
      </c>
      <c r="G126" s="140" t="s">
        <v>11</v>
      </c>
      <c r="H126" s="136" t="s">
        <v>12</v>
      </c>
      <c r="J126" s="139">
        <v>28</v>
      </c>
      <c r="K126" s="138">
        <v>37251.620000000003</v>
      </c>
      <c r="L126" s="136">
        <v>0</v>
      </c>
      <c r="M126" s="136">
        <f t="shared" si="11"/>
        <v>5215.2268000000013</v>
      </c>
      <c r="N126" s="136">
        <f t="shared" si="12"/>
        <v>5215.2268000000013</v>
      </c>
      <c r="O126" s="136">
        <v>0</v>
      </c>
      <c r="P126" s="175">
        <v>87089900</v>
      </c>
      <c r="Q126" s="137" t="s">
        <v>22</v>
      </c>
      <c r="R126" s="136" t="s">
        <v>13</v>
      </c>
      <c r="S126" s="136">
        <v>150</v>
      </c>
      <c r="T126" s="136">
        <v>150</v>
      </c>
      <c r="U126" s="136">
        <f t="shared" si="8"/>
        <v>0</v>
      </c>
      <c r="V126" s="136">
        <v>150</v>
      </c>
    </row>
    <row r="127" spans="1:22" x14ac:dyDescent="0.3">
      <c r="A127" s="136" t="s">
        <v>187</v>
      </c>
      <c r="B127" s="136" t="s">
        <v>178</v>
      </c>
      <c r="C127" s="136" t="s">
        <v>371</v>
      </c>
      <c r="D127" s="143">
        <v>42934</v>
      </c>
      <c r="E127" s="136">
        <v>23234.560000000001</v>
      </c>
      <c r="F127" s="136" t="s">
        <v>14</v>
      </c>
      <c r="G127" s="140" t="s">
        <v>11</v>
      </c>
      <c r="H127" s="136" t="s">
        <v>12</v>
      </c>
      <c r="J127" s="139">
        <v>28</v>
      </c>
      <c r="K127" s="138">
        <v>18152</v>
      </c>
      <c r="L127" s="136">
        <v>0</v>
      </c>
      <c r="M127" s="136">
        <f t="shared" si="11"/>
        <v>2541.2800000000002</v>
      </c>
      <c r="N127" s="136">
        <f t="shared" si="12"/>
        <v>2541.2800000000002</v>
      </c>
      <c r="O127" s="136">
        <v>0</v>
      </c>
      <c r="P127" s="175">
        <v>87089900</v>
      </c>
      <c r="Q127" s="137" t="s">
        <v>22</v>
      </c>
      <c r="R127" s="136" t="s">
        <v>13</v>
      </c>
      <c r="S127" s="136">
        <v>51</v>
      </c>
      <c r="T127" s="136">
        <v>51</v>
      </c>
      <c r="U127" s="136">
        <f t="shared" si="8"/>
        <v>0</v>
      </c>
      <c r="V127" s="136">
        <v>51</v>
      </c>
    </row>
    <row r="128" spans="1:22" x14ac:dyDescent="0.3">
      <c r="A128" s="136" t="s">
        <v>328</v>
      </c>
      <c r="B128" s="136" t="s">
        <v>327</v>
      </c>
      <c r="C128" s="136" t="s">
        <v>372</v>
      </c>
      <c r="D128" s="143">
        <v>42934</v>
      </c>
      <c r="E128" s="136">
        <v>57884.160000000003</v>
      </c>
      <c r="F128" s="136" t="s">
        <v>14</v>
      </c>
      <c r="G128" s="140" t="s">
        <v>11</v>
      </c>
      <c r="H128" s="136" t="s">
        <v>12</v>
      </c>
      <c r="J128" s="139">
        <v>28</v>
      </c>
      <c r="K128" s="138">
        <v>45222</v>
      </c>
      <c r="L128" s="136">
        <v>0</v>
      </c>
      <c r="M128" s="136">
        <f t="shared" si="11"/>
        <v>6331.0800000000008</v>
      </c>
      <c r="N128" s="136">
        <f t="shared" si="12"/>
        <v>6331.0800000000008</v>
      </c>
      <c r="O128" s="136">
        <v>0</v>
      </c>
      <c r="P128" s="175">
        <v>87141090</v>
      </c>
      <c r="Q128" s="137" t="s">
        <v>22</v>
      </c>
      <c r="R128" s="136" t="s">
        <v>13</v>
      </c>
      <c r="S128" s="136">
        <v>600</v>
      </c>
      <c r="T128" s="136">
        <v>600</v>
      </c>
      <c r="U128" s="136">
        <f t="shared" si="8"/>
        <v>0</v>
      </c>
      <c r="V128" s="136">
        <v>600</v>
      </c>
    </row>
    <row r="129" spans="1:22" x14ac:dyDescent="0.3">
      <c r="A129" s="136" t="s">
        <v>6</v>
      </c>
      <c r="B129" s="136" t="s">
        <v>5</v>
      </c>
      <c r="C129" s="136" t="s">
        <v>373</v>
      </c>
      <c r="D129" s="143">
        <v>42934</v>
      </c>
      <c r="E129" s="136">
        <v>50961.4</v>
      </c>
      <c r="F129" s="136" t="s">
        <v>14</v>
      </c>
      <c r="G129" s="140" t="s">
        <v>11</v>
      </c>
      <c r="H129" s="136" t="s">
        <v>12</v>
      </c>
      <c r="J129" s="139">
        <v>28</v>
      </c>
      <c r="K129" s="138">
        <v>39813.599999999999</v>
      </c>
      <c r="L129" s="136">
        <v>0</v>
      </c>
      <c r="M129" s="136">
        <f t="shared" si="11"/>
        <v>5573.9040000000005</v>
      </c>
      <c r="N129" s="136">
        <f t="shared" si="12"/>
        <v>5573.9040000000005</v>
      </c>
      <c r="O129" s="136">
        <v>0</v>
      </c>
      <c r="P129" s="175">
        <v>87081090</v>
      </c>
      <c r="Q129" s="137" t="s">
        <v>22</v>
      </c>
      <c r="R129" s="136" t="s">
        <v>13</v>
      </c>
      <c r="S129" s="136">
        <v>480</v>
      </c>
      <c r="T129" s="136">
        <v>480</v>
      </c>
      <c r="U129" s="136">
        <f t="shared" si="8"/>
        <v>0</v>
      </c>
      <c r="V129" s="136">
        <v>480</v>
      </c>
    </row>
    <row r="130" spans="1:22" x14ac:dyDescent="0.3">
      <c r="A130" s="136" t="s">
        <v>6</v>
      </c>
      <c r="B130" s="136" t="s">
        <v>5</v>
      </c>
      <c r="C130" s="136" t="s">
        <v>374</v>
      </c>
      <c r="D130" s="143">
        <v>42934</v>
      </c>
      <c r="E130" s="136">
        <v>17337.599999999999</v>
      </c>
      <c r="F130" s="136" t="s">
        <v>14</v>
      </c>
      <c r="G130" s="140" t="s">
        <v>11</v>
      </c>
      <c r="H130" s="136" t="s">
        <v>12</v>
      </c>
      <c r="J130" s="139">
        <v>28</v>
      </c>
      <c r="K130" s="138">
        <v>13545</v>
      </c>
      <c r="L130" s="136">
        <v>0</v>
      </c>
      <c r="M130" s="136">
        <f t="shared" si="11"/>
        <v>1896.3000000000002</v>
      </c>
      <c r="N130" s="136">
        <f t="shared" si="12"/>
        <v>1896.3000000000002</v>
      </c>
      <c r="O130" s="136">
        <v>0</v>
      </c>
      <c r="P130" s="175">
        <v>87141090</v>
      </c>
      <c r="Q130" s="137" t="s">
        <v>22</v>
      </c>
      <c r="R130" s="136" t="s">
        <v>13</v>
      </c>
      <c r="S130" s="136">
        <v>180</v>
      </c>
      <c r="T130" s="136">
        <v>180</v>
      </c>
      <c r="U130" s="136">
        <f t="shared" si="8"/>
        <v>0</v>
      </c>
      <c r="V130" s="136">
        <v>180</v>
      </c>
    </row>
    <row r="131" spans="1:22" x14ac:dyDescent="0.3">
      <c r="A131" s="136" t="s">
        <v>376</v>
      </c>
      <c r="B131" s="136" t="s">
        <v>375</v>
      </c>
      <c r="C131" s="136" t="s">
        <v>377</v>
      </c>
      <c r="D131" s="143">
        <v>42934</v>
      </c>
      <c r="E131" s="136">
        <v>91176.28</v>
      </c>
      <c r="F131" s="136" t="s">
        <v>14</v>
      </c>
      <c r="G131" s="140" t="s">
        <v>11</v>
      </c>
      <c r="H131" s="136" t="s">
        <v>12</v>
      </c>
      <c r="J131" s="139">
        <v>18</v>
      </c>
      <c r="K131" s="138">
        <v>77268.039999999994</v>
      </c>
      <c r="L131" s="136">
        <v>0</v>
      </c>
      <c r="M131" s="136">
        <f t="shared" si="11"/>
        <v>6954.123599999999</v>
      </c>
      <c r="N131" s="136">
        <f t="shared" si="12"/>
        <v>6954.123599999999</v>
      </c>
      <c r="O131" s="136">
        <v>0</v>
      </c>
      <c r="P131" s="175">
        <v>998898</v>
      </c>
      <c r="Q131" s="137" t="s">
        <v>22</v>
      </c>
      <c r="R131" s="136" t="s">
        <v>13</v>
      </c>
      <c r="S131" s="136">
        <v>0</v>
      </c>
      <c r="T131" s="136">
        <v>0</v>
      </c>
      <c r="U131" s="136">
        <f t="shared" si="8"/>
        <v>0</v>
      </c>
      <c r="V131" s="136">
        <v>239</v>
      </c>
    </row>
    <row r="132" spans="1:22" x14ac:dyDescent="0.3">
      <c r="A132" s="136" t="s">
        <v>376</v>
      </c>
      <c r="B132" s="136" t="s">
        <v>375</v>
      </c>
      <c r="C132" s="136" t="s">
        <v>378</v>
      </c>
      <c r="D132" s="143">
        <v>42934</v>
      </c>
      <c r="E132" s="136">
        <v>4531.2</v>
      </c>
      <c r="F132" s="136" t="s">
        <v>14</v>
      </c>
      <c r="G132" s="140" t="s">
        <v>11</v>
      </c>
      <c r="H132" s="136" t="s">
        <v>12</v>
      </c>
      <c r="J132" s="139">
        <v>18</v>
      </c>
      <c r="K132" s="138">
        <v>3840</v>
      </c>
      <c r="L132" s="136">
        <v>0</v>
      </c>
      <c r="M132" s="136">
        <f t="shared" si="11"/>
        <v>345.59999999999997</v>
      </c>
      <c r="N132" s="136">
        <f t="shared" si="12"/>
        <v>345.59999999999997</v>
      </c>
      <c r="O132" s="136">
        <v>0</v>
      </c>
      <c r="P132" s="175">
        <v>998898</v>
      </c>
      <c r="Q132" s="137" t="s">
        <v>22</v>
      </c>
      <c r="R132" s="136" t="s">
        <v>13</v>
      </c>
      <c r="S132" s="136">
        <v>0</v>
      </c>
      <c r="T132" s="136">
        <v>0</v>
      </c>
      <c r="U132" s="136">
        <f t="shared" si="8"/>
        <v>0</v>
      </c>
      <c r="V132" s="136">
        <v>12</v>
      </c>
    </row>
    <row r="133" spans="1:22" x14ac:dyDescent="0.3">
      <c r="A133" s="136" t="s">
        <v>376</v>
      </c>
      <c r="B133" s="136" t="s">
        <v>375</v>
      </c>
      <c r="C133" s="136" t="s">
        <v>379</v>
      </c>
      <c r="D133" s="143">
        <v>42934</v>
      </c>
      <c r="E133" s="136">
        <v>4531.2</v>
      </c>
      <c r="F133" s="136" t="s">
        <v>14</v>
      </c>
      <c r="G133" s="140" t="s">
        <v>11</v>
      </c>
      <c r="H133" s="136" t="s">
        <v>12</v>
      </c>
      <c r="J133" s="139">
        <v>18</v>
      </c>
      <c r="K133" s="138">
        <v>3840</v>
      </c>
      <c r="L133" s="136">
        <v>0</v>
      </c>
      <c r="M133" s="136">
        <f t="shared" si="11"/>
        <v>345.59999999999997</v>
      </c>
      <c r="N133" s="136">
        <f t="shared" si="12"/>
        <v>345.59999999999997</v>
      </c>
      <c r="O133" s="136">
        <v>0</v>
      </c>
      <c r="P133" s="175">
        <v>998898</v>
      </c>
      <c r="Q133" s="137" t="s">
        <v>22</v>
      </c>
      <c r="R133" s="136" t="s">
        <v>13</v>
      </c>
      <c r="S133" s="136">
        <v>0</v>
      </c>
      <c r="T133" s="136">
        <v>0</v>
      </c>
      <c r="U133" s="136">
        <f t="shared" si="8"/>
        <v>0</v>
      </c>
      <c r="V133" s="136">
        <v>12</v>
      </c>
    </row>
    <row r="134" spans="1:22" x14ac:dyDescent="0.3">
      <c r="A134" s="136" t="s">
        <v>6</v>
      </c>
      <c r="B134" s="136" t="s">
        <v>5</v>
      </c>
      <c r="C134" s="136" t="s">
        <v>380</v>
      </c>
      <c r="D134" s="143">
        <v>42934</v>
      </c>
      <c r="E134" s="136">
        <v>11466.32</v>
      </c>
      <c r="F134" s="136" t="s">
        <v>14</v>
      </c>
      <c r="G134" s="140" t="s">
        <v>11</v>
      </c>
      <c r="H134" s="136" t="s">
        <v>12</v>
      </c>
      <c r="J134" s="139">
        <v>28</v>
      </c>
      <c r="K134" s="138">
        <v>8958.06</v>
      </c>
      <c r="L134" s="136">
        <v>0</v>
      </c>
      <c r="M134" s="136">
        <f t="shared" si="11"/>
        <v>1254.1284000000001</v>
      </c>
      <c r="N134" s="136">
        <f t="shared" si="12"/>
        <v>1254.1284000000001</v>
      </c>
      <c r="O134" s="136">
        <v>0</v>
      </c>
      <c r="P134" s="175">
        <v>87081090</v>
      </c>
      <c r="Q134" s="137" t="s">
        <v>22</v>
      </c>
      <c r="R134" s="136" t="s">
        <v>13</v>
      </c>
      <c r="S134" s="136">
        <v>108</v>
      </c>
      <c r="T134" s="136">
        <v>108</v>
      </c>
      <c r="U134" s="136">
        <f t="shared" si="8"/>
        <v>0</v>
      </c>
      <c r="V134" s="136">
        <v>108</v>
      </c>
    </row>
    <row r="135" spans="1:22" x14ac:dyDescent="0.3">
      <c r="A135" s="136" t="s">
        <v>6</v>
      </c>
      <c r="B135" s="136" t="s">
        <v>5</v>
      </c>
      <c r="C135" s="136" t="s">
        <v>381</v>
      </c>
      <c r="D135" s="143">
        <v>42934</v>
      </c>
      <c r="E135" s="136">
        <v>37981.440000000002</v>
      </c>
      <c r="F135" s="136" t="s">
        <v>14</v>
      </c>
      <c r="G135" s="140" t="s">
        <v>11</v>
      </c>
      <c r="H135" s="136" t="s">
        <v>12</v>
      </c>
      <c r="J135" s="139">
        <v>28</v>
      </c>
      <c r="K135" s="138">
        <v>29673</v>
      </c>
      <c r="L135" s="136">
        <v>0</v>
      </c>
      <c r="M135" s="136">
        <f t="shared" si="11"/>
        <v>4154.22</v>
      </c>
      <c r="N135" s="136">
        <f t="shared" si="12"/>
        <v>4154.22</v>
      </c>
      <c r="O135" s="136">
        <v>0</v>
      </c>
      <c r="P135" s="175">
        <v>87081090</v>
      </c>
      <c r="Q135" s="137" t="s">
        <v>22</v>
      </c>
      <c r="R135" s="136" t="s">
        <v>13</v>
      </c>
      <c r="S135" s="136">
        <v>360</v>
      </c>
      <c r="T135" s="136">
        <v>360</v>
      </c>
      <c r="U135" s="136">
        <f t="shared" ref="U135:U197" si="13">+S135-T135</f>
        <v>0</v>
      </c>
      <c r="V135" s="136">
        <v>360</v>
      </c>
    </row>
    <row r="136" spans="1:22" x14ac:dyDescent="0.3">
      <c r="A136" s="136" t="s">
        <v>383</v>
      </c>
      <c r="B136" s="136" t="s">
        <v>382</v>
      </c>
      <c r="C136" s="136" t="s">
        <v>384</v>
      </c>
      <c r="D136" s="143">
        <v>42934</v>
      </c>
      <c r="E136" s="136">
        <v>2521.88</v>
      </c>
      <c r="F136" s="136" t="s">
        <v>14</v>
      </c>
      <c r="G136" s="140" t="s">
        <v>11</v>
      </c>
      <c r="H136" s="136" t="s">
        <v>12</v>
      </c>
      <c r="J136" s="139">
        <v>18</v>
      </c>
      <c r="K136" s="138">
        <v>2137.1999999999998</v>
      </c>
      <c r="L136" s="136">
        <v>0</v>
      </c>
      <c r="M136" s="136">
        <f t="shared" si="11"/>
        <v>192.34799999999998</v>
      </c>
      <c r="N136" s="136">
        <f t="shared" si="12"/>
        <v>192.34799999999998</v>
      </c>
      <c r="O136" s="136">
        <v>0</v>
      </c>
      <c r="P136" s="175">
        <v>998898</v>
      </c>
      <c r="Q136" s="137" t="s">
        <v>22</v>
      </c>
      <c r="R136" s="136" t="s">
        <v>13</v>
      </c>
      <c r="S136" s="136">
        <v>0</v>
      </c>
      <c r="T136" s="136">
        <v>0</v>
      </c>
      <c r="U136" s="136">
        <f t="shared" si="13"/>
        <v>0</v>
      </c>
      <c r="V136" s="136">
        <v>260</v>
      </c>
    </row>
    <row r="137" spans="1:22" x14ac:dyDescent="0.3">
      <c r="A137" s="136" t="s">
        <v>6</v>
      </c>
      <c r="B137" s="136" t="s">
        <v>5</v>
      </c>
      <c r="C137" s="136" t="s">
        <v>385</v>
      </c>
      <c r="D137" s="143">
        <v>42934</v>
      </c>
      <c r="E137" s="136">
        <v>50961.4</v>
      </c>
      <c r="F137" s="136" t="s">
        <v>14</v>
      </c>
      <c r="G137" s="140" t="s">
        <v>11</v>
      </c>
      <c r="H137" s="136" t="s">
        <v>12</v>
      </c>
      <c r="J137" s="139">
        <v>28</v>
      </c>
      <c r="K137" s="138">
        <v>39813.599999999999</v>
      </c>
      <c r="L137" s="136">
        <v>0</v>
      </c>
      <c r="M137" s="136">
        <f t="shared" si="11"/>
        <v>5573.9040000000005</v>
      </c>
      <c r="N137" s="136">
        <f t="shared" si="12"/>
        <v>5573.9040000000005</v>
      </c>
      <c r="O137" s="136">
        <v>0</v>
      </c>
      <c r="P137" s="175">
        <v>87081090</v>
      </c>
      <c r="Q137" s="137" t="s">
        <v>22</v>
      </c>
      <c r="R137" s="136" t="s">
        <v>13</v>
      </c>
      <c r="S137" s="136">
        <v>480</v>
      </c>
      <c r="T137" s="136">
        <v>480</v>
      </c>
      <c r="U137" s="136">
        <f t="shared" si="13"/>
        <v>0</v>
      </c>
      <c r="V137" s="136">
        <v>480</v>
      </c>
    </row>
    <row r="138" spans="1:22" x14ac:dyDescent="0.3">
      <c r="A138" s="136" t="s">
        <v>6</v>
      </c>
      <c r="B138" s="136" t="s">
        <v>5</v>
      </c>
      <c r="C138" s="136" t="s">
        <v>386</v>
      </c>
      <c r="D138" s="143">
        <v>42934</v>
      </c>
      <c r="E138" s="136">
        <v>10192.280000000001</v>
      </c>
      <c r="F138" s="136" t="s">
        <v>14</v>
      </c>
      <c r="G138" s="140" t="s">
        <v>11</v>
      </c>
      <c r="H138" s="136" t="s">
        <v>12</v>
      </c>
      <c r="J138" s="139">
        <v>28</v>
      </c>
      <c r="K138" s="138">
        <v>7962.72</v>
      </c>
      <c r="L138" s="136">
        <v>0</v>
      </c>
      <c r="M138" s="136">
        <f t="shared" si="11"/>
        <v>1114.7808000000002</v>
      </c>
      <c r="N138" s="136">
        <f t="shared" si="12"/>
        <v>1114.7808000000002</v>
      </c>
      <c r="O138" s="136">
        <v>0</v>
      </c>
      <c r="P138" s="175">
        <v>87081090</v>
      </c>
      <c r="Q138" s="137" t="s">
        <v>22</v>
      </c>
      <c r="R138" s="136" t="s">
        <v>13</v>
      </c>
      <c r="S138" s="136">
        <v>96</v>
      </c>
      <c r="T138" s="136">
        <v>96</v>
      </c>
      <c r="U138" s="136">
        <f t="shared" si="13"/>
        <v>0</v>
      </c>
      <c r="V138" s="136">
        <v>96</v>
      </c>
    </row>
    <row r="139" spans="1:22" x14ac:dyDescent="0.3">
      <c r="A139" s="136" t="s">
        <v>6</v>
      </c>
      <c r="B139" s="136" t="s">
        <v>5</v>
      </c>
      <c r="C139" s="136" t="s">
        <v>387</v>
      </c>
      <c r="D139" s="143">
        <v>42934</v>
      </c>
      <c r="E139" s="136">
        <v>28896</v>
      </c>
      <c r="F139" s="136" t="s">
        <v>14</v>
      </c>
      <c r="G139" s="140" t="s">
        <v>11</v>
      </c>
      <c r="H139" s="136" t="s">
        <v>12</v>
      </c>
      <c r="J139" s="139">
        <v>28</v>
      </c>
      <c r="K139" s="138">
        <v>22575</v>
      </c>
      <c r="L139" s="136">
        <v>0</v>
      </c>
      <c r="M139" s="136">
        <f t="shared" si="11"/>
        <v>3160.5000000000005</v>
      </c>
      <c r="N139" s="136">
        <f t="shared" si="12"/>
        <v>3160.5000000000005</v>
      </c>
      <c r="O139" s="136">
        <v>0</v>
      </c>
      <c r="P139" s="175">
        <v>87141090</v>
      </c>
      <c r="Q139" s="137" t="s">
        <v>22</v>
      </c>
      <c r="R139" s="136" t="s">
        <v>13</v>
      </c>
      <c r="S139" s="136">
        <v>300</v>
      </c>
      <c r="T139" s="136">
        <v>300</v>
      </c>
      <c r="U139" s="136">
        <f t="shared" si="13"/>
        <v>0</v>
      </c>
      <c r="V139" s="136">
        <v>300</v>
      </c>
    </row>
    <row r="140" spans="1:22" x14ac:dyDescent="0.3">
      <c r="A140" s="136" t="s">
        <v>40</v>
      </c>
      <c r="B140" s="136" t="s">
        <v>39</v>
      </c>
      <c r="C140" s="136" t="s">
        <v>402</v>
      </c>
      <c r="D140" s="143">
        <v>42935</v>
      </c>
      <c r="E140" s="136">
        <v>7376.28</v>
      </c>
      <c r="F140" s="136" t="s">
        <v>14</v>
      </c>
      <c r="G140" s="140" t="s">
        <v>11</v>
      </c>
      <c r="H140" s="136" t="s">
        <v>12</v>
      </c>
      <c r="J140" s="139">
        <v>18</v>
      </c>
      <c r="K140" s="138">
        <v>6251.08</v>
      </c>
      <c r="L140" s="136">
        <v>0</v>
      </c>
      <c r="M140" s="136">
        <f t="shared" si="11"/>
        <v>562.59719999999993</v>
      </c>
      <c r="N140" s="136">
        <f t="shared" si="12"/>
        <v>562.59719999999993</v>
      </c>
      <c r="O140" s="136">
        <v>0</v>
      </c>
      <c r="P140" s="175">
        <v>998898</v>
      </c>
      <c r="Q140" s="137" t="s">
        <v>22</v>
      </c>
      <c r="R140" s="136" t="s">
        <v>13</v>
      </c>
      <c r="S140" s="136">
        <v>0</v>
      </c>
      <c r="T140" s="136">
        <v>0</v>
      </c>
      <c r="U140" s="136">
        <f t="shared" si="13"/>
        <v>0</v>
      </c>
      <c r="V140" s="136">
        <v>22</v>
      </c>
    </row>
    <row r="141" spans="1:22" x14ac:dyDescent="0.3">
      <c r="A141" s="136" t="s">
        <v>376</v>
      </c>
      <c r="B141" s="136" t="s">
        <v>375</v>
      </c>
      <c r="C141" s="136" t="s">
        <v>403</v>
      </c>
      <c r="D141" s="143">
        <v>42935</v>
      </c>
      <c r="E141" s="136">
        <v>4531.2</v>
      </c>
      <c r="F141" s="136" t="s">
        <v>14</v>
      </c>
      <c r="G141" s="140" t="s">
        <v>11</v>
      </c>
      <c r="H141" s="136" t="s">
        <v>12</v>
      </c>
      <c r="J141" s="139">
        <v>18</v>
      </c>
      <c r="K141" s="138">
        <v>3840</v>
      </c>
      <c r="L141" s="136">
        <v>0</v>
      </c>
      <c r="M141" s="136">
        <f t="shared" si="11"/>
        <v>345.59999999999997</v>
      </c>
      <c r="N141" s="136">
        <f t="shared" si="12"/>
        <v>345.59999999999997</v>
      </c>
      <c r="O141" s="136">
        <v>0</v>
      </c>
      <c r="P141" s="175">
        <v>998898</v>
      </c>
      <c r="Q141" s="137" t="s">
        <v>22</v>
      </c>
      <c r="R141" s="136" t="s">
        <v>13</v>
      </c>
      <c r="S141" s="136">
        <v>0</v>
      </c>
      <c r="T141" s="136">
        <v>0</v>
      </c>
      <c r="U141" s="136">
        <f t="shared" si="13"/>
        <v>0</v>
      </c>
      <c r="V141" s="136">
        <v>12</v>
      </c>
    </row>
    <row r="142" spans="1:22" x14ac:dyDescent="0.3">
      <c r="A142" s="136" t="s">
        <v>328</v>
      </c>
      <c r="B142" s="136" t="s">
        <v>327</v>
      </c>
      <c r="C142" s="136" t="s">
        <v>404</v>
      </c>
      <c r="D142" s="143">
        <v>42935</v>
      </c>
      <c r="E142" s="136">
        <v>57884.160000000003</v>
      </c>
      <c r="F142" s="136" t="s">
        <v>14</v>
      </c>
      <c r="G142" s="140" t="s">
        <v>11</v>
      </c>
      <c r="H142" s="136" t="s">
        <v>12</v>
      </c>
      <c r="J142" s="139">
        <v>28</v>
      </c>
      <c r="K142" s="138">
        <v>45222</v>
      </c>
      <c r="L142" s="136">
        <v>0</v>
      </c>
      <c r="M142" s="136">
        <f t="shared" si="11"/>
        <v>6331.0800000000008</v>
      </c>
      <c r="N142" s="136">
        <f t="shared" si="12"/>
        <v>6331.0800000000008</v>
      </c>
      <c r="O142" s="136">
        <v>0</v>
      </c>
      <c r="P142" s="175">
        <v>87141090</v>
      </c>
      <c r="Q142" s="137" t="s">
        <v>22</v>
      </c>
      <c r="R142" s="136" t="s">
        <v>13</v>
      </c>
      <c r="S142" s="136">
        <v>600</v>
      </c>
      <c r="T142" s="136">
        <v>600</v>
      </c>
      <c r="U142" s="136">
        <f t="shared" si="13"/>
        <v>0</v>
      </c>
      <c r="V142" s="136">
        <v>600</v>
      </c>
    </row>
    <row r="143" spans="1:22" x14ac:dyDescent="0.3">
      <c r="A143" s="136" t="s">
        <v>214</v>
      </c>
      <c r="B143" s="136" t="s">
        <v>215</v>
      </c>
      <c r="C143" s="136" t="s">
        <v>409</v>
      </c>
      <c r="D143" s="143">
        <v>42935</v>
      </c>
      <c r="E143" s="136">
        <v>25600</v>
      </c>
      <c r="F143" s="136" t="s">
        <v>14</v>
      </c>
      <c r="G143" s="140" t="s">
        <v>11</v>
      </c>
      <c r="H143" s="136" t="s">
        <v>12</v>
      </c>
      <c r="J143" s="139">
        <v>28</v>
      </c>
      <c r="K143" s="138">
        <v>20000</v>
      </c>
      <c r="L143" s="136">
        <v>0</v>
      </c>
      <c r="M143" s="136">
        <f t="shared" si="11"/>
        <v>2800.0000000000005</v>
      </c>
      <c r="N143" s="136">
        <f t="shared" si="12"/>
        <v>2800.0000000000005</v>
      </c>
      <c r="O143" s="136">
        <v>0</v>
      </c>
      <c r="P143" s="175">
        <v>85129000</v>
      </c>
      <c r="Q143" s="137" t="s">
        <v>22</v>
      </c>
      <c r="R143" s="136" t="s">
        <v>13</v>
      </c>
      <c r="S143" s="136">
        <v>800</v>
      </c>
      <c r="T143" s="136">
        <v>800</v>
      </c>
      <c r="U143" s="136">
        <f t="shared" si="13"/>
        <v>0</v>
      </c>
      <c r="V143" s="136">
        <v>800</v>
      </c>
    </row>
    <row r="144" spans="1:22" x14ac:dyDescent="0.3">
      <c r="A144" s="136" t="s">
        <v>342</v>
      </c>
      <c r="B144" s="136" t="s">
        <v>341</v>
      </c>
      <c r="C144" s="136" t="s">
        <v>408</v>
      </c>
      <c r="D144" s="143">
        <v>42935</v>
      </c>
      <c r="E144" s="136">
        <v>6962</v>
      </c>
      <c r="F144" s="136" t="s">
        <v>14</v>
      </c>
      <c r="G144" s="140" t="s">
        <v>11</v>
      </c>
      <c r="H144" s="136" t="s">
        <v>12</v>
      </c>
      <c r="J144" s="139">
        <v>18</v>
      </c>
      <c r="K144" s="138">
        <v>5900</v>
      </c>
      <c r="L144" s="136">
        <v>0</v>
      </c>
      <c r="M144" s="136">
        <f t="shared" si="11"/>
        <v>531</v>
      </c>
      <c r="N144" s="136">
        <f t="shared" si="12"/>
        <v>531</v>
      </c>
      <c r="O144" s="136">
        <v>0</v>
      </c>
      <c r="P144" s="175">
        <v>998873</v>
      </c>
      <c r="Q144" s="137" t="s">
        <v>22</v>
      </c>
      <c r="R144" s="136" t="s">
        <v>13</v>
      </c>
      <c r="S144" s="136">
        <v>0</v>
      </c>
      <c r="T144" s="136">
        <v>0</v>
      </c>
      <c r="U144" s="136">
        <f t="shared" si="13"/>
        <v>0</v>
      </c>
      <c r="V144" s="136">
        <v>200</v>
      </c>
    </row>
    <row r="145" spans="1:22" x14ac:dyDescent="0.3">
      <c r="A145" s="136" t="s">
        <v>342</v>
      </c>
      <c r="B145" s="136" t="s">
        <v>341</v>
      </c>
      <c r="C145" s="136" t="s">
        <v>405</v>
      </c>
      <c r="D145" s="143">
        <v>42935</v>
      </c>
      <c r="E145" s="136">
        <v>6962</v>
      </c>
      <c r="F145" s="136" t="s">
        <v>14</v>
      </c>
      <c r="G145" s="140" t="s">
        <v>11</v>
      </c>
      <c r="H145" s="136" t="s">
        <v>12</v>
      </c>
      <c r="J145" s="139">
        <v>18</v>
      </c>
      <c r="K145" s="138">
        <v>5900</v>
      </c>
      <c r="L145" s="136">
        <v>0</v>
      </c>
      <c r="M145" s="136">
        <f t="shared" si="11"/>
        <v>531</v>
      </c>
      <c r="N145" s="136">
        <f t="shared" si="12"/>
        <v>531</v>
      </c>
      <c r="O145" s="136">
        <v>0</v>
      </c>
      <c r="P145" s="175">
        <v>998873</v>
      </c>
      <c r="Q145" s="137" t="s">
        <v>22</v>
      </c>
      <c r="R145" s="136" t="s">
        <v>13</v>
      </c>
      <c r="S145" s="136">
        <v>0</v>
      </c>
      <c r="T145" s="136">
        <v>0</v>
      </c>
      <c r="U145" s="136">
        <f t="shared" si="13"/>
        <v>0</v>
      </c>
      <c r="V145" s="136">
        <v>200</v>
      </c>
    </row>
    <row r="146" spans="1:22" x14ac:dyDescent="0.3">
      <c r="A146" s="136" t="s">
        <v>376</v>
      </c>
      <c r="B146" s="136" t="s">
        <v>375</v>
      </c>
      <c r="C146" s="136" t="s">
        <v>406</v>
      </c>
      <c r="D146" s="143">
        <v>42935</v>
      </c>
      <c r="E146" s="136">
        <v>4531.2</v>
      </c>
      <c r="F146" s="136" t="s">
        <v>14</v>
      </c>
      <c r="G146" s="140" t="s">
        <v>11</v>
      </c>
      <c r="H146" s="136" t="s">
        <v>12</v>
      </c>
      <c r="J146" s="139">
        <v>18</v>
      </c>
      <c r="K146" s="138">
        <v>3840</v>
      </c>
      <c r="L146" s="136">
        <v>0</v>
      </c>
      <c r="M146" s="136">
        <f t="shared" si="11"/>
        <v>345.59999999999997</v>
      </c>
      <c r="N146" s="136">
        <f t="shared" si="12"/>
        <v>345.59999999999997</v>
      </c>
      <c r="O146" s="136">
        <v>0</v>
      </c>
      <c r="P146" s="175">
        <v>998898</v>
      </c>
      <c r="Q146" s="137" t="s">
        <v>22</v>
      </c>
      <c r="R146" s="136" t="s">
        <v>13</v>
      </c>
      <c r="S146" s="136">
        <v>0</v>
      </c>
      <c r="T146" s="136">
        <v>0</v>
      </c>
      <c r="U146" s="136">
        <f t="shared" si="13"/>
        <v>0</v>
      </c>
      <c r="V146" s="136">
        <v>12</v>
      </c>
    </row>
    <row r="147" spans="1:22" x14ac:dyDescent="0.3">
      <c r="A147" s="136" t="s">
        <v>187</v>
      </c>
      <c r="B147" s="136" t="s">
        <v>178</v>
      </c>
      <c r="C147" s="136" t="s">
        <v>407</v>
      </c>
      <c r="D147" s="143">
        <v>42935</v>
      </c>
      <c r="E147" s="136">
        <v>56707.28</v>
      </c>
      <c r="F147" s="136" t="s">
        <v>14</v>
      </c>
      <c r="G147" s="140" t="s">
        <v>11</v>
      </c>
      <c r="H147" s="136" t="s">
        <v>12</v>
      </c>
      <c r="J147" s="139">
        <v>28</v>
      </c>
      <c r="K147" s="138">
        <v>44302.58</v>
      </c>
      <c r="L147" s="136">
        <v>0</v>
      </c>
      <c r="M147" s="136">
        <f t="shared" si="11"/>
        <v>6202.3612000000012</v>
      </c>
      <c r="N147" s="136">
        <f t="shared" si="12"/>
        <v>6202.3612000000012</v>
      </c>
      <c r="O147" s="136">
        <v>0</v>
      </c>
      <c r="P147" s="175">
        <v>87089900</v>
      </c>
      <c r="Q147" s="137" t="s">
        <v>22</v>
      </c>
      <c r="R147" s="136" t="s">
        <v>13</v>
      </c>
      <c r="S147" s="136">
        <v>196</v>
      </c>
      <c r="T147" s="136">
        <v>196</v>
      </c>
      <c r="U147" s="136">
        <f t="shared" si="13"/>
        <v>0</v>
      </c>
      <c r="V147" s="136">
        <v>196</v>
      </c>
    </row>
    <row r="148" spans="1:22" x14ac:dyDescent="0.3">
      <c r="A148" s="136" t="s">
        <v>187</v>
      </c>
      <c r="B148" s="136" t="s">
        <v>178</v>
      </c>
      <c r="C148" s="136" t="s">
        <v>410</v>
      </c>
      <c r="D148" s="143">
        <v>42935</v>
      </c>
      <c r="E148" s="136">
        <v>8064</v>
      </c>
      <c r="F148" s="136" t="s">
        <v>14</v>
      </c>
      <c r="G148" s="140" t="s">
        <v>11</v>
      </c>
      <c r="H148" s="136" t="s">
        <v>12</v>
      </c>
      <c r="J148" s="139">
        <v>28</v>
      </c>
      <c r="K148" s="138">
        <v>6300</v>
      </c>
      <c r="L148" s="136">
        <v>0</v>
      </c>
      <c r="M148" s="136">
        <f t="shared" si="11"/>
        <v>882.00000000000011</v>
      </c>
      <c r="N148" s="136">
        <f t="shared" si="12"/>
        <v>882.00000000000011</v>
      </c>
      <c r="O148" s="136">
        <v>0</v>
      </c>
      <c r="P148" s="175">
        <v>87089900</v>
      </c>
      <c r="Q148" s="137" t="s">
        <v>22</v>
      </c>
      <c r="R148" s="136" t="s">
        <v>13</v>
      </c>
      <c r="S148" s="136">
        <v>14</v>
      </c>
      <c r="T148" s="136">
        <v>14</v>
      </c>
      <c r="U148" s="136">
        <f t="shared" si="13"/>
        <v>0</v>
      </c>
      <c r="V148" s="136">
        <v>14</v>
      </c>
    </row>
    <row r="149" spans="1:22" x14ac:dyDescent="0.3">
      <c r="A149" s="136" t="s">
        <v>6</v>
      </c>
      <c r="B149" s="136" t="s">
        <v>5</v>
      </c>
      <c r="C149" s="136" t="s">
        <v>411</v>
      </c>
      <c r="D149" s="143">
        <v>42935</v>
      </c>
      <c r="E149" s="136">
        <v>53509.48</v>
      </c>
      <c r="F149" s="136" t="s">
        <v>14</v>
      </c>
      <c r="G149" s="140" t="s">
        <v>11</v>
      </c>
      <c r="H149" s="136" t="s">
        <v>12</v>
      </c>
      <c r="J149" s="139">
        <v>28</v>
      </c>
      <c r="K149" s="138">
        <v>41804.28</v>
      </c>
      <c r="L149" s="136">
        <v>0</v>
      </c>
      <c r="M149" s="136">
        <f t="shared" si="11"/>
        <v>5852.5992000000006</v>
      </c>
      <c r="N149" s="136">
        <f t="shared" si="12"/>
        <v>5852.5992000000006</v>
      </c>
      <c r="O149" s="136">
        <v>0</v>
      </c>
      <c r="P149" s="175">
        <v>87081090</v>
      </c>
      <c r="Q149" s="137" t="s">
        <v>22</v>
      </c>
      <c r="R149" s="136" t="s">
        <v>13</v>
      </c>
      <c r="S149" s="136">
        <v>504</v>
      </c>
      <c r="T149" s="136">
        <v>504</v>
      </c>
      <c r="U149" s="136">
        <f t="shared" si="13"/>
        <v>0</v>
      </c>
      <c r="V149" s="136">
        <v>504</v>
      </c>
    </row>
    <row r="150" spans="1:22" x14ac:dyDescent="0.3">
      <c r="A150" s="136" t="s">
        <v>6</v>
      </c>
      <c r="B150" s="136" t="s">
        <v>5</v>
      </c>
      <c r="C150" s="136" t="s">
        <v>412</v>
      </c>
      <c r="D150" s="143">
        <v>42935</v>
      </c>
      <c r="E150" s="136">
        <v>31850.880000000001</v>
      </c>
      <c r="F150" s="136" t="s">
        <v>14</v>
      </c>
      <c r="G150" s="140" t="s">
        <v>11</v>
      </c>
      <c r="H150" s="136" t="s">
        <v>12</v>
      </c>
      <c r="J150" s="139">
        <v>28</v>
      </c>
      <c r="K150" s="138">
        <v>24883.5</v>
      </c>
      <c r="L150" s="136">
        <v>0</v>
      </c>
      <c r="M150" s="136">
        <f t="shared" si="11"/>
        <v>3483.6900000000005</v>
      </c>
      <c r="N150" s="136">
        <f t="shared" si="12"/>
        <v>3483.6900000000005</v>
      </c>
      <c r="O150" s="136">
        <v>0</v>
      </c>
      <c r="P150" s="175">
        <v>87081090</v>
      </c>
      <c r="Q150" s="137" t="s">
        <v>22</v>
      </c>
      <c r="R150" s="136" t="s">
        <v>13</v>
      </c>
      <c r="S150" s="136">
        <v>300</v>
      </c>
      <c r="T150" s="136">
        <v>300</v>
      </c>
      <c r="U150" s="136">
        <f t="shared" si="13"/>
        <v>0</v>
      </c>
      <c r="V150" s="136">
        <v>300</v>
      </c>
    </row>
    <row r="151" spans="1:22" x14ac:dyDescent="0.3">
      <c r="A151" s="136" t="s">
        <v>6</v>
      </c>
      <c r="B151" s="136" t="s">
        <v>5</v>
      </c>
      <c r="C151" s="136" t="s">
        <v>413</v>
      </c>
      <c r="D151" s="143">
        <v>42935</v>
      </c>
      <c r="E151" s="136">
        <v>25320.959999999999</v>
      </c>
      <c r="F151" s="136" t="s">
        <v>14</v>
      </c>
      <c r="G151" s="140" t="s">
        <v>11</v>
      </c>
      <c r="H151" s="136" t="s">
        <v>12</v>
      </c>
      <c r="J151" s="139">
        <v>28</v>
      </c>
      <c r="K151" s="138">
        <v>19782</v>
      </c>
      <c r="L151" s="136">
        <v>0</v>
      </c>
      <c r="M151" s="136">
        <f t="shared" si="11"/>
        <v>2769.4800000000005</v>
      </c>
      <c r="N151" s="136">
        <f t="shared" si="12"/>
        <v>2769.4800000000005</v>
      </c>
      <c r="O151" s="136">
        <v>0</v>
      </c>
      <c r="P151" s="175">
        <v>87081090</v>
      </c>
      <c r="Q151" s="137" t="s">
        <v>22</v>
      </c>
      <c r="R151" s="136" t="s">
        <v>13</v>
      </c>
      <c r="S151" s="136">
        <v>240</v>
      </c>
      <c r="T151" s="136">
        <v>240</v>
      </c>
      <c r="U151" s="136">
        <f t="shared" si="13"/>
        <v>0</v>
      </c>
      <c r="V151" s="136">
        <v>240</v>
      </c>
    </row>
    <row r="152" spans="1:22" x14ac:dyDescent="0.3">
      <c r="A152" s="136" t="s">
        <v>6</v>
      </c>
      <c r="B152" s="136" t="s">
        <v>5</v>
      </c>
      <c r="C152" s="136" t="s">
        <v>414</v>
      </c>
      <c r="D152" s="143">
        <v>42935</v>
      </c>
      <c r="E152" s="136">
        <v>8663.0400000000009</v>
      </c>
      <c r="F152" s="136" t="s">
        <v>14</v>
      </c>
      <c r="G152" s="140" t="s">
        <v>11</v>
      </c>
      <c r="H152" s="136" t="s">
        <v>12</v>
      </c>
      <c r="J152" s="139">
        <v>28</v>
      </c>
      <c r="K152" s="138">
        <v>6768</v>
      </c>
      <c r="L152" s="136">
        <v>0</v>
      </c>
      <c r="M152" s="136">
        <f t="shared" si="11"/>
        <v>947.5200000000001</v>
      </c>
      <c r="N152" s="136">
        <f t="shared" si="12"/>
        <v>947.5200000000001</v>
      </c>
      <c r="O152" s="136">
        <v>0</v>
      </c>
      <c r="P152" s="175">
        <v>87141090</v>
      </c>
      <c r="Q152" s="137" t="s">
        <v>22</v>
      </c>
      <c r="R152" s="136" t="s">
        <v>13</v>
      </c>
      <c r="S152" s="136">
        <v>192</v>
      </c>
      <c r="T152" s="136">
        <v>192</v>
      </c>
      <c r="U152" s="136">
        <f t="shared" si="13"/>
        <v>0</v>
      </c>
      <c r="V152" s="136">
        <v>192</v>
      </c>
    </row>
    <row r="153" spans="1:22" x14ac:dyDescent="0.3">
      <c r="A153" s="136" t="s">
        <v>416</v>
      </c>
      <c r="B153" s="136" t="s">
        <v>415</v>
      </c>
      <c r="C153" s="136" t="s">
        <v>417</v>
      </c>
      <c r="D153" s="143">
        <v>42935</v>
      </c>
      <c r="E153" s="136">
        <v>22006.639999999999</v>
      </c>
      <c r="F153" s="136" t="s">
        <v>14</v>
      </c>
      <c r="G153" s="140" t="s">
        <v>11</v>
      </c>
      <c r="H153" s="136" t="s">
        <v>12</v>
      </c>
      <c r="J153" s="139">
        <v>18</v>
      </c>
      <c r="K153" s="138">
        <v>18649.7</v>
      </c>
      <c r="L153" s="136">
        <v>0</v>
      </c>
      <c r="M153" s="136">
        <f t="shared" si="11"/>
        <v>1678.473</v>
      </c>
      <c r="N153" s="136">
        <f t="shared" si="12"/>
        <v>1678.473</v>
      </c>
      <c r="O153" s="136">
        <v>0</v>
      </c>
      <c r="P153" s="175">
        <v>998898</v>
      </c>
      <c r="Q153" s="137" t="s">
        <v>22</v>
      </c>
      <c r="R153" s="136" t="s">
        <v>13</v>
      </c>
      <c r="S153" s="136">
        <v>0</v>
      </c>
      <c r="T153" s="136">
        <v>0</v>
      </c>
      <c r="U153" s="136">
        <f t="shared" si="13"/>
        <v>0</v>
      </c>
      <c r="V153" s="136">
        <v>244</v>
      </c>
    </row>
    <row r="154" spans="1:22" x14ac:dyDescent="0.3">
      <c r="A154" s="136" t="s">
        <v>188</v>
      </c>
      <c r="B154" s="136" t="s">
        <v>189</v>
      </c>
      <c r="C154" s="136" t="s">
        <v>418</v>
      </c>
      <c r="D154" s="143">
        <v>42936</v>
      </c>
      <c r="E154" s="136">
        <v>75437.56</v>
      </c>
      <c r="F154" s="136" t="s">
        <v>14</v>
      </c>
      <c r="G154" s="140" t="s">
        <v>11</v>
      </c>
      <c r="H154" s="136" t="s">
        <v>12</v>
      </c>
      <c r="J154" s="139">
        <v>28</v>
      </c>
      <c r="K154" s="138">
        <v>58935.6</v>
      </c>
      <c r="L154" s="136">
        <v>0</v>
      </c>
      <c r="M154" s="136">
        <f t="shared" si="11"/>
        <v>8250.9840000000004</v>
      </c>
      <c r="N154" s="136">
        <f t="shared" si="12"/>
        <v>8250.9840000000004</v>
      </c>
      <c r="O154" s="136">
        <v>0</v>
      </c>
      <c r="P154" s="175">
        <v>87141090</v>
      </c>
      <c r="Q154" s="137" t="s">
        <v>22</v>
      </c>
      <c r="R154" s="136" t="s">
        <v>13</v>
      </c>
      <c r="S154" s="136">
        <v>2568</v>
      </c>
      <c r="T154" s="136">
        <v>2568</v>
      </c>
      <c r="U154" s="136">
        <f t="shared" si="13"/>
        <v>0</v>
      </c>
      <c r="V154" s="136">
        <v>2568</v>
      </c>
    </row>
    <row r="155" spans="1:22" x14ac:dyDescent="0.3">
      <c r="A155" s="136" t="s">
        <v>328</v>
      </c>
      <c r="B155" s="136" t="s">
        <v>327</v>
      </c>
      <c r="C155" s="136" t="s">
        <v>419</v>
      </c>
      <c r="D155" s="143">
        <v>42936</v>
      </c>
      <c r="E155" s="136">
        <v>50166.28</v>
      </c>
      <c r="F155" s="136" t="s">
        <v>14</v>
      </c>
      <c r="G155" s="140" t="s">
        <v>11</v>
      </c>
      <c r="H155" s="136" t="s">
        <v>12</v>
      </c>
      <c r="J155" s="139">
        <v>28</v>
      </c>
      <c r="K155" s="138">
        <v>39192.400000000001</v>
      </c>
      <c r="L155" s="136">
        <v>0</v>
      </c>
      <c r="M155" s="136">
        <f t="shared" si="11"/>
        <v>5486.9360000000006</v>
      </c>
      <c r="N155" s="136">
        <f t="shared" si="12"/>
        <v>5486.9360000000006</v>
      </c>
      <c r="O155" s="136">
        <v>0</v>
      </c>
      <c r="P155" s="175">
        <v>87141090</v>
      </c>
      <c r="Q155" s="137" t="s">
        <v>22</v>
      </c>
      <c r="R155" s="136" t="s">
        <v>13</v>
      </c>
      <c r="S155" s="136">
        <v>520</v>
      </c>
      <c r="T155" s="136">
        <v>520</v>
      </c>
      <c r="U155" s="136">
        <f t="shared" si="13"/>
        <v>0</v>
      </c>
      <c r="V155" s="136">
        <v>520</v>
      </c>
    </row>
    <row r="156" spans="1:22" x14ac:dyDescent="0.3">
      <c r="A156" s="136" t="s">
        <v>6</v>
      </c>
      <c r="B156" s="136" t="s">
        <v>5</v>
      </c>
      <c r="C156" s="136" t="s">
        <v>420</v>
      </c>
      <c r="D156" s="143">
        <v>42936</v>
      </c>
      <c r="E156" s="136">
        <v>49687.360000000001</v>
      </c>
      <c r="F156" s="136" t="s">
        <v>14</v>
      </c>
      <c r="G156" s="140" t="s">
        <v>11</v>
      </c>
      <c r="H156" s="136" t="s">
        <v>12</v>
      </c>
      <c r="J156" s="139">
        <v>28</v>
      </c>
      <c r="K156" s="138">
        <v>38818.26</v>
      </c>
      <c r="L156" s="136">
        <v>0</v>
      </c>
      <c r="M156" s="136">
        <f t="shared" si="11"/>
        <v>5434.5564000000004</v>
      </c>
      <c r="N156" s="136">
        <f t="shared" si="12"/>
        <v>5434.5564000000004</v>
      </c>
      <c r="O156" s="136">
        <v>0</v>
      </c>
      <c r="P156" s="175">
        <v>87081090</v>
      </c>
      <c r="Q156" s="137" t="s">
        <v>22</v>
      </c>
      <c r="R156" s="136" t="s">
        <v>13</v>
      </c>
      <c r="S156" s="136">
        <v>468</v>
      </c>
      <c r="T156" s="136">
        <v>468</v>
      </c>
      <c r="U156" s="136">
        <f t="shared" si="13"/>
        <v>0</v>
      </c>
      <c r="V156" s="136">
        <v>468</v>
      </c>
    </row>
    <row r="157" spans="1:22" x14ac:dyDescent="0.3">
      <c r="A157" s="136" t="s">
        <v>209</v>
      </c>
      <c r="B157" s="136" t="s">
        <v>208</v>
      </c>
      <c r="C157" s="136" t="s">
        <v>421</v>
      </c>
      <c r="D157" s="143">
        <v>42936</v>
      </c>
      <c r="E157" s="136">
        <v>33352.699999999997</v>
      </c>
      <c r="F157" s="136" t="s">
        <v>211</v>
      </c>
      <c r="G157" s="140" t="s">
        <v>11</v>
      </c>
      <c r="H157" s="136" t="s">
        <v>12</v>
      </c>
      <c r="J157" s="139">
        <v>28</v>
      </c>
      <c r="K157" s="138">
        <v>26056.799999999999</v>
      </c>
      <c r="L157" s="136">
        <f t="shared" ref="L157:L162" si="14">+J157/100*K157</f>
        <v>7295.9040000000005</v>
      </c>
      <c r="M157" s="136">
        <v>0</v>
      </c>
      <c r="N157" s="136">
        <v>0</v>
      </c>
      <c r="O157" s="136">
        <v>0</v>
      </c>
      <c r="P157" s="175">
        <v>87081090</v>
      </c>
      <c r="Q157" s="137" t="s">
        <v>22</v>
      </c>
      <c r="R157" s="136" t="s">
        <v>13</v>
      </c>
      <c r="S157" s="136">
        <v>80</v>
      </c>
      <c r="T157" s="136">
        <v>80</v>
      </c>
      <c r="U157" s="136">
        <f t="shared" si="13"/>
        <v>0</v>
      </c>
      <c r="V157" s="136">
        <v>80</v>
      </c>
    </row>
    <row r="158" spans="1:22" x14ac:dyDescent="0.3">
      <c r="A158" s="136" t="s">
        <v>209</v>
      </c>
      <c r="B158" s="136" t="s">
        <v>208</v>
      </c>
      <c r="C158" s="136" t="s">
        <v>422</v>
      </c>
      <c r="D158" s="143">
        <v>42936</v>
      </c>
      <c r="E158" s="136">
        <v>20156.310000000001</v>
      </c>
      <c r="F158" s="136" t="s">
        <v>211</v>
      </c>
      <c r="G158" s="140" t="s">
        <v>11</v>
      </c>
      <c r="H158" s="136" t="s">
        <v>12</v>
      </c>
      <c r="J158" s="139">
        <v>28</v>
      </c>
      <c r="K158" s="138">
        <v>15747.12</v>
      </c>
      <c r="L158" s="136">
        <f t="shared" si="14"/>
        <v>4409.1936000000005</v>
      </c>
      <c r="M158" s="136">
        <v>0</v>
      </c>
      <c r="N158" s="136">
        <v>0</v>
      </c>
      <c r="O158" s="136">
        <v>0</v>
      </c>
      <c r="P158" s="175">
        <v>87081090</v>
      </c>
      <c r="Q158" s="137" t="s">
        <v>22</v>
      </c>
      <c r="R158" s="136" t="s">
        <v>13</v>
      </c>
      <c r="S158" s="136">
        <v>8</v>
      </c>
      <c r="T158" s="136">
        <v>8</v>
      </c>
      <c r="U158" s="136">
        <f t="shared" si="13"/>
        <v>0</v>
      </c>
      <c r="V158" s="136">
        <v>8</v>
      </c>
    </row>
    <row r="159" spans="1:22" x14ac:dyDescent="0.3">
      <c r="A159" s="136" t="s">
        <v>209</v>
      </c>
      <c r="B159" s="136" t="s">
        <v>208</v>
      </c>
      <c r="C159" s="136" t="s">
        <v>423</v>
      </c>
      <c r="D159" s="143">
        <v>42936</v>
      </c>
      <c r="E159" s="136">
        <v>13218.59</v>
      </c>
      <c r="F159" s="136" t="s">
        <v>211</v>
      </c>
      <c r="G159" s="140" t="s">
        <v>11</v>
      </c>
      <c r="H159" s="136" t="s">
        <v>12</v>
      </c>
      <c r="J159" s="139">
        <v>28</v>
      </c>
      <c r="K159" s="138">
        <v>10327.02</v>
      </c>
      <c r="L159" s="136">
        <f t="shared" si="14"/>
        <v>2891.5656000000004</v>
      </c>
      <c r="M159" s="136">
        <v>0</v>
      </c>
      <c r="N159" s="136">
        <v>0</v>
      </c>
      <c r="O159" s="136">
        <v>0</v>
      </c>
      <c r="P159" s="175">
        <v>87081090</v>
      </c>
      <c r="Q159" s="137" t="s">
        <v>22</v>
      </c>
      <c r="R159" s="136" t="s">
        <v>13</v>
      </c>
      <c r="S159" s="136">
        <v>11</v>
      </c>
      <c r="T159" s="136">
        <v>11</v>
      </c>
      <c r="U159" s="136">
        <f t="shared" si="13"/>
        <v>0</v>
      </c>
      <c r="V159" s="136">
        <v>11</v>
      </c>
    </row>
    <row r="160" spans="1:22" x14ac:dyDescent="0.3">
      <c r="A160" s="136" t="s">
        <v>209</v>
      </c>
      <c r="B160" s="136" t="s">
        <v>208</v>
      </c>
      <c r="C160" s="136" t="s">
        <v>424</v>
      </c>
      <c r="D160" s="143">
        <v>42936</v>
      </c>
      <c r="E160" s="136">
        <v>7798.54</v>
      </c>
      <c r="F160" s="136" t="s">
        <v>211</v>
      </c>
      <c r="G160" s="140" t="s">
        <v>11</v>
      </c>
      <c r="H160" s="136" t="s">
        <v>12</v>
      </c>
      <c r="J160" s="139">
        <v>28</v>
      </c>
      <c r="K160" s="138">
        <v>6092.61</v>
      </c>
      <c r="L160" s="136">
        <f t="shared" si="14"/>
        <v>1705.9308000000001</v>
      </c>
      <c r="M160" s="136">
        <v>0</v>
      </c>
      <c r="N160" s="136">
        <v>0</v>
      </c>
      <c r="O160" s="136">
        <v>0</v>
      </c>
      <c r="P160" s="175">
        <v>87081090</v>
      </c>
      <c r="Q160" s="137" t="s">
        <v>22</v>
      </c>
      <c r="R160" s="136" t="s">
        <v>13</v>
      </c>
      <c r="S160" s="136">
        <v>3</v>
      </c>
      <c r="T160" s="136">
        <v>3</v>
      </c>
      <c r="U160" s="136">
        <f t="shared" si="13"/>
        <v>0</v>
      </c>
      <c r="V160" s="136">
        <v>3</v>
      </c>
    </row>
    <row r="161" spans="1:22" x14ac:dyDescent="0.3">
      <c r="A161" s="136" t="s">
        <v>209</v>
      </c>
      <c r="B161" s="136" t="s">
        <v>208</v>
      </c>
      <c r="C161" s="136" t="s">
        <v>425</v>
      </c>
      <c r="D161" s="143">
        <v>42936</v>
      </c>
      <c r="E161" s="136">
        <v>12997.57</v>
      </c>
      <c r="F161" s="136" t="s">
        <v>211</v>
      </c>
      <c r="G161" s="140" t="s">
        <v>11</v>
      </c>
      <c r="H161" s="136" t="s">
        <v>12</v>
      </c>
      <c r="J161" s="139">
        <v>28</v>
      </c>
      <c r="K161" s="138">
        <v>10154.35</v>
      </c>
      <c r="L161" s="136">
        <f t="shared" si="14"/>
        <v>2843.2180000000003</v>
      </c>
      <c r="M161" s="136">
        <v>0</v>
      </c>
      <c r="N161" s="136">
        <v>0</v>
      </c>
      <c r="O161" s="136">
        <v>0</v>
      </c>
      <c r="P161" s="175">
        <v>87081090</v>
      </c>
      <c r="Q161" s="137" t="s">
        <v>22</v>
      </c>
      <c r="R161" s="136" t="s">
        <v>13</v>
      </c>
      <c r="S161" s="136">
        <v>5</v>
      </c>
      <c r="T161" s="136">
        <v>5</v>
      </c>
      <c r="U161" s="136">
        <f t="shared" si="13"/>
        <v>0</v>
      </c>
      <c r="V161" s="136">
        <v>5</v>
      </c>
    </row>
    <row r="162" spans="1:22" x14ac:dyDescent="0.3">
      <c r="A162" s="136" t="s">
        <v>227</v>
      </c>
      <c r="B162" s="136" t="s">
        <v>226</v>
      </c>
      <c r="C162" s="136" t="s">
        <v>426</v>
      </c>
      <c r="D162" s="143">
        <v>42936</v>
      </c>
      <c r="E162" s="136">
        <v>69336.960000000006</v>
      </c>
      <c r="F162" s="136" t="s">
        <v>211</v>
      </c>
      <c r="G162" s="140" t="s">
        <v>11</v>
      </c>
      <c r="H162" s="136" t="s">
        <v>12</v>
      </c>
      <c r="J162" s="139">
        <v>28</v>
      </c>
      <c r="K162" s="138">
        <v>54169.5</v>
      </c>
      <c r="L162" s="136">
        <f t="shared" si="14"/>
        <v>15167.460000000001</v>
      </c>
      <c r="M162" s="136">
        <v>0</v>
      </c>
      <c r="N162" s="136">
        <v>0</v>
      </c>
      <c r="O162" s="136">
        <v>0</v>
      </c>
      <c r="P162" s="175">
        <v>87089900</v>
      </c>
      <c r="Q162" s="137" t="s">
        <v>22</v>
      </c>
      <c r="R162" s="136" t="s">
        <v>13</v>
      </c>
      <c r="S162" s="136">
        <v>150</v>
      </c>
      <c r="T162" s="136">
        <v>150</v>
      </c>
      <c r="U162" s="136">
        <f t="shared" si="13"/>
        <v>0</v>
      </c>
      <c r="V162" s="136">
        <v>150</v>
      </c>
    </row>
    <row r="163" spans="1:22" x14ac:dyDescent="0.3">
      <c r="A163" s="136" t="s">
        <v>6</v>
      </c>
      <c r="B163" s="136" t="s">
        <v>5</v>
      </c>
      <c r="C163" s="136" t="s">
        <v>427</v>
      </c>
      <c r="D163" s="143">
        <v>42936</v>
      </c>
      <c r="E163" s="136">
        <v>45577.74</v>
      </c>
      <c r="F163" s="136" t="s">
        <v>14</v>
      </c>
      <c r="G163" s="140" t="s">
        <v>11</v>
      </c>
      <c r="H163" s="136" t="s">
        <v>12</v>
      </c>
      <c r="J163" s="139">
        <v>28</v>
      </c>
      <c r="K163" s="138">
        <v>35607.599999999999</v>
      </c>
      <c r="L163" s="136">
        <v>0</v>
      </c>
      <c r="M163" s="136">
        <f t="shared" ref="M163:M186" si="15">+J163/100*K163/2</f>
        <v>4985.0640000000003</v>
      </c>
      <c r="N163" s="136">
        <f t="shared" ref="N163:N186" si="16">+J163/100*K163/2</f>
        <v>4985.0640000000003</v>
      </c>
      <c r="O163" s="136">
        <v>0</v>
      </c>
      <c r="P163" s="175">
        <v>87081090</v>
      </c>
      <c r="Q163" s="137" t="s">
        <v>22</v>
      </c>
      <c r="R163" s="136" t="s">
        <v>13</v>
      </c>
      <c r="S163" s="136">
        <v>432</v>
      </c>
      <c r="T163" s="136">
        <v>432</v>
      </c>
      <c r="U163" s="136">
        <f t="shared" si="13"/>
        <v>0</v>
      </c>
      <c r="V163" s="136">
        <v>432</v>
      </c>
    </row>
    <row r="164" spans="1:22" x14ac:dyDescent="0.3">
      <c r="A164" s="136" t="s">
        <v>6</v>
      </c>
      <c r="B164" s="136" t="s">
        <v>5</v>
      </c>
      <c r="C164" s="136" t="s">
        <v>428</v>
      </c>
      <c r="D164" s="143">
        <v>42936</v>
      </c>
      <c r="E164" s="136">
        <v>40769.120000000003</v>
      </c>
      <c r="F164" s="136" t="s">
        <v>14</v>
      </c>
      <c r="G164" s="140" t="s">
        <v>11</v>
      </c>
      <c r="H164" s="136" t="s">
        <v>12</v>
      </c>
      <c r="J164" s="139">
        <v>28</v>
      </c>
      <c r="K164" s="138">
        <v>31850.880000000001</v>
      </c>
      <c r="L164" s="136">
        <v>0</v>
      </c>
      <c r="M164" s="136">
        <f t="shared" si="15"/>
        <v>4459.1232000000009</v>
      </c>
      <c r="N164" s="136">
        <f t="shared" si="16"/>
        <v>4459.1232000000009</v>
      </c>
      <c r="O164" s="136">
        <v>0</v>
      </c>
      <c r="P164" s="175">
        <v>87081090</v>
      </c>
      <c r="Q164" s="137" t="s">
        <v>22</v>
      </c>
      <c r="R164" s="136" t="s">
        <v>13</v>
      </c>
      <c r="S164" s="136">
        <v>384</v>
      </c>
      <c r="T164" s="136">
        <v>384</v>
      </c>
      <c r="U164" s="136">
        <f t="shared" si="13"/>
        <v>0</v>
      </c>
      <c r="V164" s="136">
        <v>384</v>
      </c>
    </row>
    <row r="165" spans="1:22" x14ac:dyDescent="0.3">
      <c r="A165" s="136" t="s">
        <v>6</v>
      </c>
      <c r="B165" s="136" t="s">
        <v>5</v>
      </c>
      <c r="C165" s="136" t="s">
        <v>429</v>
      </c>
      <c r="D165" s="143">
        <v>42937</v>
      </c>
      <c r="E165" s="136">
        <v>47139.32</v>
      </c>
      <c r="F165" s="136" t="s">
        <v>14</v>
      </c>
      <c r="G165" s="140" t="s">
        <v>11</v>
      </c>
      <c r="H165" s="136" t="s">
        <v>12</v>
      </c>
      <c r="J165" s="139">
        <v>28</v>
      </c>
      <c r="K165" s="138">
        <v>36827.58</v>
      </c>
      <c r="L165" s="136">
        <v>0</v>
      </c>
      <c r="M165" s="136">
        <f t="shared" si="15"/>
        <v>5155.8612000000003</v>
      </c>
      <c r="N165" s="136">
        <f t="shared" si="16"/>
        <v>5155.8612000000003</v>
      </c>
      <c r="O165" s="136">
        <v>0</v>
      </c>
      <c r="P165" s="175">
        <v>87081090</v>
      </c>
      <c r="Q165" s="137" t="s">
        <v>22</v>
      </c>
      <c r="R165" s="136" t="s">
        <v>13</v>
      </c>
      <c r="S165" s="136">
        <v>444</v>
      </c>
      <c r="T165" s="136">
        <v>444</v>
      </c>
      <c r="U165" s="136">
        <f t="shared" si="13"/>
        <v>0</v>
      </c>
      <c r="V165" s="136">
        <v>444</v>
      </c>
    </row>
    <row r="166" spans="1:22" x14ac:dyDescent="0.3">
      <c r="A166" s="136" t="s">
        <v>185</v>
      </c>
      <c r="B166" s="136" t="s">
        <v>184</v>
      </c>
      <c r="C166" s="136" t="s">
        <v>430</v>
      </c>
      <c r="D166" s="143">
        <v>42937</v>
      </c>
      <c r="E166" s="136">
        <v>38003.32</v>
      </c>
      <c r="F166" s="136" t="s">
        <v>14</v>
      </c>
      <c r="G166" s="140" t="s">
        <v>11</v>
      </c>
      <c r="H166" s="136" t="s">
        <v>12</v>
      </c>
      <c r="J166" s="139">
        <v>28</v>
      </c>
      <c r="K166" s="138">
        <v>29690.1</v>
      </c>
      <c r="L166" s="136">
        <v>0</v>
      </c>
      <c r="M166" s="136">
        <f t="shared" si="15"/>
        <v>4156.6140000000005</v>
      </c>
      <c r="N166" s="136">
        <f t="shared" si="16"/>
        <v>4156.6140000000005</v>
      </c>
      <c r="O166" s="136">
        <v>0</v>
      </c>
      <c r="P166" s="175">
        <v>85129000</v>
      </c>
      <c r="Q166" s="137" t="s">
        <v>22</v>
      </c>
      <c r="R166" s="136" t="s">
        <v>13</v>
      </c>
      <c r="S166" s="136">
        <v>495</v>
      </c>
      <c r="T166" s="136">
        <v>495</v>
      </c>
      <c r="U166" s="136">
        <f t="shared" si="13"/>
        <v>0</v>
      </c>
      <c r="V166" s="136">
        <v>495</v>
      </c>
    </row>
    <row r="167" spans="1:22" x14ac:dyDescent="0.3">
      <c r="A167" s="136" t="s">
        <v>187</v>
      </c>
      <c r="B167" s="136" t="s">
        <v>178</v>
      </c>
      <c r="C167" s="136" t="s">
        <v>431</v>
      </c>
      <c r="D167" s="143">
        <v>42937</v>
      </c>
      <c r="E167" s="136">
        <v>39111.980000000003</v>
      </c>
      <c r="F167" s="136" t="s">
        <v>14</v>
      </c>
      <c r="G167" s="140" t="s">
        <v>11</v>
      </c>
      <c r="H167" s="136" t="s">
        <v>12</v>
      </c>
      <c r="J167" s="139">
        <v>28</v>
      </c>
      <c r="K167" s="138">
        <v>30556.240000000002</v>
      </c>
      <c r="L167" s="136">
        <v>0</v>
      </c>
      <c r="M167" s="136">
        <f t="shared" si="15"/>
        <v>4277.8736000000008</v>
      </c>
      <c r="N167" s="136">
        <f t="shared" si="16"/>
        <v>4277.8736000000008</v>
      </c>
      <c r="O167" s="136">
        <v>0</v>
      </c>
      <c r="P167" s="175">
        <v>87089900</v>
      </c>
      <c r="Q167" s="137" t="s">
        <v>22</v>
      </c>
      <c r="R167" s="136" t="s">
        <v>13</v>
      </c>
      <c r="S167" s="136">
        <v>88</v>
      </c>
      <c r="T167" s="136">
        <v>88</v>
      </c>
      <c r="U167" s="136">
        <f t="shared" si="13"/>
        <v>0</v>
      </c>
      <c r="V167" s="136">
        <v>88</v>
      </c>
    </row>
    <row r="168" spans="1:22" x14ac:dyDescent="0.3">
      <c r="A168" s="136" t="s">
        <v>6</v>
      </c>
      <c r="B168" s="136" t="s">
        <v>5</v>
      </c>
      <c r="C168" s="136" t="s">
        <v>432</v>
      </c>
      <c r="D168" s="143">
        <v>42937</v>
      </c>
      <c r="E168" s="136">
        <v>40513.54</v>
      </c>
      <c r="F168" s="136" t="s">
        <v>14</v>
      </c>
      <c r="G168" s="140" t="s">
        <v>11</v>
      </c>
      <c r="H168" s="136" t="s">
        <v>12</v>
      </c>
      <c r="J168" s="139">
        <v>28</v>
      </c>
      <c r="K168" s="138">
        <v>31651.200000000001</v>
      </c>
      <c r="L168" s="136">
        <v>0</v>
      </c>
      <c r="M168" s="136">
        <f t="shared" si="15"/>
        <v>4431.1680000000006</v>
      </c>
      <c r="N168" s="136">
        <f t="shared" si="16"/>
        <v>4431.1680000000006</v>
      </c>
      <c r="O168" s="136">
        <v>0</v>
      </c>
      <c r="P168" s="175">
        <v>87081090</v>
      </c>
      <c r="Q168" s="137" t="s">
        <v>22</v>
      </c>
      <c r="R168" s="136" t="s">
        <v>13</v>
      </c>
      <c r="S168" s="136">
        <v>384</v>
      </c>
      <c r="T168" s="136">
        <v>384</v>
      </c>
      <c r="U168" s="136">
        <f t="shared" si="13"/>
        <v>0</v>
      </c>
      <c r="V168" s="136">
        <v>384</v>
      </c>
    </row>
    <row r="169" spans="1:22" x14ac:dyDescent="0.3">
      <c r="A169" s="136" t="s">
        <v>6</v>
      </c>
      <c r="B169" s="136" t="s">
        <v>5</v>
      </c>
      <c r="C169" s="136" t="s">
        <v>433</v>
      </c>
      <c r="D169" s="143">
        <v>42937</v>
      </c>
      <c r="E169" s="136">
        <v>5955.84</v>
      </c>
      <c r="F169" s="136" t="s">
        <v>14</v>
      </c>
      <c r="G169" s="140" t="s">
        <v>11</v>
      </c>
      <c r="H169" s="136" t="s">
        <v>12</v>
      </c>
      <c r="J169" s="139">
        <v>28</v>
      </c>
      <c r="K169" s="138">
        <v>4653</v>
      </c>
      <c r="L169" s="136">
        <v>0</v>
      </c>
      <c r="M169" s="136">
        <f t="shared" si="15"/>
        <v>651.42000000000007</v>
      </c>
      <c r="N169" s="136">
        <f t="shared" si="16"/>
        <v>651.42000000000007</v>
      </c>
      <c r="O169" s="136">
        <v>0</v>
      </c>
      <c r="P169" s="175">
        <v>87141090</v>
      </c>
      <c r="Q169" s="137" t="s">
        <v>22</v>
      </c>
      <c r="R169" s="136" t="s">
        <v>13</v>
      </c>
      <c r="S169" s="136">
        <v>132</v>
      </c>
      <c r="T169" s="136">
        <v>132</v>
      </c>
      <c r="U169" s="136">
        <f t="shared" si="13"/>
        <v>0</v>
      </c>
      <c r="V169" s="136">
        <v>132</v>
      </c>
    </row>
    <row r="170" spans="1:22" x14ac:dyDescent="0.3">
      <c r="A170" s="136" t="s">
        <v>342</v>
      </c>
      <c r="B170" s="136" t="s">
        <v>341</v>
      </c>
      <c r="C170" s="136" t="s">
        <v>438</v>
      </c>
      <c r="D170" s="143">
        <v>42937</v>
      </c>
      <c r="E170" s="136">
        <v>6962</v>
      </c>
      <c r="F170" s="136" t="s">
        <v>14</v>
      </c>
      <c r="G170" s="140" t="s">
        <v>11</v>
      </c>
      <c r="H170" s="136" t="s">
        <v>12</v>
      </c>
      <c r="J170" s="139">
        <v>18</v>
      </c>
      <c r="K170" s="138">
        <v>5900</v>
      </c>
      <c r="L170" s="136">
        <v>0</v>
      </c>
      <c r="M170" s="136">
        <f t="shared" si="15"/>
        <v>531</v>
      </c>
      <c r="N170" s="136">
        <f t="shared" si="16"/>
        <v>531</v>
      </c>
      <c r="O170" s="136">
        <v>0</v>
      </c>
      <c r="P170" s="175">
        <v>998873</v>
      </c>
      <c r="Q170" s="137" t="s">
        <v>22</v>
      </c>
      <c r="R170" s="136" t="s">
        <v>13</v>
      </c>
      <c r="S170" s="136">
        <v>0</v>
      </c>
      <c r="T170" s="136">
        <v>0</v>
      </c>
      <c r="U170" s="136">
        <f t="shared" si="13"/>
        <v>0</v>
      </c>
      <c r="V170" s="136">
        <v>200</v>
      </c>
    </row>
    <row r="171" spans="1:22" x14ac:dyDescent="0.3">
      <c r="A171" s="136" t="s">
        <v>342</v>
      </c>
      <c r="B171" s="136" t="s">
        <v>341</v>
      </c>
      <c r="C171" s="136" t="s">
        <v>439</v>
      </c>
      <c r="D171" s="143">
        <v>42937</v>
      </c>
      <c r="E171" s="136">
        <v>6962</v>
      </c>
      <c r="F171" s="136" t="s">
        <v>14</v>
      </c>
      <c r="G171" s="140" t="s">
        <v>11</v>
      </c>
      <c r="H171" s="136" t="s">
        <v>12</v>
      </c>
      <c r="J171" s="139">
        <v>18</v>
      </c>
      <c r="K171" s="138">
        <v>5900</v>
      </c>
      <c r="L171" s="136">
        <v>0</v>
      </c>
      <c r="M171" s="136">
        <f t="shared" si="15"/>
        <v>531</v>
      </c>
      <c r="N171" s="136">
        <f t="shared" si="16"/>
        <v>531</v>
      </c>
      <c r="O171" s="136">
        <v>0</v>
      </c>
      <c r="P171" s="175">
        <v>998873</v>
      </c>
      <c r="Q171" s="137" t="s">
        <v>22</v>
      </c>
      <c r="R171" s="136" t="s">
        <v>13</v>
      </c>
      <c r="S171" s="136">
        <v>0</v>
      </c>
      <c r="T171" s="136">
        <v>0</v>
      </c>
      <c r="U171" s="136">
        <f t="shared" si="13"/>
        <v>0</v>
      </c>
      <c r="V171" s="136">
        <v>200</v>
      </c>
    </row>
    <row r="172" spans="1:22" x14ac:dyDescent="0.3">
      <c r="A172" s="136" t="s">
        <v>328</v>
      </c>
      <c r="B172" s="136" t="s">
        <v>327</v>
      </c>
      <c r="C172" s="136" t="s">
        <v>440</v>
      </c>
      <c r="D172" s="143">
        <v>42937</v>
      </c>
      <c r="E172" s="136">
        <v>40518.92</v>
      </c>
      <c r="F172" s="136" t="s">
        <v>14</v>
      </c>
      <c r="G172" s="140" t="s">
        <v>11</v>
      </c>
      <c r="H172" s="136" t="s">
        <v>12</v>
      </c>
      <c r="J172" s="139">
        <v>28</v>
      </c>
      <c r="K172" s="138">
        <v>31655.4</v>
      </c>
      <c r="L172" s="136">
        <v>0</v>
      </c>
      <c r="M172" s="136">
        <f t="shared" si="15"/>
        <v>4431.7560000000003</v>
      </c>
      <c r="N172" s="136">
        <f t="shared" si="16"/>
        <v>4431.7560000000003</v>
      </c>
      <c r="O172" s="136">
        <v>0</v>
      </c>
      <c r="P172" s="175">
        <v>87141090</v>
      </c>
      <c r="Q172" s="137" t="s">
        <v>22</v>
      </c>
      <c r="R172" s="136" t="s">
        <v>13</v>
      </c>
      <c r="S172" s="136">
        <v>420</v>
      </c>
      <c r="T172" s="136">
        <v>420</v>
      </c>
      <c r="U172" s="136">
        <f t="shared" si="13"/>
        <v>0</v>
      </c>
      <c r="V172" s="136">
        <v>420</v>
      </c>
    </row>
    <row r="173" spans="1:22" x14ac:dyDescent="0.3">
      <c r="A173" s="136" t="s">
        <v>6</v>
      </c>
      <c r="B173" s="136" t="s">
        <v>5</v>
      </c>
      <c r="C173" s="136" t="s">
        <v>441</v>
      </c>
      <c r="D173" s="143">
        <v>42937</v>
      </c>
      <c r="E173" s="136">
        <v>43317.2</v>
      </c>
      <c r="F173" s="136" t="s">
        <v>14</v>
      </c>
      <c r="G173" s="140" t="s">
        <v>11</v>
      </c>
      <c r="H173" s="136" t="s">
        <v>12</v>
      </c>
      <c r="J173" s="139">
        <v>28</v>
      </c>
      <c r="K173" s="138">
        <v>33841.56</v>
      </c>
      <c r="L173" s="136">
        <v>0</v>
      </c>
      <c r="M173" s="136">
        <f t="shared" si="15"/>
        <v>4737.8184000000001</v>
      </c>
      <c r="N173" s="136">
        <f t="shared" si="16"/>
        <v>4737.8184000000001</v>
      </c>
      <c r="O173" s="136">
        <v>0</v>
      </c>
      <c r="P173" s="175">
        <v>87081090</v>
      </c>
      <c r="Q173" s="137" t="s">
        <v>22</v>
      </c>
      <c r="R173" s="136" t="s">
        <v>13</v>
      </c>
      <c r="S173" s="136">
        <v>408</v>
      </c>
      <c r="T173" s="136">
        <v>408</v>
      </c>
      <c r="U173" s="136">
        <f t="shared" si="13"/>
        <v>0</v>
      </c>
      <c r="V173" s="136">
        <v>408</v>
      </c>
    </row>
    <row r="174" spans="1:22" x14ac:dyDescent="0.3">
      <c r="A174" s="136" t="s">
        <v>376</v>
      </c>
      <c r="B174" s="136" t="s">
        <v>375</v>
      </c>
      <c r="C174" s="136" t="s">
        <v>442</v>
      </c>
      <c r="D174" s="143">
        <v>42937</v>
      </c>
      <c r="E174" s="136">
        <v>4531.2</v>
      </c>
      <c r="F174" s="136" t="s">
        <v>14</v>
      </c>
      <c r="G174" s="140" t="s">
        <v>11</v>
      </c>
      <c r="H174" s="136" t="s">
        <v>12</v>
      </c>
      <c r="J174" s="139">
        <v>18</v>
      </c>
      <c r="K174" s="138">
        <v>3840</v>
      </c>
      <c r="L174" s="136">
        <v>0</v>
      </c>
      <c r="M174" s="136">
        <f t="shared" si="15"/>
        <v>345.59999999999997</v>
      </c>
      <c r="N174" s="136">
        <f t="shared" si="16"/>
        <v>345.59999999999997</v>
      </c>
      <c r="O174" s="136">
        <v>0</v>
      </c>
      <c r="P174" s="175">
        <v>998898</v>
      </c>
      <c r="Q174" s="137" t="s">
        <v>22</v>
      </c>
      <c r="R174" s="136" t="s">
        <v>13</v>
      </c>
      <c r="S174" s="136">
        <v>0</v>
      </c>
      <c r="T174" s="136">
        <v>0</v>
      </c>
      <c r="U174" s="136">
        <f t="shared" si="13"/>
        <v>0</v>
      </c>
      <c r="V174" s="136">
        <v>12</v>
      </c>
    </row>
    <row r="175" spans="1:22" x14ac:dyDescent="0.3">
      <c r="A175" s="136" t="s">
        <v>188</v>
      </c>
      <c r="B175" s="136" t="s">
        <v>189</v>
      </c>
      <c r="C175" s="136" t="s">
        <v>443</v>
      </c>
      <c r="D175" s="143">
        <v>42938</v>
      </c>
      <c r="E175" s="136">
        <v>59222.02</v>
      </c>
      <c r="F175" s="136" t="s">
        <v>14</v>
      </c>
      <c r="G175" s="140" t="s">
        <v>11</v>
      </c>
      <c r="H175" s="136" t="s">
        <v>12</v>
      </c>
      <c r="J175" s="139">
        <v>28</v>
      </c>
      <c r="K175" s="138">
        <v>46267.199999999997</v>
      </c>
      <c r="L175" s="136">
        <v>0</v>
      </c>
      <c r="M175" s="136">
        <f t="shared" si="15"/>
        <v>6477.4080000000004</v>
      </c>
      <c r="N175" s="136">
        <f t="shared" si="16"/>
        <v>6477.4080000000004</v>
      </c>
      <c r="O175" s="136">
        <v>0</v>
      </c>
      <c r="P175" s="175">
        <v>87141090</v>
      </c>
      <c r="Q175" s="137" t="s">
        <v>22</v>
      </c>
      <c r="R175" s="136" t="s">
        <v>13</v>
      </c>
      <c r="S175" s="136">
        <v>2016</v>
      </c>
      <c r="T175" s="136">
        <v>2016</v>
      </c>
      <c r="U175" s="136">
        <f t="shared" si="13"/>
        <v>0</v>
      </c>
      <c r="V175" s="136">
        <v>2016</v>
      </c>
    </row>
    <row r="176" spans="1:22" x14ac:dyDescent="0.3">
      <c r="A176" s="136" t="s">
        <v>376</v>
      </c>
      <c r="B176" s="136" t="s">
        <v>375</v>
      </c>
      <c r="C176" s="136" t="s">
        <v>444</v>
      </c>
      <c r="D176" s="143">
        <v>42938</v>
      </c>
      <c r="E176" s="136">
        <v>4531.2</v>
      </c>
      <c r="F176" s="136" t="s">
        <v>14</v>
      </c>
      <c r="G176" s="140" t="s">
        <v>11</v>
      </c>
      <c r="H176" s="136" t="s">
        <v>12</v>
      </c>
      <c r="J176" s="139">
        <v>18</v>
      </c>
      <c r="K176" s="138">
        <v>3840</v>
      </c>
      <c r="L176" s="136">
        <v>0</v>
      </c>
      <c r="M176" s="136">
        <f t="shared" si="15"/>
        <v>345.59999999999997</v>
      </c>
      <c r="N176" s="136">
        <f t="shared" si="16"/>
        <v>345.59999999999997</v>
      </c>
      <c r="O176" s="136">
        <v>0</v>
      </c>
      <c r="P176" s="175">
        <v>998898</v>
      </c>
      <c r="Q176" s="137" t="s">
        <v>22</v>
      </c>
      <c r="R176" s="136" t="s">
        <v>13</v>
      </c>
      <c r="S176" s="136">
        <v>0</v>
      </c>
      <c r="T176" s="136">
        <v>0</v>
      </c>
      <c r="U176" s="136">
        <f t="shared" si="13"/>
        <v>0</v>
      </c>
      <c r="V176" s="136">
        <v>12</v>
      </c>
    </row>
    <row r="177" spans="1:22" x14ac:dyDescent="0.3">
      <c r="A177" s="136" t="s">
        <v>185</v>
      </c>
      <c r="B177" s="136" t="s">
        <v>184</v>
      </c>
      <c r="C177" s="136" t="s">
        <v>445</v>
      </c>
      <c r="D177" s="143">
        <v>42938</v>
      </c>
      <c r="E177" s="136">
        <v>35239.440000000002</v>
      </c>
      <c r="F177" s="136" t="s">
        <v>14</v>
      </c>
      <c r="G177" s="140" t="s">
        <v>11</v>
      </c>
      <c r="H177" s="136" t="s">
        <v>12</v>
      </c>
      <c r="J177" s="139">
        <v>28</v>
      </c>
      <c r="K177" s="138">
        <v>27530.82</v>
      </c>
      <c r="L177" s="136">
        <v>0</v>
      </c>
      <c r="M177" s="136">
        <f t="shared" si="15"/>
        <v>3854.3148000000001</v>
      </c>
      <c r="N177" s="136">
        <f t="shared" si="16"/>
        <v>3854.3148000000001</v>
      </c>
      <c r="O177" s="136">
        <v>0</v>
      </c>
      <c r="P177" s="175">
        <v>85129000</v>
      </c>
      <c r="Q177" s="137" t="s">
        <v>22</v>
      </c>
      <c r="R177" s="136" t="s">
        <v>13</v>
      </c>
      <c r="S177" s="136">
        <v>459</v>
      </c>
      <c r="T177" s="136">
        <v>459</v>
      </c>
      <c r="U177" s="136">
        <f t="shared" si="13"/>
        <v>0</v>
      </c>
      <c r="V177" s="136">
        <v>459</v>
      </c>
    </row>
    <row r="178" spans="1:22" x14ac:dyDescent="0.3">
      <c r="A178" s="136" t="s">
        <v>6</v>
      </c>
      <c r="B178" s="136" t="s">
        <v>5</v>
      </c>
      <c r="C178" s="136" t="s">
        <v>446</v>
      </c>
      <c r="D178" s="143">
        <v>42938</v>
      </c>
      <c r="E178" s="136">
        <v>39495.08</v>
      </c>
      <c r="F178" s="136" t="s">
        <v>14</v>
      </c>
      <c r="G178" s="140" t="s">
        <v>11</v>
      </c>
      <c r="H178" s="136" t="s">
        <v>12</v>
      </c>
      <c r="J178" s="139">
        <v>28</v>
      </c>
      <c r="K178" s="138">
        <v>30855.54</v>
      </c>
      <c r="L178" s="136">
        <v>0</v>
      </c>
      <c r="M178" s="136">
        <f t="shared" si="15"/>
        <v>4319.7756000000008</v>
      </c>
      <c r="N178" s="136">
        <f t="shared" si="16"/>
        <v>4319.7756000000008</v>
      </c>
      <c r="O178" s="136">
        <v>0</v>
      </c>
      <c r="P178" s="175">
        <v>87081090</v>
      </c>
      <c r="Q178" s="137" t="s">
        <v>22</v>
      </c>
      <c r="R178" s="136" t="s">
        <v>13</v>
      </c>
      <c r="S178" s="136">
        <v>372</v>
      </c>
      <c r="T178" s="136">
        <v>372</v>
      </c>
      <c r="U178" s="136">
        <f t="shared" si="13"/>
        <v>0</v>
      </c>
      <c r="V178" s="136">
        <v>372</v>
      </c>
    </row>
    <row r="179" spans="1:22" x14ac:dyDescent="0.3">
      <c r="A179" s="136" t="s">
        <v>6</v>
      </c>
      <c r="B179" s="136" t="s">
        <v>5</v>
      </c>
      <c r="C179" s="136" t="s">
        <v>447</v>
      </c>
      <c r="D179" s="143">
        <v>42938</v>
      </c>
      <c r="E179" s="136">
        <v>5775.36</v>
      </c>
      <c r="F179" s="136" t="s">
        <v>14</v>
      </c>
      <c r="G179" s="140" t="s">
        <v>11</v>
      </c>
      <c r="H179" s="136" t="s">
        <v>12</v>
      </c>
      <c r="J179" s="139">
        <v>28</v>
      </c>
      <c r="K179" s="138">
        <v>4512</v>
      </c>
      <c r="L179" s="136">
        <v>0</v>
      </c>
      <c r="M179" s="136">
        <f t="shared" si="15"/>
        <v>631.68000000000006</v>
      </c>
      <c r="N179" s="136">
        <f t="shared" si="16"/>
        <v>631.68000000000006</v>
      </c>
      <c r="O179" s="136">
        <v>0</v>
      </c>
      <c r="P179" s="175">
        <v>87141090</v>
      </c>
      <c r="Q179" s="137" t="s">
        <v>22</v>
      </c>
      <c r="R179" s="136" t="s">
        <v>13</v>
      </c>
      <c r="S179" s="136">
        <v>128</v>
      </c>
      <c r="T179" s="136">
        <v>128</v>
      </c>
      <c r="U179" s="136">
        <f t="shared" si="13"/>
        <v>0</v>
      </c>
      <c r="V179" s="136">
        <v>128</v>
      </c>
    </row>
    <row r="180" spans="1:22" x14ac:dyDescent="0.3">
      <c r="A180" s="136" t="s">
        <v>187</v>
      </c>
      <c r="B180" s="136" t="s">
        <v>178</v>
      </c>
      <c r="C180" s="136" t="s">
        <v>448</v>
      </c>
      <c r="D180" s="143">
        <v>42938</v>
      </c>
      <c r="E180" s="136">
        <v>1495.48</v>
      </c>
      <c r="F180" s="136" t="s">
        <v>14</v>
      </c>
      <c r="G180" s="140" t="s">
        <v>11</v>
      </c>
      <c r="H180" s="136" t="s">
        <v>12</v>
      </c>
      <c r="J180" s="139">
        <v>28</v>
      </c>
      <c r="K180" s="138">
        <v>1168.3399999999999</v>
      </c>
      <c r="L180" s="136">
        <v>0</v>
      </c>
      <c r="M180" s="136">
        <f t="shared" si="15"/>
        <v>163.5676</v>
      </c>
      <c r="N180" s="136">
        <f t="shared" si="16"/>
        <v>163.5676</v>
      </c>
      <c r="O180" s="136">
        <v>0</v>
      </c>
      <c r="P180" s="175">
        <v>87089900</v>
      </c>
      <c r="Q180" s="137" t="s">
        <v>22</v>
      </c>
      <c r="R180" s="136" t="s">
        <v>13</v>
      </c>
      <c r="S180" s="136">
        <v>3</v>
      </c>
      <c r="T180" s="136">
        <v>3</v>
      </c>
      <c r="U180" s="136">
        <f t="shared" si="13"/>
        <v>0</v>
      </c>
      <c r="V180" s="136">
        <v>3</v>
      </c>
    </row>
    <row r="181" spans="1:22" x14ac:dyDescent="0.3">
      <c r="A181" s="136" t="s">
        <v>187</v>
      </c>
      <c r="B181" s="136" t="s">
        <v>178</v>
      </c>
      <c r="C181" s="136" t="s">
        <v>449</v>
      </c>
      <c r="D181" s="143">
        <v>42938</v>
      </c>
      <c r="E181" s="136">
        <v>634.88</v>
      </c>
      <c r="F181" s="136" t="s">
        <v>14</v>
      </c>
      <c r="G181" s="140" t="s">
        <v>11</v>
      </c>
      <c r="H181" s="136" t="s">
        <v>12</v>
      </c>
      <c r="J181" s="139">
        <v>28</v>
      </c>
      <c r="K181" s="138">
        <v>496</v>
      </c>
      <c r="L181" s="136">
        <v>0</v>
      </c>
      <c r="M181" s="136">
        <f t="shared" si="15"/>
        <v>69.440000000000012</v>
      </c>
      <c r="N181" s="136">
        <f t="shared" si="16"/>
        <v>69.440000000000012</v>
      </c>
      <c r="O181" s="136">
        <v>0</v>
      </c>
      <c r="P181" s="175">
        <v>87089900</v>
      </c>
      <c r="Q181" s="137" t="s">
        <v>22</v>
      </c>
      <c r="R181" s="136" t="s">
        <v>13</v>
      </c>
      <c r="S181" s="136">
        <v>1</v>
      </c>
      <c r="T181" s="136">
        <v>1</v>
      </c>
      <c r="U181" s="136">
        <f t="shared" si="13"/>
        <v>0</v>
      </c>
      <c r="V181" s="136">
        <v>1</v>
      </c>
    </row>
    <row r="182" spans="1:22" x14ac:dyDescent="0.3">
      <c r="A182" s="136" t="s">
        <v>187</v>
      </c>
      <c r="B182" s="136" t="s">
        <v>178</v>
      </c>
      <c r="C182" s="136" t="s">
        <v>450</v>
      </c>
      <c r="D182" s="143">
        <v>42938</v>
      </c>
      <c r="E182" s="136">
        <v>576</v>
      </c>
      <c r="F182" s="136" t="s">
        <v>14</v>
      </c>
      <c r="G182" s="140" t="s">
        <v>11</v>
      </c>
      <c r="H182" s="136" t="s">
        <v>12</v>
      </c>
      <c r="J182" s="139">
        <v>28</v>
      </c>
      <c r="K182" s="138">
        <v>450</v>
      </c>
      <c r="L182" s="136">
        <v>0</v>
      </c>
      <c r="M182" s="136">
        <f t="shared" si="15"/>
        <v>63.000000000000007</v>
      </c>
      <c r="N182" s="136">
        <f t="shared" si="16"/>
        <v>63.000000000000007</v>
      </c>
      <c r="O182" s="136">
        <v>0</v>
      </c>
      <c r="P182" s="175">
        <v>87089900</v>
      </c>
      <c r="Q182" s="137" t="s">
        <v>22</v>
      </c>
      <c r="R182" s="136" t="s">
        <v>13</v>
      </c>
      <c r="S182" s="136">
        <v>1</v>
      </c>
      <c r="T182" s="136">
        <v>1</v>
      </c>
      <c r="U182" s="136">
        <f t="shared" si="13"/>
        <v>0</v>
      </c>
      <c r="V182" s="136">
        <v>1</v>
      </c>
    </row>
    <row r="183" spans="1:22" x14ac:dyDescent="0.3">
      <c r="A183" s="136" t="s">
        <v>6</v>
      </c>
      <c r="B183" s="136" t="s">
        <v>5</v>
      </c>
      <c r="C183" s="136" t="s">
        <v>451</v>
      </c>
      <c r="D183" s="143">
        <v>42938</v>
      </c>
      <c r="E183" s="136">
        <v>50961.4</v>
      </c>
      <c r="F183" s="136" t="s">
        <v>14</v>
      </c>
      <c r="G183" s="140" t="s">
        <v>11</v>
      </c>
      <c r="H183" s="136" t="s">
        <v>12</v>
      </c>
      <c r="J183" s="139">
        <v>28</v>
      </c>
      <c r="K183" s="138">
        <v>39813.599999999999</v>
      </c>
      <c r="L183" s="136">
        <v>0</v>
      </c>
      <c r="M183" s="136">
        <f t="shared" si="15"/>
        <v>5573.9040000000005</v>
      </c>
      <c r="N183" s="136">
        <f t="shared" si="16"/>
        <v>5573.9040000000005</v>
      </c>
      <c r="O183" s="136">
        <v>0</v>
      </c>
      <c r="P183" s="175">
        <v>87081090</v>
      </c>
      <c r="Q183" s="137" t="s">
        <v>22</v>
      </c>
      <c r="R183" s="136" t="s">
        <v>13</v>
      </c>
      <c r="S183" s="136">
        <v>480</v>
      </c>
      <c r="T183" s="136">
        <v>480</v>
      </c>
      <c r="U183" s="136">
        <f t="shared" si="13"/>
        <v>0</v>
      </c>
      <c r="V183" s="136">
        <v>480</v>
      </c>
    </row>
    <row r="184" spans="1:22" x14ac:dyDescent="0.3">
      <c r="A184" s="136" t="s">
        <v>6</v>
      </c>
      <c r="B184" s="136" t="s">
        <v>5</v>
      </c>
      <c r="C184" s="136" t="s">
        <v>452</v>
      </c>
      <c r="D184" s="143">
        <v>42938</v>
      </c>
      <c r="E184" s="136">
        <v>21201.919999999998</v>
      </c>
      <c r="F184" s="136" t="s">
        <v>14</v>
      </c>
      <c r="G184" s="140" t="s">
        <v>11</v>
      </c>
      <c r="H184" s="136" t="s">
        <v>12</v>
      </c>
      <c r="J184" s="139">
        <v>28</v>
      </c>
      <c r="K184" s="138">
        <v>16564</v>
      </c>
      <c r="L184" s="136">
        <v>0</v>
      </c>
      <c r="M184" s="136">
        <f t="shared" si="15"/>
        <v>2318.96</v>
      </c>
      <c r="N184" s="136">
        <f t="shared" si="16"/>
        <v>2318.96</v>
      </c>
      <c r="O184" s="136">
        <v>0</v>
      </c>
      <c r="P184" s="175">
        <v>87081090</v>
      </c>
      <c r="Q184" s="137" t="s">
        <v>22</v>
      </c>
      <c r="R184" s="136" t="s">
        <v>13</v>
      </c>
      <c r="S184" s="136">
        <v>200</v>
      </c>
      <c r="T184" s="136">
        <v>200</v>
      </c>
      <c r="U184" s="136">
        <f t="shared" si="13"/>
        <v>0</v>
      </c>
      <c r="V184" s="136">
        <v>200</v>
      </c>
    </row>
    <row r="185" spans="1:22" x14ac:dyDescent="0.3">
      <c r="A185" s="136" t="s">
        <v>187</v>
      </c>
      <c r="B185" s="136" t="s">
        <v>178</v>
      </c>
      <c r="C185" s="136" t="s">
        <v>453</v>
      </c>
      <c r="D185" s="143">
        <v>42938</v>
      </c>
      <c r="E185" s="136">
        <v>79987.33</v>
      </c>
      <c r="F185" s="136" t="s">
        <v>14</v>
      </c>
      <c r="G185" s="140" t="s">
        <v>11</v>
      </c>
      <c r="H185" s="136" t="s">
        <v>12</v>
      </c>
      <c r="J185" s="139">
        <v>28</v>
      </c>
      <c r="K185" s="138">
        <v>62490.09</v>
      </c>
      <c r="L185" s="136">
        <v>0</v>
      </c>
      <c r="M185" s="136">
        <f t="shared" si="15"/>
        <v>8748.6126000000004</v>
      </c>
      <c r="N185" s="136">
        <f t="shared" si="16"/>
        <v>8748.6126000000004</v>
      </c>
      <c r="O185" s="136">
        <v>0</v>
      </c>
      <c r="P185" s="175">
        <v>87089900</v>
      </c>
      <c r="Q185" s="137" t="s">
        <v>22</v>
      </c>
      <c r="R185" s="136" t="s">
        <v>13</v>
      </c>
      <c r="S185" s="136">
        <v>265</v>
      </c>
      <c r="T185" s="136">
        <v>265</v>
      </c>
      <c r="U185" s="136">
        <f t="shared" si="13"/>
        <v>0</v>
      </c>
      <c r="V185" s="136">
        <v>265</v>
      </c>
    </row>
    <row r="186" spans="1:22" x14ac:dyDescent="0.3">
      <c r="A186" s="136" t="s">
        <v>187</v>
      </c>
      <c r="B186" s="136" t="s">
        <v>178</v>
      </c>
      <c r="C186" s="136" t="s">
        <v>454</v>
      </c>
      <c r="D186" s="143">
        <v>42938</v>
      </c>
      <c r="E186" s="136">
        <v>23961.599999999999</v>
      </c>
      <c r="F186" s="136" t="s">
        <v>14</v>
      </c>
      <c r="G186" s="140" t="s">
        <v>11</v>
      </c>
      <c r="H186" s="136" t="s">
        <v>12</v>
      </c>
      <c r="J186" s="139">
        <v>28</v>
      </c>
      <c r="K186" s="138">
        <v>18720</v>
      </c>
      <c r="L186" s="136">
        <v>0</v>
      </c>
      <c r="M186" s="136">
        <f t="shared" si="15"/>
        <v>2620.8000000000002</v>
      </c>
      <c r="N186" s="136">
        <f t="shared" si="16"/>
        <v>2620.8000000000002</v>
      </c>
      <c r="O186" s="136">
        <v>0</v>
      </c>
      <c r="P186" s="175">
        <v>87089900</v>
      </c>
      <c r="Q186" s="137" t="s">
        <v>22</v>
      </c>
      <c r="R186" s="136" t="s">
        <v>13</v>
      </c>
      <c r="S186" s="136">
        <v>36</v>
      </c>
      <c r="T186" s="136">
        <v>36</v>
      </c>
      <c r="U186" s="136">
        <f t="shared" si="13"/>
        <v>0</v>
      </c>
      <c r="V186" s="136">
        <v>36</v>
      </c>
    </row>
    <row r="187" spans="1:22" x14ac:dyDescent="0.3">
      <c r="A187" s="136" t="s">
        <v>209</v>
      </c>
      <c r="B187" s="136" t="s">
        <v>208</v>
      </c>
      <c r="C187" s="136" t="s">
        <v>455</v>
      </c>
      <c r="D187" s="143">
        <v>42938</v>
      </c>
      <c r="E187" s="136">
        <v>17852.54</v>
      </c>
      <c r="F187" s="136" t="s">
        <v>211</v>
      </c>
      <c r="G187" s="140" t="s">
        <v>11</v>
      </c>
      <c r="H187" s="136" t="s">
        <v>12</v>
      </c>
      <c r="J187" s="139">
        <v>28</v>
      </c>
      <c r="K187" s="138">
        <v>13947.3</v>
      </c>
      <c r="L187" s="136">
        <f>+J187/100*K187</f>
        <v>3905.2440000000001</v>
      </c>
      <c r="M187" s="136">
        <v>0</v>
      </c>
      <c r="N187" s="136">
        <v>0</v>
      </c>
      <c r="O187" s="136">
        <v>0</v>
      </c>
      <c r="P187" s="175">
        <v>87081090</v>
      </c>
      <c r="Q187" s="137" t="s">
        <v>22</v>
      </c>
      <c r="R187" s="136" t="s">
        <v>13</v>
      </c>
      <c r="S187" s="136">
        <v>10</v>
      </c>
      <c r="T187" s="136">
        <v>10</v>
      </c>
      <c r="U187" s="136">
        <f t="shared" si="13"/>
        <v>0</v>
      </c>
      <c r="V187" s="136">
        <v>10</v>
      </c>
    </row>
    <row r="188" spans="1:22" x14ac:dyDescent="0.3">
      <c r="A188" s="136" t="s">
        <v>6</v>
      </c>
      <c r="B188" s="136" t="s">
        <v>5</v>
      </c>
      <c r="C188" s="136" t="s">
        <v>456</v>
      </c>
      <c r="D188" s="143">
        <v>42938</v>
      </c>
      <c r="E188" s="136">
        <v>45865.279999999999</v>
      </c>
      <c r="F188" s="136" t="s">
        <v>14</v>
      </c>
      <c r="G188" s="140" t="s">
        <v>11</v>
      </c>
      <c r="H188" s="136" t="s">
        <v>12</v>
      </c>
      <c r="J188" s="139">
        <v>28</v>
      </c>
      <c r="K188" s="138">
        <v>35832.239999999998</v>
      </c>
      <c r="L188" s="136">
        <v>0</v>
      </c>
      <c r="M188" s="136">
        <f t="shared" ref="M188:M212" si="17">+J188/100*K188/2</f>
        <v>5016.5136000000002</v>
      </c>
      <c r="N188" s="136">
        <f t="shared" ref="N188:N212" si="18">+J188/100*K188/2</f>
        <v>5016.5136000000002</v>
      </c>
      <c r="O188" s="136">
        <v>0</v>
      </c>
      <c r="P188" s="175">
        <v>87081090</v>
      </c>
      <c r="Q188" s="137" t="s">
        <v>22</v>
      </c>
      <c r="R188" s="136" t="s">
        <v>13</v>
      </c>
      <c r="S188" s="136">
        <v>432</v>
      </c>
      <c r="T188" s="136">
        <v>432</v>
      </c>
      <c r="U188" s="136">
        <f t="shared" si="13"/>
        <v>0</v>
      </c>
      <c r="V188" s="136">
        <v>432</v>
      </c>
    </row>
    <row r="189" spans="1:22" x14ac:dyDescent="0.3">
      <c r="A189" s="136" t="s">
        <v>376</v>
      </c>
      <c r="B189" s="136" t="s">
        <v>375</v>
      </c>
      <c r="C189" s="136" t="s">
        <v>457</v>
      </c>
      <c r="D189" s="143">
        <v>42938</v>
      </c>
      <c r="E189" s="136">
        <v>4686.18</v>
      </c>
      <c r="F189" s="136" t="s">
        <v>14</v>
      </c>
      <c r="G189" s="140" t="s">
        <v>11</v>
      </c>
      <c r="H189" s="136" t="s">
        <v>12</v>
      </c>
      <c r="J189" s="139">
        <v>18</v>
      </c>
      <c r="K189" s="138">
        <v>3971.34</v>
      </c>
      <c r="L189" s="136">
        <v>0</v>
      </c>
      <c r="M189" s="136">
        <f t="shared" si="17"/>
        <v>357.42059999999998</v>
      </c>
      <c r="N189" s="136">
        <f t="shared" si="18"/>
        <v>357.42059999999998</v>
      </c>
      <c r="O189" s="136">
        <v>0</v>
      </c>
      <c r="P189" s="175">
        <v>998898</v>
      </c>
      <c r="Q189" s="137" t="s">
        <v>22</v>
      </c>
      <c r="R189" s="136" t="s">
        <v>13</v>
      </c>
      <c r="S189" s="136">
        <v>0</v>
      </c>
      <c r="T189" s="136">
        <v>0</v>
      </c>
      <c r="U189" s="136">
        <f t="shared" si="13"/>
        <v>0</v>
      </c>
      <c r="V189" s="136">
        <v>12</v>
      </c>
    </row>
    <row r="190" spans="1:22" x14ac:dyDescent="0.3">
      <c r="A190" s="136" t="s">
        <v>328</v>
      </c>
      <c r="B190" s="136" t="s">
        <v>327</v>
      </c>
      <c r="C190" s="136" t="s">
        <v>458</v>
      </c>
      <c r="D190" s="143">
        <v>42940</v>
      </c>
      <c r="E190" s="136">
        <v>57884.160000000003</v>
      </c>
      <c r="F190" s="136" t="s">
        <v>14</v>
      </c>
      <c r="G190" s="140" t="s">
        <v>11</v>
      </c>
      <c r="H190" s="136" t="s">
        <v>12</v>
      </c>
      <c r="J190" s="139">
        <v>28</v>
      </c>
      <c r="K190" s="138">
        <v>45222</v>
      </c>
      <c r="L190" s="136">
        <v>0</v>
      </c>
      <c r="M190" s="136">
        <f t="shared" si="17"/>
        <v>6331.0800000000008</v>
      </c>
      <c r="N190" s="136">
        <f t="shared" si="18"/>
        <v>6331.0800000000008</v>
      </c>
      <c r="O190" s="136">
        <v>0</v>
      </c>
      <c r="P190" s="175">
        <v>87141090</v>
      </c>
      <c r="Q190" s="137" t="s">
        <v>22</v>
      </c>
      <c r="R190" s="136" t="s">
        <v>13</v>
      </c>
      <c r="S190" s="136">
        <v>600</v>
      </c>
      <c r="T190" s="136">
        <v>600</v>
      </c>
      <c r="U190" s="136">
        <f t="shared" si="13"/>
        <v>0</v>
      </c>
      <c r="V190" s="136">
        <v>600</v>
      </c>
    </row>
    <row r="191" spans="1:22" x14ac:dyDescent="0.3">
      <c r="A191" s="136" t="s">
        <v>376</v>
      </c>
      <c r="B191" s="136" t="s">
        <v>375</v>
      </c>
      <c r="C191" s="136" t="s">
        <v>459</v>
      </c>
      <c r="D191" s="143">
        <v>42940</v>
      </c>
      <c r="E191" s="136">
        <v>4686.18</v>
      </c>
      <c r="F191" s="136" t="s">
        <v>14</v>
      </c>
      <c r="G191" s="140" t="s">
        <v>11</v>
      </c>
      <c r="H191" s="136" t="s">
        <v>12</v>
      </c>
      <c r="J191" s="139">
        <v>18</v>
      </c>
      <c r="K191" s="138">
        <v>3971.34</v>
      </c>
      <c r="L191" s="136">
        <v>0</v>
      </c>
      <c r="M191" s="136">
        <f t="shared" si="17"/>
        <v>357.42059999999998</v>
      </c>
      <c r="N191" s="136">
        <f t="shared" si="18"/>
        <v>357.42059999999998</v>
      </c>
      <c r="O191" s="136">
        <v>0</v>
      </c>
      <c r="P191" s="175">
        <v>998898</v>
      </c>
      <c r="Q191" s="137" t="s">
        <v>22</v>
      </c>
      <c r="R191" s="136" t="s">
        <v>13</v>
      </c>
      <c r="S191" s="136">
        <v>0</v>
      </c>
      <c r="T191" s="136">
        <v>0</v>
      </c>
      <c r="U191" s="136">
        <f t="shared" si="13"/>
        <v>0</v>
      </c>
      <c r="V191" s="136">
        <v>12</v>
      </c>
    </row>
    <row r="192" spans="1:22" x14ac:dyDescent="0.3">
      <c r="A192" s="136" t="s">
        <v>188</v>
      </c>
      <c r="B192" s="136" t="s">
        <v>189</v>
      </c>
      <c r="C192" s="136" t="s">
        <v>460</v>
      </c>
      <c r="D192" s="143">
        <v>42940</v>
      </c>
      <c r="E192" s="136">
        <v>89845.86</v>
      </c>
      <c r="F192" s="136" t="s">
        <v>14</v>
      </c>
      <c r="G192" s="140" t="s">
        <v>11</v>
      </c>
      <c r="H192" s="136" t="s">
        <v>12</v>
      </c>
      <c r="J192" s="139">
        <v>28</v>
      </c>
      <c r="K192" s="138">
        <v>70192.08</v>
      </c>
      <c r="L192" s="136">
        <v>0</v>
      </c>
      <c r="M192" s="136">
        <f t="shared" si="17"/>
        <v>9826.8912000000018</v>
      </c>
      <c r="N192" s="136">
        <f t="shared" si="18"/>
        <v>9826.8912000000018</v>
      </c>
      <c r="O192" s="136">
        <v>0</v>
      </c>
      <c r="P192" s="175">
        <v>87141090</v>
      </c>
      <c r="Q192" s="137" t="s">
        <v>22</v>
      </c>
      <c r="R192" s="136" t="s">
        <v>13</v>
      </c>
      <c r="S192" s="136">
        <v>3192</v>
      </c>
      <c r="T192" s="136">
        <v>3192</v>
      </c>
      <c r="U192" s="136">
        <f t="shared" si="13"/>
        <v>0</v>
      </c>
      <c r="V192" s="136">
        <v>3192</v>
      </c>
    </row>
    <row r="193" spans="1:22" x14ac:dyDescent="0.3">
      <c r="A193" s="136" t="s">
        <v>6</v>
      </c>
      <c r="B193" s="136" t="s">
        <v>5</v>
      </c>
      <c r="C193" s="136" t="s">
        <v>461</v>
      </c>
      <c r="D193" s="143">
        <v>42940</v>
      </c>
      <c r="E193" s="136">
        <v>50961.4</v>
      </c>
      <c r="F193" s="136" t="s">
        <v>14</v>
      </c>
      <c r="G193" s="140" t="s">
        <v>11</v>
      </c>
      <c r="H193" s="136" t="s">
        <v>12</v>
      </c>
      <c r="J193" s="139">
        <v>28</v>
      </c>
      <c r="K193" s="138">
        <v>39813.599999999999</v>
      </c>
      <c r="L193" s="136">
        <v>0</v>
      </c>
      <c r="M193" s="136">
        <f t="shared" si="17"/>
        <v>5573.9040000000005</v>
      </c>
      <c r="N193" s="136">
        <f t="shared" si="18"/>
        <v>5573.9040000000005</v>
      </c>
      <c r="O193" s="136">
        <v>0</v>
      </c>
      <c r="P193" s="175">
        <v>87081090</v>
      </c>
      <c r="Q193" s="137" t="s">
        <v>22</v>
      </c>
      <c r="R193" s="136" t="s">
        <v>13</v>
      </c>
      <c r="S193" s="136">
        <v>480</v>
      </c>
      <c r="T193" s="136">
        <v>480</v>
      </c>
      <c r="U193" s="136">
        <f t="shared" si="13"/>
        <v>0</v>
      </c>
      <c r="V193" s="136">
        <v>480</v>
      </c>
    </row>
    <row r="194" spans="1:22" x14ac:dyDescent="0.3">
      <c r="A194" s="136" t="s">
        <v>383</v>
      </c>
      <c r="B194" s="136" t="s">
        <v>382</v>
      </c>
      <c r="C194" s="136" t="s">
        <v>462</v>
      </c>
      <c r="D194" s="143">
        <v>42940</v>
      </c>
      <c r="E194" s="136">
        <v>1939.92</v>
      </c>
      <c r="F194" s="136" t="s">
        <v>14</v>
      </c>
      <c r="G194" s="140" t="s">
        <v>11</v>
      </c>
      <c r="H194" s="136" t="s">
        <v>12</v>
      </c>
      <c r="J194" s="139">
        <v>18</v>
      </c>
      <c r="K194" s="138">
        <v>1644</v>
      </c>
      <c r="L194" s="136">
        <v>0</v>
      </c>
      <c r="M194" s="136">
        <f t="shared" si="17"/>
        <v>147.96</v>
      </c>
      <c r="N194" s="136">
        <f t="shared" si="18"/>
        <v>147.96</v>
      </c>
      <c r="O194" s="136">
        <v>0</v>
      </c>
      <c r="P194" s="175">
        <v>998898</v>
      </c>
      <c r="Q194" s="137" t="s">
        <v>22</v>
      </c>
      <c r="R194" s="136" t="s">
        <v>13</v>
      </c>
      <c r="S194" s="136">
        <v>0</v>
      </c>
      <c r="T194" s="136">
        <v>0</v>
      </c>
      <c r="U194" s="136">
        <f t="shared" si="13"/>
        <v>0</v>
      </c>
      <c r="V194" s="136">
        <v>200</v>
      </c>
    </row>
    <row r="195" spans="1:22" x14ac:dyDescent="0.3">
      <c r="A195" s="136" t="s">
        <v>416</v>
      </c>
      <c r="B195" s="136" t="s">
        <v>415</v>
      </c>
      <c r="C195" s="136" t="s">
        <v>463</v>
      </c>
      <c r="D195" s="143">
        <v>42940</v>
      </c>
      <c r="E195" s="136">
        <v>12470.6</v>
      </c>
      <c r="F195" s="136" t="s">
        <v>14</v>
      </c>
      <c r="G195" s="140" t="s">
        <v>11</v>
      </c>
      <c r="H195" s="136" t="s">
        <v>12</v>
      </c>
      <c r="J195" s="139">
        <v>18</v>
      </c>
      <c r="K195" s="138">
        <v>10568.3</v>
      </c>
      <c r="L195" s="136">
        <v>0</v>
      </c>
      <c r="M195" s="136">
        <f t="shared" si="17"/>
        <v>951.14699999999993</v>
      </c>
      <c r="N195" s="136">
        <f t="shared" si="18"/>
        <v>951.14699999999993</v>
      </c>
      <c r="O195" s="136">
        <v>0</v>
      </c>
      <c r="P195" s="175">
        <v>998898</v>
      </c>
      <c r="Q195" s="137" t="s">
        <v>22</v>
      </c>
      <c r="R195" s="136" t="s">
        <v>13</v>
      </c>
      <c r="S195" s="136">
        <v>0</v>
      </c>
      <c r="T195" s="136">
        <v>0</v>
      </c>
      <c r="U195" s="136">
        <f t="shared" si="13"/>
        <v>0</v>
      </c>
      <c r="V195" s="136">
        <v>120</v>
      </c>
    </row>
    <row r="196" spans="1:22" x14ac:dyDescent="0.3">
      <c r="A196" s="136" t="s">
        <v>6</v>
      </c>
      <c r="B196" s="136" t="s">
        <v>5</v>
      </c>
      <c r="C196" s="136" t="s">
        <v>464</v>
      </c>
      <c r="D196" s="143">
        <v>42940</v>
      </c>
      <c r="E196" s="136">
        <v>50961.4</v>
      </c>
      <c r="F196" s="136" t="s">
        <v>14</v>
      </c>
      <c r="G196" s="140" t="s">
        <v>11</v>
      </c>
      <c r="H196" s="136" t="s">
        <v>12</v>
      </c>
      <c r="J196" s="139">
        <v>28</v>
      </c>
      <c r="K196" s="138">
        <v>39813.599999999999</v>
      </c>
      <c r="L196" s="136">
        <v>0</v>
      </c>
      <c r="M196" s="136">
        <f t="shared" si="17"/>
        <v>5573.9040000000005</v>
      </c>
      <c r="N196" s="136">
        <f t="shared" si="18"/>
        <v>5573.9040000000005</v>
      </c>
      <c r="O196" s="136">
        <v>0</v>
      </c>
      <c r="P196" s="175">
        <v>87081090</v>
      </c>
      <c r="Q196" s="137" t="s">
        <v>22</v>
      </c>
      <c r="R196" s="136" t="s">
        <v>13</v>
      </c>
      <c r="S196" s="136">
        <v>480</v>
      </c>
      <c r="T196" s="136">
        <v>480</v>
      </c>
      <c r="U196" s="136">
        <f t="shared" si="13"/>
        <v>0</v>
      </c>
      <c r="V196" s="136">
        <v>480</v>
      </c>
    </row>
    <row r="197" spans="1:22" x14ac:dyDescent="0.3">
      <c r="A197" s="136" t="s">
        <v>187</v>
      </c>
      <c r="B197" s="136" t="s">
        <v>178</v>
      </c>
      <c r="C197" s="136" t="s">
        <v>465</v>
      </c>
      <c r="D197" s="143">
        <v>42940</v>
      </c>
      <c r="E197" s="136">
        <v>17263.419999999998</v>
      </c>
      <c r="F197" s="136" t="s">
        <v>14</v>
      </c>
      <c r="G197" s="140" t="s">
        <v>11</v>
      </c>
      <c r="H197" s="136" t="s">
        <v>12</v>
      </c>
      <c r="J197" s="139">
        <v>28</v>
      </c>
      <c r="K197" s="138">
        <v>13487.04</v>
      </c>
      <c r="L197" s="136">
        <v>0</v>
      </c>
      <c r="M197" s="136">
        <f t="shared" si="17"/>
        <v>1888.1856000000002</v>
      </c>
      <c r="N197" s="136">
        <f t="shared" si="18"/>
        <v>1888.1856000000002</v>
      </c>
      <c r="O197" s="136">
        <v>0</v>
      </c>
      <c r="P197" s="175">
        <v>87089900</v>
      </c>
      <c r="Q197" s="137" t="s">
        <v>22</v>
      </c>
      <c r="R197" s="136" t="s">
        <v>13</v>
      </c>
      <c r="S197" s="136">
        <v>28</v>
      </c>
      <c r="T197" s="136">
        <v>28</v>
      </c>
      <c r="U197" s="136">
        <f t="shared" si="13"/>
        <v>0</v>
      </c>
      <c r="V197" s="136">
        <v>28</v>
      </c>
    </row>
    <row r="198" spans="1:22" x14ac:dyDescent="0.3">
      <c r="A198" s="136" t="s">
        <v>6</v>
      </c>
      <c r="B198" s="136" t="s">
        <v>5</v>
      </c>
      <c r="C198" s="136" t="s">
        <v>466</v>
      </c>
      <c r="D198" s="143">
        <v>42940</v>
      </c>
      <c r="E198" s="136">
        <v>8121.6</v>
      </c>
      <c r="F198" s="136" t="s">
        <v>14</v>
      </c>
      <c r="G198" s="140" t="s">
        <v>11</v>
      </c>
      <c r="H198" s="136" t="s">
        <v>12</v>
      </c>
      <c r="J198" s="139">
        <v>28</v>
      </c>
      <c r="K198" s="138">
        <v>6345</v>
      </c>
      <c r="L198" s="136">
        <v>0</v>
      </c>
      <c r="M198" s="136">
        <f t="shared" si="17"/>
        <v>888.30000000000007</v>
      </c>
      <c r="N198" s="136">
        <f t="shared" si="18"/>
        <v>888.30000000000007</v>
      </c>
      <c r="O198" s="136">
        <v>0</v>
      </c>
      <c r="P198" s="175">
        <v>87141090</v>
      </c>
      <c r="Q198" s="137" t="s">
        <v>22</v>
      </c>
      <c r="R198" s="136" t="s">
        <v>13</v>
      </c>
      <c r="S198" s="136">
        <v>180</v>
      </c>
      <c r="T198" s="136">
        <v>180</v>
      </c>
      <c r="U198" s="136">
        <f>+S198-T198</f>
        <v>0</v>
      </c>
      <c r="V198" s="136">
        <v>180</v>
      </c>
    </row>
    <row r="199" spans="1:22" x14ac:dyDescent="0.3">
      <c r="A199" s="136" t="s">
        <v>185</v>
      </c>
      <c r="B199" s="136" t="s">
        <v>184</v>
      </c>
      <c r="C199" s="136" t="s">
        <v>467</v>
      </c>
      <c r="D199" s="143">
        <v>42940</v>
      </c>
      <c r="E199" s="136">
        <v>91898.96</v>
      </c>
      <c r="F199" s="136" t="s">
        <v>14</v>
      </c>
      <c r="G199" s="140" t="s">
        <v>11</v>
      </c>
      <c r="H199" s="136" t="s">
        <v>12</v>
      </c>
      <c r="J199" s="139">
        <v>28</v>
      </c>
      <c r="K199" s="138">
        <v>71796.06</v>
      </c>
      <c r="L199" s="136">
        <v>0</v>
      </c>
      <c r="M199" s="136">
        <f t="shared" si="17"/>
        <v>10051.448400000001</v>
      </c>
      <c r="N199" s="136">
        <f t="shared" si="18"/>
        <v>10051.448400000001</v>
      </c>
      <c r="O199" s="136">
        <v>0</v>
      </c>
      <c r="P199" s="175">
        <v>85129000</v>
      </c>
      <c r="Q199" s="137" t="s">
        <v>22</v>
      </c>
      <c r="R199" s="136" t="s">
        <v>13</v>
      </c>
      <c r="S199" s="136">
        <v>1197</v>
      </c>
      <c r="T199" s="136">
        <v>1197</v>
      </c>
      <c r="U199" s="136">
        <f t="shared" ref="U199" si="19">+S199-T199</f>
        <v>0</v>
      </c>
      <c r="V199" s="136">
        <v>1197</v>
      </c>
    </row>
    <row r="200" spans="1:22" x14ac:dyDescent="0.3">
      <c r="A200" s="136" t="s">
        <v>6</v>
      </c>
      <c r="B200" s="136" t="s">
        <v>5</v>
      </c>
      <c r="C200" s="136" t="s">
        <v>468</v>
      </c>
      <c r="D200" s="143">
        <v>42940</v>
      </c>
      <c r="E200" s="136">
        <v>22905.22</v>
      </c>
      <c r="F200" s="136" t="s">
        <v>14</v>
      </c>
      <c r="G200" s="140" t="s">
        <v>11</v>
      </c>
      <c r="H200" s="136" t="s">
        <v>12</v>
      </c>
      <c r="J200" s="139">
        <v>28</v>
      </c>
      <c r="K200" s="138">
        <v>17894.7</v>
      </c>
      <c r="L200" s="136">
        <v>0</v>
      </c>
      <c r="M200" s="136">
        <f t="shared" si="17"/>
        <v>2505.2580000000003</v>
      </c>
      <c r="N200" s="136">
        <f t="shared" si="18"/>
        <v>2505.2580000000003</v>
      </c>
      <c r="O200" s="136">
        <v>0</v>
      </c>
      <c r="P200" s="175">
        <v>87081090</v>
      </c>
      <c r="Q200" s="137" t="s">
        <v>22</v>
      </c>
      <c r="R200" s="136" t="s">
        <v>13</v>
      </c>
      <c r="S200" s="136">
        <v>210</v>
      </c>
      <c r="T200" s="136">
        <v>210</v>
      </c>
      <c r="U200" s="136">
        <f>+S200-T200</f>
        <v>0</v>
      </c>
      <c r="V200" s="136">
        <v>210</v>
      </c>
    </row>
    <row r="201" spans="1:22" x14ac:dyDescent="0.3">
      <c r="A201" s="136" t="s">
        <v>6</v>
      </c>
      <c r="B201" s="136" t="s">
        <v>5</v>
      </c>
      <c r="C201" s="136" t="s">
        <v>469</v>
      </c>
      <c r="D201" s="143">
        <v>42940</v>
      </c>
      <c r="E201" s="136">
        <v>19649.28</v>
      </c>
      <c r="F201" s="136" t="s">
        <v>14</v>
      </c>
      <c r="G201" s="140" t="s">
        <v>11</v>
      </c>
      <c r="H201" s="136" t="s">
        <v>12</v>
      </c>
      <c r="J201" s="139">
        <v>28</v>
      </c>
      <c r="K201" s="138">
        <v>15351</v>
      </c>
      <c r="L201" s="136">
        <v>0</v>
      </c>
      <c r="M201" s="136">
        <f t="shared" si="17"/>
        <v>2149.1400000000003</v>
      </c>
      <c r="N201" s="136">
        <f t="shared" si="18"/>
        <v>2149.1400000000003</v>
      </c>
      <c r="O201" s="136">
        <v>0</v>
      </c>
      <c r="P201" s="175">
        <v>87141090</v>
      </c>
      <c r="Q201" s="137" t="s">
        <v>22</v>
      </c>
      <c r="R201" s="136" t="s">
        <v>13</v>
      </c>
      <c r="S201" s="136">
        <v>204</v>
      </c>
      <c r="T201" s="136">
        <v>204</v>
      </c>
      <c r="U201" s="136">
        <f>+S201-T201</f>
        <v>0</v>
      </c>
      <c r="V201" s="136">
        <v>204</v>
      </c>
    </row>
    <row r="202" spans="1:22" x14ac:dyDescent="0.3">
      <c r="A202" s="136" t="s">
        <v>342</v>
      </c>
      <c r="B202" s="136" t="s">
        <v>341</v>
      </c>
      <c r="C202" s="136" t="s">
        <v>470</v>
      </c>
      <c r="D202" s="143">
        <v>42940</v>
      </c>
      <c r="E202" s="136">
        <v>12496.8</v>
      </c>
      <c r="F202" s="136" t="s">
        <v>14</v>
      </c>
      <c r="G202" s="140" t="s">
        <v>11</v>
      </c>
      <c r="H202" s="136" t="s">
        <v>12</v>
      </c>
      <c r="J202" s="139">
        <v>18</v>
      </c>
      <c r="K202" s="138">
        <v>10590.5</v>
      </c>
      <c r="L202" s="136">
        <v>0</v>
      </c>
      <c r="M202" s="136">
        <f t="shared" si="17"/>
        <v>953.14499999999998</v>
      </c>
      <c r="N202" s="136">
        <f t="shared" si="18"/>
        <v>953.14499999999998</v>
      </c>
      <c r="O202" s="136">
        <v>0</v>
      </c>
      <c r="P202" s="175">
        <v>998873</v>
      </c>
      <c r="Q202" s="137" t="s">
        <v>22</v>
      </c>
      <c r="R202" s="136" t="s">
        <v>13</v>
      </c>
      <c r="S202" s="136">
        <v>0</v>
      </c>
      <c r="T202" s="136">
        <v>0</v>
      </c>
      <c r="U202" s="136">
        <f t="shared" ref="U202:U203" si="20">+S202-T202</f>
        <v>0</v>
      </c>
      <c r="V202" s="136">
        <v>359</v>
      </c>
    </row>
    <row r="203" spans="1:22" x14ac:dyDescent="0.3">
      <c r="A203" s="136" t="s">
        <v>342</v>
      </c>
      <c r="B203" s="136" t="s">
        <v>341</v>
      </c>
      <c r="C203" s="136" t="s">
        <v>471</v>
      </c>
      <c r="D203" s="143">
        <v>42940</v>
      </c>
      <c r="E203" s="136">
        <v>6962</v>
      </c>
      <c r="F203" s="136" t="s">
        <v>14</v>
      </c>
      <c r="G203" s="140" t="s">
        <v>11</v>
      </c>
      <c r="H203" s="136" t="s">
        <v>12</v>
      </c>
      <c r="J203" s="139">
        <v>18</v>
      </c>
      <c r="K203" s="138">
        <v>5900</v>
      </c>
      <c r="L203" s="136">
        <v>0</v>
      </c>
      <c r="M203" s="136">
        <f t="shared" si="17"/>
        <v>531</v>
      </c>
      <c r="N203" s="136">
        <f t="shared" si="18"/>
        <v>531</v>
      </c>
      <c r="O203" s="136">
        <v>0</v>
      </c>
      <c r="P203" s="175">
        <v>998873</v>
      </c>
      <c r="Q203" s="137" t="s">
        <v>22</v>
      </c>
      <c r="R203" s="136" t="s">
        <v>13</v>
      </c>
      <c r="S203" s="136">
        <v>0</v>
      </c>
      <c r="T203" s="136">
        <v>0</v>
      </c>
      <c r="U203" s="136">
        <f t="shared" si="20"/>
        <v>0</v>
      </c>
      <c r="V203" s="136">
        <v>200</v>
      </c>
    </row>
    <row r="204" spans="1:22" x14ac:dyDescent="0.3">
      <c r="A204" s="136" t="s">
        <v>6</v>
      </c>
      <c r="B204" s="136" t="s">
        <v>5</v>
      </c>
      <c r="C204" s="136" t="s">
        <v>472</v>
      </c>
      <c r="D204" s="143">
        <v>42940</v>
      </c>
      <c r="E204" s="136">
        <v>25480.720000000001</v>
      </c>
      <c r="F204" s="136" t="s">
        <v>14</v>
      </c>
      <c r="G204" s="140" t="s">
        <v>11</v>
      </c>
      <c r="H204" s="136" t="s">
        <v>12</v>
      </c>
      <c r="J204" s="139">
        <v>28</v>
      </c>
      <c r="K204" s="138">
        <v>19906.8</v>
      </c>
      <c r="L204" s="136">
        <v>0</v>
      </c>
      <c r="M204" s="136">
        <f t="shared" si="17"/>
        <v>2786.9520000000002</v>
      </c>
      <c r="N204" s="136">
        <f t="shared" si="18"/>
        <v>2786.9520000000002</v>
      </c>
      <c r="O204" s="136">
        <v>0</v>
      </c>
      <c r="P204" s="175">
        <v>87081090</v>
      </c>
      <c r="Q204" s="137" t="s">
        <v>22</v>
      </c>
      <c r="R204" s="136" t="s">
        <v>13</v>
      </c>
      <c r="S204" s="136">
        <v>240</v>
      </c>
      <c r="T204" s="136">
        <v>240</v>
      </c>
      <c r="U204" s="136">
        <f>+S204-T204</f>
        <v>0</v>
      </c>
      <c r="V204" s="136">
        <v>240</v>
      </c>
    </row>
    <row r="205" spans="1:22" x14ac:dyDescent="0.3">
      <c r="A205" s="136" t="s">
        <v>6</v>
      </c>
      <c r="B205" s="136" t="s">
        <v>5</v>
      </c>
      <c r="C205" s="136" t="s">
        <v>473</v>
      </c>
      <c r="D205" s="143">
        <v>42940</v>
      </c>
      <c r="E205" s="136">
        <v>11558.4</v>
      </c>
      <c r="F205" s="136" t="s">
        <v>14</v>
      </c>
      <c r="G205" s="140" t="s">
        <v>11</v>
      </c>
      <c r="H205" s="136" t="s">
        <v>12</v>
      </c>
      <c r="J205" s="139">
        <v>28</v>
      </c>
      <c r="K205" s="138">
        <v>9030</v>
      </c>
      <c r="L205" s="136">
        <v>0</v>
      </c>
      <c r="M205" s="136">
        <f t="shared" si="17"/>
        <v>1264.2</v>
      </c>
      <c r="N205" s="136">
        <f t="shared" si="18"/>
        <v>1264.2</v>
      </c>
      <c r="O205" s="136">
        <v>0</v>
      </c>
      <c r="P205" s="175">
        <v>87141090</v>
      </c>
      <c r="Q205" s="137" t="s">
        <v>22</v>
      </c>
      <c r="R205" s="136" t="s">
        <v>13</v>
      </c>
      <c r="S205" s="136">
        <v>120</v>
      </c>
      <c r="T205" s="136">
        <v>120</v>
      </c>
      <c r="U205" s="136">
        <f>+S205-T205</f>
        <v>0</v>
      </c>
      <c r="V205" s="136">
        <v>120</v>
      </c>
    </row>
    <row r="206" spans="1:22" x14ac:dyDescent="0.3">
      <c r="A206" s="136" t="s">
        <v>214</v>
      </c>
      <c r="B206" s="136" t="s">
        <v>215</v>
      </c>
      <c r="C206" s="136" t="s">
        <v>474</v>
      </c>
      <c r="D206" s="143">
        <v>42941</v>
      </c>
      <c r="E206" s="136">
        <v>59264</v>
      </c>
      <c r="F206" s="136" t="s">
        <v>14</v>
      </c>
      <c r="G206" s="140" t="s">
        <v>11</v>
      </c>
      <c r="H206" s="136" t="s">
        <v>12</v>
      </c>
      <c r="J206" s="139">
        <v>28</v>
      </c>
      <c r="K206" s="138">
        <v>46300</v>
      </c>
      <c r="L206" s="136">
        <v>0</v>
      </c>
      <c r="M206" s="136">
        <f t="shared" si="17"/>
        <v>6482.0000000000009</v>
      </c>
      <c r="N206" s="136">
        <f t="shared" si="18"/>
        <v>6482.0000000000009</v>
      </c>
      <c r="O206" s="136">
        <v>0</v>
      </c>
      <c r="P206" s="175">
        <v>85129000</v>
      </c>
      <c r="Q206" s="137" t="s">
        <v>22</v>
      </c>
      <c r="R206" s="136" t="s">
        <v>13</v>
      </c>
      <c r="S206" s="136">
        <v>1852</v>
      </c>
      <c r="T206" s="136">
        <v>1852</v>
      </c>
      <c r="U206" s="136">
        <f t="shared" ref="U206:U209" si="21">+S206-T206</f>
        <v>0</v>
      </c>
      <c r="V206" s="136">
        <v>1852</v>
      </c>
    </row>
    <row r="207" spans="1:22" x14ac:dyDescent="0.3">
      <c r="A207" s="136" t="s">
        <v>187</v>
      </c>
      <c r="B207" s="136" t="s">
        <v>178</v>
      </c>
      <c r="C207" s="136" t="s">
        <v>475</v>
      </c>
      <c r="D207" s="143">
        <v>42941</v>
      </c>
      <c r="E207" s="136">
        <v>35615.82</v>
      </c>
      <c r="F207" s="136" t="s">
        <v>14</v>
      </c>
      <c r="G207" s="140" t="s">
        <v>11</v>
      </c>
      <c r="H207" s="136" t="s">
        <v>12</v>
      </c>
      <c r="J207" s="139">
        <v>28</v>
      </c>
      <c r="K207" s="138">
        <v>27824.86</v>
      </c>
      <c r="L207" s="136">
        <v>0</v>
      </c>
      <c r="M207" s="136">
        <f t="shared" si="17"/>
        <v>3895.4804000000004</v>
      </c>
      <c r="N207" s="136">
        <f t="shared" si="18"/>
        <v>3895.4804000000004</v>
      </c>
      <c r="O207" s="136">
        <v>0</v>
      </c>
      <c r="P207" s="175">
        <v>87089900</v>
      </c>
      <c r="Q207" s="137" t="s">
        <v>22</v>
      </c>
      <c r="R207" s="136" t="s">
        <v>13</v>
      </c>
      <c r="S207" s="136">
        <v>140</v>
      </c>
      <c r="T207" s="136">
        <v>140</v>
      </c>
      <c r="U207" s="136">
        <f t="shared" si="21"/>
        <v>0</v>
      </c>
      <c r="V207" s="136">
        <v>140</v>
      </c>
    </row>
    <row r="208" spans="1:22" x14ac:dyDescent="0.3">
      <c r="A208" s="136" t="s">
        <v>187</v>
      </c>
      <c r="B208" s="136" t="s">
        <v>178</v>
      </c>
      <c r="C208" s="136" t="s">
        <v>476</v>
      </c>
      <c r="D208" s="143">
        <v>42941</v>
      </c>
      <c r="E208" s="136">
        <v>11827.2</v>
      </c>
      <c r="F208" s="136" t="s">
        <v>14</v>
      </c>
      <c r="G208" s="140" t="s">
        <v>11</v>
      </c>
      <c r="H208" s="136" t="s">
        <v>12</v>
      </c>
      <c r="J208" s="139">
        <v>28</v>
      </c>
      <c r="K208" s="138">
        <v>9240</v>
      </c>
      <c r="L208" s="136">
        <v>0</v>
      </c>
      <c r="M208" s="136">
        <f t="shared" si="17"/>
        <v>1293.6000000000001</v>
      </c>
      <c r="N208" s="136">
        <f t="shared" si="18"/>
        <v>1293.6000000000001</v>
      </c>
      <c r="O208" s="136">
        <v>0</v>
      </c>
      <c r="P208" s="175">
        <v>87089900</v>
      </c>
      <c r="Q208" s="137" t="s">
        <v>22</v>
      </c>
      <c r="R208" s="136" t="s">
        <v>13</v>
      </c>
      <c r="S208" s="136">
        <v>30</v>
      </c>
      <c r="T208" s="136">
        <v>30</v>
      </c>
      <c r="U208" s="136">
        <f t="shared" si="21"/>
        <v>0</v>
      </c>
      <c r="V208" s="136">
        <v>30</v>
      </c>
    </row>
    <row r="209" spans="1:22" x14ac:dyDescent="0.3">
      <c r="A209" s="136" t="s">
        <v>40</v>
      </c>
      <c r="B209" s="136" t="s">
        <v>39</v>
      </c>
      <c r="C209" s="136" t="s">
        <v>477</v>
      </c>
      <c r="D209" s="143">
        <v>42941</v>
      </c>
      <c r="E209" s="136">
        <v>10058.56</v>
      </c>
      <c r="F209" s="136" t="s">
        <v>14</v>
      </c>
      <c r="G209" s="140" t="s">
        <v>11</v>
      </c>
      <c r="H209" s="136" t="s">
        <v>12</v>
      </c>
      <c r="J209" s="139">
        <v>18</v>
      </c>
      <c r="K209" s="138">
        <v>8524.2000000000007</v>
      </c>
      <c r="L209" s="136">
        <v>0</v>
      </c>
      <c r="M209" s="136">
        <f t="shared" si="17"/>
        <v>767.178</v>
      </c>
      <c r="N209" s="136">
        <f t="shared" si="18"/>
        <v>767.178</v>
      </c>
      <c r="O209" s="136">
        <v>0</v>
      </c>
      <c r="P209" s="175">
        <v>998898</v>
      </c>
      <c r="Q209" s="137" t="s">
        <v>22</v>
      </c>
      <c r="R209" s="136" t="s">
        <v>13</v>
      </c>
      <c r="S209" s="136">
        <v>0</v>
      </c>
      <c r="T209" s="136">
        <v>0</v>
      </c>
      <c r="U209" s="136">
        <f t="shared" si="21"/>
        <v>0</v>
      </c>
      <c r="V209" s="136">
        <v>30</v>
      </c>
    </row>
    <row r="210" spans="1:22" x14ac:dyDescent="0.3">
      <c r="A210" s="136" t="s">
        <v>6</v>
      </c>
      <c r="B210" s="136" t="s">
        <v>5</v>
      </c>
      <c r="C210" s="136" t="s">
        <v>478</v>
      </c>
      <c r="D210" s="143">
        <v>42941</v>
      </c>
      <c r="E210" s="136">
        <v>64975.8</v>
      </c>
      <c r="F210" s="136" t="s">
        <v>14</v>
      </c>
      <c r="G210" s="140" t="s">
        <v>11</v>
      </c>
      <c r="H210" s="136" t="s">
        <v>12</v>
      </c>
      <c r="J210" s="139">
        <v>28</v>
      </c>
      <c r="K210" s="138">
        <v>50762.34</v>
      </c>
      <c r="L210" s="136">
        <v>0</v>
      </c>
      <c r="M210" s="136">
        <f t="shared" si="17"/>
        <v>7106.7276000000002</v>
      </c>
      <c r="N210" s="136">
        <f t="shared" si="18"/>
        <v>7106.7276000000002</v>
      </c>
      <c r="O210" s="136">
        <v>0</v>
      </c>
      <c r="P210" s="175">
        <v>87081090</v>
      </c>
      <c r="Q210" s="137" t="s">
        <v>22</v>
      </c>
      <c r="R210" s="136" t="s">
        <v>13</v>
      </c>
      <c r="S210" s="136">
        <v>612</v>
      </c>
      <c r="T210" s="136">
        <v>612</v>
      </c>
      <c r="U210" s="136">
        <f>+S210-T210</f>
        <v>0</v>
      </c>
      <c r="V210" s="136">
        <v>612</v>
      </c>
    </row>
    <row r="211" spans="1:22" x14ac:dyDescent="0.3">
      <c r="A211" s="136" t="s">
        <v>6</v>
      </c>
      <c r="B211" s="136" t="s">
        <v>5</v>
      </c>
      <c r="C211" s="136" t="s">
        <v>479</v>
      </c>
      <c r="D211" s="143">
        <v>42941</v>
      </c>
      <c r="E211" s="136">
        <v>53174.02</v>
      </c>
      <c r="F211" s="136" t="s">
        <v>14</v>
      </c>
      <c r="G211" s="140" t="s">
        <v>11</v>
      </c>
      <c r="H211" s="136" t="s">
        <v>12</v>
      </c>
      <c r="J211" s="139">
        <v>28</v>
      </c>
      <c r="K211" s="138">
        <v>41542.199999999997</v>
      </c>
      <c r="L211" s="136">
        <v>0</v>
      </c>
      <c r="M211" s="136">
        <f t="shared" si="17"/>
        <v>5815.9080000000004</v>
      </c>
      <c r="N211" s="136">
        <f t="shared" si="18"/>
        <v>5815.9080000000004</v>
      </c>
      <c r="O211" s="136">
        <v>0</v>
      </c>
      <c r="P211" s="175">
        <v>87081090</v>
      </c>
      <c r="Q211" s="137" t="s">
        <v>22</v>
      </c>
      <c r="R211" s="136" t="s">
        <v>13</v>
      </c>
      <c r="S211" s="136">
        <v>504</v>
      </c>
      <c r="T211" s="136">
        <v>504</v>
      </c>
      <c r="U211" s="136">
        <f>+S211-T211</f>
        <v>0</v>
      </c>
      <c r="V211" s="136">
        <v>504</v>
      </c>
    </row>
    <row r="212" spans="1:22" x14ac:dyDescent="0.3">
      <c r="A212" s="136" t="s">
        <v>416</v>
      </c>
      <c r="B212" s="136" t="s">
        <v>415</v>
      </c>
      <c r="C212" s="136" t="s">
        <v>480</v>
      </c>
      <c r="D212" s="143">
        <v>42941</v>
      </c>
      <c r="E212" s="136">
        <v>23261</v>
      </c>
      <c r="F212" s="136" t="s">
        <v>14</v>
      </c>
      <c r="G212" s="140" t="s">
        <v>11</v>
      </c>
      <c r="H212" s="136" t="s">
        <v>12</v>
      </c>
      <c r="J212" s="139">
        <v>18</v>
      </c>
      <c r="K212" s="138">
        <v>19712.7</v>
      </c>
      <c r="L212" s="136">
        <v>0</v>
      </c>
      <c r="M212" s="136">
        <f t="shared" si="17"/>
        <v>1774.143</v>
      </c>
      <c r="N212" s="136">
        <f t="shared" si="18"/>
        <v>1774.143</v>
      </c>
      <c r="O212" s="136">
        <v>0</v>
      </c>
      <c r="P212" s="175">
        <v>998898</v>
      </c>
      <c r="Q212" s="137" t="s">
        <v>22</v>
      </c>
      <c r="R212" s="136" t="s">
        <v>13</v>
      </c>
      <c r="S212" s="136">
        <v>0</v>
      </c>
      <c r="T212" s="136">
        <v>0</v>
      </c>
      <c r="U212" s="136">
        <f t="shared" ref="U212:U220" si="22">+S212-T212</f>
        <v>0</v>
      </c>
      <c r="V212" s="136">
        <v>171</v>
      </c>
    </row>
    <row r="213" spans="1:22" x14ac:dyDescent="0.3">
      <c r="A213" s="136" t="s">
        <v>209</v>
      </c>
      <c r="B213" s="136" t="s">
        <v>208</v>
      </c>
      <c r="C213" s="136" t="s">
        <v>481</v>
      </c>
      <c r="D213" s="143">
        <v>42941</v>
      </c>
      <c r="E213" s="136">
        <v>25195.39</v>
      </c>
      <c r="F213" s="136" t="s">
        <v>211</v>
      </c>
      <c r="G213" s="140" t="s">
        <v>11</v>
      </c>
      <c r="H213" s="136" t="s">
        <v>12</v>
      </c>
      <c r="J213" s="139">
        <v>28</v>
      </c>
      <c r="K213" s="138">
        <v>19683.900000000001</v>
      </c>
      <c r="L213" s="136">
        <f t="shared" ref="L213:L220" si="23">+J213/100*K213</f>
        <v>5511.4920000000011</v>
      </c>
      <c r="M213" s="136">
        <v>0</v>
      </c>
      <c r="N213" s="136">
        <v>0</v>
      </c>
      <c r="O213" s="136">
        <v>0</v>
      </c>
      <c r="P213" s="175">
        <v>87081090</v>
      </c>
      <c r="Q213" s="137" t="s">
        <v>22</v>
      </c>
      <c r="R213" s="136" t="s">
        <v>13</v>
      </c>
      <c r="S213" s="136">
        <v>10</v>
      </c>
      <c r="T213" s="136">
        <v>10</v>
      </c>
      <c r="U213" s="136">
        <f t="shared" si="22"/>
        <v>0</v>
      </c>
      <c r="V213" s="136">
        <v>10</v>
      </c>
    </row>
    <row r="214" spans="1:22" x14ac:dyDescent="0.3">
      <c r="A214" s="136" t="s">
        <v>209</v>
      </c>
      <c r="B214" s="136" t="s">
        <v>208</v>
      </c>
      <c r="C214" s="136" t="s">
        <v>482</v>
      </c>
      <c r="D214" s="143">
        <v>42941</v>
      </c>
      <c r="E214" s="136">
        <v>27638.86</v>
      </c>
      <c r="F214" s="136" t="s">
        <v>211</v>
      </c>
      <c r="G214" s="140" t="s">
        <v>11</v>
      </c>
      <c r="H214" s="136" t="s">
        <v>12</v>
      </c>
      <c r="J214" s="139">
        <v>28</v>
      </c>
      <c r="K214" s="138">
        <v>21592.86</v>
      </c>
      <c r="L214" s="136">
        <f t="shared" si="23"/>
        <v>6046.0008000000007</v>
      </c>
      <c r="M214" s="136">
        <v>0</v>
      </c>
      <c r="N214" s="136">
        <v>0</v>
      </c>
      <c r="O214" s="136">
        <v>0</v>
      </c>
      <c r="P214" s="175">
        <v>87081090</v>
      </c>
      <c r="Q214" s="137" t="s">
        <v>22</v>
      </c>
      <c r="R214" s="136" t="s">
        <v>13</v>
      </c>
      <c r="S214" s="136">
        <v>23</v>
      </c>
      <c r="T214" s="136">
        <v>23</v>
      </c>
      <c r="U214" s="136">
        <f t="shared" si="22"/>
        <v>0</v>
      </c>
      <c r="V214" s="136">
        <v>23</v>
      </c>
    </row>
    <row r="215" spans="1:22" x14ac:dyDescent="0.3">
      <c r="A215" s="136" t="s">
        <v>209</v>
      </c>
      <c r="B215" s="136" t="s">
        <v>208</v>
      </c>
      <c r="C215" s="136" t="s">
        <v>483</v>
      </c>
      <c r="D215" s="143">
        <v>42941</v>
      </c>
      <c r="E215" s="136">
        <v>2795.01</v>
      </c>
      <c r="F215" s="136" t="s">
        <v>211</v>
      </c>
      <c r="G215" s="140" t="s">
        <v>11</v>
      </c>
      <c r="H215" s="136" t="s">
        <v>12</v>
      </c>
      <c r="J215" s="139">
        <v>28</v>
      </c>
      <c r="K215" s="138">
        <v>2183.6</v>
      </c>
      <c r="L215" s="136">
        <f t="shared" si="23"/>
        <v>611.40800000000002</v>
      </c>
      <c r="M215" s="136">
        <v>0</v>
      </c>
      <c r="N215" s="136">
        <v>0</v>
      </c>
      <c r="O215" s="136">
        <v>0</v>
      </c>
      <c r="P215" s="175">
        <v>87081090</v>
      </c>
      <c r="Q215" s="137" t="s">
        <v>22</v>
      </c>
      <c r="R215" s="136" t="s">
        <v>13</v>
      </c>
      <c r="S215" s="136">
        <v>2</v>
      </c>
      <c r="T215" s="136">
        <v>2</v>
      </c>
      <c r="U215" s="136">
        <f t="shared" si="22"/>
        <v>0</v>
      </c>
      <c r="V215" s="136">
        <v>2</v>
      </c>
    </row>
    <row r="216" spans="1:22" x14ac:dyDescent="0.3">
      <c r="A216" s="136" t="s">
        <v>209</v>
      </c>
      <c r="B216" s="136" t="s">
        <v>208</v>
      </c>
      <c r="C216" s="136" t="s">
        <v>484</v>
      </c>
      <c r="D216" s="143">
        <v>42941</v>
      </c>
      <c r="E216" s="136">
        <v>17054.46</v>
      </c>
      <c r="F216" s="136" t="s">
        <v>211</v>
      </c>
      <c r="G216" s="140" t="s">
        <v>11</v>
      </c>
      <c r="H216" s="136" t="s">
        <v>12</v>
      </c>
      <c r="J216" s="139">
        <v>28</v>
      </c>
      <c r="K216" s="138">
        <v>13323.8</v>
      </c>
      <c r="L216" s="136">
        <f t="shared" si="23"/>
        <v>3730.6640000000002</v>
      </c>
      <c r="M216" s="136">
        <v>0</v>
      </c>
      <c r="N216" s="136">
        <v>0</v>
      </c>
      <c r="O216" s="136">
        <v>0</v>
      </c>
      <c r="P216" s="175">
        <v>87081090</v>
      </c>
      <c r="Q216" s="137" t="s">
        <v>22</v>
      </c>
      <c r="R216" s="136" t="s">
        <v>13</v>
      </c>
      <c r="S216" s="136">
        <v>7</v>
      </c>
      <c r="T216" s="136">
        <v>7</v>
      </c>
      <c r="U216" s="136">
        <f t="shared" si="22"/>
        <v>0</v>
      </c>
      <c r="V216" s="136">
        <v>7</v>
      </c>
    </row>
    <row r="217" spans="1:22" x14ac:dyDescent="0.3">
      <c r="A217" s="136" t="s">
        <v>209</v>
      </c>
      <c r="B217" s="136" t="s">
        <v>208</v>
      </c>
      <c r="C217" s="136" t="s">
        <v>485</v>
      </c>
      <c r="D217" s="143">
        <v>42941</v>
      </c>
      <c r="E217" s="136">
        <v>11604.1</v>
      </c>
      <c r="F217" s="136" t="s">
        <v>211</v>
      </c>
      <c r="G217" s="140" t="s">
        <v>11</v>
      </c>
      <c r="H217" s="136" t="s">
        <v>12</v>
      </c>
      <c r="J217" s="139">
        <v>28</v>
      </c>
      <c r="K217" s="138">
        <v>9065.7000000000007</v>
      </c>
      <c r="L217" s="136">
        <f t="shared" si="23"/>
        <v>2538.3960000000006</v>
      </c>
      <c r="M217" s="136">
        <v>0</v>
      </c>
      <c r="N217" s="136">
        <v>0</v>
      </c>
      <c r="O217" s="136">
        <v>0</v>
      </c>
      <c r="P217" s="175">
        <v>87081090</v>
      </c>
      <c r="Q217" s="137" t="s">
        <v>22</v>
      </c>
      <c r="R217" s="136" t="s">
        <v>13</v>
      </c>
      <c r="S217" s="136">
        <v>7</v>
      </c>
      <c r="T217" s="136">
        <v>7</v>
      </c>
      <c r="U217" s="136">
        <f t="shared" si="22"/>
        <v>0</v>
      </c>
      <c r="V217" s="136">
        <v>7</v>
      </c>
    </row>
    <row r="218" spans="1:22" x14ac:dyDescent="0.3">
      <c r="A218" s="136" t="s">
        <v>209</v>
      </c>
      <c r="B218" s="136" t="s">
        <v>208</v>
      </c>
      <c r="C218" s="136" t="s">
        <v>486</v>
      </c>
      <c r="D218" s="143">
        <v>42941</v>
      </c>
      <c r="E218" s="136">
        <v>7798.54</v>
      </c>
      <c r="F218" s="136" t="s">
        <v>211</v>
      </c>
      <c r="G218" s="140" t="s">
        <v>11</v>
      </c>
      <c r="H218" s="136" t="s">
        <v>12</v>
      </c>
      <c r="J218" s="139">
        <v>28</v>
      </c>
      <c r="K218" s="138">
        <v>6092.61</v>
      </c>
      <c r="L218" s="136">
        <f t="shared" si="23"/>
        <v>1705.9308000000001</v>
      </c>
      <c r="M218" s="136">
        <v>0</v>
      </c>
      <c r="N218" s="136">
        <v>0</v>
      </c>
      <c r="O218" s="136">
        <v>0</v>
      </c>
      <c r="P218" s="175">
        <v>87081090</v>
      </c>
      <c r="Q218" s="137" t="s">
        <v>22</v>
      </c>
      <c r="R218" s="136" t="s">
        <v>13</v>
      </c>
      <c r="S218" s="136">
        <v>3</v>
      </c>
      <c r="T218" s="136">
        <v>3</v>
      </c>
      <c r="U218" s="136">
        <f t="shared" si="22"/>
        <v>0</v>
      </c>
      <c r="V218" s="136">
        <v>3</v>
      </c>
    </row>
    <row r="219" spans="1:22" x14ac:dyDescent="0.3">
      <c r="A219" s="136" t="s">
        <v>209</v>
      </c>
      <c r="B219" s="136" t="s">
        <v>208</v>
      </c>
      <c r="C219" s="136" t="s">
        <v>487</v>
      </c>
      <c r="D219" s="143">
        <v>42941</v>
      </c>
      <c r="E219" s="136">
        <v>8926.27</v>
      </c>
      <c r="F219" s="136" t="s">
        <v>211</v>
      </c>
      <c r="G219" s="140" t="s">
        <v>11</v>
      </c>
      <c r="H219" s="136" t="s">
        <v>12</v>
      </c>
      <c r="J219" s="139">
        <v>28</v>
      </c>
      <c r="K219" s="138">
        <v>6973.65</v>
      </c>
      <c r="L219" s="136">
        <f t="shared" si="23"/>
        <v>1952.6220000000001</v>
      </c>
      <c r="M219" s="136">
        <v>0</v>
      </c>
      <c r="N219" s="136">
        <v>0</v>
      </c>
      <c r="O219" s="136">
        <v>0</v>
      </c>
      <c r="P219" s="175">
        <v>87081090</v>
      </c>
      <c r="Q219" s="137" t="s">
        <v>22</v>
      </c>
      <c r="R219" s="136" t="s">
        <v>13</v>
      </c>
      <c r="S219" s="136">
        <v>5</v>
      </c>
      <c r="T219" s="136">
        <v>5</v>
      </c>
      <c r="U219" s="136">
        <f t="shared" si="22"/>
        <v>0</v>
      </c>
      <c r="V219" s="136">
        <v>5</v>
      </c>
    </row>
    <row r="220" spans="1:22" x14ac:dyDescent="0.3">
      <c r="A220" s="136" t="s">
        <v>209</v>
      </c>
      <c r="B220" s="136" t="s">
        <v>208</v>
      </c>
      <c r="C220" s="136" t="s">
        <v>488</v>
      </c>
      <c r="D220" s="143">
        <v>42941</v>
      </c>
      <c r="E220" s="136">
        <v>20845.439999999999</v>
      </c>
      <c r="F220" s="136" t="s">
        <v>211</v>
      </c>
      <c r="G220" s="140" t="s">
        <v>11</v>
      </c>
      <c r="H220" s="136" t="s">
        <v>12</v>
      </c>
      <c r="J220" s="139">
        <v>28</v>
      </c>
      <c r="K220" s="138">
        <v>16285.5</v>
      </c>
      <c r="L220" s="136">
        <f t="shared" si="23"/>
        <v>4559.9400000000005</v>
      </c>
      <c r="M220" s="136">
        <v>0</v>
      </c>
      <c r="N220" s="136">
        <v>0</v>
      </c>
      <c r="O220" s="136">
        <v>0</v>
      </c>
      <c r="P220" s="175">
        <v>87081090</v>
      </c>
      <c r="Q220" s="137" t="s">
        <v>22</v>
      </c>
      <c r="R220" s="136" t="s">
        <v>13</v>
      </c>
      <c r="S220" s="136">
        <v>50</v>
      </c>
      <c r="T220" s="136">
        <v>50</v>
      </c>
      <c r="U220" s="136">
        <f t="shared" si="22"/>
        <v>0</v>
      </c>
      <c r="V220" s="136">
        <v>50</v>
      </c>
    </row>
    <row r="221" spans="1:22" x14ac:dyDescent="0.3">
      <c r="A221" s="136" t="s">
        <v>6</v>
      </c>
      <c r="B221" s="136" t="s">
        <v>5</v>
      </c>
      <c r="C221" s="136" t="s">
        <v>489</v>
      </c>
      <c r="D221" s="143">
        <v>42941</v>
      </c>
      <c r="E221" s="136">
        <v>24272.639999999999</v>
      </c>
      <c r="F221" s="136" t="s">
        <v>14</v>
      </c>
      <c r="G221" s="140" t="s">
        <v>11</v>
      </c>
      <c r="H221" s="136" t="s">
        <v>12</v>
      </c>
      <c r="J221" s="139">
        <v>28</v>
      </c>
      <c r="K221" s="138">
        <v>18963</v>
      </c>
      <c r="L221" s="136">
        <v>0</v>
      </c>
      <c r="M221" s="136">
        <f t="shared" ref="M221:M228" si="24">+J221/100*K221/2</f>
        <v>2654.82</v>
      </c>
      <c r="N221" s="136">
        <f t="shared" ref="N221:N228" si="25">+J221/100*K221/2</f>
        <v>2654.82</v>
      </c>
      <c r="O221" s="136">
        <v>0</v>
      </c>
      <c r="P221" s="175">
        <v>87141090</v>
      </c>
      <c r="Q221" s="137" t="s">
        <v>22</v>
      </c>
      <c r="R221" s="136" t="s">
        <v>13</v>
      </c>
      <c r="S221" s="136">
        <v>252</v>
      </c>
      <c r="T221" s="136">
        <v>252</v>
      </c>
      <c r="U221" s="136">
        <f>+S221-T221</f>
        <v>0</v>
      </c>
      <c r="V221" s="136">
        <v>252</v>
      </c>
    </row>
    <row r="222" spans="1:22" x14ac:dyDescent="0.3">
      <c r="A222" s="136" t="s">
        <v>376</v>
      </c>
      <c r="B222" s="136" t="s">
        <v>375</v>
      </c>
      <c r="C222" s="136" t="s">
        <v>490</v>
      </c>
      <c r="D222" s="143">
        <v>42941</v>
      </c>
      <c r="E222" s="136">
        <v>4531.2</v>
      </c>
      <c r="F222" s="136" t="s">
        <v>14</v>
      </c>
      <c r="G222" s="140" t="s">
        <v>11</v>
      </c>
      <c r="H222" s="136" t="s">
        <v>12</v>
      </c>
      <c r="J222" s="139">
        <v>18</v>
      </c>
      <c r="K222" s="138">
        <v>3840</v>
      </c>
      <c r="L222" s="136">
        <v>0</v>
      </c>
      <c r="M222" s="136">
        <f t="shared" si="24"/>
        <v>345.59999999999997</v>
      </c>
      <c r="N222" s="136">
        <f t="shared" si="25"/>
        <v>345.59999999999997</v>
      </c>
      <c r="O222" s="136">
        <v>0</v>
      </c>
      <c r="P222" s="175">
        <v>998898</v>
      </c>
      <c r="Q222" s="137" t="s">
        <v>22</v>
      </c>
      <c r="R222" s="136" t="s">
        <v>13</v>
      </c>
      <c r="S222" s="136">
        <v>0</v>
      </c>
      <c r="T222" s="136">
        <v>0</v>
      </c>
      <c r="U222" s="136">
        <f t="shared" ref="U222:U223" si="26">+S222-T222</f>
        <v>0</v>
      </c>
      <c r="V222" s="136">
        <v>12</v>
      </c>
    </row>
    <row r="223" spans="1:22" x14ac:dyDescent="0.3">
      <c r="A223" s="136" t="s">
        <v>328</v>
      </c>
      <c r="B223" s="136" t="s">
        <v>327</v>
      </c>
      <c r="C223" s="136" t="s">
        <v>491</v>
      </c>
      <c r="D223" s="143">
        <v>42942</v>
      </c>
      <c r="E223" s="136">
        <v>59813.64</v>
      </c>
      <c r="F223" s="136" t="s">
        <v>14</v>
      </c>
      <c r="G223" s="140" t="s">
        <v>11</v>
      </c>
      <c r="H223" s="136" t="s">
        <v>12</v>
      </c>
      <c r="J223" s="139">
        <v>28</v>
      </c>
      <c r="K223" s="138">
        <v>46729.4</v>
      </c>
      <c r="L223" s="136">
        <v>0</v>
      </c>
      <c r="M223" s="136">
        <f t="shared" si="24"/>
        <v>6542.1160000000009</v>
      </c>
      <c r="N223" s="136">
        <f t="shared" si="25"/>
        <v>6542.1160000000009</v>
      </c>
      <c r="O223" s="136">
        <v>0</v>
      </c>
      <c r="P223" s="175">
        <v>87141090</v>
      </c>
      <c r="Q223" s="137" t="s">
        <v>22</v>
      </c>
      <c r="R223" s="136" t="s">
        <v>13</v>
      </c>
      <c r="S223" s="136">
        <v>620</v>
      </c>
      <c r="T223" s="136">
        <v>620</v>
      </c>
      <c r="U223" s="136">
        <f t="shared" si="26"/>
        <v>0</v>
      </c>
      <c r="V223" s="136">
        <v>620</v>
      </c>
    </row>
    <row r="224" spans="1:22" x14ac:dyDescent="0.3">
      <c r="A224" s="136" t="s">
        <v>6</v>
      </c>
      <c r="B224" s="136" t="s">
        <v>5</v>
      </c>
      <c r="C224" s="136" t="s">
        <v>492</v>
      </c>
      <c r="D224" s="143">
        <v>42942</v>
      </c>
      <c r="E224" s="136">
        <v>45865.279999999999</v>
      </c>
      <c r="F224" s="136" t="s">
        <v>14</v>
      </c>
      <c r="G224" s="140" t="s">
        <v>11</v>
      </c>
      <c r="H224" s="136" t="s">
        <v>12</v>
      </c>
      <c r="J224" s="139">
        <v>28</v>
      </c>
      <c r="K224" s="138">
        <v>35832.239999999998</v>
      </c>
      <c r="L224" s="136">
        <v>0</v>
      </c>
      <c r="M224" s="136">
        <f t="shared" si="24"/>
        <v>5016.5136000000002</v>
      </c>
      <c r="N224" s="136">
        <f t="shared" si="25"/>
        <v>5016.5136000000002</v>
      </c>
      <c r="O224" s="136">
        <v>0</v>
      </c>
      <c r="P224" s="175">
        <v>87081090</v>
      </c>
      <c r="Q224" s="137" t="s">
        <v>22</v>
      </c>
      <c r="R224" s="136" t="s">
        <v>13</v>
      </c>
      <c r="S224" s="136">
        <v>432</v>
      </c>
      <c r="T224" s="136">
        <v>432</v>
      </c>
      <c r="U224" s="136">
        <f>+S224-T224</f>
        <v>0</v>
      </c>
      <c r="V224" s="136">
        <v>432</v>
      </c>
    </row>
    <row r="225" spans="1:22" x14ac:dyDescent="0.3">
      <c r="A225" s="136" t="s">
        <v>376</v>
      </c>
      <c r="B225" s="136" t="s">
        <v>375</v>
      </c>
      <c r="C225" s="136" t="s">
        <v>493</v>
      </c>
      <c r="D225" s="143">
        <v>42942</v>
      </c>
      <c r="E225" s="136">
        <v>4531.2</v>
      </c>
      <c r="F225" s="136" t="s">
        <v>14</v>
      </c>
      <c r="G225" s="140" t="s">
        <v>11</v>
      </c>
      <c r="H225" s="136" t="s">
        <v>12</v>
      </c>
      <c r="J225" s="139">
        <v>18</v>
      </c>
      <c r="K225" s="138">
        <v>3840</v>
      </c>
      <c r="L225" s="136">
        <v>0</v>
      </c>
      <c r="M225" s="136">
        <f t="shared" si="24"/>
        <v>345.59999999999997</v>
      </c>
      <c r="N225" s="136">
        <f t="shared" si="25"/>
        <v>345.59999999999997</v>
      </c>
      <c r="O225" s="136">
        <v>0</v>
      </c>
      <c r="P225" s="175">
        <v>998898</v>
      </c>
      <c r="Q225" s="137" t="s">
        <v>22</v>
      </c>
      <c r="R225" s="136" t="s">
        <v>13</v>
      </c>
      <c r="S225" s="136">
        <v>0</v>
      </c>
      <c r="T225" s="136">
        <v>0</v>
      </c>
      <c r="U225" s="136">
        <f t="shared" ref="U225:U226" si="27">+S225-T225</f>
        <v>0</v>
      </c>
      <c r="V225" s="136">
        <v>12</v>
      </c>
    </row>
    <row r="226" spans="1:22" x14ac:dyDescent="0.3">
      <c r="A226" s="136" t="s">
        <v>187</v>
      </c>
      <c r="B226" s="136" t="s">
        <v>178</v>
      </c>
      <c r="C226" s="136" t="s">
        <v>494</v>
      </c>
      <c r="D226" s="143">
        <v>42942</v>
      </c>
      <c r="E226" s="136">
        <v>39907.980000000003</v>
      </c>
      <c r="F226" s="136" t="s">
        <v>14</v>
      </c>
      <c r="G226" s="140" t="s">
        <v>11</v>
      </c>
      <c r="H226" s="136" t="s">
        <v>12</v>
      </c>
      <c r="J226" s="139">
        <v>28</v>
      </c>
      <c r="K226" s="138">
        <v>31178.12</v>
      </c>
      <c r="L226" s="136">
        <v>0</v>
      </c>
      <c r="M226" s="136">
        <f t="shared" si="24"/>
        <v>4364.9368000000004</v>
      </c>
      <c r="N226" s="136">
        <f t="shared" si="25"/>
        <v>4364.9368000000004</v>
      </c>
      <c r="O226" s="136">
        <v>0</v>
      </c>
      <c r="P226" s="175">
        <v>87089900</v>
      </c>
      <c r="Q226" s="137" t="s">
        <v>22</v>
      </c>
      <c r="R226" s="136" t="s">
        <v>13</v>
      </c>
      <c r="S226" s="136">
        <v>92</v>
      </c>
      <c r="T226" s="136">
        <v>92</v>
      </c>
      <c r="U226" s="136">
        <f t="shared" si="27"/>
        <v>0</v>
      </c>
      <c r="V226" s="136">
        <v>92</v>
      </c>
    </row>
    <row r="227" spans="1:22" x14ac:dyDescent="0.3">
      <c r="A227" s="136" t="s">
        <v>6</v>
      </c>
      <c r="B227" s="136" t="s">
        <v>5</v>
      </c>
      <c r="C227" s="136" t="s">
        <v>495</v>
      </c>
      <c r="D227" s="143">
        <v>42942</v>
      </c>
      <c r="E227" s="136">
        <v>36947.040000000001</v>
      </c>
      <c r="F227" s="136" t="s">
        <v>14</v>
      </c>
      <c r="G227" s="140" t="s">
        <v>11</v>
      </c>
      <c r="H227" s="136" t="s">
        <v>12</v>
      </c>
      <c r="J227" s="139">
        <v>28</v>
      </c>
      <c r="K227" s="138">
        <v>28864.86</v>
      </c>
      <c r="L227" s="136">
        <v>0</v>
      </c>
      <c r="M227" s="136">
        <f t="shared" si="24"/>
        <v>4041.0804000000003</v>
      </c>
      <c r="N227" s="136">
        <f t="shared" si="25"/>
        <v>4041.0804000000003</v>
      </c>
      <c r="O227" s="136">
        <v>0</v>
      </c>
      <c r="P227" s="175">
        <v>87081090</v>
      </c>
      <c r="Q227" s="137" t="s">
        <v>22</v>
      </c>
      <c r="R227" s="136" t="s">
        <v>13</v>
      </c>
      <c r="S227" s="136">
        <v>348</v>
      </c>
      <c r="T227" s="136">
        <v>348</v>
      </c>
      <c r="U227" s="136">
        <f>+S227-T227</f>
        <v>0</v>
      </c>
      <c r="V227" s="136">
        <v>348</v>
      </c>
    </row>
    <row r="228" spans="1:22" x14ac:dyDescent="0.3">
      <c r="A228" s="136" t="s">
        <v>6</v>
      </c>
      <c r="B228" s="136" t="s">
        <v>5</v>
      </c>
      <c r="C228" s="136" t="s">
        <v>496</v>
      </c>
      <c r="D228" s="143">
        <v>42942</v>
      </c>
      <c r="E228" s="136">
        <v>10828.8</v>
      </c>
      <c r="F228" s="136" t="s">
        <v>14</v>
      </c>
      <c r="G228" s="140" t="s">
        <v>11</v>
      </c>
      <c r="H228" s="136" t="s">
        <v>12</v>
      </c>
      <c r="J228" s="139">
        <v>28</v>
      </c>
      <c r="K228" s="138">
        <v>8460</v>
      </c>
      <c r="L228" s="136">
        <v>0</v>
      </c>
      <c r="M228" s="136">
        <f t="shared" si="24"/>
        <v>1184.4000000000001</v>
      </c>
      <c r="N228" s="136">
        <f t="shared" si="25"/>
        <v>1184.4000000000001</v>
      </c>
      <c r="O228" s="136">
        <v>0</v>
      </c>
      <c r="P228" s="175">
        <v>87141090</v>
      </c>
      <c r="Q228" s="137" t="s">
        <v>22</v>
      </c>
      <c r="R228" s="136" t="s">
        <v>13</v>
      </c>
      <c r="S228" s="136">
        <v>240</v>
      </c>
      <c r="T228" s="136">
        <v>240</v>
      </c>
      <c r="U228" s="136">
        <f>+S228-T228</f>
        <v>0</v>
      </c>
      <c r="V228" s="136">
        <v>240</v>
      </c>
    </row>
    <row r="229" spans="1:22" x14ac:dyDescent="0.3">
      <c r="A229" s="136" t="s">
        <v>227</v>
      </c>
      <c r="B229" s="136" t="s">
        <v>226</v>
      </c>
      <c r="C229" s="136" t="s">
        <v>497</v>
      </c>
      <c r="D229" s="143">
        <v>42942</v>
      </c>
      <c r="E229" s="136">
        <v>173804.65</v>
      </c>
      <c r="F229" s="136" t="s">
        <v>211</v>
      </c>
      <c r="G229" s="140" t="s">
        <v>11</v>
      </c>
      <c r="H229" s="136" t="s">
        <v>12</v>
      </c>
      <c r="J229" s="139">
        <v>28</v>
      </c>
      <c r="K229" s="138">
        <v>135784.88</v>
      </c>
      <c r="L229" s="136">
        <f>+J229/100*K229</f>
        <v>38019.766400000008</v>
      </c>
      <c r="M229" s="136">
        <v>0</v>
      </c>
      <c r="N229" s="136">
        <v>0</v>
      </c>
      <c r="O229" s="136">
        <v>0</v>
      </c>
      <c r="P229" s="175">
        <v>87089900</v>
      </c>
      <c r="Q229" s="137" t="s">
        <v>22</v>
      </c>
      <c r="R229" s="136" t="s">
        <v>13</v>
      </c>
      <c r="S229" s="136">
        <v>376</v>
      </c>
      <c r="T229" s="136">
        <v>376</v>
      </c>
      <c r="U229" s="136">
        <f t="shared" ref="U229" si="28">+S229-T229</f>
        <v>0</v>
      </c>
      <c r="V229" s="136">
        <v>376</v>
      </c>
    </row>
    <row r="230" spans="1:22" x14ac:dyDescent="0.3">
      <c r="A230" s="136" t="s">
        <v>6</v>
      </c>
      <c r="B230" s="136" t="s">
        <v>5</v>
      </c>
      <c r="C230" s="136" t="s">
        <v>498</v>
      </c>
      <c r="D230" s="143">
        <v>42942</v>
      </c>
      <c r="E230" s="136">
        <v>27010.560000000001</v>
      </c>
      <c r="F230" s="136" t="s">
        <v>14</v>
      </c>
      <c r="G230" s="140" t="s">
        <v>11</v>
      </c>
      <c r="H230" s="136" t="s">
        <v>12</v>
      </c>
      <c r="J230" s="139">
        <v>28</v>
      </c>
      <c r="K230" s="138">
        <v>21102</v>
      </c>
      <c r="L230" s="136">
        <v>0</v>
      </c>
      <c r="M230" s="136">
        <f t="shared" ref="M230:M261" si="29">+J230/100*K230/2</f>
        <v>2954.28</v>
      </c>
      <c r="N230" s="136">
        <f t="shared" ref="N230:N261" si="30">+J230/100*K230/2</f>
        <v>2954.28</v>
      </c>
      <c r="O230" s="136">
        <v>0</v>
      </c>
      <c r="P230" s="175">
        <v>87141090</v>
      </c>
      <c r="Q230" s="137" t="s">
        <v>22</v>
      </c>
      <c r="R230" s="136" t="s">
        <v>13</v>
      </c>
      <c r="S230" s="136">
        <v>408</v>
      </c>
      <c r="T230" s="136">
        <v>408</v>
      </c>
      <c r="U230" s="136">
        <f>+S230-T230</f>
        <v>0</v>
      </c>
      <c r="V230" s="136">
        <v>408</v>
      </c>
    </row>
    <row r="231" spans="1:22" x14ac:dyDescent="0.3">
      <c r="A231" s="136" t="s">
        <v>6</v>
      </c>
      <c r="B231" s="136" t="s">
        <v>5</v>
      </c>
      <c r="C231" s="136" t="s">
        <v>499</v>
      </c>
      <c r="D231" s="143">
        <v>42942</v>
      </c>
      <c r="E231" s="136">
        <v>34183.279999999999</v>
      </c>
      <c r="F231" s="136" t="s">
        <v>14</v>
      </c>
      <c r="G231" s="140" t="s">
        <v>11</v>
      </c>
      <c r="H231" s="136" t="s">
        <v>12</v>
      </c>
      <c r="J231" s="139">
        <v>28</v>
      </c>
      <c r="K231" s="138">
        <v>26705.7</v>
      </c>
      <c r="L231" s="136">
        <v>0</v>
      </c>
      <c r="M231" s="136">
        <f t="shared" si="29"/>
        <v>3738.7980000000007</v>
      </c>
      <c r="N231" s="136">
        <f t="shared" si="30"/>
        <v>3738.7980000000007</v>
      </c>
      <c r="O231" s="136">
        <v>0</v>
      </c>
      <c r="P231" s="175">
        <v>87081090</v>
      </c>
      <c r="Q231" s="137" t="s">
        <v>22</v>
      </c>
      <c r="R231" s="136" t="s">
        <v>13</v>
      </c>
      <c r="S231" s="136">
        <v>324</v>
      </c>
      <c r="T231" s="136">
        <v>324</v>
      </c>
      <c r="U231" s="136">
        <f>+S231-T231</f>
        <v>0</v>
      </c>
      <c r="V231" s="136">
        <v>324</v>
      </c>
    </row>
    <row r="232" spans="1:22" x14ac:dyDescent="0.3">
      <c r="A232" s="136" t="s">
        <v>6</v>
      </c>
      <c r="B232" s="136" t="s">
        <v>5</v>
      </c>
      <c r="C232" s="136" t="s">
        <v>500</v>
      </c>
      <c r="D232" s="143">
        <v>42942</v>
      </c>
      <c r="E232" s="136">
        <v>10541.56</v>
      </c>
      <c r="F232" s="136" t="s">
        <v>14</v>
      </c>
      <c r="G232" s="140" t="s">
        <v>11</v>
      </c>
      <c r="H232" s="136" t="s">
        <v>12</v>
      </c>
      <c r="J232" s="139">
        <v>28</v>
      </c>
      <c r="K232" s="138">
        <v>8235.6</v>
      </c>
      <c r="L232" s="136">
        <v>0</v>
      </c>
      <c r="M232" s="136">
        <f t="shared" si="29"/>
        <v>1152.9840000000002</v>
      </c>
      <c r="N232" s="136">
        <f t="shared" si="30"/>
        <v>1152.9840000000002</v>
      </c>
      <c r="O232" s="136">
        <v>0</v>
      </c>
      <c r="P232" s="175">
        <v>87081090</v>
      </c>
      <c r="Q232" s="137" t="s">
        <v>22</v>
      </c>
      <c r="R232" s="136" t="s">
        <v>13</v>
      </c>
      <c r="S232" s="136">
        <v>60</v>
      </c>
      <c r="T232" s="136">
        <v>60</v>
      </c>
      <c r="U232" s="136">
        <f>+S232-T232</f>
        <v>0</v>
      </c>
      <c r="V232" s="136">
        <v>60</v>
      </c>
    </row>
    <row r="233" spans="1:22" x14ac:dyDescent="0.3">
      <c r="A233" s="136" t="s">
        <v>214</v>
      </c>
      <c r="B233" s="136" t="s">
        <v>215</v>
      </c>
      <c r="C233" s="136" t="s">
        <v>501</v>
      </c>
      <c r="D233" s="143">
        <v>42942</v>
      </c>
      <c r="E233" s="136">
        <v>53760</v>
      </c>
      <c r="F233" s="136" t="s">
        <v>14</v>
      </c>
      <c r="G233" s="140" t="s">
        <v>11</v>
      </c>
      <c r="H233" s="136" t="s">
        <v>12</v>
      </c>
      <c r="J233" s="139">
        <v>28</v>
      </c>
      <c r="K233" s="138">
        <v>42000</v>
      </c>
      <c r="L233" s="136">
        <v>0</v>
      </c>
      <c r="M233" s="136">
        <f t="shared" si="29"/>
        <v>5880.0000000000009</v>
      </c>
      <c r="N233" s="136">
        <f t="shared" si="30"/>
        <v>5880.0000000000009</v>
      </c>
      <c r="O233" s="136">
        <v>0</v>
      </c>
      <c r="P233" s="175">
        <v>85129000</v>
      </c>
      <c r="Q233" s="137" t="s">
        <v>22</v>
      </c>
      <c r="R233" s="136" t="s">
        <v>13</v>
      </c>
      <c r="S233" s="136">
        <v>1680</v>
      </c>
      <c r="T233" s="136">
        <v>1680</v>
      </c>
      <c r="U233" s="136">
        <f t="shared" ref="U233" si="31">+S233-T233</f>
        <v>0</v>
      </c>
      <c r="V233" s="136">
        <v>1680</v>
      </c>
    </row>
    <row r="234" spans="1:22" x14ac:dyDescent="0.3">
      <c r="A234" s="136" t="s">
        <v>6</v>
      </c>
      <c r="B234" s="136" t="s">
        <v>5</v>
      </c>
      <c r="C234" s="136" t="s">
        <v>502</v>
      </c>
      <c r="D234" s="143">
        <v>42942</v>
      </c>
      <c r="E234" s="136">
        <v>53509.48</v>
      </c>
      <c r="F234" s="136" t="s">
        <v>14</v>
      </c>
      <c r="G234" s="140" t="s">
        <v>11</v>
      </c>
      <c r="H234" s="136" t="s">
        <v>12</v>
      </c>
      <c r="J234" s="139">
        <v>28</v>
      </c>
      <c r="K234" s="138">
        <v>41804.28</v>
      </c>
      <c r="L234" s="136">
        <v>0</v>
      </c>
      <c r="M234" s="136">
        <f t="shared" si="29"/>
        <v>5852.5992000000006</v>
      </c>
      <c r="N234" s="136">
        <f t="shared" si="30"/>
        <v>5852.5992000000006</v>
      </c>
      <c r="O234" s="136">
        <v>0</v>
      </c>
      <c r="P234" s="175">
        <v>87081090</v>
      </c>
      <c r="Q234" s="137" t="s">
        <v>22</v>
      </c>
      <c r="R234" s="136" t="s">
        <v>13</v>
      </c>
      <c r="S234" s="136">
        <v>504</v>
      </c>
      <c r="T234" s="136">
        <v>504</v>
      </c>
      <c r="U234" s="136">
        <f>+S234-T234</f>
        <v>0</v>
      </c>
      <c r="V234" s="136">
        <v>504</v>
      </c>
    </row>
    <row r="235" spans="1:22" x14ac:dyDescent="0.3">
      <c r="A235" s="136" t="s">
        <v>6</v>
      </c>
      <c r="B235" s="136" t="s">
        <v>5</v>
      </c>
      <c r="C235" s="136" t="s">
        <v>503</v>
      </c>
      <c r="D235" s="143">
        <v>42942</v>
      </c>
      <c r="E235" s="136">
        <v>44591.24</v>
      </c>
      <c r="F235" s="136" t="s">
        <v>14</v>
      </c>
      <c r="G235" s="140" t="s">
        <v>11</v>
      </c>
      <c r="H235" s="136" t="s">
        <v>12</v>
      </c>
      <c r="J235" s="139">
        <v>28</v>
      </c>
      <c r="K235" s="138">
        <v>34836.9</v>
      </c>
      <c r="L235" s="136">
        <v>0</v>
      </c>
      <c r="M235" s="136">
        <f t="shared" si="29"/>
        <v>4877.1660000000011</v>
      </c>
      <c r="N235" s="136">
        <f t="shared" si="30"/>
        <v>4877.1660000000011</v>
      </c>
      <c r="O235" s="136">
        <v>0</v>
      </c>
      <c r="P235" s="175">
        <v>87081090</v>
      </c>
      <c r="Q235" s="137" t="s">
        <v>22</v>
      </c>
      <c r="R235" s="136" t="s">
        <v>13</v>
      </c>
      <c r="S235" s="136">
        <v>420</v>
      </c>
      <c r="T235" s="136">
        <v>420</v>
      </c>
      <c r="U235" s="136">
        <f>+S235-T235</f>
        <v>0</v>
      </c>
      <c r="V235" s="136">
        <v>420</v>
      </c>
    </row>
    <row r="236" spans="1:22" x14ac:dyDescent="0.3">
      <c r="A236" s="136" t="s">
        <v>40</v>
      </c>
      <c r="B236" s="136" t="s">
        <v>39</v>
      </c>
      <c r="C236" s="136" t="s">
        <v>504</v>
      </c>
      <c r="D236" s="143">
        <v>42943</v>
      </c>
      <c r="E236" s="136">
        <v>10058.56</v>
      </c>
      <c r="F236" s="136" t="s">
        <v>14</v>
      </c>
      <c r="G236" s="140" t="s">
        <v>11</v>
      </c>
      <c r="H236" s="136" t="s">
        <v>12</v>
      </c>
      <c r="J236" s="139">
        <v>18</v>
      </c>
      <c r="K236" s="138">
        <v>8524.2000000000007</v>
      </c>
      <c r="L236" s="136">
        <v>0</v>
      </c>
      <c r="M236" s="136">
        <f t="shared" si="29"/>
        <v>767.178</v>
      </c>
      <c r="N236" s="136">
        <f t="shared" si="30"/>
        <v>767.178</v>
      </c>
      <c r="O236" s="136">
        <v>0</v>
      </c>
      <c r="P236" s="175">
        <v>998898</v>
      </c>
      <c r="Q236" s="137" t="s">
        <v>22</v>
      </c>
      <c r="R236" s="136" t="s">
        <v>13</v>
      </c>
      <c r="S236" s="136">
        <v>0</v>
      </c>
      <c r="T236" s="136">
        <v>0</v>
      </c>
      <c r="U236" s="136">
        <f t="shared" ref="U236:U238" si="32">+S236-T236</f>
        <v>0</v>
      </c>
      <c r="V236" s="136">
        <v>30</v>
      </c>
    </row>
    <row r="237" spans="1:22" x14ac:dyDescent="0.3">
      <c r="A237" s="136" t="s">
        <v>40</v>
      </c>
      <c r="B237" s="136" t="s">
        <v>39</v>
      </c>
      <c r="C237" s="136" t="s">
        <v>505</v>
      </c>
      <c r="D237" s="143">
        <v>42943</v>
      </c>
      <c r="E237" s="136">
        <v>8802.7999999999993</v>
      </c>
      <c r="F237" s="136" t="s">
        <v>14</v>
      </c>
      <c r="G237" s="140" t="s">
        <v>11</v>
      </c>
      <c r="H237" s="136" t="s">
        <v>12</v>
      </c>
      <c r="J237" s="139">
        <v>18</v>
      </c>
      <c r="K237" s="138">
        <v>7460</v>
      </c>
      <c r="L237" s="136">
        <v>0</v>
      </c>
      <c r="M237" s="136">
        <f t="shared" si="29"/>
        <v>671.4</v>
      </c>
      <c r="N237" s="136">
        <f t="shared" si="30"/>
        <v>671.4</v>
      </c>
      <c r="O237" s="136">
        <v>0</v>
      </c>
      <c r="P237" s="175">
        <v>998898</v>
      </c>
      <c r="Q237" s="137" t="s">
        <v>22</v>
      </c>
      <c r="R237" s="136" t="s">
        <v>13</v>
      </c>
      <c r="S237" s="136">
        <v>0</v>
      </c>
      <c r="T237" s="136">
        <v>0</v>
      </c>
      <c r="U237" s="136">
        <f t="shared" si="32"/>
        <v>0</v>
      </c>
      <c r="V237" s="136">
        <v>20</v>
      </c>
    </row>
    <row r="238" spans="1:22" x14ac:dyDescent="0.3">
      <c r="A238" s="136" t="s">
        <v>40</v>
      </c>
      <c r="B238" s="136" t="s">
        <v>39</v>
      </c>
      <c r="C238" s="136" t="s">
        <v>506</v>
      </c>
      <c r="D238" s="143">
        <v>42943</v>
      </c>
      <c r="E238" s="136">
        <v>8802.7999999999993</v>
      </c>
      <c r="F238" s="136" t="s">
        <v>14</v>
      </c>
      <c r="G238" s="140" t="s">
        <v>11</v>
      </c>
      <c r="H238" s="136" t="s">
        <v>12</v>
      </c>
      <c r="J238" s="139">
        <v>18</v>
      </c>
      <c r="K238" s="138">
        <v>7460</v>
      </c>
      <c r="L238" s="136">
        <v>0</v>
      </c>
      <c r="M238" s="136">
        <f t="shared" si="29"/>
        <v>671.4</v>
      </c>
      <c r="N238" s="136">
        <f t="shared" si="30"/>
        <v>671.4</v>
      </c>
      <c r="O238" s="136">
        <v>0</v>
      </c>
      <c r="P238" s="175">
        <v>998898</v>
      </c>
      <c r="Q238" s="137" t="s">
        <v>22</v>
      </c>
      <c r="R238" s="136" t="s">
        <v>13</v>
      </c>
      <c r="S238" s="136">
        <v>0</v>
      </c>
      <c r="T238" s="136">
        <v>0</v>
      </c>
      <c r="U238" s="136">
        <f t="shared" si="32"/>
        <v>0</v>
      </c>
      <c r="V238" s="136">
        <v>20</v>
      </c>
    </row>
    <row r="239" spans="1:22" x14ac:dyDescent="0.3">
      <c r="A239" s="136" t="s">
        <v>6</v>
      </c>
      <c r="B239" s="136" t="s">
        <v>5</v>
      </c>
      <c r="C239" s="136" t="s">
        <v>507</v>
      </c>
      <c r="D239" s="143">
        <v>42943</v>
      </c>
      <c r="E239" s="136">
        <v>43317.2</v>
      </c>
      <c r="F239" s="136" t="s">
        <v>14</v>
      </c>
      <c r="G239" s="140" t="s">
        <v>11</v>
      </c>
      <c r="H239" s="136" t="s">
        <v>12</v>
      </c>
      <c r="J239" s="139">
        <v>28</v>
      </c>
      <c r="K239" s="138">
        <v>33841.56</v>
      </c>
      <c r="L239" s="136">
        <v>0</v>
      </c>
      <c r="M239" s="136">
        <f t="shared" si="29"/>
        <v>4737.8184000000001</v>
      </c>
      <c r="N239" s="136">
        <f t="shared" si="30"/>
        <v>4737.8184000000001</v>
      </c>
      <c r="O239" s="136">
        <v>0</v>
      </c>
      <c r="P239" s="175">
        <v>87081090</v>
      </c>
      <c r="Q239" s="137" t="s">
        <v>22</v>
      </c>
      <c r="R239" s="136" t="s">
        <v>13</v>
      </c>
      <c r="S239" s="136">
        <v>408</v>
      </c>
      <c r="T239" s="136">
        <v>408</v>
      </c>
      <c r="U239" s="136">
        <f>+S239-T239</f>
        <v>0</v>
      </c>
      <c r="V239" s="136">
        <v>408</v>
      </c>
    </row>
    <row r="240" spans="1:22" x14ac:dyDescent="0.3">
      <c r="A240" s="136" t="s">
        <v>187</v>
      </c>
      <c r="B240" s="136" t="s">
        <v>178</v>
      </c>
      <c r="C240" s="136" t="s">
        <v>508</v>
      </c>
      <c r="D240" s="143">
        <v>42943</v>
      </c>
      <c r="E240" s="136">
        <v>34302.980000000003</v>
      </c>
      <c r="F240" s="136" t="s">
        <v>14</v>
      </c>
      <c r="G240" s="140" t="s">
        <v>11</v>
      </c>
      <c r="H240" s="136" t="s">
        <v>12</v>
      </c>
      <c r="J240" s="139">
        <v>28</v>
      </c>
      <c r="K240" s="138">
        <v>26799.200000000001</v>
      </c>
      <c r="L240" s="136">
        <v>0</v>
      </c>
      <c r="M240" s="136">
        <f t="shared" si="29"/>
        <v>3751.8880000000004</v>
      </c>
      <c r="N240" s="136">
        <f t="shared" si="30"/>
        <v>3751.8880000000004</v>
      </c>
      <c r="O240" s="136">
        <v>0</v>
      </c>
      <c r="P240" s="175">
        <v>87089900</v>
      </c>
      <c r="Q240" s="137" t="s">
        <v>22</v>
      </c>
      <c r="R240" s="136" t="s">
        <v>13</v>
      </c>
      <c r="S240" s="136">
        <v>80</v>
      </c>
      <c r="T240" s="136">
        <v>80</v>
      </c>
      <c r="U240" s="136">
        <f t="shared" ref="U240:U242" si="33">+S240-T240</f>
        <v>0</v>
      </c>
      <c r="V240" s="136">
        <v>80</v>
      </c>
    </row>
    <row r="241" spans="1:22" x14ac:dyDescent="0.3">
      <c r="A241" s="136" t="s">
        <v>187</v>
      </c>
      <c r="B241" s="136" t="s">
        <v>178</v>
      </c>
      <c r="C241" s="136" t="s">
        <v>509</v>
      </c>
      <c r="D241" s="143">
        <v>42943</v>
      </c>
      <c r="E241" s="136">
        <v>25231.360000000001</v>
      </c>
      <c r="F241" s="136" t="s">
        <v>14</v>
      </c>
      <c r="G241" s="140" t="s">
        <v>11</v>
      </c>
      <c r="H241" s="136" t="s">
        <v>12</v>
      </c>
      <c r="J241" s="139">
        <v>28</v>
      </c>
      <c r="K241" s="138">
        <v>19712</v>
      </c>
      <c r="L241" s="136">
        <v>0</v>
      </c>
      <c r="M241" s="136">
        <f t="shared" si="29"/>
        <v>2759.6800000000003</v>
      </c>
      <c r="N241" s="136">
        <f t="shared" si="30"/>
        <v>2759.6800000000003</v>
      </c>
      <c r="O241" s="136">
        <v>0</v>
      </c>
      <c r="P241" s="175">
        <v>87089900</v>
      </c>
      <c r="Q241" s="137" t="s">
        <v>22</v>
      </c>
      <c r="R241" s="136" t="s">
        <v>13</v>
      </c>
      <c r="S241" s="136">
        <v>64</v>
      </c>
      <c r="T241" s="136">
        <v>64</v>
      </c>
      <c r="U241" s="136">
        <f t="shared" si="33"/>
        <v>0</v>
      </c>
      <c r="V241" s="136">
        <v>64</v>
      </c>
    </row>
    <row r="242" spans="1:22" x14ac:dyDescent="0.3">
      <c r="A242" s="136" t="s">
        <v>185</v>
      </c>
      <c r="B242" s="136" t="s">
        <v>184</v>
      </c>
      <c r="C242" s="136" t="s">
        <v>510</v>
      </c>
      <c r="D242" s="143">
        <v>42943</v>
      </c>
      <c r="E242" s="136">
        <v>93280.9</v>
      </c>
      <c r="F242" s="136" t="s">
        <v>14</v>
      </c>
      <c r="G242" s="140" t="s">
        <v>11</v>
      </c>
      <c r="H242" s="136" t="s">
        <v>12</v>
      </c>
      <c r="J242" s="139">
        <v>28</v>
      </c>
      <c r="K242" s="138">
        <v>72875.7</v>
      </c>
      <c r="L242" s="136">
        <v>0</v>
      </c>
      <c r="M242" s="136">
        <f t="shared" si="29"/>
        <v>10202.598</v>
      </c>
      <c r="N242" s="136">
        <f t="shared" si="30"/>
        <v>10202.598</v>
      </c>
      <c r="O242" s="136">
        <v>0</v>
      </c>
      <c r="P242" s="175">
        <v>85129000</v>
      </c>
      <c r="Q242" s="137" t="s">
        <v>22</v>
      </c>
      <c r="R242" s="136" t="s">
        <v>13</v>
      </c>
      <c r="S242" s="136">
        <v>1215</v>
      </c>
      <c r="T242" s="136">
        <v>1215</v>
      </c>
      <c r="U242" s="136">
        <f t="shared" si="33"/>
        <v>0</v>
      </c>
      <c r="V242" s="136">
        <v>1215</v>
      </c>
    </row>
    <row r="243" spans="1:22" x14ac:dyDescent="0.3">
      <c r="A243" s="136" t="s">
        <v>6</v>
      </c>
      <c r="B243" s="136" t="s">
        <v>5</v>
      </c>
      <c r="C243" s="136" t="s">
        <v>511</v>
      </c>
      <c r="D243" s="143">
        <v>42943</v>
      </c>
      <c r="E243" s="136">
        <v>50961.4</v>
      </c>
      <c r="F243" s="136" t="s">
        <v>14</v>
      </c>
      <c r="G243" s="140" t="s">
        <v>11</v>
      </c>
      <c r="H243" s="136" t="s">
        <v>12</v>
      </c>
      <c r="J243" s="139">
        <v>28</v>
      </c>
      <c r="K243" s="138">
        <v>39813.599999999999</v>
      </c>
      <c r="L243" s="136">
        <v>0</v>
      </c>
      <c r="M243" s="136">
        <f t="shared" si="29"/>
        <v>5573.9040000000005</v>
      </c>
      <c r="N243" s="136">
        <f t="shared" si="30"/>
        <v>5573.9040000000005</v>
      </c>
      <c r="O243" s="136">
        <v>0</v>
      </c>
      <c r="P243" s="175">
        <v>87081090</v>
      </c>
      <c r="Q243" s="137" t="s">
        <v>22</v>
      </c>
      <c r="R243" s="136" t="s">
        <v>13</v>
      </c>
      <c r="S243" s="136">
        <v>480</v>
      </c>
      <c r="T243" s="136">
        <v>480</v>
      </c>
      <c r="U243" s="136">
        <f>+S243-T243</f>
        <v>0</v>
      </c>
      <c r="V243" s="136">
        <v>480</v>
      </c>
    </row>
    <row r="244" spans="1:22" x14ac:dyDescent="0.3">
      <c r="A244" s="136" t="s">
        <v>6</v>
      </c>
      <c r="B244" s="136" t="s">
        <v>5</v>
      </c>
      <c r="C244" s="136" t="s">
        <v>512</v>
      </c>
      <c r="D244" s="143">
        <v>42943</v>
      </c>
      <c r="E244" s="136">
        <v>18493.439999999999</v>
      </c>
      <c r="F244" s="136" t="s">
        <v>14</v>
      </c>
      <c r="G244" s="140" t="s">
        <v>11</v>
      </c>
      <c r="H244" s="136" t="s">
        <v>12</v>
      </c>
      <c r="J244" s="139">
        <v>28</v>
      </c>
      <c r="K244" s="138">
        <v>14448</v>
      </c>
      <c r="L244" s="136">
        <v>0</v>
      </c>
      <c r="M244" s="136">
        <f t="shared" si="29"/>
        <v>2022.7200000000003</v>
      </c>
      <c r="N244" s="136">
        <f t="shared" si="30"/>
        <v>2022.7200000000003</v>
      </c>
      <c r="O244" s="136">
        <v>0</v>
      </c>
      <c r="P244" s="175">
        <v>87141090</v>
      </c>
      <c r="Q244" s="137" t="s">
        <v>22</v>
      </c>
      <c r="R244" s="136" t="s">
        <v>13</v>
      </c>
      <c r="S244" s="136">
        <v>192</v>
      </c>
      <c r="T244" s="136">
        <v>192</v>
      </c>
      <c r="U244" s="136">
        <f>+S244-T244</f>
        <v>0</v>
      </c>
      <c r="V244" s="136">
        <v>192</v>
      </c>
    </row>
    <row r="245" spans="1:22" x14ac:dyDescent="0.3">
      <c r="A245" s="136" t="s">
        <v>6</v>
      </c>
      <c r="B245" s="136" t="s">
        <v>5</v>
      </c>
      <c r="C245" s="136" t="s">
        <v>513</v>
      </c>
      <c r="D245" s="143">
        <v>42943</v>
      </c>
      <c r="E245" s="136">
        <v>20384.560000000001</v>
      </c>
      <c r="F245" s="136" t="s">
        <v>14</v>
      </c>
      <c r="G245" s="140" t="s">
        <v>11</v>
      </c>
      <c r="H245" s="136" t="s">
        <v>12</v>
      </c>
      <c r="J245" s="139">
        <v>28</v>
      </c>
      <c r="K245" s="138">
        <v>15925.44</v>
      </c>
      <c r="L245" s="136">
        <v>0</v>
      </c>
      <c r="M245" s="136">
        <f t="shared" si="29"/>
        <v>2229.5616000000005</v>
      </c>
      <c r="N245" s="136">
        <f t="shared" si="30"/>
        <v>2229.5616000000005</v>
      </c>
      <c r="O245" s="136">
        <v>0</v>
      </c>
      <c r="P245" s="175">
        <v>87081090</v>
      </c>
      <c r="Q245" s="137" t="s">
        <v>22</v>
      </c>
      <c r="R245" s="136" t="s">
        <v>13</v>
      </c>
      <c r="S245" s="136">
        <v>192</v>
      </c>
      <c r="T245" s="136">
        <v>192</v>
      </c>
      <c r="U245" s="136">
        <f>+S245-T245</f>
        <v>0</v>
      </c>
      <c r="V245" s="136">
        <v>192</v>
      </c>
    </row>
    <row r="246" spans="1:22" x14ac:dyDescent="0.3">
      <c r="A246" s="136" t="s">
        <v>6</v>
      </c>
      <c r="B246" s="136" t="s">
        <v>5</v>
      </c>
      <c r="C246" s="136" t="s">
        <v>514</v>
      </c>
      <c r="D246" s="143">
        <v>42943</v>
      </c>
      <c r="E246" s="136">
        <v>25094.400000000001</v>
      </c>
      <c r="F246" s="136" t="s">
        <v>14</v>
      </c>
      <c r="G246" s="140" t="s">
        <v>11</v>
      </c>
      <c r="H246" s="136" t="s">
        <v>12</v>
      </c>
      <c r="J246" s="139">
        <v>28</v>
      </c>
      <c r="K246" s="138">
        <v>19605</v>
      </c>
      <c r="L246" s="136">
        <v>0</v>
      </c>
      <c r="M246" s="136">
        <f t="shared" si="29"/>
        <v>2744.7000000000003</v>
      </c>
      <c r="N246" s="136">
        <f t="shared" si="30"/>
        <v>2744.7000000000003</v>
      </c>
      <c r="O246" s="136">
        <v>0</v>
      </c>
      <c r="P246" s="175">
        <v>87141090</v>
      </c>
      <c r="Q246" s="137" t="s">
        <v>22</v>
      </c>
      <c r="R246" s="136" t="s">
        <v>13</v>
      </c>
      <c r="S246" s="136">
        <v>420</v>
      </c>
      <c r="T246" s="136">
        <v>420</v>
      </c>
      <c r="U246" s="136">
        <f>+S246-T246</f>
        <v>0</v>
      </c>
      <c r="V246" s="136">
        <v>420</v>
      </c>
    </row>
    <row r="247" spans="1:22" x14ac:dyDescent="0.3">
      <c r="A247" s="136" t="s">
        <v>376</v>
      </c>
      <c r="B247" s="136" t="s">
        <v>375</v>
      </c>
      <c r="C247" s="136" t="s">
        <v>515</v>
      </c>
      <c r="D247" s="143">
        <v>42943</v>
      </c>
      <c r="E247" s="136">
        <v>3398.4</v>
      </c>
      <c r="F247" s="136" t="s">
        <v>14</v>
      </c>
      <c r="G247" s="140" t="s">
        <v>11</v>
      </c>
      <c r="H247" s="136" t="s">
        <v>12</v>
      </c>
      <c r="J247" s="139">
        <v>18</v>
      </c>
      <c r="K247" s="138">
        <v>2880</v>
      </c>
      <c r="L247" s="136">
        <v>0</v>
      </c>
      <c r="M247" s="136">
        <f t="shared" si="29"/>
        <v>259.2</v>
      </c>
      <c r="N247" s="136">
        <f t="shared" si="30"/>
        <v>259.2</v>
      </c>
      <c r="O247" s="136">
        <v>0</v>
      </c>
      <c r="P247" s="175">
        <v>998898</v>
      </c>
      <c r="Q247" s="137" t="s">
        <v>22</v>
      </c>
      <c r="R247" s="136" t="s">
        <v>13</v>
      </c>
      <c r="S247" s="136">
        <v>0</v>
      </c>
      <c r="T247" s="136">
        <v>0</v>
      </c>
      <c r="U247" s="136">
        <f t="shared" ref="U247" si="34">+S247-T247</f>
        <v>0</v>
      </c>
      <c r="V247" s="136">
        <v>9</v>
      </c>
    </row>
    <row r="248" spans="1:22" x14ac:dyDescent="0.3">
      <c r="A248" s="136" t="s">
        <v>6</v>
      </c>
      <c r="B248" s="136" t="s">
        <v>5</v>
      </c>
      <c r="C248" s="136" t="s">
        <v>516</v>
      </c>
      <c r="D248" s="143">
        <v>42943</v>
      </c>
      <c r="E248" s="136">
        <v>57331.6</v>
      </c>
      <c r="F248" s="136" t="s">
        <v>14</v>
      </c>
      <c r="G248" s="140" t="s">
        <v>11</v>
      </c>
      <c r="H248" s="136" t="s">
        <v>12</v>
      </c>
      <c r="J248" s="139">
        <v>28</v>
      </c>
      <c r="K248" s="138">
        <v>44790.3</v>
      </c>
      <c r="L248" s="136">
        <v>0</v>
      </c>
      <c r="M248" s="136">
        <f t="shared" si="29"/>
        <v>6270.6420000000007</v>
      </c>
      <c r="N248" s="136">
        <f t="shared" si="30"/>
        <v>6270.6420000000007</v>
      </c>
      <c r="O248" s="136">
        <v>0</v>
      </c>
      <c r="P248" s="175">
        <v>87081090</v>
      </c>
      <c r="Q248" s="137" t="s">
        <v>22</v>
      </c>
      <c r="R248" s="136" t="s">
        <v>13</v>
      </c>
      <c r="S248" s="136">
        <v>540</v>
      </c>
      <c r="T248" s="136">
        <v>540</v>
      </c>
      <c r="U248" s="136">
        <f>+S248-T248</f>
        <v>0</v>
      </c>
      <c r="V248" s="136">
        <v>540</v>
      </c>
    </row>
    <row r="249" spans="1:22" x14ac:dyDescent="0.3">
      <c r="A249" s="136" t="s">
        <v>6</v>
      </c>
      <c r="B249" s="136" t="s">
        <v>5</v>
      </c>
      <c r="C249" s="136" t="s">
        <v>517</v>
      </c>
      <c r="D249" s="143">
        <v>42943</v>
      </c>
      <c r="E249" s="136">
        <v>57331.6</v>
      </c>
      <c r="F249" s="136" t="s">
        <v>14</v>
      </c>
      <c r="G249" s="140" t="s">
        <v>11</v>
      </c>
      <c r="H249" s="136" t="s">
        <v>12</v>
      </c>
      <c r="J249" s="139">
        <v>28</v>
      </c>
      <c r="K249" s="138">
        <v>44790.3</v>
      </c>
      <c r="L249" s="136">
        <v>0</v>
      </c>
      <c r="M249" s="136">
        <f t="shared" si="29"/>
        <v>6270.6420000000007</v>
      </c>
      <c r="N249" s="136">
        <f t="shared" si="30"/>
        <v>6270.6420000000007</v>
      </c>
      <c r="O249" s="136">
        <v>0</v>
      </c>
      <c r="P249" s="175">
        <v>87081090</v>
      </c>
      <c r="Q249" s="137" t="s">
        <v>22</v>
      </c>
      <c r="R249" s="136" t="s">
        <v>13</v>
      </c>
      <c r="S249" s="136">
        <v>540</v>
      </c>
      <c r="T249" s="136">
        <v>540</v>
      </c>
      <c r="U249" s="136">
        <f>+S249-T249</f>
        <v>0</v>
      </c>
      <c r="V249" s="136">
        <v>540</v>
      </c>
    </row>
    <row r="250" spans="1:22" x14ac:dyDescent="0.3">
      <c r="A250" s="136" t="s">
        <v>328</v>
      </c>
      <c r="B250" s="136" t="s">
        <v>327</v>
      </c>
      <c r="C250" s="136" t="s">
        <v>521</v>
      </c>
      <c r="D250" s="143">
        <v>42944</v>
      </c>
      <c r="E250" s="136">
        <v>50166.28</v>
      </c>
      <c r="F250" s="136" t="s">
        <v>14</v>
      </c>
      <c r="G250" s="140" t="s">
        <v>11</v>
      </c>
      <c r="H250" s="136" t="s">
        <v>12</v>
      </c>
      <c r="J250" s="139">
        <v>28</v>
      </c>
      <c r="K250" s="138">
        <v>39192.400000000001</v>
      </c>
      <c r="L250" s="136">
        <v>0</v>
      </c>
      <c r="M250" s="136">
        <f t="shared" si="29"/>
        <v>5486.9360000000006</v>
      </c>
      <c r="N250" s="136">
        <f t="shared" si="30"/>
        <v>5486.9360000000006</v>
      </c>
      <c r="O250" s="136">
        <v>0</v>
      </c>
      <c r="P250" s="175">
        <v>87141090</v>
      </c>
      <c r="Q250" s="137" t="s">
        <v>22</v>
      </c>
      <c r="R250" s="136" t="s">
        <v>13</v>
      </c>
      <c r="S250" s="136">
        <v>520</v>
      </c>
      <c r="T250" s="136">
        <v>520</v>
      </c>
      <c r="U250" s="136">
        <f t="shared" ref="U250:U252" si="35">+S250-T250</f>
        <v>0</v>
      </c>
      <c r="V250" s="136">
        <v>520</v>
      </c>
    </row>
    <row r="251" spans="1:22" x14ac:dyDescent="0.3">
      <c r="A251" s="136" t="s">
        <v>40</v>
      </c>
      <c r="B251" s="136" t="s">
        <v>39</v>
      </c>
      <c r="C251" s="136" t="s">
        <v>522</v>
      </c>
      <c r="D251" s="143">
        <v>42944</v>
      </c>
      <c r="E251" s="136">
        <v>10058.56</v>
      </c>
      <c r="F251" s="136" t="s">
        <v>14</v>
      </c>
      <c r="G251" s="140" t="s">
        <v>11</v>
      </c>
      <c r="H251" s="136" t="s">
        <v>12</v>
      </c>
      <c r="J251" s="139">
        <v>18</v>
      </c>
      <c r="K251" s="138">
        <v>8524.2000000000007</v>
      </c>
      <c r="L251" s="136">
        <v>0</v>
      </c>
      <c r="M251" s="136">
        <f t="shared" si="29"/>
        <v>767.178</v>
      </c>
      <c r="N251" s="136">
        <f t="shared" si="30"/>
        <v>767.178</v>
      </c>
      <c r="O251" s="136">
        <v>0</v>
      </c>
      <c r="P251" s="175">
        <v>998898</v>
      </c>
      <c r="Q251" s="137" t="s">
        <v>22</v>
      </c>
      <c r="R251" s="136" t="s">
        <v>13</v>
      </c>
      <c r="S251" s="136">
        <v>0</v>
      </c>
      <c r="T251" s="136">
        <v>0</v>
      </c>
      <c r="U251" s="136">
        <f t="shared" si="35"/>
        <v>0</v>
      </c>
      <c r="V251" s="136">
        <v>30</v>
      </c>
    </row>
    <row r="252" spans="1:22" x14ac:dyDescent="0.3">
      <c r="A252" s="136" t="s">
        <v>187</v>
      </c>
      <c r="B252" s="136" t="s">
        <v>178</v>
      </c>
      <c r="C252" s="136" t="s">
        <v>523</v>
      </c>
      <c r="D252" s="143">
        <v>42944</v>
      </c>
      <c r="E252" s="136">
        <v>10980.24</v>
      </c>
      <c r="F252" s="136" t="s">
        <v>14</v>
      </c>
      <c r="G252" s="140" t="s">
        <v>11</v>
      </c>
      <c r="H252" s="136" t="s">
        <v>12</v>
      </c>
      <c r="J252" s="139">
        <v>28</v>
      </c>
      <c r="K252" s="138">
        <v>8578.32</v>
      </c>
      <c r="L252" s="136">
        <v>0</v>
      </c>
      <c r="M252" s="136">
        <f t="shared" si="29"/>
        <v>1200.9648</v>
      </c>
      <c r="N252" s="136">
        <f t="shared" si="30"/>
        <v>1200.9648</v>
      </c>
      <c r="O252" s="136">
        <v>0</v>
      </c>
      <c r="P252" s="175">
        <v>87089900</v>
      </c>
      <c r="Q252" s="137" t="s">
        <v>22</v>
      </c>
      <c r="R252" s="136" t="s">
        <v>13</v>
      </c>
      <c r="S252" s="136">
        <v>24</v>
      </c>
      <c r="T252" s="136">
        <v>24</v>
      </c>
      <c r="U252" s="136">
        <f t="shared" si="35"/>
        <v>0</v>
      </c>
      <c r="V252" s="136">
        <v>24</v>
      </c>
    </row>
    <row r="253" spans="1:22" x14ac:dyDescent="0.3">
      <c r="A253" s="136" t="s">
        <v>6</v>
      </c>
      <c r="B253" s="136" t="s">
        <v>5</v>
      </c>
      <c r="C253" s="136" t="s">
        <v>524</v>
      </c>
      <c r="D253" s="143">
        <v>42944</v>
      </c>
      <c r="E253" s="136">
        <v>50961.4</v>
      </c>
      <c r="F253" s="136" t="s">
        <v>14</v>
      </c>
      <c r="G253" s="140" t="s">
        <v>11</v>
      </c>
      <c r="H253" s="136" t="s">
        <v>12</v>
      </c>
      <c r="J253" s="139">
        <v>28</v>
      </c>
      <c r="K253" s="138">
        <v>39813.599999999999</v>
      </c>
      <c r="L253" s="136">
        <v>0</v>
      </c>
      <c r="M253" s="136">
        <f t="shared" si="29"/>
        <v>5573.9040000000005</v>
      </c>
      <c r="N253" s="136">
        <f t="shared" si="30"/>
        <v>5573.9040000000005</v>
      </c>
      <c r="O253" s="136">
        <v>0</v>
      </c>
      <c r="P253" s="175">
        <v>87081090</v>
      </c>
      <c r="Q253" s="137" t="s">
        <v>22</v>
      </c>
      <c r="R253" s="136" t="s">
        <v>13</v>
      </c>
      <c r="S253" s="136">
        <v>480</v>
      </c>
      <c r="T253" s="136">
        <v>480</v>
      </c>
      <c r="U253" s="136">
        <f>+S253-T253</f>
        <v>0</v>
      </c>
      <c r="V253" s="136">
        <v>480</v>
      </c>
    </row>
    <row r="254" spans="1:22" x14ac:dyDescent="0.3">
      <c r="A254" s="136" t="s">
        <v>6</v>
      </c>
      <c r="B254" s="136" t="s">
        <v>5</v>
      </c>
      <c r="C254" s="136" t="s">
        <v>525</v>
      </c>
      <c r="D254" s="143">
        <v>42944</v>
      </c>
      <c r="E254" s="136">
        <v>13536</v>
      </c>
      <c r="F254" s="136" t="s">
        <v>14</v>
      </c>
      <c r="G254" s="140" t="s">
        <v>11</v>
      </c>
      <c r="H254" s="136" t="s">
        <v>12</v>
      </c>
      <c r="J254" s="139">
        <v>28</v>
      </c>
      <c r="K254" s="138">
        <v>10575</v>
      </c>
      <c r="L254" s="136">
        <v>0</v>
      </c>
      <c r="M254" s="136">
        <f t="shared" si="29"/>
        <v>1480.5000000000002</v>
      </c>
      <c r="N254" s="136">
        <f t="shared" si="30"/>
        <v>1480.5000000000002</v>
      </c>
      <c r="O254" s="136">
        <v>0</v>
      </c>
      <c r="P254" s="175">
        <v>87141090</v>
      </c>
      <c r="Q254" s="137" t="s">
        <v>22</v>
      </c>
      <c r="R254" s="136" t="s">
        <v>13</v>
      </c>
      <c r="S254" s="136">
        <v>300</v>
      </c>
      <c r="T254" s="136">
        <v>300</v>
      </c>
      <c r="U254" s="136">
        <f>+S254-T254</f>
        <v>0</v>
      </c>
      <c r="V254" s="136">
        <v>300</v>
      </c>
    </row>
    <row r="255" spans="1:22" x14ac:dyDescent="0.3">
      <c r="A255" s="136" t="s">
        <v>376</v>
      </c>
      <c r="B255" s="136" t="s">
        <v>375</v>
      </c>
      <c r="C255" s="136" t="s">
        <v>526</v>
      </c>
      <c r="D255" s="143">
        <v>42944</v>
      </c>
      <c r="E255" s="136">
        <v>4531.2</v>
      </c>
      <c r="F255" s="136" t="s">
        <v>14</v>
      </c>
      <c r="G255" s="140" t="s">
        <v>11</v>
      </c>
      <c r="H255" s="136" t="s">
        <v>12</v>
      </c>
      <c r="J255" s="139">
        <v>18</v>
      </c>
      <c r="K255" s="138">
        <v>3840</v>
      </c>
      <c r="L255" s="136">
        <v>0</v>
      </c>
      <c r="M255" s="136">
        <f t="shared" si="29"/>
        <v>345.59999999999997</v>
      </c>
      <c r="N255" s="136">
        <f t="shared" si="30"/>
        <v>345.59999999999997</v>
      </c>
      <c r="O255" s="136">
        <v>0</v>
      </c>
      <c r="P255" s="175">
        <v>998898</v>
      </c>
      <c r="Q255" s="137" t="s">
        <v>22</v>
      </c>
      <c r="R255" s="136" t="s">
        <v>13</v>
      </c>
      <c r="S255" s="136">
        <v>0</v>
      </c>
      <c r="T255" s="136">
        <v>0</v>
      </c>
      <c r="U255" s="136">
        <f t="shared" ref="U255:U256" si="36">+S255-T255</f>
        <v>0</v>
      </c>
      <c r="V255" s="136">
        <v>12</v>
      </c>
    </row>
    <row r="256" spans="1:22" x14ac:dyDescent="0.3">
      <c r="A256" s="136" t="s">
        <v>376</v>
      </c>
      <c r="B256" s="136" t="s">
        <v>375</v>
      </c>
      <c r="C256" s="136" t="s">
        <v>527</v>
      </c>
      <c r="D256" s="143">
        <v>42944</v>
      </c>
      <c r="E256" s="136">
        <v>4841.16</v>
      </c>
      <c r="F256" s="136" t="s">
        <v>14</v>
      </c>
      <c r="G256" s="140" t="s">
        <v>11</v>
      </c>
      <c r="H256" s="136" t="s">
        <v>12</v>
      </c>
      <c r="J256" s="139">
        <v>18</v>
      </c>
      <c r="K256" s="138">
        <v>4102.68</v>
      </c>
      <c r="L256" s="136">
        <v>0</v>
      </c>
      <c r="M256" s="136">
        <f t="shared" si="29"/>
        <v>369.24119999999999</v>
      </c>
      <c r="N256" s="136">
        <f t="shared" si="30"/>
        <v>369.24119999999999</v>
      </c>
      <c r="O256" s="136">
        <v>0</v>
      </c>
      <c r="P256" s="175">
        <v>998898</v>
      </c>
      <c r="Q256" s="137" t="s">
        <v>22</v>
      </c>
      <c r="R256" s="136" t="s">
        <v>13</v>
      </c>
      <c r="S256" s="136">
        <v>0</v>
      </c>
      <c r="T256" s="136">
        <v>0</v>
      </c>
      <c r="U256" s="136">
        <f t="shared" si="36"/>
        <v>0</v>
      </c>
      <c r="V256" s="136">
        <v>12</v>
      </c>
    </row>
    <row r="257" spans="1:22" x14ac:dyDescent="0.3">
      <c r="A257" s="136" t="s">
        <v>6</v>
      </c>
      <c r="B257" s="136" t="s">
        <v>5</v>
      </c>
      <c r="C257" s="136" t="s">
        <v>528</v>
      </c>
      <c r="D257" s="143">
        <v>42944</v>
      </c>
      <c r="E257" s="136">
        <v>35673</v>
      </c>
      <c r="F257" s="136" t="s">
        <v>14</v>
      </c>
      <c r="G257" s="140" t="s">
        <v>11</v>
      </c>
      <c r="H257" s="136" t="s">
        <v>12</v>
      </c>
      <c r="J257" s="139">
        <v>28</v>
      </c>
      <c r="K257" s="138">
        <v>27869.52</v>
      </c>
      <c r="L257" s="136">
        <v>0</v>
      </c>
      <c r="M257" s="136">
        <f t="shared" si="29"/>
        <v>3901.7328000000002</v>
      </c>
      <c r="N257" s="136">
        <f t="shared" si="30"/>
        <v>3901.7328000000002</v>
      </c>
      <c r="O257" s="136">
        <v>0</v>
      </c>
      <c r="P257" s="175">
        <v>87081090</v>
      </c>
      <c r="Q257" s="137" t="s">
        <v>22</v>
      </c>
      <c r="R257" s="136" t="s">
        <v>13</v>
      </c>
      <c r="S257" s="136">
        <v>336</v>
      </c>
      <c r="T257" s="136">
        <v>336</v>
      </c>
      <c r="U257" s="136">
        <f>+S257-T257</f>
        <v>0</v>
      </c>
      <c r="V257" s="136">
        <v>336</v>
      </c>
    </row>
    <row r="258" spans="1:22" x14ac:dyDescent="0.3">
      <c r="A258" s="136" t="s">
        <v>214</v>
      </c>
      <c r="B258" s="136" t="s">
        <v>215</v>
      </c>
      <c r="C258" s="136" t="s">
        <v>529</v>
      </c>
      <c r="D258" s="143">
        <v>42944</v>
      </c>
      <c r="E258" s="136">
        <v>15360</v>
      </c>
      <c r="F258" s="136" t="s">
        <v>14</v>
      </c>
      <c r="G258" s="140" t="s">
        <v>11</v>
      </c>
      <c r="H258" s="136" t="s">
        <v>12</v>
      </c>
      <c r="J258" s="139">
        <v>28</v>
      </c>
      <c r="K258" s="138">
        <v>12000</v>
      </c>
      <c r="L258" s="136">
        <v>0</v>
      </c>
      <c r="M258" s="136">
        <f t="shared" si="29"/>
        <v>1680.0000000000002</v>
      </c>
      <c r="N258" s="136">
        <f t="shared" si="30"/>
        <v>1680.0000000000002</v>
      </c>
      <c r="O258" s="136">
        <v>0</v>
      </c>
      <c r="P258" s="175">
        <v>85129000</v>
      </c>
      <c r="Q258" s="137" t="s">
        <v>22</v>
      </c>
      <c r="R258" s="136" t="s">
        <v>13</v>
      </c>
      <c r="S258" s="136">
        <v>480</v>
      </c>
      <c r="T258" s="136">
        <v>480</v>
      </c>
      <c r="U258" s="136">
        <f t="shared" ref="U258" si="37">+S258-T258</f>
        <v>0</v>
      </c>
      <c r="V258" s="136">
        <v>480</v>
      </c>
    </row>
    <row r="259" spans="1:22" x14ac:dyDescent="0.3">
      <c r="A259" s="136" t="s">
        <v>6</v>
      </c>
      <c r="B259" s="136" t="s">
        <v>5</v>
      </c>
      <c r="C259" s="136" t="s">
        <v>530</v>
      </c>
      <c r="D259" s="143">
        <v>42944</v>
      </c>
      <c r="E259" s="136">
        <v>44591.24</v>
      </c>
      <c r="F259" s="136" t="s">
        <v>14</v>
      </c>
      <c r="G259" s="140" t="s">
        <v>11</v>
      </c>
      <c r="H259" s="136" t="s">
        <v>12</v>
      </c>
      <c r="J259" s="139">
        <v>28</v>
      </c>
      <c r="K259" s="138">
        <v>34836.9</v>
      </c>
      <c r="L259" s="136">
        <v>0</v>
      </c>
      <c r="M259" s="136">
        <f t="shared" si="29"/>
        <v>4877.1660000000011</v>
      </c>
      <c r="N259" s="136">
        <f t="shared" si="30"/>
        <v>4877.1660000000011</v>
      </c>
      <c r="O259" s="136">
        <v>0</v>
      </c>
      <c r="P259" s="175">
        <v>87081090</v>
      </c>
      <c r="Q259" s="137" t="s">
        <v>22</v>
      </c>
      <c r="R259" s="136" t="s">
        <v>13</v>
      </c>
      <c r="S259" s="136">
        <v>420</v>
      </c>
      <c r="T259" s="136">
        <v>420</v>
      </c>
      <c r="U259" s="136">
        <f>+S259-T259</f>
        <v>0</v>
      </c>
      <c r="V259" s="136">
        <v>420</v>
      </c>
    </row>
    <row r="260" spans="1:22" x14ac:dyDescent="0.3">
      <c r="A260" s="136" t="s">
        <v>6</v>
      </c>
      <c r="B260" s="136" t="s">
        <v>5</v>
      </c>
      <c r="C260" s="136" t="s">
        <v>531</v>
      </c>
      <c r="D260" s="143">
        <v>42945</v>
      </c>
      <c r="E260" s="136">
        <v>28028.76</v>
      </c>
      <c r="F260" s="136" t="s">
        <v>14</v>
      </c>
      <c r="G260" s="140" t="s">
        <v>11</v>
      </c>
      <c r="H260" s="136" t="s">
        <v>12</v>
      </c>
      <c r="J260" s="139">
        <v>28</v>
      </c>
      <c r="K260" s="138">
        <v>21897.48</v>
      </c>
      <c r="L260" s="136">
        <v>0</v>
      </c>
      <c r="M260" s="136">
        <f t="shared" si="29"/>
        <v>3065.6472000000003</v>
      </c>
      <c r="N260" s="136">
        <f t="shared" si="30"/>
        <v>3065.6472000000003</v>
      </c>
      <c r="O260" s="136">
        <v>0</v>
      </c>
      <c r="P260" s="175">
        <v>87081090</v>
      </c>
      <c r="Q260" s="137" t="s">
        <v>22</v>
      </c>
      <c r="R260" s="136" t="s">
        <v>13</v>
      </c>
      <c r="S260" s="136">
        <v>264</v>
      </c>
      <c r="T260" s="136">
        <v>264</v>
      </c>
      <c r="U260" s="136">
        <f>+S260-T260</f>
        <v>0</v>
      </c>
      <c r="V260" s="136">
        <v>264</v>
      </c>
    </row>
    <row r="261" spans="1:22" x14ac:dyDescent="0.3">
      <c r="A261" s="136" t="s">
        <v>6</v>
      </c>
      <c r="B261" s="136" t="s">
        <v>5</v>
      </c>
      <c r="C261" s="136" t="s">
        <v>532</v>
      </c>
      <c r="D261" s="143">
        <v>42945</v>
      </c>
      <c r="E261" s="136">
        <v>19649.28</v>
      </c>
      <c r="F261" s="136" t="s">
        <v>14</v>
      </c>
      <c r="G261" s="140" t="s">
        <v>11</v>
      </c>
      <c r="H261" s="136" t="s">
        <v>12</v>
      </c>
      <c r="J261" s="139">
        <v>28</v>
      </c>
      <c r="K261" s="138">
        <v>15351</v>
      </c>
      <c r="L261" s="136">
        <v>0</v>
      </c>
      <c r="M261" s="136">
        <f t="shared" si="29"/>
        <v>2149.1400000000003</v>
      </c>
      <c r="N261" s="136">
        <f t="shared" si="30"/>
        <v>2149.1400000000003</v>
      </c>
      <c r="O261" s="136">
        <v>0</v>
      </c>
      <c r="P261" s="175">
        <v>87141090</v>
      </c>
      <c r="Q261" s="137" t="s">
        <v>22</v>
      </c>
      <c r="R261" s="136" t="s">
        <v>13</v>
      </c>
      <c r="S261" s="136">
        <v>204</v>
      </c>
      <c r="T261" s="136">
        <v>204</v>
      </c>
      <c r="U261" s="136">
        <f>+S261-T261</f>
        <v>0</v>
      </c>
      <c r="V261" s="136">
        <v>204</v>
      </c>
    </row>
    <row r="262" spans="1:22" x14ac:dyDescent="0.3">
      <c r="A262" s="136" t="s">
        <v>328</v>
      </c>
      <c r="B262" s="136" t="s">
        <v>327</v>
      </c>
      <c r="C262" s="136" t="s">
        <v>533</v>
      </c>
      <c r="D262" s="143">
        <v>42945</v>
      </c>
      <c r="E262" s="136">
        <v>75249.399999999994</v>
      </c>
      <c r="F262" s="136" t="s">
        <v>14</v>
      </c>
      <c r="G262" s="140" t="s">
        <v>11</v>
      </c>
      <c r="H262" s="136" t="s">
        <v>12</v>
      </c>
      <c r="J262" s="139">
        <v>28</v>
      </c>
      <c r="K262" s="138">
        <v>58788.6</v>
      </c>
      <c r="L262" s="136">
        <v>0</v>
      </c>
      <c r="M262" s="136">
        <f t="shared" ref="M262:M291" si="38">+J262/100*K262/2</f>
        <v>8230.4040000000005</v>
      </c>
      <c r="N262" s="136">
        <f t="shared" ref="N262:N291" si="39">+J262/100*K262/2</f>
        <v>8230.4040000000005</v>
      </c>
      <c r="O262" s="136">
        <v>0</v>
      </c>
      <c r="P262" s="175">
        <v>87141090</v>
      </c>
      <c r="Q262" s="137" t="s">
        <v>22</v>
      </c>
      <c r="R262" s="136" t="s">
        <v>13</v>
      </c>
      <c r="S262" s="136">
        <v>780</v>
      </c>
      <c r="T262" s="136">
        <v>780</v>
      </c>
      <c r="U262" s="136">
        <f t="shared" ref="U262:U265" si="40">+S262-T262</f>
        <v>0</v>
      </c>
      <c r="V262" s="136">
        <v>780</v>
      </c>
    </row>
    <row r="263" spans="1:22" x14ac:dyDescent="0.3">
      <c r="A263" s="136" t="s">
        <v>187</v>
      </c>
      <c r="B263" s="136" t="s">
        <v>178</v>
      </c>
      <c r="C263" s="136" t="s">
        <v>534</v>
      </c>
      <c r="D263" s="143">
        <v>42945</v>
      </c>
      <c r="E263" s="136">
        <v>45283.22</v>
      </c>
      <c r="F263" s="136" t="s">
        <v>14</v>
      </c>
      <c r="G263" s="140" t="s">
        <v>11</v>
      </c>
      <c r="H263" s="136" t="s">
        <v>12</v>
      </c>
      <c r="J263" s="139">
        <v>28</v>
      </c>
      <c r="K263" s="138">
        <v>35377.519999999997</v>
      </c>
      <c r="L263" s="136">
        <v>0</v>
      </c>
      <c r="M263" s="136">
        <f t="shared" si="38"/>
        <v>4952.8527999999997</v>
      </c>
      <c r="N263" s="136">
        <f t="shared" si="39"/>
        <v>4952.8527999999997</v>
      </c>
      <c r="O263" s="136">
        <v>0</v>
      </c>
      <c r="P263" s="175">
        <v>87089900</v>
      </c>
      <c r="Q263" s="137" t="s">
        <v>22</v>
      </c>
      <c r="R263" s="136" t="s">
        <v>13</v>
      </c>
      <c r="S263" s="136">
        <v>104</v>
      </c>
      <c r="T263" s="136">
        <v>104</v>
      </c>
      <c r="U263" s="136">
        <f t="shared" si="40"/>
        <v>0</v>
      </c>
      <c r="V263" s="136">
        <v>104</v>
      </c>
    </row>
    <row r="264" spans="1:22" x14ac:dyDescent="0.3">
      <c r="A264" s="136" t="s">
        <v>187</v>
      </c>
      <c r="B264" s="136" t="s">
        <v>178</v>
      </c>
      <c r="C264" s="136" t="s">
        <v>535</v>
      </c>
      <c r="D264" s="143">
        <v>42945</v>
      </c>
      <c r="E264" s="136">
        <v>12615.68</v>
      </c>
      <c r="F264" s="136" t="s">
        <v>14</v>
      </c>
      <c r="G264" s="140" t="s">
        <v>11</v>
      </c>
      <c r="H264" s="136" t="s">
        <v>12</v>
      </c>
      <c r="J264" s="139">
        <v>28</v>
      </c>
      <c r="K264" s="138">
        <v>9856</v>
      </c>
      <c r="L264" s="136">
        <v>0</v>
      </c>
      <c r="M264" s="136">
        <f t="shared" si="38"/>
        <v>1379.8400000000001</v>
      </c>
      <c r="N264" s="136">
        <f t="shared" si="39"/>
        <v>1379.8400000000001</v>
      </c>
      <c r="O264" s="136">
        <v>0</v>
      </c>
      <c r="P264" s="175">
        <v>87089900</v>
      </c>
      <c r="Q264" s="137" t="s">
        <v>22</v>
      </c>
      <c r="R264" s="136" t="s">
        <v>13</v>
      </c>
      <c r="S264" s="136">
        <v>32</v>
      </c>
      <c r="T264" s="136">
        <v>32</v>
      </c>
      <c r="U264" s="136">
        <f t="shared" si="40"/>
        <v>0</v>
      </c>
      <c r="V264" s="136">
        <v>32</v>
      </c>
    </row>
    <row r="265" spans="1:22" x14ac:dyDescent="0.3">
      <c r="A265" s="136" t="s">
        <v>40</v>
      </c>
      <c r="B265" s="136" t="s">
        <v>39</v>
      </c>
      <c r="C265" s="136" t="s">
        <v>536</v>
      </c>
      <c r="D265" s="143">
        <v>42945</v>
      </c>
      <c r="E265" s="136">
        <v>10393.84</v>
      </c>
      <c r="F265" s="136" t="s">
        <v>14</v>
      </c>
      <c r="G265" s="140" t="s">
        <v>11</v>
      </c>
      <c r="H265" s="136" t="s">
        <v>12</v>
      </c>
      <c r="J265" s="139">
        <v>18</v>
      </c>
      <c r="K265" s="138">
        <v>8808.34</v>
      </c>
      <c r="L265" s="136">
        <v>0</v>
      </c>
      <c r="M265" s="136">
        <f t="shared" si="38"/>
        <v>792.75059999999996</v>
      </c>
      <c r="N265" s="136">
        <f t="shared" si="39"/>
        <v>792.75059999999996</v>
      </c>
      <c r="O265" s="136">
        <v>0</v>
      </c>
      <c r="P265" s="175">
        <v>998898</v>
      </c>
      <c r="Q265" s="137" t="s">
        <v>22</v>
      </c>
      <c r="R265" s="136" t="s">
        <v>13</v>
      </c>
      <c r="S265" s="136">
        <v>0</v>
      </c>
      <c r="T265" s="136">
        <v>0</v>
      </c>
      <c r="U265" s="136">
        <f t="shared" si="40"/>
        <v>0</v>
      </c>
      <c r="V265" s="136">
        <v>30</v>
      </c>
    </row>
    <row r="266" spans="1:22" x14ac:dyDescent="0.3">
      <c r="A266" s="136" t="s">
        <v>6</v>
      </c>
      <c r="B266" s="136" t="s">
        <v>5</v>
      </c>
      <c r="C266" s="136" t="s">
        <v>537</v>
      </c>
      <c r="D266" s="143">
        <v>42945</v>
      </c>
      <c r="E266" s="136">
        <v>43317.2</v>
      </c>
      <c r="F266" s="136" t="s">
        <v>14</v>
      </c>
      <c r="G266" s="140" t="s">
        <v>11</v>
      </c>
      <c r="H266" s="136" t="s">
        <v>12</v>
      </c>
      <c r="J266" s="139">
        <v>28</v>
      </c>
      <c r="K266" s="138">
        <v>33841.56</v>
      </c>
      <c r="L266" s="136">
        <v>0</v>
      </c>
      <c r="M266" s="136">
        <f t="shared" si="38"/>
        <v>4737.8184000000001</v>
      </c>
      <c r="N266" s="136">
        <f t="shared" si="39"/>
        <v>4737.8184000000001</v>
      </c>
      <c r="O266" s="136">
        <v>0</v>
      </c>
      <c r="P266" s="175">
        <v>87081090</v>
      </c>
      <c r="Q266" s="137" t="s">
        <v>22</v>
      </c>
      <c r="R266" s="136" t="s">
        <v>13</v>
      </c>
      <c r="S266" s="136">
        <v>408</v>
      </c>
      <c r="T266" s="136">
        <v>408</v>
      </c>
      <c r="U266" s="136">
        <f>+S266-T266</f>
        <v>0</v>
      </c>
      <c r="V266" s="136">
        <v>408</v>
      </c>
    </row>
    <row r="267" spans="1:22" x14ac:dyDescent="0.3">
      <c r="A267" s="136" t="s">
        <v>6</v>
      </c>
      <c r="B267" s="136" t="s">
        <v>5</v>
      </c>
      <c r="C267" s="136" t="s">
        <v>538</v>
      </c>
      <c r="D267" s="143">
        <v>42945</v>
      </c>
      <c r="E267" s="136">
        <v>10402.56</v>
      </c>
      <c r="F267" s="136" t="s">
        <v>14</v>
      </c>
      <c r="G267" s="140" t="s">
        <v>11</v>
      </c>
      <c r="H267" s="136" t="s">
        <v>12</v>
      </c>
      <c r="J267" s="139">
        <v>28</v>
      </c>
      <c r="K267" s="138">
        <v>8127</v>
      </c>
      <c r="L267" s="136">
        <v>0</v>
      </c>
      <c r="M267" s="136">
        <f t="shared" si="38"/>
        <v>1137.7800000000002</v>
      </c>
      <c r="N267" s="136">
        <f t="shared" si="39"/>
        <v>1137.7800000000002</v>
      </c>
      <c r="O267" s="136">
        <v>0</v>
      </c>
      <c r="P267" s="175">
        <v>87141090</v>
      </c>
      <c r="Q267" s="137" t="s">
        <v>22</v>
      </c>
      <c r="R267" s="136" t="s">
        <v>13</v>
      </c>
      <c r="S267" s="136">
        <v>108</v>
      </c>
      <c r="T267" s="136">
        <v>108</v>
      </c>
      <c r="U267" s="136">
        <f>+S267-T267</f>
        <v>0</v>
      </c>
      <c r="V267" s="136">
        <v>108</v>
      </c>
    </row>
    <row r="268" spans="1:22" x14ac:dyDescent="0.3">
      <c r="A268" s="136" t="s">
        <v>185</v>
      </c>
      <c r="B268" s="136" t="s">
        <v>184</v>
      </c>
      <c r="C268" s="136" t="s">
        <v>539</v>
      </c>
      <c r="D268" s="143">
        <v>42945</v>
      </c>
      <c r="E268" s="136">
        <v>60805.32</v>
      </c>
      <c r="F268" s="136" t="s">
        <v>14</v>
      </c>
      <c r="G268" s="140" t="s">
        <v>11</v>
      </c>
      <c r="H268" s="136" t="s">
        <v>12</v>
      </c>
      <c r="J268" s="139">
        <v>28</v>
      </c>
      <c r="K268" s="138">
        <v>47504.160000000003</v>
      </c>
      <c r="L268" s="136">
        <v>0</v>
      </c>
      <c r="M268" s="136">
        <f t="shared" si="38"/>
        <v>6650.5824000000011</v>
      </c>
      <c r="N268" s="136">
        <f t="shared" si="39"/>
        <v>6650.5824000000011</v>
      </c>
      <c r="O268" s="136">
        <v>0</v>
      </c>
      <c r="P268" s="175">
        <v>85129000</v>
      </c>
      <c r="Q268" s="137" t="s">
        <v>22</v>
      </c>
      <c r="R268" s="136" t="s">
        <v>13</v>
      </c>
      <c r="S268" s="136">
        <v>792</v>
      </c>
      <c r="T268" s="136">
        <v>792</v>
      </c>
      <c r="U268" s="136">
        <f t="shared" ref="U268" si="41">+S268-T268</f>
        <v>0</v>
      </c>
      <c r="V268" s="136">
        <v>792</v>
      </c>
    </row>
    <row r="269" spans="1:22" x14ac:dyDescent="0.3">
      <c r="A269" s="136" t="s">
        <v>6</v>
      </c>
      <c r="B269" s="136" t="s">
        <v>5</v>
      </c>
      <c r="C269" s="136" t="s">
        <v>540</v>
      </c>
      <c r="D269" s="143">
        <v>42945</v>
      </c>
      <c r="E269" s="136">
        <v>14618.88</v>
      </c>
      <c r="F269" s="136" t="s">
        <v>14</v>
      </c>
      <c r="G269" s="140" t="s">
        <v>11</v>
      </c>
      <c r="H269" s="136" t="s">
        <v>12</v>
      </c>
      <c r="J269" s="139">
        <v>28</v>
      </c>
      <c r="K269" s="138">
        <v>11421</v>
      </c>
      <c r="L269" s="136">
        <v>0</v>
      </c>
      <c r="M269" s="136">
        <f t="shared" si="38"/>
        <v>1598.94</v>
      </c>
      <c r="N269" s="136">
        <f t="shared" si="39"/>
        <v>1598.94</v>
      </c>
      <c r="O269" s="136">
        <v>0</v>
      </c>
      <c r="P269" s="175">
        <v>87141090</v>
      </c>
      <c r="Q269" s="137" t="s">
        <v>22</v>
      </c>
      <c r="R269" s="136" t="s">
        <v>13</v>
      </c>
      <c r="S269" s="136">
        <v>324</v>
      </c>
      <c r="T269" s="136">
        <v>324</v>
      </c>
      <c r="U269" s="136">
        <f>+S269-T269</f>
        <v>0</v>
      </c>
      <c r="V269" s="136">
        <v>324</v>
      </c>
    </row>
    <row r="270" spans="1:22" x14ac:dyDescent="0.3">
      <c r="A270" s="136" t="s">
        <v>6</v>
      </c>
      <c r="B270" s="136" t="s">
        <v>5</v>
      </c>
      <c r="C270" s="136" t="s">
        <v>541</v>
      </c>
      <c r="D270" s="143">
        <v>42945</v>
      </c>
      <c r="E270" s="136">
        <v>45865.279999999999</v>
      </c>
      <c r="F270" s="136" t="s">
        <v>14</v>
      </c>
      <c r="G270" s="140" t="s">
        <v>11</v>
      </c>
      <c r="H270" s="136" t="s">
        <v>12</v>
      </c>
      <c r="J270" s="139">
        <v>28</v>
      </c>
      <c r="K270" s="138">
        <v>35832.239999999998</v>
      </c>
      <c r="L270" s="136">
        <v>0</v>
      </c>
      <c r="M270" s="136">
        <f t="shared" si="38"/>
        <v>5016.5136000000002</v>
      </c>
      <c r="N270" s="136">
        <f t="shared" si="39"/>
        <v>5016.5136000000002</v>
      </c>
      <c r="O270" s="136">
        <v>0</v>
      </c>
      <c r="P270" s="175">
        <v>87081090</v>
      </c>
      <c r="Q270" s="137" t="s">
        <v>22</v>
      </c>
      <c r="R270" s="136" t="s">
        <v>13</v>
      </c>
      <c r="S270" s="136">
        <v>432</v>
      </c>
      <c r="T270" s="136">
        <v>432</v>
      </c>
      <c r="U270" s="136">
        <f>+S270-T270</f>
        <v>0</v>
      </c>
      <c r="V270" s="136">
        <v>432</v>
      </c>
    </row>
    <row r="271" spans="1:22" x14ac:dyDescent="0.3">
      <c r="A271" s="136" t="s">
        <v>342</v>
      </c>
      <c r="B271" s="136" t="s">
        <v>341</v>
      </c>
      <c r="C271" s="136" t="s">
        <v>542</v>
      </c>
      <c r="D271" s="143">
        <v>42945</v>
      </c>
      <c r="E271" s="136">
        <v>6962</v>
      </c>
      <c r="F271" s="136" t="s">
        <v>14</v>
      </c>
      <c r="G271" s="140" t="s">
        <v>11</v>
      </c>
      <c r="H271" s="136" t="s">
        <v>12</v>
      </c>
      <c r="J271" s="139">
        <v>18</v>
      </c>
      <c r="K271" s="138">
        <v>5900</v>
      </c>
      <c r="L271" s="136">
        <v>0</v>
      </c>
      <c r="M271" s="136">
        <f t="shared" si="38"/>
        <v>531</v>
      </c>
      <c r="N271" s="136">
        <f t="shared" si="39"/>
        <v>531</v>
      </c>
      <c r="O271" s="136">
        <v>0</v>
      </c>
      <c r="P271" s="175">
        <v>998873</v>
      </c>
      <c r="Q271" s="137" t="s">
        <v>22</v>
      </c>
      <c r="R271" s="136" t="s">
        <v>13</v>
      </c>
      <c r="S271" s="136">
        <v>0</v>
      </c>
      <c r="T271" s="136">
        <v>0</v>
      </c>
      <c r="U271" s="136">
        <f t="shared" ref="U271:U275" si="42">+S271-T271</f>
        <v>0</v>
      </c>
      <c r="V271" s="136">
        <v>200</v>
      </c>
    </row>
    <row r="272" spans="1:22" x14ac:dyDescent="0.3">
      <c r="A272" s="136" t="s">
        <v>342</v>
      </c>
      <c r="B272" s="136" t="s">
        <v>341</v>
      </c>
      <c r="C272" s="136" t="s">
        <v>543</v>
      </c>
      <c r="D272" s="143">
        <v>42945</v>
      </c>
      <c r="E272" s="136">
        <v>6962</v>
      </c>
      <c r="F272" s="136" t="s">
        <v>14</v>
      </c>
      <c r="G272" s="140" t="s">
        <v>11</v>
      </c>
      <c r="H272" s="136" t="s">
        <v>12</v>
      </c>
      <c r="J272" s="139">
        <v>18</v>
      </c>
      <c r="K272" s="138">
        <v>5900</v>
      </c>
      <c r="L272" s="136">
        <v>0</v>
      </c>
      <c r="M272" s="136">
        <f t="shared" si="38"/>
        <v>531</v>
      </c>
      <c r="N272" s="136">
        <f t="shared" si="39"/>
        <v>531</v>
      </c>
      <c r="O272" s="136">
        <v>0</v>
      </c>
      <c r="P272" s="175">
        <v>998873</v>
      </c>
      <c r="Q272" s="137" t="s">
        <v>22</v>
      </c>
      <c r="R272" s="136" t="s">
        <v>13</v>
      </c>
      <c r="S272" s="136">
        <v>0</v>
      </c>
      <c r="T272" s="136">
        <v>0</v>
      </c>
      <c r="U272" s="136">
        <f t="shared" si="42"/>
        <v>0</v>
      </c>
      <c r="V272" s="136">
        <v>200</v>
      </c>
    </row>
    <row r="273" spans="1:22" x14ac:dyDescent="0.3">
      <c r="A273" s="136" t="s">
        <v>376</v>
      </c>
      <c r="B273" s="136" t="s">
        <v>375</v>
      </c>
      <c r="C273" s="136" t="s">
        <v>544</v>
      </c>
      <c r="D273" s="143">
        <v>42945</v>
      </c>
      <c r="E273" s="136">
        <v>4531.2</v>
      </c>
      <c r="F273" s="136" t="s">
        <v>14</v>
      </c>
      <c r="G273" s="140" t="s">
        <v>11</v>
      </c>
      <c r="H273" s="136" t="s">
        <v>12</v>
      </c>
      <c r="J273" s="139">
        <v>18</v>
      </c>
      <c r="K273" s="138">
        <v>3840</v>
      </c>
      <c r="L273" s="136">
        <v>0</v>
      </c>
      <c r="M273" s="136">
        <f t="shared" si="38"/>
        <v>345.59999999999997</v>
      </c>
      <c r="N273" s="136">
        <f t="shared" si="39"/>
        <v>345.59999999999997</v>
      </c>
      <c r="O273" s="136">
        <v>0</v>
      </c>
      <c r="P273" s="175">
        <v>998898</v>
      </c>
      <c r="Q273" s="137" t="s">
        <v>22</v>
      </c>
      <c r="R273" s="136" t="s">
        <v>13</v>
      </c>
      <c r="S273" s="136">
        <v>0</v>
      </c>
      <c r="T273" s="136">
        <v>0</v>
      </c>
      <c r="U273" s="136">
        <f t="shared" si="42"/>
        <v>0</v>
      </c>
      <c r="V273" s="136">
        <v>12</v>
      </c>
    </row>
    <row r="274" spans="1:22" x14ac:dyDescent="0.3">
      <c r="A274" s="136" t="s">
        <v>376</v>
      </c>
      <c r="B274" s="136" t="s">
        <v>375</v>
      </c>
      <c r="C274" s="136" t="s">
        <v>545</v>
      </c>
      <c r="D274" s="143">
        <v>42945</v>
      </c>
      <c r="E274" s="136">
        <v>4531.2</v>
      </c>
      <c r="F274" s="136" t="s">
        <v>14</v>
      </c>
      <c r="G274" s="140" t="s">
        <v>11</v>
      </c>
      <c r="H274" s="136" t="s">
        <v>12</v>
      </c>
      <c r="J274" s="139">
        <v>18</v>
      </c>
      <c r="K274" s="138">
        <v>3840</v>
      </c>
      <c r="L274" s="136">
        <v>0</v>
      </c>
      <c r="M274" s="136">
        <f t="shared" si="38"/>
        <v>345.59999999999997</v>
      </c>
      <c r="N274" s="136">
        <f t="shared" si="39"/>
        <v>345.59999999999997</v>
      </c>
      <c r="O274" s="136">
        <v>0</v>
      </c>
      <c r="P274" s="175">
        <v>998898</v>
      </c>
      <c r="Q274" s="137" t="s">
        <v>22</v>
      </c>
      <c r="R274" s="136" t="s">
        <v>13</v>
      </c>
      <c r="S274" s="136">
        <v>0</v>
      </c>
      <c r="T274" s="136">
        <v>0</v>
      </c>
      <c r="U274" s="136">
        <f t="shared" si="42"/>
        <v>0</v>
      </c>
      <c r="V274" s="136">
        <v>12</v>
      </c>
    </row>
    <row r="275" spans="1:22" x14ac:dyDescent="0.3">
      <c r="A275" s="136" t="s">
        <v>188</v>
      </c>
      <c r="B275" s="136" t="s">
        <v>189</v>
      </c>
      <c r="C275" s="136" t="s">
        <v>546</v>
      </c>
      <c r="D275" s="143">
        <v>42945</v>
      </c>
      <c r="E275" s="136">
        <v>82487.8</v>
      </c>
      <c r="F275" s="136" t="s">
        <v>14</v>
      </c>
      <c r="G275" s="140" t="s">
        <v>11</v>
      </c>
      <c r="H275" s="136" t="s">
        <v>12</v>
      </c>
      <c r="J275" s="139">
        <v>28</v>
      </c>
      <c r="K275" s="138">
        <v>64443.6</v>
      </c>
      <c r="L275" s="136">
        <v>0</v>
      </c>
      <c r="M275" s="136">
        <f t="shared" si="38"/>
        <v>9022.1040000000012</v>
      </c>
      <c r="N275" s="136">
        <f t="shared" si="39"/>
        <v>9022.1040000000012</v>
      </c>
      <c r="O275" s="136">
        <v>0</v>
      </c>
      <c r="P275" s="175">
        <v>87141090</v>
      </c>
      <c r="Q275" s="137" t="s">
        <v>22</v>
      </c>
      <c r="R275" s="136" t="s">
        <v>13</v>
      </c>
      <c r="S275" s="136">
        <v>2808</v>
      </c>
      <c r="T275" s="136">
        <v>2808</v>
      </c>
      <c r="U275" s="136">
        <f t="shared" si="42"/>
        <v>0</v>
      </c>
      <c r="V275" s="136">
        <v>2808</v>
      </c>
    </row>
    <row r="276" spans="1:22" x14ac:dyDescent="0.3">
      <c r="A276" s="136" t="s">
        <v>6</v>
      </c>
      <c r="B276" s="136" t="s">
        <v>5</v>
      </c>
      <c r="C276" s="136" t="s">
        <v>547</v>
      </c>
      <c r="D276" s="143">
        <v>42945</v>
      </c>
      <c r="E276" s="136">
        <v>43317.2</v>
      </c>
      <c r="F276" s="136" t="s">
        <v>14</v>
      </c>
      <c r="G276" s="140" t="s">
        <v>11</v>
      </c>
      <c r="H276" s="136" t="s">
        <v>12</v>
      </c>
      <c r="J276" s="139">
        <v>28</v>
      </c>
      <c r="K276" s="138">
        <v>33841.56</v>
      </c>
      <c r="L276" s="136">
        <v>0</v>
      </c>
      <c r="M276" s="136">
        <f t="shared" si="38"/>
        <v>4737.8184000000001</v>
      </c>
      <c r="N276" s="136">
        <f t="shared" si="39"/>
        <v>4737.8184000000001</v>
      </c>
      <c r="O276" s="136">
        <v>0</v>
      </c>
      <c r="P276" s="175">
        <v>87081090</v>
      </c>
      <c r="Q276" s="137" t="s">
        <v>22</v>
      </c>
      <c r="R276" s="136" t="s">
        <v>13</v>
      </c>
      <c r="S276" s="136">
        <v>408</v>
      </c>
      <c r="T276" s="136">
        <v>408</v>
      </c>
      <c r="U276" s="136">
        <f>+S276-T276</f>
        <v>0</v>
      </c>
      <c r="V276" s="136">
        <v>408</v>
      </c>
    </row>
    <row r="277" spans="1:22" x14ac:dyDescent="0.3">
      <c r="A277" s="136" t="s">
        <v>187</v>
      </c>
      <c r="B277" s="136" t="s">
        <v>178</v>
      </c>
      <c r="C277" s="136" t="s">
        <v>548</v>
      </c>
      <c r="D277" s="143">
        <v>42945</v>
      </c>
      <c r="E277" s="136">
        <v>21960.5</v>
      </c>
      <c r="F277" s="136" t="s">
        <v>14</v>
      </c>
      <c r="G277" s="140" t="s">
        <v>11</v>
      </c>
      <c r="H277" s="136" t="s">
        <v>12</v>
      </c>
      <c r="J277" s="139">
        <v>28</v>
      </c>
      <c r="K277" s="138">
        <v>17156.64</v>
      </c>
      <c r="L277" s="136">
        <v>0</v>
      </c>
      <c r="M277" s="136">
        <f t="shared" si="38"/>
        <v>2401.9295999999999</v>
      </c>
      <c r="N277" s="136">
        <f t="shared" si="39"/>
        <v>2401.9295999999999</v>
      </c>
      <c r="O277" s="136">
        <v>0</v>
      </c>
      <c r="P277" s="175">
        <v>87089900</v>
      </c>
      <c r="Q277" s="137" t="s">
        <v>22</v>
      </c>
      <c r="R277" s="136" t="s">
        <v>13</v>
      </c>
      <c r="S277" s="136">
        <v>48</v>
      </c>
      <c r="T277" s="136">
        <v>48</v>
      </c>
      <c r="U277" s="136">
        <f t="shared" ref="U277:U291" si="43">+S277-T277</f>
        <v>0</v>
      </c>
      <c r="V277" s="136">
        <v>48</v>
      </c>
    </row>
    <row r="278" spans="1:22" x14ac:dyDescent="0.3">
      <c r="A278" s="136" t="s">
        <v>376</v>
      </c>
      <c r="B278" s="136" t="s">
        <v>375</v>
      </c>
      <c r="C278" s="136" t="s">
        <v>549</v>
      </c>
      <c r="D278" s="143">
        <v>42946</v>
      </c>
      <c r="E278" s="136">
        <v>4531.2</v>
      </c>
      <c r="F278" s="136" t="s">
        <v>14</v>
      </c>
      <c r="G278" s="140" t="s">
        <v>11</v>
      </c>
      <c r="H278" s="136" t="s">
        <v>12</v>
      </c>
      <c r="J278" s="139">
        <v>18</v>
      </c>
      <c r="K278" s="138">
        <v>3840</v>
      </c>
      <c r="L278" s="136">
        <v>0</v>
      </c>
      <c r="M278" s="136">
        <f t="shared" si="38"/>
        <v>345.59999999999997</v>
      </c>
      <c r="N278" s="136">
        <f t="shared" si="39"/>
        <v>345.59999999999997</v>
      </c>
      <c r="O278" s="136">
        <v>0</v>
      </c>
      <c r="P278" s="175">
        <v>998898</v>
      </c>
      <c r="Q278" s="137" t="s">
        <v>22</v>
      </c>
      <c r="R278" s="136" t="s">
        <v>13</v>
      </c>
      <c r="S278" s="136">
        <v>0</v>
      </c>
      <c r="T278" s="136">
        <v>0</v>
      </c>
      <c r="U278" s="136">
        <f t="shared" si="43"/>
        <v>0</v>
      </c>
      <c r="V278" s="136">
        <v>12</v>
      </c>
    </row>
    <row r="279" spans="1:22" x14ac:dyDescent="0.3">
      <c r="A279" s="136" t="s">
        <v>376</v>
      </c>
      <c r="B279" s="136" t="s">
        <v>375</v>
      </c>
      <c r="C279" s="136" t="s">
        <v>550</v>
      </c>
      <c r="D279" s="143">
        <v>42946</v>
      </c>
      <c r="E279" s="136">
        <v>4153.6000000000004</v>
      </c>
      <c r="F279" s="136" t="s">
        <v>14</v>
      </c>
      <c r="G279" s="140" t="s">
        <v>11</v>
      </c>
      <c r="H279" s="136" t="s">
        <v>12</v>
      </c>
      <c r="J279" s="139">
        <v>18</v>
      </c>
      <c r="K279" s="138">
        <v>3520</v>
      </c>
      <c r="L279" s="136">
        <v>0</v>
      </c>
      <c r="M279" s="136">
        <f t="shared" si="38"/>
        <v>316.8</v>
      </c>
      <c r="N279" s="136">
        <f t="shared" si="39"/>
        <v>316.8</v>
      </c>
      <c r="O279" s="136">
        <v>0</v>
      </c>
      <c r="P279" s="175">
        <v>998898</v>
      </c>
      <c r="Q279" s="137" t="s">
        <v>22</v>
      </c>
      <c r="R279" s="136" t="s">
        <v>13</v>
      </c>
      <c r="S279" s="136">
        <v>0</v>
      </c>
      <c r="T279" s="136">
        <v>0</v>
      </c>
      <c r="U279" s="136">
        <f t="shared" si="43"/>
        <v>0</v>
      </c>
      <c r="V279" s="136">
        <v>11</v>
      </c>
    </row>
    <row r="280" spans="1:22" x14ac:dyDescent="0.3">
      <c r="A280" s="136" t="s">
        <v>40</v>
      </c>
      <c r="B280" s="136" t="s">
        <v>39</v>
      </c>
      <c r="C280" s="136" t="s">
        <v>551</v>
      </c>
      <c r="D280" s="143">
        <v>42946</v>
      </c>
      <c r="E280" s="136">
        <v>10058.56</v>
      </c>
      <c r="F280" s="136" t="s">
        <v>14</v>
      </c>
      <c r="G280" s="140" t="s">
        <v>11</v>
      </c>
      <c r="H280" s="136" t="s">
        <v>12</v>
      </c>
      <c r="J280" s="139">
        <v>18</v>
      </c>
      <c r="K280" s="138">
        <v>8524.2000000000007</v>
      </c>
      <c r="L280" s="136">
        <v>0</v>
      </c>
      <c r="M280" s="136">
        <f t="shared" si="38"/>
        <v>767.178</v>
      </c>
      <c r="N280" s="136">
        <f t="shared" si="39"/>
        <v>767.178</v>
      </c>
      <c r="O280" s="136">
        <v>0</v>
      </c>
      <c r="P280" s="175">
        <v>998898</v>
      </c>
      <c r="Q280" s="137" t="s">
        <v>22</v>
      </c>
      <c r="R280" s="136" t="s">
        <v>13</v>
      </c>
      <c r="S280" s="136">
        <v>0</v>
      </c>
      <c r="T280" s="136">
        <v>0</v>
      </c>
      <c r="U280" s="136">
        <f t="shared" si="43"/>
        <v>0</v>
      </c>
      <c r="V280" s="136">
        <v>30</v>
      </c>
    </row>
    <row r="281" spans="1:22" x14ac:dyDescent="0.3">
      <c r="A281" s="136" t="s">
        <v>376</v>
      </c>
      <c r="B281" s="136" t="s">
        <v>375</v>
      </c>
      <c r="C281" s="136" t="s">
        <v>561</v>
      </c>
      <c r="D281" s="143">
        <v>42947</v>
      </c>
      <c r="E281" s="136">
        <v>4531.2</v>
      </c>
      <c r="F281" s="136" t="s">
        <v>14</v>
      </c>
      <c r="G281" s="140" t="s">
        <v>11</v>
      </c>
      <c r="H281" s="136" t="s">
        <v>12</v>
      </c>
      <c r="J281" s="139">
        <v>18</v>
      </c>
      <c r="K281" s="138">
        <v>3840</v>
      </c>
      <c r="L281" s="136">
        <v>0</v>
      </c>
      <c r="M281" s="136">
        <f t="shared" si="38"/>
        <v>345.59999999999997</v>
      </c>
      <c r="N281" s="136">
        <f t="shared" si="39"/>
        <v>345.59999999999997</v>
      </c>
      <c r="O281" s="136">
        <v>0</v>
      </c>
      <c r="P281" s="175">
        <v>998898</v>
      </c>
      <c r="Q281" s="137" t="s">
        <v>22</v>
      </c>
      <c r="R281" s="136" t="s">
        <v>13</v>
      </c>
      <c r="S281" s="136">
        <v>0</v>
      </c>
      <c r="T281" s="136">
        <v>0</v>
      </c>
      <c r="U281" s="136">
        <f t="shared" si="43"/>
        <v>0</v>
      </c>
      <c r="V281" s="136">
        <v>12</v>
      </c>
    </row>
    <row r="282" spans="1:22" x14ac:dyDescent="0.3">
      <c r="A282" s="136" t="s">
        <v>328</v>
      </c>
      <c r="B282" s="136" t="s">
        <v>327</v>
      </c>
      <c r="C282" s="136" t="s">
        <v>562</v>
      </c>
      <c r="D282" s="143">
        <v>42947</v>
      </c>
      <c r="E282" s="136">
        <v>69461</v>
      </c>
      <c r="F282" s="136" t="s">
        <v>14</v>
      </c>
      <c r="G282" s="140" t="s">
        <v>11</v>
      </c>
      <c r="H282" s="136" t="s">
        <v>12</v>
      </c>
      <c r="J282" s="139">
        <v>28</v>
      </c>
      <c r="K282" s="138">
        <v>54266.400000000001</v>
      </c>
      <c r="L282" s="136">
        <v>0</v>
      </c>
      <c r="M282" s="136">
        <f t="shared" si="38"/>
        <v>7597.2960000000012</v>
      </c>
      <c r="N282" s="136">
        <f t="shared" si="39"/>
        <v>7597.2960000000012</v>
      </c>
      <c r="O282" s="136">
        <v>0</v>
      </c>
      <c r="P282" s="175">
        <v>87141090</v>
      </c>
      <c r="Q282" s="137" t="s">
        <v>22</v>
      </c>
      <c r="R282" s="136" t="s">
        <v>13</v>
      </c>
      <c r="S282" s="136">
        <v>720</v>
      </c>
      <c r="T282" s="136">
        <v>720</v>
      </c>
      <c r="U282" s="136">
        <f t="shared" si="43"/>
        <v>0</v>
      </c>
      <c r="V282" s="136">
        <v>720</v>
      </c>
    </row>
    <row r="283" spans="1:22" x14ac:dyDescent="0.3">
      <c r="A283" s="136" t="s">
        <v>376</v>
      </c>
      <c r="B283" s="136" t="s">
        <v>375</v>
      </c>
      <c r="C283" s="136" t="s">
        <v>563</v>
      </c>
      <c r="D283" s="143">
        <v>42947</v>
      </c>
      <c r="E283" s="136">
        <v>3776</v>
      </c>
      <c r="F283" s="136" t="s">
        <v>14</v>
      </c>
      <c r="G283" s="140" t="s">
        <v>11</v>
      </c>
      <c r="H283" s="136" t="s">
        <v>12</v>
      </c>
      <c r="J283" s="139">
        <v>18</v>
      </c>
      <c r="K283" s="138">
        <v>3200</v>
      </c>
      <c r="L283" s="136">
        <v>0</v>
      </c>
      <c r="M283" s="136">
        <f t="shared" si="38"/>
        <v>288</v>
      </c>
      <c r="N283" s="136">
        <f t="shared" si="39"/>
        <v>288</v>
      </c>
      <c r="O283" s="136">
        <v>0</v>
      </c>
      <c r="P283" s="175">
        <v>998898</v>
      </c>
      <c r="Q283" s="137" t="s">
        <v>22</v>
      </c>
      <c r="R283" s="136" t="s">
        <v>13</v>
      </c>
      <c r="S283" s="136">
        <v>0</v>
      </c>
      <c r="T283" s="136">
        <v>0</v>
      </c>
      <c r="U283" s="136">
        <f t="shared" si="43"/>
        <v>0</v>
      </c>
      <c r="V283" s="136">
        <v>10</v>
      </c>
    </row>
    <row r="284" spans="1:22" x14ac:dyDescent="0.3">
      <c r="A284" s="136" t="s">
        <v>187</v>
      </c>
      <c r="B284" s="136" t="s">
        <v>178</v>
      </c>
      <c r="C284" s="136" t="s">
        <v>564</v>
      </c>
      <c r="D284" s="143">
        <v>42947</v>
      </c>
      <c r="E284" s="136">
        <v>53796.66</v>
      </c>
      <c r="F284" s="136" t="s">
        <v>14</v>
      </c>
      <c r="G284" s="140" t="s">
        <v>11</v>
      </c>
      <c r="H284" s="136" t="s">
        <v>12</v>
      </c>
      <c r="J284" s="139">
        <v>28</v>
      </c>
      <c r="K284" s="138">
        <v>42028.639999999999</v>
      </c>
      <c r="L284" s="136">
        <v>0</v>
      </c>
      <c r="M284" s="136">
        <f t="shared" si="38"/>
        <v>5884.0096000000003</v>
      </c>
      <c r="N284" s="136">
        <f t="shared" si="39"/>
        <v>5884.0096000000003</v>
      </c>
      <c r="O284" s="136">
        <v>0</v>
      </c>
      <c r="P284" s="175">
        <v>87089900</v>
      </c>
      <c r="Q284" s="137" t="s">
        <v>22</v>
      </c>
      <c r="R284" s="136" t="s">
        <v>13</v>
      </c>
      <c r="S284" s="136">
        <v>112</v>
      </c>
      <c r="T284" s="136">
        <v>112</v>
      </c>
      <c r="U284" s="136">
        <f t="shared" si="43"/>
        <v>0</v>
      </c>
      <c r="V284" s="136">
        <v>112</v>
      </c>
    </row>
    <row r="285" spans="1:22" x14ac:dyDescent="0.3">
      <c r="A285" s="136" t="s">
        <v>214</v>
      </c>
      <c r="B285" s="136" t="s">
        <v>215</v>
      </c>
      <c r="C285" s="136" t="s">
        <v>565</v>
      </c>
      <c r="D285" s="143">
        <v>42947</v>
      </c>
      <c r="E285" s="136">
        <v>130560</v>
      </c>
      <c r="F285" s="136" t="s">
        <v>14</v>
      </c>
      <c r="G285" s="140" t="s">
        <v>11</v>
      </c>
      <c r="H285" s="136" t="s">
        <v>12</v>
      </c>
      <c r="J285" s="139">
        <v>28</v>
      </c>
      <c r="K285" s="138">
        <v>102000</v>
      </c>
      <c r="L285" s="136">
        <v>0</v>
      </c>
      <c r="M285" s="136">
        <f t="shared" si="38"/>
        <v>14280.000000000002</v>
      </c>
      <c r="N285" s="136">
        <f t="shared" si="39"/>
        <v>14280.000000000002</v>
      </c>
      <c r="O285" s="136">
        <v>0</v>
      </c>
      <c r="P285" s="175">
        <v>85129000</v>
      </c>
      <c r="Q285" s="137" t="s">
        <v>22</v>
      </c>
      <c r="R285" s="136" t="s">
        <v>13</v>
      </c>
      <c r="S285" s="136">
        <v>4080</v>
      </c>
      <c r="T285" s="136">
        <v>4080</v>
      </c>
      <c r="U285" s="136">
        <f t="shared" si="43"/>
        <v>0</v>
      </c>
      <c r="V285" s="136">
        <v>4080</v>
      </c>
    </row>
    <row r="286" spans="1:22" x14ac:dyDescent="0.3">
      <c r="A286" s="136" t="s">
        <v>6</v>
      </c>
      <c r="B286" s="136" t="s">
        <v>5</v>
      </c>
      <c r="C286" s="136" t="s">
        <v>566</v>
      </c>
      <c r="D286" s="143">
        <v>42947</v>
      </c>
      <c r="E286" s="136">
        <v>17337.599999999999</v>
      </c>
      <c r="F286" s="136" t="s">
        <v>14</v>
      </c>
      <c r="G286" s="140" t="s">
        <v>11</v>
      </c>
      <c r="H286" s="136" t="s">
        <v>12</v>
      </c>
      <c r="J286" s="139">
        <v>28</v>
      </c>
      <c r="K286" s="138">
        <v>13545</v>
      </c>
      <c r="L286" s="136">
        <v>0</v>
      </c>
      <c r="M286" s="136">
        <f t="shared" si="38"/>
        <v>1896.3000000000002</v>
      </c>
      <c r="N286" s="136">
        <f t="shared" si="39"/>
        <v>1896.3000000000002</v>
      </c>
      <c r="O286" s="136">
        <v>0</v>
      </c>
      <c r="P286" s="175">
        <v>87141090</v>
      </c>
      <c r="Q286" s="137" t="s">
        <v>22</v>
      </c>
      <c r="R286" s="136" t="s">
        <v>13</v>
      </c>
      <c r="S286" s="136">
        <v>180</v>
      </c>
      <c r="T286" s="136">
        <v>180</v>
      </c>
      <c r="U286" s="136">
        <f t="shared" si="43"/>
        <v>0</v>
      </c>
      <c r="V286" s="136">
        <v>180</v>
      </c>
    </row>
    <row r="287" spans="1:22" x14ac:dyDescent="0.3">
      <c r="A287" s="136" t="s">
        <v>6</v>
      </c>
      <c r="B287" s="136" t="s">
        <v>5</v>
      </c>
      <c r="C287" s="136" t="s">
        <v>567</v>
      </c>
      <c r="D287" s="143">
        <v>42947</v>
      </c>
      <c r="E287" s="136">
        <v>33124.92</v>
      </c>
      <c r="F287" s="136" t="s">
        <v>14</v>
      </c>
      <c r="G287" s="140" t="s">
        <v>11</v>
      </c>
      <c r="H287" s="136" t="s">
        <v>12</v>
      </c>
      <c r="J287" s="139">
        <v>28</v>
      </c>
      <c r="K287" s="138">
        <v>25878.84</v>
      </c>
      <c r="L287" s="136">
        <v>0</v>
      </c>
      <c r="M287" s="136">
        <f t="shared" si="38"/>
        <v>3623.0376000000006</v>
      </c>
      <c r="N287" s="136">
        <f t="shared" si="39"/>
        <v>3623.0376000000006</v>
      </c>
      <c r="O287" s="136">
        <v>0</v>
      </c>
      <c r="P287" s="175">
        <v>87081090</v>
      </c>
      <c r="Q287" s="137" t="s">
        <v>22</v>
      </c>
      <c r="R287" s="136" t="s">
        <v>13</v>
      </c>
      <c r="S287" s="136">
        <v>312</v>
      </c>
      <c r="T287" s="136">
        <v>312</v>
      </c>
      <c r="U287" s="136">
        <f t="shared" si="43"/>
        <v>0</v>
      </c>
      <c r="V287" s="136">
        <v>312</v>
      </c>
    </row>
    <row r="288" spans="1:22" x14ac:dyDescent="0.3">
      <c r="A288" s="136" t="s">
        <v>6</v>
      </c>
      <c r="B288" s="136" t="s">
        <v>5</v>
      </c>
      <c r="C288" s="136" t="s">
        <v>568</v>
      </c>
      <c r="D288" s="143">
        <v>42947</v>
      </c>
      <c r="E288" s="136">
        <v>52235.44</v>
      </c>
      <c r="F288" s="136" t="s">
        <v>14</v>
      </c>
      <c r="G288" s="140" t="s">
        <v>11</v>
      </c>
      <c r="H288" s="136" t="s">
        <v>12</v>
      </c>
      <c r="J288" s="139">
        <v>28</v>
      </c>
      <c r="K288" s="138">
        <v>40808.94</v>
      </c>
      <c r="L288" s="136">
        <v>0</v>
      </c>
      <c r="M288" s="136">
        <f t="shared" si="38"/>
        <v>5713.2516000000005</v>
      </c>
      <c r="N288" s="136">
        <f t="shared" si="39"/>
        <v>5713.2516000000005</v>
      </c>
      <c r="O288" s="136">
        <v>0</v>
      </c>
      <c r="P288" s="175">
        <v>87081090</v>
      </c>
      <c r="Q288" s="137" t="s">
        <v>22</v>
      </c>
      <c r="R288" s="136" t="s">
        <v>13</v>
      </c>
      <c r="S288" s="136">
        <v>492</v>
      </c>
      <c r="T288" s="136">
        <v>492</v>
      </c>
      <c r="U288" s="136">
        <f t="shared" si="43"/>
        <v>0</v>
      </c>
      <c r="V288" s="136">
        <v>492</v>
      </c>
    </row>
    <row r="289" spans="1:22" x14ac:dyDescent="0.3">
      <c r="A289" s="136" t="s">
        <v>6</v>
      </c>
      <c r="B289" s="136" t="s">
        <v>5</v>
      </c>
      <c r="C289" s="136" t="s">
        <v>569</v>
      </c>
      <c r="D289" s="143">
        <v>42947</v>
      </c>
      <c r="E289" s="136">
        <v>9745.92</v>
      </c>
      <c r="F289" s="136" t="s">
        <v>14</v>
      </c>
      <c r="G289" s="140" t="s">
        <v>11</v>
      </c>
      <c r="H289" s="136" t="s">
        <v>12</v>
      </c>
      <c r="J289" s="139">
        <v>28</v>
      </c>
      <c r="K289" s="138">
        <v>7614</v>
      </c>
      <c r="L289" s="136">
        <v>0</v>
      </c>
      <c r="M289" s="136">
        <f t="shared" si="38"/>
        <v>1065.96</v>
      </c>
      <c r="N289" s="136">
        <f t="shared" si="39"/>
        <v>1065.96</v>
      </c>
      <c r="O289" s="136">
        <v>0</v>
      </c>
      <c r="P289" s="175">
        <v>87141090</v>
      </c>
      <c r="Q289" s="137" t="s">
        <v>22</v>
      </c>
      <c r="R289" s="136" t="s">
        <v>13</v>
      </c>
      <c r="S289" s="136">
        <v>216</v>
      </c>
      <c r="T289" s="136">
        <v>216</v>
      </c>
      <c r="U289" s="136">
        <f t="shared" si="43"/>
        <v>0</v>
      </c>
      <c r="V289" s="136">
        <v>216</v>
      </c>
    </row>
    <row r="290" spans="1:22" x14ac:dyDescent="0.3">
      <c r="A290" s="136" t="s">
        <v>6</v>
      </c>
      <c r="B290" s="136" t="s">
        <v>5</v>
      </c>
      <c r="C290" s="136" t="s">
        <v>570</v>
      </c>
      <c r="D290" s="143">
        <v>42947</v>
      </c>
      <c r="E290" s="136">
        <v>40769.120000000003</v>
      </c>
      <c r="F290" s="136" t="s">
        <v>14</v>
      </c>
      <c r="G290" s="140" t="s">
        <v>11</v>
      </c>
      <c r="H290" s="136" t="s">
        <v>12</v>
      </c>
      <c r="J290" s="139">
        <v>28</v>
      </c>
      <c r="K290" s="138">
        <v>31850.880000000001</v>
      </c>
      <c r="L290" s="136">
        <v>0</v>
      </c>
      <c r="M290" s="136">
        <f t="shared" si="38"/>
        <v>4459.1232000000009</v>
      </c>
      <c r="N290" s="136">
        <f t="shared" si="39"/>
        <v>4459.1232000000009</v>
      </c>
      <c r="O290" s="136">
        <v>0</v>
      </c>
      <c r="P290" s="175">
        <v>87081090</v>
      </c>
      <c r="Q290" s="137" t="s">
        <v>22</v>
      </c>
      <c r="R290" s="136" t="s">
        <v>13</v>
      </c>
      <c r="S290" s="136">
        <v>384</v>
      </c>
      <c r="T290" s="136">
        <v>384</v>
      </c>
      <c r="U290" s="136">
        <f t="shared" si="43"/>
        <v>0</v>
      </c>
      <c r="V290" s="136">
        <v>384</v>
      </c>
    </row>
    <row r="291" spans="1:22" x14ac:dyDescent="0.3">
      <c r="A291" s="136" t="s">
        <v>6</v>
      </c>
      <c r="B291" s="136" t="s">
        <v>5</v>
      </c>
      <c r="C291" s="136" t="s">
        <v>571</v>
      </c>
      <c r="D291" s="143">
        <v>42947</v>
      </c>
      <c r="E291" s="136">
        <v>5414.4</v>
      </c>
      <c r="F291" s="136" t="s">
        <v>14</v>
      </c>
      <c r="G291" s="140" t="s">
        <v>11</v>
      </c>
      <c r="H291" s="136" t="s">
        <v>12</v>
      </c>
      <c r="J291" s="139">
        <v>28</v>
      </c>
      <c r="K291" s="138">
        <v>4230</v>
      </c>
      <c r="L291" s="136">
        <v>0</v>
      </c>
      <c r="M291" s="136">
        <f t="shared" si="38"/>
        <v>592.20000000000005</v>
      </c>
      <c r="N291" s="136">
        <f t="shared" si="39"/>
        <v>592.20000000000005</v>
      </c>
      <c r="O291" s="136">
        <v>0</v>
      </c>
      <c r="P291" s="175">
        <v>87141090</v>
      </c>
      <c r="Q291" s="137" t="s">
        <v>22</v>
      </c>
      <c r="R291" s="136" t="s">
        <v>13</v>
      </c>
      <c r="S291" s="136">
        <v>120</v>
      </c>
      <c r="T291" s="136">
        <v>120</v>
      </c>
      <c r="U291" s="136">
        <f t="shared" si="43"/>
        <v>0</v>
      </c>
      <c r="V291" s="136">
        <v>120</v>
      </c>
    </row>
    <row r="292" spans="1:22" x14ac:dyDescent="0.3">
      <c r="A292" s="136"/>
      <c r="B292" s="136"/>
      <c r="C292" s="136"/>
      <c r="D292" s="136"/>
      <c r="E292" s="136"/>
      <c r="F292" s="136"/>
      <c r="G292" s="141"/>
      <c r="H292" s="136"/>
      <c r="J292" s="139"/>
      <c r="K292" s="138"/>
      <c r="L292" s="136"/>
      <c r="M292" s="136"/>
      <c r="N292" s="136"/>
      <c r="O292" s="136"/>
      <c r="P292" s="175"/>
      <c r="Q292" s="137"/>
      <c r="R292" s="136"/>
      <c r="S292" s="136"/>
      <c r="T292" s="136"/>
      <c r="U292" s="136"/>
      <c r="V292" s="136"/>
    </row>
    <row r="293" spans="1:22" ht="15" thickBot="1" x14ac:dyDescent="0.35">
      <c r="A293" s="136"/>
      <c r="B293" s="136"/>
      <c r="C293" s="136"/>
      <c r="D293" s="136"/>
      <c r="E293" s="136"/>
      <c r="F293" s="136"/>
      <c r="G293" s="129"/>
      <c r="H293" s="136"/>
      <c r="J293" s="139"/>
      <c r="K293" s="138"/>
      <c r="L293" s="136"/>
      <c r="M293" s="136"/>
      <c r="N293" s="136"/>
      <c r="O293" s="136"/>
      <c r="P293" s="175"/>
      <c r="Q293" s="136"/>
      <c r="R293" s="136"/>
      <c r="S293" s="136"/>
      <c r="T293" s="136"/>
      <c r="U293" s="136"/>
      <c r="V293" s="136"/>
    </row>
    <row r="294" spans="1:22" ht="15" thickBot="1" x14ac:dyDescent="0.35">
      <c r="A294" s="18" t="s">
        <v>31</v>
      </c>
      <c r="B294" s="18"/>
      <c r="C294" s="18"/>
      <c r="D294" s="18"/>
      <c r="E294" s="18">
        <f>SUM(E7:E293)</f>
        <v>9174608.5100000054</v>
      </c>
      <c r="F294" s="18"/>
      <c r="G294" s="142"/>
      <c r="H294" s="18"/>
      <c r="I294" s="18"/>
      <c r="J294" s="18"/>
      <c r="K294" s="18">
        <f t="shared" ref="K294" si="44">SUM(K7:K293)</f>
        <v>7202437.5500000017</v>
      </c>
      <c r="L294" s="18">
        <f>SUM(L7:L293)</f>
        <v>146226.26760000002</v>
      </c>
      <c r="M294" s="18">
        <f>SUM(M7:M293)</f>
        <v>912972.25719999929</v>
      </c>
      <c r="N294" s="18">
        <f>SUM(N7:N293)</f>
        <v>912972.25719999929</v>
      </c>
      <c r="O294" s="18">
        <f>SUM(O7:O293)</f>
        <v>0</v>
      </c>
      <c r="P294" s="176"/>
      <c r="Q294" s="18"/>
      <c r="R294" s="18"/>
      <c r="S294" s="18">
        <f t="shared" ref="S294:V294" si="45">SUM(S7:S293)</f>
        <v>108131</v>
      </c>
      <c r="T294" s="18">
        <f t="shared" si="45"/>
        <v>108131</v>
      </c>
      <c r="U294" s="18">
        <f t="shared" si="45"/>
        <v>0</v>
      </c>
      <c r="V294" s="18">
        <f t="shared" si="45"/>
        <v>113553</v>
      </c>
    </row>
  </sheetData>
  <pageMargins left="0.25" right="0.25" top="0.75" bottom="0.75" header="0.3" footer="0.3"/>
  <pageSetup paperSize="9" scale="61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opLeftCell="A11" workbookViewId="0">
      <selection activeCell="B25" sqref="B25"/>
    </sheetView>
  </sheetViews>
  <sheetFormatPr defaultRowHeight="14.4" x14ac:dyDescent="0.3"/>
  <cols>
    <col min="1" max="1" width="9.5546875" customWidth="1"/>
    <col min="2" max="2" width="13.109375" bestFit="1" customWidth="1"/>
    <col min="3" max="3" width="11.21875" customWidth="1"/>
    <col min="4" max="4" width="13" customWidth="1"/>
    <col min="5" max="5" width="12.77734375" customWidth="1"/>
    <col min="6" max="6" width="11.44140625" bestFit="1" customWidth="1"/>
    <col min="7" max="7" width="15.109375" bestFit="1" customWidth="1"/>
    <col min="8" max="8" width="13.109375" bestFit="1" customWidth="1"/>
    <col min="9" max="9" width="11.109375" bestFit="1" customWidth="1"/>
  </cols>
  <sheetData>
    <row r="1" spans="1:8" ht="16.8" thickTop="1" thickBot="1" x14ac:dyDescent="0.35">
      <c r="A1" s="244"/>
      <c r="B1" s="245"/>
      <c r="C1" s="245" t="s">
        <v>632</v>
      </c>
      <c r="D1" s="245"/>
      <c r="E1" s="245"/>
      <c r="F1" s="245"/>
      <c r="G1" s="245"/>
      <c r="H1" s="246"/>
    </row>
    <row r="2" spans="1:8" ht="16.8" thickTop="1" thickBot="1" x14ac:dyDescent="0.35">
      <c r="A2" s="243" t="s">
        <v>605</v>
      </c>
      <c r="B2" s="267" t="s">
        <v>630</v>
      </c>
      <c r="C2" s="268"/>
      <c r="D2" s="268"/>
      <c r="E2" s="268"/>
      <c r="F2" s="268"/>
      <c r="G2" s="268"/>
      <c r="H2" s="269"/>
    </row>
    <row r="3" spans="1:8" ht="16.2" thickBot="1" x14ac:dyDescent="0.35">
      <c r="A3" s="206" t="s">
        <v>606</v>
      </c>
      <c r="B3" s="270">
        <v>42917</v>
      </c>
      <c r="C3" s="271"/>
      <c r="D3" s="272"/>
      <c r="E3" s="272"/>
      <c r="F3" s="272"/>
      <c r="G3" s="272"/>
      <c r="H3" s="273"/>
    </row>
    <row r="4" spans="1:8" ht="16.5" customHeight="1" thickBot="1" x14ac:dyDescent="0.35">
      <c r="A4" s="207" t="s">
        <v>607</v>
      </c>
      <c r="B4" s="274" t="s">
        <v>631</v>
      </c>
      <c r="C4" s="275"/>
      <c r="D4" s="275"/>
      <c r="E4" s="275"/>
      <c r="F4" s="275"/>
      <c r="G4" s="275"/>
      <c r="H4" s="276"/>
    </row>
    <row r="5" spans="1:8" ht="21.6" thickBot="1" x14ac:dyDescent="0.45">
      <c r="A5" s="277" t="s">
        <v>693</v>
      </c>
      <c r="B5" s="278"/>
      <c r="C5" s="278"/>
      <c r="D5" s="278"/>
      <c r="E5" s="278"/>
      <c r="F5" s="278"/>
      <c r="G5" s="278"/>
      <c r="H5" s="279"/>
    </row>
    <row r="6" spans="1:8" ht="15" thickBot="1" x14ac:dyDescent="0.35">
      <c r="A6" s="249" t="s">
        <v>629</v>
      </c>
      <c r="B6" s="250" t="s">
        <v>59</v>
      </c>
      <c r="C6" s="251" t="s">
        <v>1</v>
      </c>
      <c r="D6" s="251" t="s">
        <v>609</v>
      </c>
      <c r="E6" s="251" t="s">
        <v>610</v>
      </c>
      <c r="F6" s="251" t="s">
        <v>611</v>
      </c>
      <c r="G6" s="251" t="s">
        <v>612</v>
      </c>
      <c r="H6" s="252" t="s">
        <v>613</v>
      </c>
    </row>
    <row r="7" spans="1:8" x14ac:dyDescent="0.3">
      <c r="A7" s="247">
        <v>0</v>
      </c>
      <c r="B7" s="226">
        <f>SUMIF(SALES!$J$7:$J$489,$A$7:$A$12,SALES!$K$7:$K$489)</f>
        <v>0</v>
      </c>
      <c r="C7" s="226">
        <f>SUMIF(SALES!$J$7:$J$489,$A$7:$A$12,SALES!$L$7:$L$489)</f>
        <v>0</v>
      </c>
      <c r="D7" s="226">
        <f>SUMIF(SALES!$J$7:$J$489,$A$7:$A$12,SALES!$M$7:$M$489)</f>
        <v>0</v>
      </c>
      <c r="E7" s="226">
        <f>SUMIF(SALES!$J$7:$J$489,$A$7:$A$12,SALES!$N$7:$N$489)</f>
        <v>0</v>
      </c>
      <c r="F7" s="226">
        <f>SUMIF(SALES!$J$7:$J$489,$A$7:$A$12,SALES!$O$7:$O$489)</f>
        <v>0</v>
      </c>
      <c r="G7" s="229">
        <f>+C7+D7+E7+F7</f>
        <v>0</v>
      </c>
      <c r="H7" s="248">
        <f t="shared" ref="H7:H12" si="0">+B7+G7</f>
        <v>0</v>
      </c>
    </row>
    <row r="8" spans="1:8" x14ac:dyDescent="0.3">
      <c r="A8" s="225">
        <v>3</v>
      </c>
      <c r="B8" s="210">
        <f>SUMIF(SALES!$J$7:$J$489,$A$7:$A$12,SALES!$K$7:$K$489)</f>
        <v>0</v>
      </c>
      <c r="C8" s="210">
        <f>SUMIF(SALES!$J$7:$J$489,$A$7:$A$12,SALES!$L$7:$L$489)</f>
        <v>0</v>
      </c>
      <c r="D8" s="210">
        <f>SUMIF(SALES!$J$7:$J$489,$A$7:$A$12,SALES!$M$7:$M$489)</f>
        <v>0</v>
      </c>
      <c r="E8" s="210">
        <f>SUMIF(SALES!$J$7:$J$489,$A$7:$A$12,SALES!$N$7:$N$489)</f>
        <v>0</v>
      </c>
      <c r="F8" s="210">
        <f>SUMIF(SALES!$J$7:$J$489,$A$7:$A$12,SALES!$O$7:$O$489)</f>
        <v>0</v>
      </c>
      <c r="G8" s="211">
        <f t="shared" ref="G8:G12" si="1">+C8+D8+E8+F8</f>
        <v>0</v>
      </c>
      <c r="H8" s="212">
        <f t="shared" si="0"/>
        <v>0</v>
      </c>
    </row>
    <row r="9" spans="1:8" x14ac:dyDescent="0.3">
      <c r="A9" s="225">
        <v>5</v>
      </c>
      <c r="B9" s="210">
        <f>SUMIF(SALES!$J$7:$J$489,$A$7:$A$12,SALES!$K$7:$K$489)</f>
        <v>0</v>
      </c>
      <c r="C9" s="210">
        <f>SUMIF(SALES!$J$7:$J$489,$A$7:$A$12,SALES!$L$7:$L$489)</f>
        <v>0</v>
      </c>
      <c r="D9" s="210">
        <f>SUMIF(SALES!$J$7:$J$489,$A$7:$A$12,SALES!$M$7:$M$489)</f>
        <v>0</v>
      </c>
      <c r="E9" s="210">
        <f>SUMIF(SALES!$J$7:$J$489,$A$7:$A$12,SALES!$N$7:$N$489)</f>
        <v>0</v>
      </c>
      <c r="F9" s="210">
        <f>SUMIF(SALES!$J$7:$J$489,$A$7:$A$12,SALES!$O$7:$O$489)</f>
        <v>0</v>
      </c>
      <c r="G9" s="211">
        <f t="shared" si="1"/>
        <v>0</v>
      </c>
      <c r="H9" s="212">
        <f t="shared" si="0"/>
        <v>0</v>
      </c>
    </row>
    <row r="10" spans="1:8" x14ac:dyDescent="0.3">
      <c r="A10" s="225">
        <v>12</v>
      </c>
      <c r="B10" s="210">
        <f>SUMIF(SALES!$J$7:$J$489,$A$7:$A$12,SALES!$K$7:$K$489)</f>
        <v>0</v>
      </c>
      <c r="C10" s="210">
        <f>SUMIF(SALES!$J$7:$J$489,$A$7:$A$12,SALES!$L$7:$L$489)</f>
        <v>0</v>
      </c>
      <c r="D10" s="210">
        <f>SUMIF(SALES!$J$7:$J$489,$A$7:$A$12,SALES!$M$7:$M$489)</f>
        <v>0</v>
      </c>
      <c r="E10" s="210">
        <f>SUMIF(SALES!$J$7:$J$489,$A$7:$A$12,SALES!$N$7:$N$489)</f>
        <v>0</v>
      </c>
      <c r="F10" s="210">
        <f>SUMIF(SALES!$J$7:$J$489,$A$7:$A$12,SALES!$O$7:$O$489)</f>
        <v>0</v>
      </c>
      <c r="G10" s="211">
        <f t="shared" si="1"/>
        <v>0</v>
      </c>
      <c r="H10" s="212">
        <f t="shared" si="0"/>
        <v>0</v>
      </c>
    </row>
    <row r="11" spans="1:8" ht="15" customHeight="1" x14ac:dyDescent="0.3">
      <c r="A11" s="225">
        <v>18</v>
      </c>
      <c r="B11" s="210">
        <f>SUMIF(SALES!$J$7:$J$489,$A$7:$A$12,SALES!$K$7:$K$489)</f>
        <v>445117.32000000007</v>
      </c>
      <c r="C11" s="210">
        <f>SUMIF(SALES!$J$7:$J$489,$A$7:$A$12,SALES!$L$7:$L$489)</f>
        <v>0</v>
      </c>
      <c r="D11" s="210">
        <f>SUMIF(SALES!$J$7:$J$489,$A$7:$A$12,SALES!$M$7:$M$489)</f>
        <v>40060.558799999977</v>
      </c>
      <c r="E11" s="210">
        <f>SUMIF(SALES!$J$7:$J$489,$A$7:$A$12,SALES!$N$7:$N$489)</f>
        <v>40060.558799999977</v>
      </c>
      <c r="F11" s="210">
        <f>SUMIF(SALES!$J$7:$J$489,$A$7:$A$12,SALES!$O$7:$O$489)</f>
        <v>0</v>
      </c>
      <c r="G11" s="211">
        <f t="shared" si="1"/>
        <v>80121.117599999954</v>
      </c>
      <c r="H11" s="212">
        <f t="shared" si="0"/>
        <v>525238.43760000006</v>
      </c>
    </row>
    <row r="12" spans="1:8" ht="15.75" customHeight="1" thickBot="1" x14ac:dyDescent="0.35">
      <c r="A12" s="231">
        <v>28</v>
      </c>
      <c r="B12" s="227">
        <f>SUMIF(SALES!$J$7:$J$489,$A$7:$A$12,SALES!$K$7:$K$489)</f>
        <v>6757320.2300000014</v>
      </c>
      <c r="C12" s="227">
        <f>SUMIF(SALES!$J$7:$J$489,$A$7:$A$12,SALES!$L$7:$L$489)</f>
        <v>146226.26760000002</v>
      </c>
      <c r="D12" s="227">
        <f>SUMIF(SALES!$J$7:$J$489,$A$7:$A$12,SALES!$M$7:$M$489)</f>
        <v>872911.69839999953</v>
      </c>
      <c r="E12" s="227">
        <f>SUMIF(SALES!$J$7:$J$489,$A$7:$A$12,SALES!$N$7:$N$489)</f>
        <v>872911.69839999953</v>
      </c>
      <c r="F12" s="227">
        <f>SUMIF(SALES!$J$7:$J$489,$A$7:$A$12,SALES!$O$7:$O$489)</f>
        <v>0</v>
      </c>
      <c r="G12" s="228">
        <f t="shared" si="1"/>
        <v>1892049.6643999992</v>
      </c>
      <c r="H12" s="232">
        <f t="shared" si="0"/>
        <v>8649369.8944000006</v>
      </c>
    </row>
    <row r="13" spans="1:8" ht="15.75" customHeight="1" thickBot="1" x14ac:dyDescent="0.35">
      <c r="A13" s="235" t="s">
        <v>620</v>
      </c>
      <c r="B13" s="236">
        <f t="shared" ref="B13:H13" si="2">SUM(B7:B12)</f>
        <v>7202437.5500000017</v>
      </c>
      <c r="C13" s="236">
        <f t="shared" si="2"/>
        <v>146226.26760000002</v>
      </c>
      <c r="D13" s="236">
        <f t="shared" si="2"/>
        <v>912972.25719999953</v>
      </c>
      <c r="E13" s="236">
        <f t="shared" si="2"/>
        <v>912972.25719999953</v>
      </c>
      <c r="F13" s="236">
        <f t="shared" si="2"/>
        <v>0</v>
      </c>
      <c r="G13" s="236">
        <f t="shared" si="2"/>
        <v>1972170.7819999992</v>
      </c>
      <c r="H13" s="237">
        <f t="shared" si="2"/>
        <v>9174608.3320000004</v>
      </c>
    </row>
    <row r="14" spans="1:8" ht="21.6" thickBot="1" x14ac:dyDescent="0.45">
      <c r="A14" s="277" t="s">
        <v>694</v>
      </c>
      <c r="B14" s="278"/>
      <c r="C14" s="278"/>
      <c r="D14" s="278"/>
      <c r="E14" s="278"/>
      <c r="F14" s="278"/>
      <c r="G14" s="278"/>
      <c r="H14" s="279"/>
    </row>
    <row r="15" spans="1:8" ht="15" thickBot="1" x14ac:dyDescent="0.35">
      <c r="A15" s="249" t="s">
        <v>629</v>
      </c>
      <c r="B15" s="251" t="s">
        <v>59</v>
      </c>
      <c r="C15" s="251" t="s">
        <v>1</v>
      </c>
      <c r="D15" s="251" t="s">
        <v>609</v>
      </c>
      <c r="E15" s="251" t="s">
        <v>610</v>
      </c>
      <c r="F15" s="251" t="s">
        <v>611</v>
      </c>
      <c r="G15" s="251" t="s">
        <v>626</v>
      </c>
      <c r="H15" s="252" t="s">
        <v>613</v>
      </c>
    </row>
    <row r="16" spans="1:8" x14ac:dyDescent="0.3">
      <c r="A16" s="247">
        <v>0</v>
      </c>
      <c r="B16" s="226">
        <f>SUMIF(PURCHASE!$I$2:$I$508,$A$16:$A$21,PURCHASE!$J$2:$J$508)</f>
        <v>0</v>
      </c>
      <c r="C16" s="226">
        <f>SUMIF(PURCHASE!$I$2:$I$508,$A$16:$A$21,PURCHASE!$K$2:$K$508)</f>
        <v>0</v>
      </c>
      <c r="D16" s="226">
        <f>SUMIF(PURCHASE!$I$2:$I$508,$A$16:$A$21,PURCHASE!$L$2:$L$508)</f>
        <v>0</v>
      </c>
      <c r="E16" s="226">
        <f>SUMIF(PURCHASE!$I$2:$I$508,$A$16:$A$21,PURCHASE!$M$2:$M$508)</f>
        <v>0</v>
      </c>
      <c r="F16" s="226">
        <f>SUMIF(PURCHASE!$I$2:$I$508,$A$16:$A$21,PURCHASE!$N$2:$N$508)</f>
        <v>0</v>
      </c>
      <c r="G16" s="230">
        <f t="shared" ref="G16:G21" si="3">+C16+D16+E16+F16</f>
        <v>0</v>
      </c>
      <c r="H16" s="248">
        <f>+B16+G16</f>
        <v>0</v>
      </c>
    </row>
    <row r="17" spans="1:9" x14ac:dyDescent="0.3">
      <c r="A17" s="225">
        <v>3</v>
      </c>
      <c r="B17" s="210">
        <f>SUMIF(PURCHASE!$I$2:$I$508,A17:A22,PURCHASE!$J$2:$J$508)</f>
        <v>0</v>
      </c>
      <c r="C17" s="210">
        <f>SUMIF(PURCHASE!$I$2:$I$508,$A$16:$A$21,PURCHASE!$K$2:$K$508)</f>
        <v>0</v>
      </c>
      <c r="D17" s="210">
        <f>SUMIF(PURCHASE!$I$2:$I$508,$A$16:$A$21,PURCHASE!$L$2:$L$508)</f>
        <v>0</v>
      </c>
      <c r="E17" s="210">
        <f>SUMIF(PURCHASE!$I$2:$I$508,$A$16:$A$21,PURCHASE!$M$2:$M$508)</f>
        <v>0</v>
      </c>
      <c r="F17" s="210">
        <f>SUMIF(PURCHASE!$I$2:$I$508,$A$16:$A$21,PURCHASE!$N$2:$N$508)</f>
        <v>0</v>
      </c>
      <c r="G17" s="211">
        <f t="shared" si="3"/>
        <v>0</v>
      </c>
      <c r="H17" s="212">
        <f t="shared" ref="H17:H21" si="4">+B17+G17</f>
        <v>0</v>
      </c>
    </row>
    <row r="18" spans="1:9" x14ac:dyDescent="0.3">
      <c r="A18" s="225">
        <v>5</v>
      </c>
      <c r="B18" s="210">
        <f>SUMIF(PURCHASE!$I$2:$I$508,A18:A23,PURCHASE!$J$2:$J$508)</f>
        <v>34110</v>
      </c>
      <c r="C18" s="210">
        <f>SUMIF(PURCHASE!$I$2:$I$508,$A$16:$A$21,PURCHASE!$K$2:$K$508)</f>
        <v>0</v>
      </c>
      <c r="D18" s="210">
        <f>SUMIF(PURCHASE!$I$2:$I$508,$A$16:$A$21,PURCHASE!$L$2:$L$508)</f>
        <v>852.75</v>
      </c>
      <c r="E18" s="210">
        <f>SUMIF(PURCHASE!$I$2:$I$508,$A$16:$A$21,PURCHASE!$M$2:$M$508)</f>
        <v>852.75</v>
      </c>
      <c r="F18" s="210">
        <f>SUMIF(PURCHASE!$I$2:$I$508,$A$16:$A$21,PURCHASE!$N$2:$N$508)</f>
        <v>0</v>
      </c>
      <c r="G18" s="211">
        <f t="shared" si="3"/>
        <v>1705.5</v>
      </c>
      <c r="H18" s="212">
        <f t="shared" si="4"/>
        <v>35815.5</v>
      </c>
    </row>
    <row r="19" spans="1:9" x14ac:dyDescent="0.3">
      <c r="A19" s="225">
        <v>12</v>
      </c>
      <c r="B19" s="210">
        <f>SUMIF(PURCHASE!$I$2:$I$508,A19:A24,PURCHASE!$J$2:$J$508)</f>
        <v>775</v>
      </c>
      <c r="C19" s="210">
        <f>SUMIF(PURCHASE!$I$2:$I$508,$A$16:$A$21,PURCHASE!$K$2:$K$508)</f>
        <v>0</v>
      </c>
      <c r="D19" s="210">
        <f>SUMIF(PURCHASE!$I$2:$I$508,$A$16:$A$21,PURCHASE!$L$2:$L$508)</f>
        <v>46.5</v>
      </c>
      <c r="E19" s="210">
        <f>SUMIF(PURCHASE!$I$2:$I$508,$A$16:$A$21,PURCHASE!$M$2:$M$508)</f>
        <v>46.5</v>
      </c>
      <c r="F19" s="210">
        <f>SUMIF(PURCHASE!$I$2:$I$508,$A$16:$A$21,PURCHASE!$N$2:$N$508)</f>
        <v>0</v>
      </c>
      <c r="G19" s="211">
        <f t="shared" si="3"/>
        <v>93</v>
      </c>
      <c r="H19" s="212">
        <f t="shared" si="4"/>
        <v>868</v>
      </c>
    </row>
    <row r="20" spans="1:9" x14ac:dyDescent="0.3">
      <c r="A20" s="225">
        <v>18</v>
      </c>
      <c r="B20" s="210">
        <f>SUMIF(PURCHASE!$I$2:$I$508,A20:A25,PURCHASE!$J$2:$J$508)</f>
        <v>281636.58999999997</v>
      </c>
      <c r="C20" s="210">
        <f>SUMIF(PURCHASE!$I$2:$I$508,$A$16:$A$21,PURCHASE!$K$2:$K$508)</f>
        <v>624</v>
      </c>
      <c r="D20" s="210">
        <f>SUMIF(PURCHASE!$I$2:$I$508,$A$16:$A$21,PURCHASE!$L$2:$L$508)</f>
        <v>25035.204000000002</v>
      </c>
      <c r="E20" s="210">
        <f>SUMIF(PURCHASE!$I$2:$I$508,$A$16:$A$21,PURCHASE!$M$2:$M$508)</f>
        <v>25035.204000000002</v>
      </c>
      <c r="F20" s="210">
        <f>SUMIF(PURCHASE!$I$2:$I$508,$A$16:$A$21,PURCHASE!$N$2:$N$508)</f>
        <v>0</v>
      </c>
      <c r="G20" s="211">
        <f t="shared" si="3"/>
        <v>50694.408000000003</v>
      </c>
      <c r="H20" s="212">
        <f t="shared" si="4"/>
        <v>332330.99799999996</v>
      </c>
    </row>
    <row r="21" spans="1:9" ht="15" thickBot="1" x14ac:dyDescent="0.35">
      <c r="A21" s="231">
        <v>28</v>
      </c>
      <c r="B21" s="227">
        <f>SUMIF(PURCHASE!$I$2:$I$508,A21:A26,PURCHASE!$J$2:$J$508)</f>
        <v>4689125.1499999966</v>
      </c>
      <c r="C21" s="227">
        <f>SUMIF(PURCHASE!$I$2:$I$508,$A$16:$A$21,PURCHASE!$K$2:$K$508)</f>
        <v>46250.529199999997</v>
      </c>
      <c r="D21" s="227">
        <f>SUMIF(PURCHASE!$I$2:$I$508,$A$16:$A$21,PURCHASE!$L$2:$L$508)</f>
        <v>630103.33120000002</v>
      </c>
      <c r="E21" s="227">
        <f>SUMIF(PURCHASE!$I$2:$I$508,$A$16:$A$21,PURCHASE!$M$2:$M$508)</f>
        <v>630103.33120000002</v>
      </c>
      <c r="F21" s="227">
        <f>SUMIF(PURCHASE!$I$2:$I$508,$A$16:$A$21,PURCHASE!$N$2:$N$508)</f>
        <v>0</v>
      </c>
      <c r="G21" s="228">
        <f t="shared" si="3"/>
        <v>1306457.1916</v>
      </c>
      <c r="H21" s="232">
        <f t="shared" si="4"/>
        <v>5995582.3415999971</v>
      </c>
    </row>
    <row r="22" spans="1:9" ht="15" thickBot="1" x14ac:dyDescent="0.35">
      <c r="A22" s="233" t="s">
        <v>627</v>
      </c>
      <c r="B22" s="213">
        <f>SUM(B16:B21)</f>
        <v>5005646.7399999965</v>
      </c>
      <c r="C22" s="213">
        <f t="shared" ref="C22:F22" si="5">SUM(C16:C21)</f>
        <v>46874.529199999997</v>
      </c>
      <c r="D22" s="213">
        <f t="shared" si="5"/>
        <v>656037.78520000004</v>
      </c>
      <c r="E22" s="213">
        <f t="shared" si="5"/>
        <v>656037.78520000004</v>
      </c>
      <c r="F22" s="213">
        <f t="shared" si="5"/>
        <v>0</v>
      </c>
      <c r="G22" s="213">
        <f t="shared" ref="G22" si="6">SUM(G16:G21)</f>
        <v>1358950.0996000001</v>
      </c>
      <c r="H22" s="234">
        <f t="shared" ref="H22" si="7">SUM(H16:H21)</f>
        <v>6364596.8395999968</v>
      </c>
      <c r="I22" s="202"/>
    </row>
    <row r="23" spans="1:9" ht="21.6" thickBot="1" x14ac:dyDescent="0.45">
      <c r="A23" s="277" t="s">
        <v>695</v>
      </c>
      <c r="B23" s="278"/>
      <c r="C23" s="278"/>
      <c r="D23" s="278"/>
      <c r="E23" s="278"/>
      <c r="F23" s="278"/>
      <c r="G23" s="278"/>
      <c r="H23" s="279"/>
    </row>
    <row r="24" spans="1:9" ht="15" thickBot="1" x14ac:dyDescent="0.35">
      <c r="A24" s="249" t="s">
        <v>629</v>
      </c>
      <c r="B24" s="251" t="s">
        <v>59</v>
      </c>
      <c r="C24" s="251" t="s">
        <v>1</v>
      </c>
      <c r="D24" s="251" t="s">
        <v>609</v>
      </c>
      <c r="E24" s="251" t="s">
        <v>610</v>
      </c>
      <c r="F24" s="251" t="s">
        <v>611</v>
      </c>
      <c r="G24" s="251" t="s">
        <v>626</v>
      </c>
      <c r="H24" s="252" t="s">
        <v>613</v>
      </c>
    </row>
    <row r="25" spans="1:9" x14ac:dyDescent="0.3">
      <c r="A25" s="247">
        <v>0</v>
      </c>
      <c r="B25" s="210">
        <f>SUMIF('REVERSE CHARGE MECHANISM '!$J1:$J$1517,$A$25:$A$30,'REVERSE CHARGE MECHANISM '!K$1:K$1517)</f>
        <v>44667</v>
      </c>
      <c r="C25" s="210">
        <f>SUMIF('REVERSE CHARGE MECHANISM '!$J1:$J$1517,$A$25:$A$30,'REVERSE CHARGE MECHANISM '!L$1:L$1517)</f>
        <v>0</v>
      </c>
      <c r="D25" s="210">
        <f>SUMIF('REVERSE CHARGE MECHANISM '!$J1:$J$1517,$A$25:$A$30,'REVERSE CHARGE MECHANISM '!M$1:M$1517)</f>
        <v>0</v>
      </c>
      <c r="E25" s="210">
        <f>SUMIF('REVERSE CHARGE MECHANISM '!$J1:$J$1517,$A$25:$A$30,'REVERSE CHARGE MECHANISM '!N$1:N$1517)</f>
        <v>0</v>
      </c>
      <c r="F25" s="210">
        <f>SUMIF('REVERSE CHARGE MECHANISM '!$J1:$J$1517,$A$25:$A$30,'REVERSE CHARGE MECHANISM '!O$1:O$1517)</f>
        <v>0</v>
      </c>
      <c r="G25" s="230">
        <f t="shared" ref="G25:G30" si="8">+C25+D25+E25+F25</f>
        <v>0</v>
      </c>
      <c r="H25" s="248">
        <f t="shared" ref="H25:H30" si="9">+B25+G25</f>
        <v>44667</v>
      </c>
    </row>
    <row r="26" spans="1:9" x14ac:dyDescent="0.3">
      <c r="A26" s="225">
        <v>3</v>
      </c>
      <c r="B26" s="210">
        <f>SUMIF('REVERSE CHARGE MECHANISM '!$J2:$J$1517,$A$25:$A$30,'REVERSE CHARGE MECHANISM '!K$1:K$1517)</f>
        <v>0</v>
      </c>
      <c r="C26" s="210">
        <f>SUMIF('REVERSE CHARGE MECHANISM '!$J2:$J$1517,$A$25:$A$30,'REVERSE CHARGE MECHANISM '!L$1:L$1517)</f>
        <v>0</v>
      </c>
      <c r="D26" s="210">
        <f>SUMIF('REVERSE CHARGE MECHANISM '!$J2:$J$1517,$A$25:$A$30,'REVERSE CHARGE MECHANISM '!M$1:M$1517)</f>
        <v>0</v>
      </c>
      <c r="E26" s="210">
        <f>SUMIF('REVERSE CHARGE MECHANISM '!$J2:$J$1517,$A$25:$A$30,'REVERSE CHARGE MECHANISM '!N$1:N$1517)</f>
        <v>0</v>
      </c>
      <c r="F26" s="210">
        <f>SUMIF('REVERSE CHARGE MECHANISM '!$J2:$J$1517,$A$25:$A$30,'REVERSE CHARGE MECHANISM '!O$1:O$1517)</f>
        <v>0</v>
      </c>
      <c r="G26" s="211">
        <f t="shared" si="8"/>
        <v>0</v>
      </c>
      <c r="H26" s="212">
        <f t="shared" si="9"/>
        <v>0</v>
      </c>
    </row>
    <row r="27" spans="1:9" x14ac:dyDescent="0.3">
      <c r="A27" s="225">
        <v>5</v>
      </c>
      <c r="B27" s="210">
        <f>SUMIF('REVERSE CHARGE MECHANISM '!J9:J52,$A$25:$A$30,'REVERSE CHARGE MECHANISM '!K9:K52)</f>
        <v>51200</v>
      </c>
      <c r="C27" s="210">
        <f>SUMIF('REVERSE CHARGE MECHANISM '!$J3:$J$1517,$A$25:$A$30,'REVERSE CHARGE MECHANISM '!L$1:L$1517)</f>
        <v>0</v>
      </c>
      <c r="D27" s="210">
        <f>SUMIF('REVERSE CHARGE MECHANISM '!$J9:$J$52,$A$25:$A$30,'REVERSE CHARGE MECHANISM '!M$9:M$52)</f>
        <v>1280</v>
      </c>
      <c r="E27" s="210">
        <f>SUMIF('REVERSE CHARGE MECHANISM '!$J9:$J$52,$A$25:$A$30,'REVERSE CHARGE MECHANISM '!N$9:N$52)</f>
        <v>1280</v>
      </c>
      <c r="F27" s="210">
        <f>SUMIF('REVERSE CHARGE MECHANISM '!$J3:$J$1517,$A$25:$A$30,'REVERSE CHARGE MECHANISM '!O$1:O$1517)</f>
        <v>0</v>
      </c>
      <c r="G27" s="211">
        <f t="shared" si="8"/>
        <v>2560</v>
      </c>
      <c r="H27" s="212">
        <f t="shared" si="9"/>
        <v>53760</v>
      </c>
      <c r="I27" s="261">
        <f>+D27/B27</f>
        <v>2.5000000000000001E-2</v>
      </c>
    </row>
    <row r="28" spans="1:9" x14ac:dyDescent="0.3">
      <c r="A28" s="225">
        <v>12</v>
      </c>
      <c r="B28" s="210">
        <f>SUMIF('REVERSE CHARGE MECHANISM '!$J9:$J$52,$A$25:$A$30,'REVERSE CHARGE MECHANISM '!K$9:K$52)</f>
        <v>140</v>
      </c>
      <c r="C28" s="210">
        <f>SUMIF('REVERSE CHARGE MECHANISM '!$J4:$J$1517,$A$25:$A$30,'REVERSE CHARGE MECHANISM '!L$1:L$1517)</f>
        <v>0</v>
      </c>
      <c r="D28" s="210">
        <f>SUMIF('REVERSE CHARGE MECHANISM '!$J9:$J$52,$A$25:$A$30,'REVERSE CHARGE MECHANISM '!M$9:M$52)</f>
        <v>8.4</v>
      </c>
      <c r="E28" s="210">
        <f>SUMIF('REVERSE CHARGE MECHANISM '!$J9:$J$52,$A$25:$A$30,'REVERSE CHARGE MECHANISM '!N$9:N$52)</f>
        <v>8.4</v>
      </c>
      <c r="F28" s="210">
        <f>SUMIF('REVERSE CHARGE MECHANISM '!$J4:$J$1517,$A$25:$A$30,'REVERSE CHARGE MECHANISM '!O$1:O$1517)</f>
        <v>0</v>
      </c>
      <c r="G28" s="211">
        <f t="shared" si="8"/>
        <v>16.8</v>
      </c>
      <c r="H28" s="212">
        <f t="shared" si="9"/>
        <v>156.80000000000001</v>
      </c>
      <c r="I28" s="261">
        <f t="shared" ref="I28:I29" si="10">+D28/B28</f>
        <v>6.0000000000000005E-2</v>
      </c>
    </row>
    <row r="29" spans="1:9" x14ac:dyDescent="0.3">
      <c r="A29" s="225">
        <v>18</v>
      </c>
      <c r="B29" s="210">
        <f>SUMIF('REVERSE CHARGE MECHANISM '!$J9:$J$52,$A$25:$A$30,'REVERSE CHARGE MECHANISM '!K$9:K$52)</f>
        <v>80000</v>
      </c>
      <c r="C29" s="210">
        <f>SUMIF('REVERSE CHARGE MECHANISM '!$J5:$J$1517,$A$25:$A$30,'REVERSE CHARGE MECHANISM '!L$1:L$1517)</f>
        <v>0</v>
      </c>
      <c r="D29" s="210">
        <f>SUMIF('REVERSE CHARGE MECHANISM '!$J9:$J$52,$A$25:$A$30,'REVERSE CHARGE MECHANISM '!M$9:M$52)</f>
        <v>7200</v>
      </c>
      <c r="E29" s="210">
        <f>SUMIF('REVERSE CHARGE MECHANISM '!$J9:$J$52,$A$25:$A$30,'REVERSE CHARGE MECHANISM '!N$9:N$52)</f>
        <v>7200</v>
      </c>
      <c r="F29" s="210">
        <f>SUMIF('REVERSE CHARGE MECHANISM '!$J5:$J$1517,$A$25:$A$30,'REVERSE CHARGE MECHANISM '!O$1:O$1517)</f>
        <v>0</v>
      </c>
      <c r="G29" s="211">
        <f t="shared" si="8"/>
        <v>14400</v>
      </c>
      <c r="H29" s="212">
        <f t="shared" si="9"/>
        <v>94400</v>
      </c>
      <c r="I29" s="261">
        <f t="shared" si="10"/>
        <v>0.09</v>
      </c>
    </row>
    <row r="30" spans="1:9" ht="15" thickBot="1" x14ac:dyDescent="0.35">
      <c r="A30" s="231">
        <v>28</v>
      </c>
      <c r="B30" s="210">
        <f>SUMIF('REVERSE CHARGE MECHANISM '!$J6:$J$1517,$A$25:$A$30,'REVERSE CHARGE MECHANISM '!K$1:K$1517)</f>
        <v>0</v>
      </c>
      <c r="C30" s="210">
        <f>SUMIF('REVERSE CHARGE MECHANISM '!$J6:$J$1517,$A$25:$A$30,'REVERSE CHARGE MECHANISM '!L$1:L$1517)</f>
        <v>0</v>
      </c>
      <c r="D30" s="210">
        <f>SUMIF('REVERSE CHARGE MECHANISM '!$J6:$J$1517,$A$25:$A$30,'REVERSE CHARGE MECHANISM '!M$1:M$1517)</f>
        <v>0</v>
      </c>
      <c r="E30" s="210">
        <f>SUMIF('REVERSE CHARGE MECHANISM '!$J6:$J$1517,$A$25:$A$30,'REVERSE CHARGE MECHANISM '!N$1:N$1517)</f>
        <v>0</v>
      </c>
      <c r="F30" s="210">
        <f>SUMIF('REVERSE CHARGE MECHANISM '!$J6:$J$1517,$A$25:$A$30,'REVERSE CHARGE MECHANISM '!O$1:O$1517)</f>
        <v>0</v>
      </c>
      <c r="G30" s="228">
        <f t="shared" si="8"/>
        <v>0</v>
      </c>
      <c r="H30" s="232">
        <f t="shared" si="9"/>
        <v>0</v>
      </c>
    </row>
    <row r="31" spans="1:9" ht="15" thickBot="1" x14ac:dyDescent="0.35">
      <c r="A31" s="233" t="s">
        <v>628</v>
      </c>
      <c r="B31" s="213">
        <f>SUM(B25:B30)</f>
        <v>176007</v>
      </c>
      <c r="C31" s="213">
        <f t="shared" ref="C31:H31" si="11">SUM(C25:C30)</f>
        <v>0</v>
      </c>
      <c r="D31" s="213">
        <f t="shared" si="11"/>
        <v>8488.4</v>
      </c>
      <c r="E31" s="213">
        <f t="shared" si="11"/>
        <v>8488.4</v>
      </c>
      <c r="F31" s="213">
        <f t="shared" si="11"/>
        <v>0</v>
      </c>
      <c r="G31" s="213">
        <f t="shared" si="11"/>
        <v>16976.8</v>
      </c>
      <c r="H31" s="234">
        <f t="shared" si="11"/>
        <v>192983.8</v>
      </c>
    </row>
    <row r="32" spans="1:9" ht="15" thickBot="1" x14ac:dyDescent="0.35"/>
    <row r="33" spans="1:9" ht="15" thickBot="1" x14ac:dyDescent="0.35">
      <c r="A33" s="297" t="s">
        <v>608</v>
      </c>
      <c r="B33" s="298"/>
      <c r="C33" s="298"/>
      <c r="D33" s="299"/>
      <c r="E33" s="240" t="s">
        <v>1</v>
      </c>
      <c r="F33" s="240" t="s">
        <v>2</v>
      </c>
      <c r="G33" s="240" t="s">
        <v>3</v>
      </c>
      <c r="H33" s="241" t="s">
        <v>31</v>
      </c>
    </row>
    <row r="34" spans="1:9" x14ac:dyDescent="0.3">
      <c r="A34" s="294" t="s">
        <v>614</v>
      </c>
      <c r="B34" s="295"/>
      <c r="C34" s="295"/>
      <c r="D34" s="296"/>
      <c r="E34" s="242">
        <f>+C13</f>
        <v>146226.26760000002</v>
      </c>
      <c r="F34" s="242">
        <f>+D13</f>
        <v>912972.25719999953</v>
      </c>
      <c r="G34" s="242">
        <f>+E13</f>
        <v>912972.25719999953</v>
      </c>
      <c r="H34" s="239">
        <f>SUM(E34:G34)</f>
        <v>1972170.7819999992</v>
      </c>
    </row>
    <row r="35" spans="1:9" x14ac:dyDescent="0.3">
      <c r="A35" s="300" t="s">
        <v>615</v>
      </c>
      <c r="B35" s="301"/>
      <c r="C35" s="301"/>
      <c r="D35" s="301"/>
      <c r="E35" s="208">
        <f>+C31</f>
        <v>0</v>
      </c>
      <c r="F35" s="208">
        <f>+D31</f>
        <v>8488.4</v>
      </c>
      <c r="G35" s="208">
        <f>+E31</f>
        <v>8488.4</v>
      </c>
      <c r="H35" s="209">
        <f t="shared" ref="H35:H36" si="12">SUM(E35:G35)</f>
        <v>16976.8</v>
      </c>
    </row>
    <row r="36" spans="1:9" ht="15" thickBot="1" x14ac:dyDescent="0.35">
      <c r="A36" s="294" t="s">
        <v>616</v>
      </c>
      <c r="B36" s="295"/>
      <c r="C36" s="295"/>
      <c r="D36" s="296"/>
      <c r="E36" s="242">
        <f>+C22</f>
        <v>46874.529199999997</v>
      </c>
      <c r="F36" s="242">
        <f>+D22</f>
        <v>656037.78520000004</v>
      </c>
      <c r="G36" s="242">
        <f>+E22</f>
        <v>656037.78520000004</v>
      </c>
      <c r="H36" s="238">
        <f t="shared" si="12"/>
        <v>1358950.0996000001</v>
      </c>
    </row>
    <row r="37" spans="1:9" ht="15" thickBot="1" x14ac:dyDescent="0.35">
      <c r="A37" s="297" t="s">
        <v>617</v>
      </c>
      <c r="B37" s="298"/>
      <c r="C37" s="298"/>
      <c r="D37" s="299"/>
      <c r="E37" s="213">
        <f t="shared" ref="E37:F37" si="13">+E34+E35-E36</f>
        <v>99351.738400000031</v>
      </c>
      <c r="F37" s="213">
        <f t="shared" si="13"/>
        <v>265422.87199999951</v>
      </c>
      <c r="G37" s="213">
        <f>+G34+G35-G36</f>
        <v>265422.87199999951</v>
      </c>
      <c r="H37" s="234">
        <f>+H34+H35-H36</f>
        <v>630197.48239999916</v>
      </c>
    </row>
    <row r="38" spans="1:9" ht="15" thickBot="1" x14ac:dyDescent="0.35">
      <c r="A38" s="204"/>
      <c r="B38" s="204"/>
      <c r="C38" s="204"/>
      <c r="D38" s="204"/>
      <c r="E38" s="205"/>
      <c r="G38" s="202">
        <f>+G37+F35</f>
        <v>273911.27199999953</v>
      </c>
      <c r="H38">
        <v>655233</v>
      </c>
      <c r="I38" s="202">
        <f>+H38-E22</f>
        <v>-804.7852000000421</v>
      </c>
    </row>
    <row r="39" spans="1:9" x14ac:dyDescent="0.3">
      <c r="A39" s="280" t="s">
        <v>618</v>
      </c>
      <c r="B39" s="283" t="s">
        <v>619</v>
      </c>
      <c r="C39" s="284"/>
      <c r="D39" s="284"/>
      <c r="E39" s="285"/>
      <c r="G39">
        <v>266228</v>
      </c>
    </row>
    <row r="40" spans="1:9" ht="15" thickBot="1" x14ac:dyDescent="0.35">
      <c r="A40" s="281"/>
      <c r="B40" s="286"/>
      <c r="C40" s="287"/>
      <c r="D40" s="287"/>
      <c r="E40" s="288"/>
      <c r="G40" s="202">
        <f>+G39-G37</f>
        <v>805.12800000049174</v>
      </c>
      <c r="H40">
        <v>743.68</v>
      </c>
      <c r="I40" t="s">
        <v>697</v>
      </c>
    </row>
    <row r="41" spans="1:9" x14ac:dyDescent="0.3">
      <c r="A41" s="281"/>
      <c r="B41" s="289" t="s">
        <v>621</v>
      </c>
      <c r="C41" s="291" t="s">
        <v>622</v>
      </c>
      <c r="D41" s="292"/>
      <c r="E41" s="293"/>
      <c r="H41">
        <v>45</v>
      </c>
      <c r="I41" t="s">
        <v>697</v>
      </c>
    </row>
    <row r="42" spans="1:9" x14ac:dyDescent="0.3">
      <c r="A42" s="281"/>
      <c r="B42" s="290"/>
      <c r="C42" s="214" t="s">
        <v>623</v>
      </c>
      <c r="D42" s="214" t="s">
        <v>624</v>
      </c>
      <c r="E42" s="215" t="s">
        <v>625</v>
      </c>
      <c r="H42">
        <v>16</v>
      </c>
      <c r="I42" t="s">
        <v>696</v>
      </c>
    </row>
    <row r="43" spans="1:9" x14ac:dyDescent="0.3">
      <c r="A43" s="281"/>
      <c r="B43" s="216" t="s">
        <v>1</v>
      </c>
      <c r="C43" s="217" t="s">
        <v>1</v>
      </c>
      <c r="D43" s="217" t="s">
        <v>2</v>
      </c>
      <c r="E43" s="218" t="s">
        <v>3</v>
      </c>
      <c r="H43">
        <f>+H42+H41+H40</f>
        <v>804.68</v>
      </c>
    </row>
    <row r="44" spans="1:9" x14ac:dyDescent="0.3">
      <c r="A44" s="281"/>
      <c r="B44" s="219" t="s">
        <v>2</v>
      </c>
      <c r="C44" s="220" t="s">
        <v>2</v>
      </c>
      <c r="D44" s="220" t="s">
        <v>1</v>
      </c>
      <c r="E44" s="221"/>
      <c r="H44">
        <f>+H43-H38</f>
        <v>-654428.31999999995</v>
      </c>
    </row>
    <row r="45" spans="1:9" ht="15" thickBot="1" x14ac:dyDescent="0.35">
      <c r="A45" s="282"/>
      <c r="B45" s="222" t="s">
        <v>3</v>
      </c>
      <c r="C45" s="223" t="s">
        <v>3</v>
      </c>
      <c r="D45" s="223" t="s">
        <v>1</v>
      </c>
      <c r="E45" s="224"/>
    </row>
  </sheetData>
  <mergeCells count="15">
    <mergeCell ref="B2:H2"/>
    <mergeCell ref="B3:H3"/>
    <mergeCell ref="B4:H4"/>
    <mergeCell ref="A5:H5"/>
    <mergeCell ref="A39:A45"/>
    <mergeCell ref="B39:E40"/>
    <mergeCell ref="B41:B42"/>
    <mergeCell ref="C41:E41"/>
    <mergeCell ref="A14:H14"/>
    <mergeCell ref="A36:D36"/>
    <mergeCell ref="A37:D37"/>
    <mergeCell ref="A23:H23"/>
    <mergeCell ref="A35:D35"/>
    <mergeCell ref="A33:D33"/>
    <mergeCell ref="A34:D34"/>
  </mergeCells>
  <pageMargins left="0.7" right="0.7" top="0.75" bottom="0.75" header="0.3" footer="0.3"/>
  <pageSetup paperSize="9" scale="88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30" sqref="F30"/>
    </sheetView>
  </sheetViews>
  <sheetFormatPr defaultRowHeight="14.4" x14ac:dyDescent="0.3"/>
  <cols>
    <col min="1" max="1" width="21.6640625" bestFit="1" customWidth="1"/>
    <col min="2" max="2" width="17" bestFit="1" customWidth="1"/>
    <col min="3" max="3" width="10.6640625" bestFit="1" customWidth="1"/>
    <col min="4" max="4" width="18.33203125" bestFit="1" customWidth="1"/>
    <col min="5" max="5" width="19.109375" bestFit="1" customWidth="1"/>
    <col min="6" max="6" width="13.6640625" bestFit="1" customWidth="1"/>
    <col min="7" max="7" width="11.6640625" bestFit="1" customWidth="1"/>
    <col min="8" max="8" width="18.44140625" bestFit="1" customWidth="1"/>
    <col min="9" max="9" width="7.109375" customWidth="1"/>
    <col min="10" max="10" width="18.6640625" bestFit="1" customWidth="1"/>
    <col min="11" max="11" width="11.6640625" bestFit="1" customWidth="1"/>
  </cols>
  <sheetData>
    <row r="1" spans="1:11" x14ac:dyDescent="0.3">
      <c r="A1" s="41" t="s">
        <v>75</v>
      </c>
      <c r="B1" s="44"/>
      <c r="C1" s="53"/>
      <c r="D1" s="54"/>
      <c r="E1" s="55"/>
      <c r="F1" s="56"/>
      <c r="G1" s="55"/>
      <c r="H1" s="56"/>
      <c r="I1" s="54"/>
      <c r="J1" s="54"/>
      <c r="K1" s="47"/>
    </row>
    <row r="2" spans="1:11" x14ac:dyDescent="0.3">
      <c r="A2" s="24" t="s">
        <v>76</v>
      </c>
      <c r="B2" s="24" t="s">
        <v>48</v>
      </c>
      <c r="C2" s="24"/>
      <c r="D2" s="25" t="s">
        <v>49</v>
      </c>
      <c r="E2" s="26"/>
      <c r="F2" s="24"/>
      <c r="G2" s="26"/>
      <c r="H2" s="24"/>
      <c r="I2" s="25"/>
      <c r="J2" s="25" t="s">
        <v>50</v>
      </c>
      <c r="K2" s="25" t="s">
        <v>51</v>
      </c>
    </row>
    <row r="3" spans="1:11" x14ac:dyDescent="0.3">
      <c r="A3" s="27">
        <f>SUMPRODUCT((A5:A40000&lt;&gt;"")/COUNTIF(A5:A40000,A5:A40000&amp;""))</f>
        <v>3.9999999999999991</v>
      </c>
      <c r="B3" s="27">
        <f>SUMPRODUCT((B5:B40000&lt;&gt;"")/COUNTIF(B5:B40000,B5:B40000&amp;""))</f>
        <v>13</v>
      </c>
      <c r="C3" s="27"/>
      <c r="D3" s="28">
        <f>SUMPRODUCT(1/COUNTIF(B5:B40000,B5:B40000&amp;""),D5:D40000)</f>
        <v>644313.41</v>
      </c>
      <c r="E3" s="29"/>
      <c r="F3" s="27"/>
      <c r="G3" s="29"/>
      <c r="H3" s="30"/>
      <c r="I3" s="31"/>
      <c r="J3" s="31">
        <f>SUM(J5:J39999)</f>
        <v>530661.79</v>
      </c>
      <c r="K3" s="31">
        <f>SUM(K5:K39999)</f>
        <v>0</v>
      </c>
    </row>
    <row r="4" spans="1:11" ht="15" thickBot="1" x14ac:dyDescent="0.35">
      <c r="A4" s="32" t="s">
        <v>77</v>
      </c>
      <c r="B4" s="32" t="s">
        <v>52</v>
      </c>
      <c r="C4" s="32" t="s">
        <v>53</v>
      </c>
      <c r="D4" s="32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24</v>
      </c>
      <c r="J4" s="32" t="s">
        <v>59</v>
      </c>
      <c r="K4" s="32" t="s">
        <v>60</v>
      </c>
    </row>
    <row r="5" spans="1:11" x14ac:dyDescent="0.3">
      <c r="A5" s="1" t="s">
        <v>39</v>
      </c>
      <c r="B5" s="1" t="s">
        <v>38</v>
      </c>
      <c r="C5" s="1" t="s">
        <v>34</v>
      </c>
      <c r="D5" s="6">
        <v>10058.56</v>
      </c>
      <c r="E5" s="5" t="s">
        <v>14</v>
      </c>
      <c r="F5" s="15" t="s">
        <v>11</v>
      </c>
      <c r="G5" s="1" t="s">
        <v>12</v>
      </c>
      <c r="H5" s="33"/>
      <c r="I5" s="13">
        <v>18</v>
      </c>
      <c r="J5" s="11">
        <v>8524.2000000000007</v>
      </c>
      <c r="K5" s="39">
        <v>0</v>
      </c>
    </row>
    <row r="6" spans="1:11" x14ac:dyDescent="0.3">
      <c r="A6" s="5" t="s">
        <v>5</v>
      </c>
      <c r="B6" s="5" t="s">
        <v>36</v>
      </c>
      <c r="C6" s="5" t="s">
        <v>34</v>
      </c>
      <c r="D6" s="7">
        <v>52235.44</v>
      </c>
      <c r="E6" s="5" t="s">
        <v>14</v>
      </c>
      <c r="F6" s="16" t="s">
        <v>11</v>
      </c>
      <c r="G6" s="5" t="s">
        <v>12</v>
      </c>
      <c r="H6" s="33"/>
      <c r="I6" s="14">
        <v>28</v>
      </c>
      <c r="J6" s="12">
        <v>40808.94</v>
      </c>
      <c r="K6" s="39"/>
    </row>
    <row r="7" spans="1:11" x14ac:dyDescent="0.3">
      <c r="A7" s="5" t="s">
        <v>5</v>
      </c>
      <c r="B7" s="5" t="s">
        <v>37</v>
      </c>
      <c r="C7" s="5" t="s">
        <v>34</v>
      </c>
      <c r="D7" s="7">
        <v>9632</v>
      </c>
      <c r="E7" s="5" t="s">
        <v>14</v>
      </c>
      <c r="F7" s="16" t="s">
        <v>11</v>
      </c>
      <c r="G7" s="5" t="s">
        <v>12</v>
      </c>
      <c r="H7" s="33"/>
      <c r="I7" s="14">
        <v>28</v>
      </c>
      <c r="J7" s="12">
        <v>7525</v>
      </c>
      <c r="K7" s="39"/>
    </row>
    <row r="8" spans="1:11" x14ac:dyDescent="0.3">
      <c r="A8" s="5" t="s">
        <v>5</v>
      </c>
      <c r="B8" s="5" t="s">
        <v>41</v>
      </c>
      <c r="C8" s="5" t="s">
        <v>34</v>
      </c>
      <c r="D8" s="7">
        <v>50961.4</v>
      </c>
      <c r="E8" s="5" t="s">
        <v>14</v>
      </c>
      <c r="F8" s="16" t="s">
        <v>11</v>
      </c>
      <c r="G8" s="5" t="s">
        <v>12</v>
      </c>
      <c r="H8" s="33"/>
      <c r="I8" s="14">
        <v>28</v>
      </c>
      <c r="J8" s="12">
        <v>39813.599999999999</v>
      </c>
      <c r="K8" s="39">
        <v>0</v>
      </c>
    </row>
    <row r="9" spans="1:11" x14ac:dyDescent="0.3">
      <c r="A9" s="5" t="s">
        <v>5</v>
      </c>
      <c r="B9" s="5" t="s">
        <v>42</v>
      </c>
      <c r="C9" s="5" t="s">
        <v>34</v>
      </c>
      <c r="D9" s="7">
        <v>25480.720000000001</v>
      </c>
      <c r="E9" s="5" t="s">
        <v>14</v>
      </c>
      <c r="F9" s="16" t="s">
        <v>11</v>
      </c>
      <c r="G9" s="5" t="s">
        <v>12</v>
      </c>
      <c r="H9" s="33"/>
      <c r="I9" s="14">
        <v>28</v>
      </c>
      <c r="J9" s="12">
        <v>19906.8</v>
      </c>
      <c r="K9" s="39"/>
    </row>
    <row r="10" spans="1:11" x14ac:dyDescent="0.3">
      <c r="A10" s="5" t="s">
        <v>39</v>
      </c>
      <c r="B10" s="5" t="s">
        <v>43</v>
      </c>
      <c r="C10" s="5" t="s">
        <v>34</v>
      </c>
      <c r="D10" s="7">
        <v>10058.56</v>
      </c>
      <c r="E10" s="5" t="s">
        <v>14</v>
      </c>
      <c r="F10" s="16" t="s">
        <v>11</v>
      </c>
      <c r="G10" s="5" t="s">
        <v>12</v>
      </c>
      <c r="H10" s="33"/>
      <c r="I10" s="14">
        <v>18</v>
      </c>
      <c r="J10" s="12">
        <v>8524.2000000000007</v>
      </c>
      <c r="K10" s="39"/>
    </row>
    <row r="11" spans="1:11" x14ac:dyDescent="0.3">
      <c r="A11" s="5" t="s">
        <v>44</v>
      </c>
      <c r="B11" s="5" t="s">
        <v>46</v>
      </c>
      <c r="C11" s="5" t="s">
        <v>34</v>
      </c>
      <c r="D11" s="7">
        <v>47886.73</v>
      </c>
      <c r="E11" s="5" t="s">
        <v>14</v>
      </c>
      <c r="F11" s="16" t="s">
        <v>11</v>
      </c>
      <c r="G11" s="5" t="s">
        <v>12</v>
      </c>
      <c r="H11" s="33"/>
      <c r="I11" s="14">
        <v>28</v>
      </c>
      <c r="J11" s="12">
        <v>37411.51</v>
      </c>
      <c r="K11" s="39"/>
    </row>
    <row r="12" spans="1:11" x14ac:dyDescent="0.3">
      <c r="A12" s="5" t="s">
        <v>5</v>
      </c>
      <c r="B12" s="5" t="s">
        <v>36</v>
      </c>
      <c r="C12" s="5" t="s">
        <v>34</v>
      </c>
      <c r="D12" s="7">
        <v>52235.44</v>
      </c>
      <c r="E12" s="5" t="s">
        <v>14</v>
      </c>
      <c r="F12" s="16" t="s">
        <v>11</v>
      </c>
      <c r="G12" s="5" t="s">
        <v>12</v>
      </c>
      <c r="H12" s="33"/>
      <c r="I12" s="14">
        <v>28</v>
      </c>
      <c r="J12" s="12">
        <v>40808.94</v>
      </c>
      <c r="K12" s="39"/>
    </row>
    <row r="13" spans="1:11" x14ac:dyDescent="0.3">
      <c r="A13" s="5" t="s">
        <v>5</v>
      </c>
      <c r="B13" s="5" t="s">
        <v>37</v>
      </c>
      <c r="C13" s="5" t="s">
        <v>34</v>
      </c>
      <c r="D13" s="7">
        <v>9632</v>
      </c>
      <c r="E13" s="5" t="s">
        <v>14</v>
      </c>
      <c r="F13" s="16" t="s">
        <v>11</v>
      </c>
      <c r="G13" s="5" t="s">
        <v>12</v>
      </c>
      <c r="H13" s="33"/>
      <c r="I13" s="14">
        <v>28</v>
      </c>
      <c r="J13" s="12">
        <v>7525</v>
      </c>
      <c r="K13" s="39"/>
    </row>
    <row r="14" spans="1:11" x14ac:dyDescent="0.3">
      <c r="A14" s="5" t="s">
        <v>5</v>
      </c>
      <c r="B14" s="5" t="s">
        <v>41</v>
      </c>
      <c r="C14" s="5" t="s">
        <v>34</v>
      </c>
      <c r="D14" s="7">
        <v>50961.4</v>
      </c>
      <c r="E14" s="5" t="s">
        <v>14</v>
      </c>
      <c r="F14" s="16" t="s">
        <v>11</v>
      </c>
      <c r="G14" s="5" t="s">
        <v>12</v>
      </c>
      <c r="H14" s="33"/>
      <c r="I14" s="14">
        <v>28</v>
      </c>
      <c r="J14" s="12">
        <v>39813.599999999999</v>
      </c>
      <c r="K14" s="39"/>
    </row>
    <row r="15" spans="1:11" x14ac:dyDescent="0.3">
      <c r="A15" s="40" t="s">
        <v>78</v>
      </c>
      <c r="B15" s="33" t="s">
        <v>62</v>
      </c>
      <c r="C15" s="34">
        <v>42847</v>
      </c>
      <c r="D15" s="35">
        <v>52000</v>
      </c>
      <c r="E15" s="5" t="s">
        <v>14</v>
      </c>
      <c r="F15" s="37" t="s">
        <v>11</v>
      </c>
      <c r="G15" s="38" t="s">
        <v>12</v>
      </c>
      <c r="H15" s="33"/>
      <c r="I15" s="39">
        <v>3</v>
      </c>
      <c r="J15" s="39">
        <v>40000</v>
      </c>
      <c r="K15" s="39"/>
    </row>
    <row r="16" spans="1:11" x14ac:dyDescent="0.3">
      <c r="A16" s="40" t="s">
        <v>78</v>
      </c>
      <c r="B16" s="33" t="s">
        <v>63</v>
      </c>
      <c r="C16" s="34">
        <v>42851</v>
      </c>
      <c r="D16" s="35">
        <v>52000</v>
      </c>
      <c r="E16" s="5" t="s">
        <v>14</v>
      </c>
      <c r="F16" s="37" t="s">
        <v>11</v>
      </c>
      <c r="G16" s="38" t="s">
        <v>12</v>
      </c>
      <c r="H16" s="33"/>
      <c r="I16" s="39">
        <v>12</v>
      </c>
      <c r="J16" s="39">
        <v>40000</v>
      </c>
      <c r="K16" s="39"/>
    </row>
    <row r="17" spans="1:11" x14ac:dyDescent="0.3">
      <c r="A17" s="40" t="s">
        <v>78</v>
      </c>
      <c r="B17" s="33" t="s">
        <v>64</v>
      </c>
      <c r="C17" s="34">
        <v>42852</v>
      </c>
      <c r="D17" s="35">
        <v>67000</v>
      </c>
      <c r="E17" s="5" t="s">
        <v>14</v>
      </c>
      <c r="F17" s="37" t="s">
        <v>11</v>
      </c>
      <c r="G17" s="38" t="s">
        <v>12</v>
      </c>
      <c r="H17" s="33"/>
      <c r="I17" s="39">
        <v>28</v>
      </c>
      <c r="J17" s="39">
        <v>40000</v>
      </c>
      <c r="K17" s="39">
        <v>0</v>
      </c>
    </row>
    <row r="18" spans="1:11" x14ac:dyDescent="0.3">
      <c r="A18" s="40" t="s">
        <v>78</v>
      </c>
      <c r="B18" s="33" t="s">
        <v>65</v>
      </c>
      <c r="C18" s="34">
        <v>42853</v>
      </c>
      <c r="D18" s="35">
        <v>89000</v>
      </c>
      <c r="E18" s="5" t="s">
        <v>14</v>
      </c>
      <c r="F18" s="37" t="s">
        <v>11</v>
      </c>
      <c r="G18" s="38" t="s">
        <v>12</v>
      </c>
      <c r="H18" s="33"/>
      <c r="I18" s="39">
        <v>28</v>
      </c>
      <c r="J18" s="39">
        <v>40000</v>
      </c>
      <c r="K18" s="39">
        <v>0</v>
      </c>
    </row>
    <row r="19" spans="1:11" x14ac:dyDescent="0.3">
      <c r="A19" s="40" t="s">
        <v>78</v>
      </c>
      <c r="B19" s="33" t="s">
        <v>66</v>
      </c>
      <c r="C19" s="34">
        <v>42853</v>
      </c>
      <c r="D19" s="35">
        <v>89000</v>
      </c>
      <c r="E19" s="5" t="s">
        <v>14</v>
      </c>
      <c r="F19" s="37" t="s">
        <v>11</v>
      </c>
      <c r="G19" s="38" t="s">
        <v>12</v>
      </c>
      <c r="H19" s="33"/>
      <c r="I19" s="39">
        <v>28</v>
      </c>
      <c r="J19" s="39">
        <v>40000</v>
      </c>
      <c r="K19" s="39">
        <v>0</v>
      </c>
    </row>
    <row r="20" spans="1:11" x14ac:dyDescent="0.3">
      <c r="A20" s="40" t="s">
        <v>78</v>
      </c>
      <c r="B20" s="33" t="s">
        <v>68</v>
      </c>
      <c r="C20" s="34">
        <v>42853</v>
      </c>
      <c r="D20" s="35">
        <v>89000</v>
      </c>
      <c r="E20" s="5" t="s">
        <v>14</v>
      </c>
      <c r="F20" s="37" t="s">
        <v>11</v>
      </c>
      <c r="G20" s="38" t="s">
        <v>12</v>
      </c>
      <c r="H20" s="33"/>
      <c r="I20" s="39">
        <v>28</v>
      </c>
      <c r="J20" s="39">
        <v>40000</v>
      </c>
      <c r="K20" s="39">
        <v>0</v>
      </c>
    </row>
    <row r="21" spans="1:11" x14ac:dyDescent="0.3">
      <c r="A21" s="40" t="s">
        <v>78</v>
      </c>
      <c r="B21" s="33" t="s">
        <v>68</v>
      </c>
      <c r="C21" s="34">
        <v>42853</v>
      </c>
      <c r="D21" s="35">
        <v>89000</v>
      </c>
      <c r="E21" s="5" t="s">
        <v>14</v>
      </c>
      <c r="F21" s="37" t="s">
        <v>11</v>
      </c>
      <c r="G21" s="38" t="s">
        <v>12</v>
      </c>
      <c r="H21" s="33"/>
      <c r="I21" s="39">
        <v>28</v>
      </c>
      <c r="J21" s="39">
        <v>40000</v>
      </c>
      <c r="K21" s="3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15" sqref="C15"/>
    </sheetView>
  </sheetViews>
  <sheetFormatPr defaultRowHeight="14.4" x14ac:dyDescent="0.3"/>
  <cols>
    <col min="1" max="1" width="21.109375" bestFit="1" customWidth="1"/>
    <col min="2" max="2" width="10.6640625" bestFit="1" customWidth="1"/>
    <col min="3" max="3" width="14.6640625" bestFit="1" customWidth="1"/>
    <col min="4" max="4" width="18.44140625" bestFit="1" customWidth="1"/>
    <col min="5" max="5" width="5.5546875" bestFit="1" customWidth="1"/>
    <col min="6" max="6" width="18.6640625" bestFit="1" customWidth="1"/>
    <col min="7" max="7" width="11.6640625" bestFit="1" customWidth="1"/>
    <col min="8" max="8" width="18.44140625" bestFit="1" customWidth="1"/>
  </cols>
  <sheetData>
    <row r="1" spans="1:8" x14ac:dyDescent="0.3">
      <c r="A1" s="41" t="s">
        <v>69</v>
      </c>
      <c r="B1" s="42"/>
      <c r="C1" s="43"/>
      <c r="D1" s="44"/>
      <c r="E1" s="45"/>
      <c r="F1" s="43"/>
      <c r="G1" s="46"/>
      <c r="H1" s="47"/>
    </row>
    <row r="2" spans="1:8" x14ac:dyDescent="0.3">
      <c r="A2" s="24" t="s">
        <v>48</v>
      </c>
      <c r="B2" s="24"/>
      <c r="C2" s="48" t="s">
        <v>70</v>
      </c>
      <c r="D2" s="24"/>
      <c r="E2" s="25"/>
      <c r="F2" s="48" t="s">
        <v>50</v>
      </c>
      <c r="G2" s="49" t="s">
        <v>51</v>
      </c>
      <c r="H2" s="26"/>
    </row>
    <row r="3" spans="1:8" x14ac:dyDescent="0.3">
      <c r="A3" s="27">
        <f>SUMPRODUCT((A5:A40000&lt;&gt;"")/COUNTIF(A5:A40000,A5:A40000&amp;""))</f>
        <v>5</v>
      </c>
      <c r="B3" s="27"/>
      <c r="C3" s="28">
        <f>SUMPRODUCT(1/COUNTIF(A5:A40000,A5:A40000&amp;""),C5:C40000)</f>
        <v>1250461.04</v>
      </c>
      <c r="D3" s="50"/>
      <c r="E3" s="31"/>
      <c r="F3" s="31">
        <f>SUM(F5:F39999)</f>
        <v>1630600</v>
      </c>
      <c r="G3" s="51">
        <f>SUM(G5:G39999)</f>
        <v>124536</v>
      </c>
      <c r="H3" s="29"/>
    </row>
    <row r="4" spans="1:8" x14ac:dyDescent="0.3">
      <c r="A4" s="32" t="s">
        <v>52</v>
      </c>
      <c r="B4" s="32" t="s">
        <v>53</v>
      </c>
      <c r="C4" s="32" t="s">
        <v>54</v>
      </c>
      <c r="D4" s="32" t="s">
        <v>55</v>
      </c>
      <c r="E4" s="32" t="s">
        <v>24</v>
      </c>
      <c r="F4" s="32" t="s">
        <v>59</v>
      </c>
      <c r="G4" s="32" t="s">
        <v>60</v>
      </c>
      <c r="H4" s="32" t="s">
        <v>58</v>
      </c>
    </row>
    <row r="5" spans="1:8" x14ac:dyDescent="0.3">
      <c r="A5" s="33">
        <v>10001</v>
      </c>
      <c r="B5" s="34">
        <v>42853</v>
      </c>
      <c r="C5" s="35">
        <v>250000.01</v>
      </c>
      <c r="D5" s="36" t="s">
        <v>61</v>
      </c>
      <c r="E5" s="39">
        <v>5</v>
      </c>
      <c r="F5" s="35">
        <v>345600</v>
      </c>
      <c r="G5" s="52">
        <v>20756</v>
      </c>
      <c r="H5" s="33" t="s">
        <v>71</v>
      </c>
    </row>
    <row r="6" spans="1:8" x14ac:dyDescent="0.3">
      <c r="A6" s="33">
        <v>10002</v>
      </c>
      <c r="B6" s="34">
        <v>42854</v>
      </c>
      <c r="C6" s="35">
        <v>250000.01</v>
      </c>
      <c r="D6" s="36" t="s">
        <v>61</v>
      </c>
      <c r="E6" s="39">
        <v>0</v>
      </c>
      <c r="F6" s="35">
        <v>255000</v>
      </c>
      <c r="G6" s="52">
        <v>20756</v>
      </c>
      <c r="H6" s="33"/>
    </row>
    <row r="7" spans="1:8" x14ac:dyDescent="0.3">
      <c r="A7" s="33">
        <v>10003</v>
      </c>
      <c r="B7" s="34">
        <v>42855</v>
      </c>
      <c r="C7" s="35">
        <v>250000.01</v>
      </c>
      <c r="D7" s="36" t="s">
        <v>72</v>
      </c>
      <c r="E7" s="39">
        <v>12</v>
      </c>
      <c r="F7" s="35">
        <v>255000</v>
      </c>
      <c r="G7" s="52">
        <v>20756</v>
      </c>
      <c r="H7" s="33"/>
    </row>
    <row r="8" spans="1:8" x14ac:dyDescent="0.3">
      <c r="A8" s="33">
        <v>10004</v>
      </c>
      <c r="B8" s="34">
        <v>42855</v>
      </c>
      <c r="C8" s="35">
        <v>250000.01</v>
      </c>
      <c r="D8" s="36" t="s">
        <v>61</v>
      </c>
      <c r="E8" s="39">
        <v>5</v>
      </c>
      <c r="F8" s="35">
        <v>265000</v>
      </c>
      <c r="G8" s="52">
        <v>20756</v>
      </c>
      <c r="H8" s="33"/>
    </row>
    <row r="9" spans="1:8" x14ac:dyDescent="0.3">
      <c r="A9" s="33">
        <v>10005</v>
      </c>
      <c r="B9" s="34">
        <v>42855</v>
      </c>
      <c r="C9" s="35">
        <v>250021</v>
      </c>
      <c r="D9" s="36" t="s">
        <v>73</v>
      </c>
      <c r="E9" s="39">
        <v>28</v>
      </c>
      <c r="F9" s="35">
        <v>255000</v>
      </c>
      <c r="G9" s="52">
        <v>20756</v>
      </c>
      <c r="H9" s="33" t="s">
        <v>71</v>
      </c>
    </row>
    <row r="10" spans="1:8" x14ac:dyDescent="0.3">
      <c r="A10" s="33">
        <v>10005</v>
      </c>
      <c r="B10" s="34">
        <v>42855</v>
      </c>
      <c r="C10" s="35">
        <v>250901</v>
      </c>
      <c r="D10" s="36" t="s">
        <v>74</v>
      </c>
      <c r="E10" s="39">
        <v>28</v>
      </c>
      <c r="F10" s="35">
        <v>255000</v>
      </c>
      <c r="G10" s="52">
        <v>20756</v>
      </c>
      <c r="H10" s="33" t="s">
        <v>71</v>
      </c>
    </row>
  </sheetData>
  <protectedRanges>
    <protectedRange sqref="A2:H3 A1:G1" name="Summary_2"/>
    <protectedRange sqref="H1" name="Summary_1_1"/>
  </protectedRange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" sqref="F1"/>
    </sheetView>
  </sheetViews>
  <sheetFormatPr defaultRowHeight="14.4" x14ac:dyDescent="0.3"/>
  <cols>
    <col min="1" max="1" width="20.88671875" bestFit="1" customWidth="1"/>
    <col min="2" max="2" width="18.44140625" bestFit="1" customWidth="1"/>
    <col min="3" max="3" width="5.5546875" bestFit="1" customWidth="1"/>
    <col min="4" max="4" width="19.33203125" bestFit="1" customWidth="1"/>
    <col min="5" max="5" width="11.6640625" bestFit="1" customWidth="1"/>
    <col min="6" max="6" width="18.44140625" bestFit="1" customWidth="1"/>
  </cols>
  <sheetData>
    <row r="1" spans="1:6" x14ac:dyDescent="0.3">
      <c r="A1" s="57" t="s">
        <v>79</v>
      </c>
      <c r="B1" s="58"/>
      <c r="C1" s="59"/>
      <c r="D1" s="31"/>
      <c r="E1" s="31"/>
      <c r="F1" s="60"/>
    </row>
    <row r="2" spans="1:6" x14ac:dyDescent="0.3">
      <c r="A2" s="61"/>
      <c r="B2" s="24"/>
      <c r="C2" s="25"/>
      <c r="D2" s="25" t="s">
        <v>80</v>
      </c>
      <c r="E2" s="25" t="s">
        <v>51</v>
      </c>
      <c r="F2" s="61"/>
    </row>
    <row r="3" spans="1:6" x14ac:dyDescent="0.3">
      <c r="A3" s="50"/>
      <c r="B3" s="50"/>
      <c r="C3" s="31"/>
      <c r="D3" s="31">
        <f>SUM(D5:D40000)</f>
        <v>1226005.01</v>
      </c>
      <c r="E3" s="31">
        <f>SUM(E5:E40000)</f>
        <v>20756</v>
      </c>
      <c r="F3" s="50"/>
    </row>
    <row r="4" spans="1:6" x14ac:dyDescent="0.3">
      <c r="A4" s="32" t="s">
        <v>28</v>
      </c>
      <c r="B4" s="32" t="s">
        <v>55</v>
      </c>
      <c r="C4" s="32" t="s">
        <v>24</v>
      </c>
      <c r="D4" s="32" t="s">
        <v>59</v>
      </c>
      <c r="E4" s="32" t="s">
        <v>60</v>
      </c>
      <c r="F4" s="32" t="s">
        <v>58</v>
      </c>
    </row>
    <row r="5" spans="1:6" x14ac:dyDescent="0.3">
      <c r="A5" s="62" t="s">
        <v>81</v>
      </c>
      <c r="B5" s="36" t="s">
        <v>61</v>
      </c>
      <c r="C5" s="39">
        <v>5</v>
      </c>
      <c r="D5" s="39">
        <v>500000</v>
      </c>
      <c r="E5" s="39"/>
      <c r="F5" s="33" t="s">
        <v>71</v>
      </c>
    </row>
    <row r="6" spans="1:6" x14ac:dyDescent="0.3">
      <c r="A6" s="62" t="s">
        <v>82</v>
      </c>
      <c r="B6" s="36" t="s">
        <v>61</v>
      </c>
      <c r="C6" s="39">
        <v>28</v>
      </c>
      <c r="D6" s="39">
        <v>50000</v>
      </c>
      <c r="E6" s="39">
        <v>20756</v>
      </c>
      <c r="F6" s="33"/>
    </row>
    <row r="7" spans="1:6" x14ac:dyDescent="0.3">
      <c r="A7" s="62" t="s">
        <v>81</v>
      </c>
      <c r="B7" s="36" t="s">
        <v>72</v>
      </c>
      <c r="C7" s="39">
        <v>12</v>
      </c>
      <c r="D7" s="39">
        <v>250000</v>
      </c>
      <c r="E7" s="39"/>
      <c r="F7" s="33"/>
    </row>
    <row r="8" spans="1:6" x14ac:dyDescent="0.3">
      <c r="A8" s="63" t="s">
        <v>82</v>
      </c>
      <c r="B8" s="36" t="s">
        <v>61</v>
      </c>
      <c r="C8" s="39">
        <v>5</v>
      </c>
      <c r="D8" s="39">
        <v>76000.45</v>
      </c>
      <c r="E8" s="39"/>
      <c r="F8" s="33"/>
    </row>
    <row r="9" spans="1:6" x14ac:dyDescent="0.3">
      <c r="A9" s="62" t="s">
        <v>81</v>
      </c>
      <c r="B9" s="36" t="s">
        <v>73</v>
      </c>
      <c r="C9" s="39">
        <v>12</v>
      </c>
      <c r="D9" s="39">
        <v>350004.56</v>
      </c>
      <c r="E9" s="39"/>
      <c r="F9" s="33" t="s">
        <v>71</v>
      </c>
    </row>
    <row r="10" spans="1:6" x14ac:dyDescent="0.3">
      <c r="A10" s="62"/>
      <c r="B10" s="36"/>
      <c r="C10" s="39"/>
      <c r="D10" s="39"/>
      <c r="E10" s="39"/>
      <c r="F10" s="33"/>
    </row>
  </sheetData>
  <protectedRanges>
    <protectedRange sqref="B1:B3" name="Summary_1_1"/>
  </protectedRange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opLeftCell="E1" workbookViewId="0">
      <selection activeCell="M1" sqref="M1"/>
    </sheetView>
  </sheetViews>
  <sheetFormatPr defaultRowHeight="14.4" x14ac:dyDescent="0.3"/>
  <cols>
    <col min="1" max="1" width="23.33203125" bestFit="1" customWidth="1"/>
    <col min="2" max="2" width="13.5546875" customWidth="1"/>
    <col min="3" max="3" width="12.6640625" customWidth="1"/>
    <col min="4" max="4" width="26.33203125" customWidth="1"/>
    <col min="5" max="5" width="22.88671875" customWidth="1"/>
    <col min="6" max="6" width="14.33203125" bestFit="1" customWidth="1"/>
    <col min="7" max="7" width="25.109375" bestFit="1" customWidth="1"/>
    <col min="8" max="8" width="18.44140625" bestFit="1" customWidth="1"/>
    <col min="9" max="9" width="31.109375" bestFit="1" customWidth="1"/>
    <col min="10" max="10" width="5.5546875" bestFit="1" customWidth="1"/>
    <col min="11" max="11" width="18.6640625" bestFit="1" customWidth="1"/>
    <col min="12" max="12" width="11.6640625" bestFit="1" customWidth="1"/>
    <col min="13" max="13" width="8.33203125" bestFit="1" customWidth="1"/>
  </cols>
  <sheetData>
    <row r="1" spans="1:13" x14ac:dyDescent="0.3">
      <c r="A1" s="41" t="s">
        <v>83</v>
      </c>
      <c r="B1" s="64"/>
      <c r="C1" s="65"/>
      <c r="D1" s="44"/>
      <c r="E1" s="66"/>
      <c r="F1" s="44"/>
      <c r="G1" s="64"/>
      <c r="H1" s="44"/>
      <c r="I1" s="54"/>
      <c r="J1" s="45"/>
      <c r="K1" s="45"/>
      <c r="L1" s="45"/>
      <c r="M1" s="60"/>
    </row>
    <row r="2" spans="1:13" x14ac:dyDescent="0.3">
      <c r="A2" s="24" t="s">
        <v>76</v>
      </c>
      <c r="B2" s="26" t="s">
        <v>48</v>
      </c>
      <c r="C2" s="67"/>
      <c r="D2" s="24" t="s">
        <v>84</v>
      </c>
      <c r="E2" s="24"/>
      <c r="F2" s="24"/>
      <c r="G2" s="26"/>
      <c r="H2" s="24"/>
      <c r="I2" s="25" t="s">
        <v>85</v>
      </c>
      <c r="J2" s="25"/>
      <c r="K2" s="25" t="s">
        <v>50</v>
      </c>
      <c r="L2" s="25" t="s">
        <v>51</v>
      </c>
      <c r="M2" s="24"/>
    </row>
    <row r="3" spans="1:13" x14ac:dyDescent="0.3">
      <c r="A3" s="27">
        <f>SUMPRODUCT((A5:A40001&lt;&gt;"")/COUNTIF(A5:A40001,A5:A40001&amp;""))</f>
        <v>1.9999999999999998</v>
      </c>
      <c r="B3" s="29">
        <f>SUMPRODUCT((B5:B40001&lt;&gt;"")/COUNTIF(B5:B40001,B5:B40001&amp;""))</f>
        <v>4</v>
      </c>
      <c r="C3" s="68"/>
      <c r="D3" s="27">
        <f>SUMPRODUCT((D5:D40001&lt;&gt;"")/COUNTIF(D5:D40001,D5:D40001&amp;""))</f>
        <v>4</v>
      </c>
      <c r="E3" s="27"/>
      <c r="F3" s="50"/>
      <c r="G3" s="29"/>
      <c r="H3" s="50"/>
      <c r="I3" s="69">
        <f>SUMPRODUCT(1/COUNTIF(D5:D10001,D5:D10001&amp;""),I5:I10001)</f>
        <v>174000</v>
      </c>
      <c r="J3" s="31"/>
      <c r="K3" s="31">
        <f>SUM(K5:K10000)</f>
        <v>1050000</v>
      </c>
      <c r="L3" s="31">
        <f>SUM(L5:L10000)</f>
        <v>20756</v>
      </c>
      <c r="M3" s="50"/>
    </row>
    <row r="4" spans="1:13" x14ac:dyDescent="0.3">
      <c r="A4" s="70" t="s">
        <v>77</v>
      </c>
      <c r="B4" s="71" t="s">
        <v>86</v>
      </c>
      <c r="C4" s="72" t="s">
        <v>87</v>
      </c>
      <c r="D4" s="70" t="s">
        <v>88</v>
      </c>
      <c r="E4" s="72" t="s">
        <v>89</v>
      </c>
      <c r="F4" s="70" t="s">
        <v>90</v>
      </c>
      <c r="G4" s="71" t="s">
        <v>91</v>
      </c>
      <c r="H4" s="32" t="s">
        <v>55</v>
      </c>
      <c r="I4" s="73" t="s">
        <v>92</v>
      </c>
      <c r="J4" s="73" t="s">
        <v>24</v>
      </c>
      <c r="K4" s="73" t="s">
        <v>59</v>
      </c>
      <c r="L4" s="73" t="s">
        <v>60</v>
      </c>
      <c r="M4" s="70" t="s">
        <v>93</v>
      </c>
    </row>
    <row r="5" spans="1:13" x14ac:dyDescent="0.3">
      <c r="A5" s="33" t="s">
        <v>94</v>
      </c>
      <c r="B5" s="33">
        <v>1000</v>
      </c>
      <c r="C5" s="34">
        <v>42833</v>
      </c>
      <c r="D5" s="33">
        <v>90001</v>
      </c>
      <c r="E5" s="34">
        <v>42853</v>
      </c>
      <c r="F5" s="74" t="s">
        <v>95</v>
      </c>
      <c r="G5" s="75" t="s">
        <v>96</v>
      </c>
      <c r="H5" s="36" t="s">
        <v>61</v>
      </c>
      <c r="I5" s="39">
        <v>22000</v>
      </c>
      <c r="J5" s="39">
        <v>12</v>
      </c>
      <c r="K5" s="39">
        <v>50000</v>
      </c>
      <c r="L5" s="39"/>
      <c r="M5" s="37" t="s">
        <v>11</v>
      </c>
    </row>
    <row r="6" spans="1:13" x14ac:dyDescent="0.3">
      <c r="A6" s="33" t="s">
        <v>97</v>
      </c>
      <c r="B6" s="33" t="s">
        <v>98</v>
      </c>
      <c r="C6" s="34">
        <v>42833</v>
      </c>
      <c r="D6" s="33">
        <v>90002</v>
      </c>
      <c r="E6" s="34">
        <v>42854</v>
      </c>
      <c r="F6" s="74" t="s">
        <v>95</v>
      </c>
      <c r="G6" s="75" t="s">
        <v>96</v>
      </c>
      <c r="H6" s="36" t="s">
        <v>61</v>
      </c>
      <c r="I6" s="39">
        <v>50000</v>
      </c>
      <c r="J6" s="39">
        <v>12</v>
      </c>
      <c r="K6" s="39">
        <v>250000</v>
      </c>
      <c r="L6" s="39"/>
      <c r="M6" s="37" t="s">
        <v>11</v>
      </c>
    </row>
    <row r="7" spans="1:13" x14ac:dyDescent="0.3">
      <c r="A7" s="33" t="s">
        <v>97</v>
      </c>
      <c r="B7" s="33">
        <v>90203</v>
      </c>
      <c r="C7" s="76">
        <v>42855</v>
      </c>
      <c r="D7" s="33">
        <v>90003</v>
      </c>
      <c r="E7" s="34">
        <v>42855</v>
      </c>
      <c r="F7" s="74" t="s">
        <v>99</v>
      </c>
      <c r="G7" s="75" t="s">
        <v>100</v>
      </c>
      <c r="H7" s="36" t="s">
        <v>72</v>
      </c>
      <c r="I7" s="39">
        <v>52000</v>
      </c>
      <c r="J7" s="39">
        <v>5</v>
      </c>
      <c r="K7" s="39">
        <v>250000</v>
      </c>
      <c r="L7" s="39"/>
      <c r="M7" s="37" t="s">
        <v>101</v>
      </c>
    </row>
    <row r="8" spans="1:13" x14ac:dyDescent="0.3">
      <c r="A8" s="33" t="s">
        <v>97</v>
      </c>
      <c r="B8" s="33">
        <v>90204</v>
      </c>
      <c r="C8" s="76">
        <v>42849</v>
      </c>
      <c r="D8" s="77">
        <v>90004</v>
      </c>
      <c r="E8" s="34">
        <v>42850</v>
      </c>
      <c r="F8" s="74" t="s">
        <v>102</v>
      </c>
      <c r="G8" s="75" t="s">
        <v>103</v>
      </c>
      <c r="H8" s="36" t="s">
        <v>61</v>
      </c>
      <c r="I8" s="39">
        <v>50000</v>
      </c>
      <c r="J8" s="39">
        <v>5</v>
      </c>
      <c r="K8" s="39">
        <v>250000</v>
      </c>
      <c r="L8" s="39"/>
      <c r="M8" s="37" t="s">
        <v>101</v>
      </c>
    </row>
    <row r="9" spans="1:13" x14ac:dyDescent="0.3">
      <c r="A9" s="33" t="s">
        <v>94</v>
      </c>
      <c r="B9" s="33">
        <v>90204</v>
      </c>
      <c r="C9" s="34">
        <v>42849</v>
      </c>
      <c r="D9" s="33">
        <v>90004</v>
      </c>
      <c r="E9" s="34">
        <v>42850</v>
      </c>
      <c r="F9" s="74" t="s">
        <v>95</v>
      </c>
      <c r="G9" s="75" t="s">
        <v>103</v>
      </c>
      <c r="H9" s="36" t="s">
        <v>73</v>
      </c>
      <c r="I9" s="39">
        <v>50000</v>
      </c>
      <c r="J9" s="39">
        <v>18</v>
      </c>
      <c r="K9" s="39">
        <v>250000</v>
      </c>
      <c r="L9" s="39">
        <v>20756</v>
      </c>
      <c r="M9" s="37" t="s">
        <v>101</v>
      </c>
    </row>
  </sheetData>
  <protectedRanges>
    <protectedRange sqref="I1:I3" name="Summary_2_1"/>
    <protectedRange sqref="H1:H3" name="Summary_1_1_1"/>
  </protectedRange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E1" workbookViewId="0">
      <selection activeCell="M1" sqref="M1"/>
    </sheetView>
  </sheetViews>
  <sheetFormatPr defaultRowHeight="14.4" x14ac:dyDescent="0.3"/>
  <cols>
    <col min="1" max="1" width="24.6640625" bestFit="1" customWidth="1"/>
    <col min="2" max="2" width="26.33203125" bestFit="1" customWidth="1"/>
    <col min="3" max="3" width="22.88671875" bestFit="1" customWidth="1"/>
    <col min="4" max="4" width="14.33203125" bestFit="1" customWidth="1"/>
    <col min="5" max="5" width="28.5546875" bestFit="1" customWidth="1"/>
    <col min="6" max="6" width="25.33203125" bestFit="1" customWidth="1"/>
    <col min="7" max="7" width="31.6640625" bestFit="1" customWidth="1"/>
    <col min="8" max="8" width="18.44140625" bestFit="1" customWidth="1"/>
    <col min="9" max="9" width="24.109375" bestFit="1" customWidth="1"/>
    <col min="10" max="10" width="5.5546875" bestFit="1" customWidth="1"/>
    <col min="11" max="11" width="18.6640625" bestFit="1" customWidth="1"/>
    <col min="12" max="12" width="11.6640625" bestFit="1" customWidth="1"/>
    <col min="13" max="13" width="8.33203125" bestFit="1" customWidth="1"/>
  </cols>
  <sheetData>
    <row r="1" spans="1:13" x14ac:dyDescent="0.3">
      <c r="A1" s="41" t="s">
        <v>104</v>
      </c>
      <c r="B1" s="44"/>
      <c r="C1" s="66"/>
      <c r="D1" s="44"/>
      <c r="E1" s="44"/>
      <c r="F1" s="44"/>
      <c r="G1" s="64"/>
      <c r="H1" s="44"/>
      <c r="I1" s="54"/>
      <c r="J1" s="43"/>
      <c r="K1" s="45"/>
      <c r="L1" s="45"/>
      <c r="M1" s="60"/>
    </row>
    <row r="2" spans="1:13" x14ac:dyDescent="0.3">
      <c r="A2" s="24"/>
      <c r="B2" s="24" t="s">
        <v>84</v>
      </c>
      <c r="C2" s="24"/>
      <c r="D2" s="24"/>
      <c r="E2" s="24" t="s">
        <v>48</v>
      </c>
      <c r="F2" s="24"/>
      <c r="G2" s="26"/>
      <c r="H2" s="24"/>
      <c r="I2" s="25" t="s">
        <v>105</v>
      </c>
      <c r="J2" s="48"/>
      <c r="K2" s="25" t="s">
        <v>50</v>
      </c>
      <c r="L2" s="25" t="s">
        <v>51</v>
      </c>
      <c r="M2" s="24"/>
    </row>
    <row r="3" spans="1:13" x14ac:dyDescent="0.3">
      <c r="A3" s="50"/>
      <c r="B3" s="27">
        <f>SUMPRODUCT((B5:B40001&lt;&gt;"")/COUNTIF(B5:B40001,B5:B40001&amp;""))</f>
        <v>5</v>
      </c>
      <c r="C3" s="27"/>
      <c r="D3" s="50"/>
      <c r="E3" s="27">
        <f>SUMPRODUCT((E5:E40001&lt;&gt;"")/COUNTIF(E5:E40001,E5:E40001&amp;""))</f>
        <v>4</v>
      </c>
      <c r="F3" s="50"/>
      <c r="G3" s="29"/>
      <c r="H3" s="50"/>
      <c r="I3" s="69">
        <f>SUMPRODUCT(1/COUNTIF(E5:E10001,E5:E10001&amp;""),I5:I10001)</f>
        <v>177000</v>
      </c>
      <c r="J3" s="78"/>
      <c r="K3" s="31">
        <f>SUM(K5:K10000)</f>
        <v>1250000</v>
      </c>
      <c r="L3" s="31">
        <f>SUM(L5:L10000)</f>
        <v>5410</v>
      </c>
      <c r="M3" s="50"/>
    </row>
    <row r="4" spans="1:13" x14ac:dyDescent="0.3">
      <c r="A4" s="79" t="s">
        <v>106</v>
      </c>
      <c r="B4" s="70" t="s">
        <v>88</v>
      </c>
      <c r="C4" s="72" t="s">
        <v>89</v>
      </c>
      <c r="D4" s="70" t="s">
        <v>90</v>
      </c>
      <c r="E4" s="71" t="s">
        <v>86</v>
      </c>
      <c r="F4" s="72" t="s">
        <v>87</v>
      </c>
      <c r="G4" s="71" t="s">
        <v>91</v>
      </c>
      <c r="H4" s="32" t="s">
        <v>55</v>
      </c>
      <c r="I4" s="73" t="s">
        <v>92</v>
      </c>
      <c r="J4" s="73" t="s">
        <v>24</v>
      </c>
      <c r="K4" s="73" t="s">
        <v>59</v>
      </c>
      <c r="L4" s="73" t="s">
        <v>60</v>
      </c>
      <c r="M4" s="70" t="s">
        <v>93</v>
      </c>
    </row>
    <row r="5" spans="1:13" x14ac:dyDescent="0.3">
      <c r="A5" s="74" t="s">
        <v>107</v>
      </c>
      <c r="B5" s="33">
        <v>90001</v>
      </c>
      <c r="C5" s="34">
        <v>42853</v>
      </c>
      <c r="D5" s="74" t="s">
        <v>95</v>
      </c>
      <c r="E5" s="33">
        <v>91113</v>
      </c>
      <c r="F5" s="80">
        <v>42853</v>
      </c>
      <c r="G5" s="75" t="s">
        <v>96</v>
      </c>
      <c r="H5" s="36" t="s">
        <v>61</v>
      </c>
      <c r="I5" s="39">
        <v>25000</v>
      </c>
      <c r="J5" s="39">
        <v>5</v>
      </c>
      <c r="K5" s="39">
        <v>250000</v>
      </c>
      <c r="L5" s="39"/>
      <c r="M5" s="37" t="s">
        <v>101</v>
      </c>
    </row>
    <row r="6" spans="1:13" x14ac:dyDescent="0.3">
      <c r="A6" s="74" t="s">
        <v>107</v>
      </c>
      <c r="B6" s="33">
        <v>90002</v>
      </c>
      <c r="C6" s="34">
        <v>42854</v>
      </c>
      <c r="D6" s="74" t="s">
        <v>95</v>
      </c>
      <c r="E6" s="33">
        <v>91114</v>
      </c>
      <c r="F6" s="80">
        <v>42854</v>
      </c>
      <c r="G6" s="75" t="s">
        <v>96</v>
      </c>
      <c r="H6" s="36" t="s">
        <v>61</v>
      </c>
      <c r="I6" s="39">
        <v>50000</v>
      </c>
      <c r="J6" s="39">
        <v>12</v>
      </c>
      <c r="K6" s="39">
        <v>250000</v>
      </c>
      <c r="L6" s="39"/>
      <c r="M6" s="37" t="s">
        <v>11</v>
      </c>
    </row>
    <row r="7" spans="1:13" x14ac:dyDescent="0.3">
      <c r="A7" s="74" t="s">
        <v>107</v>
      </c>
      <c r="B7" s="33">
        <v>90003</v>
      </c>
      <c r="C7" s="34">
        <v>42855</v>
      </c>
      <c r="D7" s="74" t="s">
        <v>102</v>
      </c>
      <c r="E7" s="33">
        <v>91115</v>
      </c>
      <c r="F7" s="80">
        <v>42855</v>
      </c>
      <c r="G7" s="75" t="s">
        <v>100</v>
      </c>
      <c r="H7" s="36" t="s">
        <v>72</v>
      </c>
      <c r="I7" s="39">
        <v>52000</v>
      </c>
      <c r="J7" s="39">
        <v>5</v>
      </c>
      <c r="K7" s="39">
        <v>250000</v>
      </c>
      <c r="L7" s="39">
        <v>2010</v>
      </c>
      <c r="M7" s="37" t="s">
        <v>101</v>
      </c>
    </row>
    <row r="8" spans="1:13" x14ac:dyDescent="0.3">
      <c r="A8" s="74" t="s">
        <v>107</v>
      </c>
      <c r="B8" s="77">
        <v>90004</v>
      </c>
      <c r="C8" s="34">
        <v>42849</v>
      </c>
      <c r="D8" s="74" t="s">
        <v>95</v>
      </c>
      <c r="E8" s="33">
        <v>91116</v>
      </c>
      <c r="F8" s="80">
        <v>42849</v>
      </c>
      <c r="G8" s="75" t="s">
        <v>103</v>
      </c>
      <c r="H8" s="36" t="s">
        <v>61</v>
      </c>
      <c r="I8" s="39">
        <v>50000</v>
      </c>
      <c r="J8" s="39">
        <v>5</v>
      </c>
      <c r="K8" s="39">
        <v>250000</v>
      </c>
      <c r="L8" s="39"/>
      <c r="M8" s="37" t="s">
        <v>101</v>
      </c>
    </row>
    <row r="9" spans="1:13" x14ac:dyDescent="0.3">
      <c r="A9" s="74" t="s">
        <v>108</v>
      </c>
      <c r="B9" s="33">
        <v>90005</v>
      </c>
      <c r="C9" s="34">
        <v>42849</v>
      </c>
      <c r="D9" s="74" t="s">
        <v>99</v>
      </c>
      <c r="E9" s="33">
        <v>91116</v>
      </c>
      <c r="F9" s="80">
        <v>42849</v>
      </c>
      <c r="G9" s="75" t="s">
        <v>109</v>
      </c>
      <c r="H9" s="36" t="s">
        <v>73</v>
      </c>
      <c r="I9" s="39">
        <v>50000</v>
      </c>
      <c r="J9" s="39">
        <v>28</v>
      </c>
      <c r="K9" s="39">
        <v>250000</v>
      </c>
      <c r="L9" s="39">
        <v>3400</v>
      </c>
      <c r="M9" s="37" t="s">
        <v>11</v>
      </c>
    </row>
    <row r="10" spans="1:13" x14ac:dyDescent="0.3">
      <c r="A10" s="74"/>
      <c r="B10" s="40"/>
      <c r="C10" s="81"/>
      <c r="D10" s="74"/>
      <c r="E10" s="40"/>
      <c r="F10" s="40"/>
      <c r="G10" s="75"/>
      <c r="H10" s="36"/>
      <c r="I10" s="39"/>
      <c r="J10" s="39"/>
      <c r="K10" s="39"/>
      <c r="L10" s="39"/>
      <c r="M10" s="37"/>
    </row>
  </sheetData>
  <protectedRanges>
    <protectedRange sqref="I1:I3" name="Summary_1_1"/>
    <protectedRange sqref="H1:H3" name="Summary_2_1"/>
  </protectedRange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F3" sqref="F3"/>
    </sheetView>
  </sheetViews>
  <sheetFormatPr defaultRowHeight="14.4" x14ac:dyDescent="0.3"/>
  <cols>
    <col min="1" max="1" width="19.6640625" bestFit="1" customWidth="1"/>
    <col min="2" max="2" width="14.33203125" bestFit="1" customWidth="1"/>
    <col min="3" max="3" width="10.6640625" bestFit="1" customWidth="1"/>
    <col min="4" max="4" width="18.33203125" bestFit="1" customWidth="1"/>
    <col min="5" max="5" width="9.33203125" bestFit="1" customWidth="1"/>
    <col min="6" max="6" width="18.44140625" bestFit="1" customWidth="1"/>
    <col min="7" max="7" width="15.5546875" bestFit="1" customWidth="1"/>
    <col min="8" max="8" width="5.5546875" bestFit="1" customWidth="1"/>
    <col min="9" max="9" width="18.6640625" bestFit="1" customWidth="1"/>
  </cols>
  <sheetData>
    <row r="1" spans="1:9" x14ac:dyDescent="0.3">
      <c r="A1" s="41" t="s">
        <v>110</v>
      </c>
      <c r="B1" s="44"/>
      <c r="C1" s="44"/>
      <c r="D1" s="45"/>
      <c r="E1" s="44"/>
      <c r="F1" s="44"/>
      <c r="G1" s="44"/>
      <c r="H1" s="45"/>
      <c r="I1" s="60"/>
    </row>
    <row r="2" spans="1:9" x14ac:dyDescent="0.3">
      <c r="A2" s="24"/>
      <c r="B2" s="24" t="s">
        <v>48</v>
      </c>
      <c r="C2" s="24"/>
      <c r="D2" s="25" t="s">
        <v>49</v>
      </c>
      <c r="E2" s="24"/>
      <c r="F2" s="24" t="s">
        <v>111</v>
      </c>
      <c r="G2" s="24"/>
      <c r="H2" s="25"/>
      <c r="I2" s="25" t="s">
        <v>50</v>
      </c>
    </row>
    <row r="3" spans="1:9" x14ac:dyDescent="0.3">
      <c r="A3" s="50"/>
      <c r="B3" s="27">
        <f>SUMPRODUCT((B5:B40001&lt;&gt;"")/COUNTIF(B5:B40001,B5:B40001&amp;""))</f>
        <v>6</v>
      </c>
      <c r="C3" s="50"/>
      <c r="D3" s="69">
        <f>SUMPRODUCT(1/COUNTIF(B5:B40001,B5:B40001&amp;""),D5:D40001)</f>
        <v>3116813.7199999997</v>
      </c>
      <c r="E3" s="50"/>
      <c r="F3" s="27">
        <f>SUMPRODUCT((F5:F40001&lt;&gt;"")/COUNTIF(F5:F40001,F5:F40001&amp;""))</f>
        <v>6</v>
      </c>
      <c r="G3" s="50"/>
      <c r="H3" s="31"/>
      <c r="I3" s="31">
        <f>SUM(I5:I40000)</f>
        <v>332659</v>
      </c>
    </row>
    <row r="4" spans="1:9" x14ac:dyDescent="0.3">
      <c r="A4" s="82" t="s">
        <v>112</v>
      </c>
      <c r="B4" s="82" t="s">
        <v>52</v>
      </c>
      <c r="C4" s="82" t="s">
        <v>53</v>
      </c>
      <c r="D4" s="83" t="s">
        <v>54</v>
      </c>
      <c r="E4" s="82" t="s">
        <v>113</v>
      </c>
      <c r="F4" s="82" t="s">
        <v>114</v>
      </c>
      <c r="G4" s="82" t="s">
        <v>115</v>
      </c>
      <c r="H4" s="83" t="s">
        <v>24</v>
      </c>
      <c r="I4" s="83" t="s">
        <v>59</v>
      </c>
    </row>
    <row r="5" spans="1:9" x14ac:dyDescent="0.3">
      <c r="A5" s="40" t="s">
        <v>116</v>
      </c>
      <c r="B5" s="33">
        <v>81510</v>
      </c>
      <c r="C5" s="80">
        <v>42853</v>
      </c>
      <c r="D5" s="39">
        <v>995048.36</v>
      </c>
      <c r="E5" s="81" t="s">
        <v>117</v>
      </c>
      <c r="F5" s="81">
        <v>184298</v>
      </c>
      <c r="G5" s="80">
        <v>42853</v>
      </c>
      <c r="H5" s="39">
        <v>5</v>
      </c>
      <c r="I5" s="39">
        <v>78788</v>
      </c>
    </row>
    <row r="6" spans="1:9" x14ac:dyDescent="0.3">
      <c r="A6" s="40" t="s">
        <v>116</v>
      </c>
      <c r="B6" s="33">
        <v>81511</v>
      </c>
      <c r="C6" s="80">
        <v>42854</v>
      </c>
      <c r="D6" s="39">
        <v>56990</v>
      </c>
      <c r="E6" s="81" t="s">
        <v>118</v>
      </c>
      <c r="F6" s="81">
        <v>184299</v>
      </c>
      <c r="G6" s="80">
        <v>42854</v>
      </c>
      <c r="H6" s="39">
        <v>0</v>
      </c>
      <c r="I6" s="39">
        <v>44545</v>
      </c>
    </row>
    <row r="7" spans="1:9" x14ac:dyDescent="0.3">
      <c r="A7" s="40" t="s">
        <v>119</v>
      </c>
      <c r="B7" s="33">
        <v>81512</v>
      </c>
      <c r="C7" s="80">
        <v>42855</v>
      </c>
      <c r="D7" s="39">
        <v>995048.36</v>
      </c>
      <c r="E7" s="81" t="s">
        <v>120</v>
      </c>
      <c r="F7" s="81">
        <v>184300</v>
      </c>
      <c r="G7" s="80">
        <v>42855</v>
      </c>
      <c r="H7" s="39">
        <v>12</v>
      </c>
      <c r="I7" s="39">
        <v>48644</v>
      </c>
    </row>
    <row r="8" spans="1:9" x14ac:dyDescent="0.3">
      <c r="A8" s="40" t="s">
        <v>119</v>
      </c>
      <c r="B8" s="33">
        <v>81519</v>
      </c>
      <c r="C8" s="80">
        <v>42853</v>
      </c>
      <c r="D8" s="39">
        <v>995048</v>
      </c>
      <c r="E8" s="81" t="s">
        <v>121</v>
      </c>
      <c r="F8" s="81">
        <v>184301</v>
      </c>
      <c r="G8" s="80">
        <v>42853</v>
      </c>
      <c r="H8" s="39">
        <v>5</v>
      </c>
      <c r="I8" s="39">
        <v>0</v>
      </c>
    </row>
    <row r="9" spans="1:9" x14ac:dyDescent="0.3">
      <c r="A9" s="40" t="s">
        <v>119</v>
      </c>
      <c r="B9" s="33">
        <v>81520</v>
      </c>
      <c r="C9" s="80">
        <v>42854</v>
      </c>
      <c r="D9" s="39">
        <v>39000</v>
      </c>
      <c r="E9" s="81" t="s">
        <v>122</v>
      </c>
      <c r="F9" s="81">
        <v>184302</v>
      </c>
      <c r="G9" s="80">
        <v>42854</v>
      </c>
      <c r="H9" s="39">
        <v>5</v>
      </c>
      <c r="I9" s="39">
        <v>54548</v>
      </c>
    </row>
    <row r="10" spans="1:9" x14ac:dyDescent="0.3">
      <c r="A10" s="40" t="s">
        <v>119</v>
      </c>
      <c r="B10" s="33">
        <v>81521</v>
      </c>
      <c r="C10" s="80">
        <v>42855</v>
      </c>
      <c r="D10" s="39">
        <v>35679</v>
      </c>
      <c r="E10" s="81" t="s">
        <v>123</v>
      </c>
      <c r="F10" s="81">
        <v>184303</v>
      </c>
      <c r="G10" s="80">
        <v>42855</v>
      </c>
      <c r="H10" s="39">
        <v>18</v>
      </c>
      <c r="I10" s="39">
        <v>55567</v>
      </c>
    </row>
    <row r="11" spans="1:9" x14ac:dyDescent="0.3">
      <c r="A11" s="40" t="s">
        <v>119</v>
      </c>
      <c r="B11" s="33">
        <v>81521</v>
      </c>
      <c r="C11" s="80">
        <v>42855</v>
      </c>
      <c r="D11" s="39">
        <v>35679</v>
      </c>
      <c r="E11" s="81" t="s">
        <v>123</v>
      </c>
      <c r="F11" s="81">
        <v>184303</v>
      </c>
      <c r="G11" s="80">
        <v>42855</v>
      </c>
      <c r="H11" s="39">
        <v>5</v>
      </c>
      <c r="I11" s="39">
        <v>50567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5" sqref="C5"/>
    </sheetView>
  </sheetViews>
  <sheetFormatPr defaultRowHeight="14.4" x14ac:dyDescent="0.3"/>
  <cols>
    <col min="1" max="1" width="32.33203125" customWidth="1"/>
    <col min="2" max="2" width="5.5546875" bestFit="1" customWidth="1"/>
    <col min="3" max="3" width="22.109375" bestFit="1" customWidth="1"/>
    <col min="4" max="4" width="11.6640625" bestFit="1" customWidth="1"/>
  </cols>
  <sheetData>
    <row r="1" spans="1:4" ht="27.6" x14ac:dyDescent="0.3">
      <c r="A1" s="84" t="s">
        <v>124</v>
      </c>
      <c r="B1" s="45"/>
      <c r="C1" s="85"/>
      <c r="D1" s="60"/>
    </row>
    <row r="2" spans="1:4" x14ac:dyDescent="0.3">
      <c r="A2" s="24"/>
      <c r="B2" s="25"/>
      <c r="C2" s="25" t="s">
        <v>125</v>
      </c>
      <c r="D2" s="25" t="s">
        <v>51</v>
      </c>
    </row>
    <row r="3" spans="1:4" x14ac:dyDescent="0.3">
      <c r="A3" s="27"/>
      <c r="B3" s="31"/>
      <c r="C3" s="31">
        <f>SUM(C5:C40000)</f>
        <v>102960</v>
      </c>
      <c r="D3" s="31">
        <f>SUM(D5:D40000)</f>
        <v>12720</v>
      </c>
    </row>
    <row r="4" spans="1:4" x14ac:dyDescent="0.3">
      <c r="A4" s="86" t="s">
        <v>55</v>
      </c>
      <c r="B4" s="87" t="s">
        <v>24</v>
      </c>
      <c r="C4" s="87" t="s">
        <v>126</v>
      </c>
      <c r="D4" s="88" t="s">
        <v>60</v>
      </c>
    </row>
    <row r="5" spans="1:4" x14ac:dyDescent="0.3">
      <c r="A5" s="36" t="s">
        <v>72</v>
      </c>
      <c r="B5" s="39">
        <v>12</v>
      </c>
      <c r="C5" s="89">
        <v>87515</v>
      </c>
      <c r="D5" s="39">
        <v>6819</v>
      </c>
    </row>
    <row r="6" spans="1:4" x14ac:dyDescent="0.3">
      <c r="A6" s="36" t="s">
        <v>73</v>
      </c>
      <c r="B6" s="39">
        <v>5</v>
      </c>
      <c r="C6" s="89">
        <v>15445</v>
      </c>
      <c r="D6" s="39">
        <v>5901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0" sqref="C10"/>
    </sheetView>
  </sheetViews>
  <sheetFormatPr defaultRowHeight="14.4" x14ac:dyDescent="0.3"/>
  <cols>
    <col min="1" max="1" width="31.5546875" customWidth="1"/>
    <col min="2" max="2" width="5.5546875" bestFit="1" customWidth="1"/>
    <col min="3" max="3" width="25.6640625" customWidth="1"/>
    <col min="4" max="4" width="11.6640625" bestFit="1" customWidth="1"/>
  </cols>
  <sheetData>
    <row r="1" spans="1:4" ht="27.6" x14ac:dyDescent="0.3">
      <c r="A1" s="84" t="s">
        <v>124</v>
      </c>
      <c r="B1" s="45"/>
      <c r="C1" s="85"/>
      <c r="D1" s="60"/>
    </row>
    <row r="2" spans="1:4" x14ac:dyDescent="0.3">
      <c r="A2" s="24"/>
      <c r="B2" s="25"/>
      <c r="C2" s="25" t="s">
        <v>127</v>
      </c>
      <c r="D2" s="25" t="s">
        <v>51</v>
      </c>
    </row>
    <row r="3" spans="1:4" x14ac:dyDescent="0.3">
      <c r="A3" s="27"/>
      <c r="B3" s="31"/>
      <c r="C3" s="31">
        <f>SUM(C5:C40000)</f>
        <v>45000</v>
      </c>
      <c r="D3" s="31">
        <f>SUM(D5:D40000)</f>
        <v>4500</v>
      </c>
    </row>
    <row r="4" spans="1:4" x14ac:dyDescent="0.3">
      <c r="A4" s="86" t="s">
        <v>55</v>
      </c>
      <c r="B4" s="87" t="s">
        <v>24</v>
      </c>
      <c r="C4" s="87" t="s">
        <v>128</v>
      </c>
      <c r="D4" s="88" t="s">
        <v>60</v>
      </c>
    </row>
    <row r="5" spans="1:4" x14ac:dyDescent="0.3">
      <c r="A5" s="36" t="s">
        <v>67</v>
      </c>
      <c r="B5" s="39">
        <v>12</v>
      </c>
      <c r="C5" s="89">
        <v>30000</v>
      </c>
      <c r="D5" s="39">
        <v>2300</v>
      </c>
    </row>
    <row r="6" spans="1:4" x14ac:dyDescent="0.3">
      <c r="A6" s="36" t="s">
        <v>74</v>
      </c>
      <c r="B6" s="39">
        <v>18</v>
      </c>
      <c r="C6" s="89">
        <v>15000</v>
      </c>
      <c r="D6" s="39">
        <v>2200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2" sqref="A22"/>
    </sheetView>
  </sheetViews>
  <sheetFormatPr defaultRowHeight="14.4" x14ac:dyDescent="0.3"/>
  <cols>
    <col min="1" max="1" width="36" bestFit="1" customWidth="1"/>
    <col min="2" max="2" width="22.44140625" bestFit="1" customWidth="1"/>
    <col min="3" max="3" width="22.6640625" bestFit="1" customWidth="1"/>
    <col min="4" max="4" width="22.44140625" bestFit="1" customWidth="1"/>
  </cols>
  <sheetData>
    <row r="1" spans="1:4" ht="27.6" x14ac:dyDescent="0.3">
      <c r="A1" s="84" t="s">
        <v>129</v>
      </c>
      <c r="B1" s="85"/>
      <c r="C1" s="45"/>
      <c r="D1" s="60"/>
    </row>
    <row r="2" spans="1:4" x14ac:dyDescent="0.3">
      <c r="A2" s="24"/>
      <c r="B2" s="25" t="s">
        <v>130</v>
      </c>
      <c r="C2" s="25" t="s">
        <v>131</v>
      </c>
      <c r="D2" s="25" t="s">
        <v>132</v>
      </c>
    </row>
    <row r="3" spans="1:4" x14ac:dyDescent="0.3">
      <c r="A3" s="27"/>
      <c r="B3" s="31">
        <f>SUM(B5:B8)</f>
        <v>415000</v>
      </c>
      <c r="C3" s="31">
        <f>SUM(C5:C8)</f>
        <v>622200</v>
      </c>
      <c r="D3" s="31">
        <f>SUM(D5:D8)</f>
        <v>724687</v>
      </c>
    </row>
    <row r="4" spans="1:4" ht="28.2" x14ac:dyDescent="0.3">
      <c r="A4" s="90" t="s">
        <v>20</v>
      </c>
      <c r="B4" s="91" t="s">
        <v>133</v>
      </c>
      <c r="C4" s="92" t="s">
        <v>134</v>
      </c>
      <c r="D4" s="93" t="s">
        <v>135</v>
      </c>
    </row>
    <row r="5" spans="1:4" x14ac:dyDescent="0.3">
      <c r="A5" s="44" t="s">
        <v>136</v>
      </c>
      <c r="B5" s="35">
        <v>100000</v>
      </c>
      <c r="C5" s="35">
        <v>200000</v>
      </c>
      <c r="D5" s="35">
        <v>300000</v>
      </c>
    </row>
    <row r="6" spans="1:4" x14ac:dyDescent="0.3">
      <c r="A6" s="44" t="s">
        <v>137</v>
      </c>
      <c r="B6" s="35">
        <v>150000</v>
      </c>
      <c r="C6" s="35">
        <v>300000</v>
      </c>
      <c r="D6" s="35">
        <v>235000</v>
      </c>
    </row>
    <row r="7" spans="1:4" x14ac:dyDescent="0.3">
      <c r="A7" s="44" t="s">
        <v>138</v>
      </c>
      <c r="B7" s="35">
        <v>75000</v>
      </c>
      <c r="C7" s="35">
        <v>45300</v>
      </c>
      <c r="D7" s="35">
        <v>89687</v>
      </c>
    </row>
    <row r="8" spans="1:4" x14ac:dyDescent="0.3">
      <c r="A8" s="44" t="s">
        <v>139</v>
      </c>
      <c r="B8" s="35">
        <v>90000</v>
      </c>
      <c r="C8" s="35">
        <v>76900</v>
      </c>
      <c r="D8" s="35">
        <v>100000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selection activeCell="G24" sqref="G24"/>
    </sheetView>
  </sheetViews>
  <sheetFormatPr defaultRowHeight="14.4" x14ac:dyDescent="0.3"/>
  <cols>
    <col min="1" max="1" width="5" bestFit="1" customWidth="1"/>
    <col min="2" max="2" width="31" bestFit="1" customWidth="1"/>
    <col min="3" max="3" width="17.44140625" bestFit="1" customWidth="1"/>
    <col min="4" max="4" width="11.44140625" customWidth="1"/>
    <col min="5" max="5" width="9.88671875" customWidth="1"/>
    <col min="6" max="6" width="10.6640625" customWidth="1"/>
    <col min="7" max="8" width="10.33203125" customWidth="1"/>
    <col min="9" max="9" width="9.5546875" customWidth="1"/>
  </cols>
  <sheetData>
    <row r="1" spans="1:10" ht="15.6" thickTop="1" thickBot="1" x14ac:dyDescent="0.35">
      <c r="A1" s="144"/>
      <c r="B1" s="144"/>
      <c r="C1" s="145" t="s">
        <v>573</v>
      </c>
      <c r="D1" s="145"/>
      <c r="E1" s="145"/>
      <c r="F1" s="145"/>
      <c r="G1" s="145"/>
      <c r="H1" s="151" t="s">
        <v>574</v>
      </c>
      <c r="I1" s="153" t="s">
        <v>575</v>
      </c>
      <c r="J1" s="152">
        <v>2017</v>
      </c>
    </row>
    <row r="2" spans="1:10" ht="15" thickBot="1" x14ac:dyDescent="0.35">
      <c r="A2" s="146" t="s">
        <v>585</v>
      </c>
      <c r="B2" s="146" t="s">
        <v>15</v>
      </c>
      <c r="C2" s="147" t="s">
        <v>0</v>
      </c>
      <c r="D2" s="147" t="s">
        <v>19</v>
      </c>
      <c r="E2" s="147" t="s">
        <v>31</v>
      </c>
      <c r="F2" s="148" t="s">
        <v>25</v>
      </c>
      <c r="G2" s="149" t="s">
        <v>1</v>
      </c>
      <c r="H2" s="149" t="s">
        <v>2</v>
      </c>
      <c r="I2" s="149" t="s">
        <v>3</v>
      </c>
      <c r="J2" s="150" t="s">
        <v>4</v>
      </c>
    </row>
    <row r="3" spans="1:10" ht="15.6" thickTop="1" thickBot="1" x14ac:dyDescent="0.35">
      <c r="A3" s="155"/>
      <c r="B3" s="155"/>
      <c r="C3" s="2"/>
      <c r="D3" s="2" t="s">
        <v>18</v>
      </c>
      <c r="E3" s="2" t="s">
        <v>32</v>
      </c>
      <c r="F3" s="10" t="s">
        <v>18</v>
      </c>
      <c r="G3" s="2" t="s">
        <v>18</v>
      </c>
      <c r="H3" s="2" t="s">
        <v>18</v>
      </c>
      <c r="I3" s="2" t="s">
        <v>18</v>
      </c>
      <c r="J3" s="156" t="s">
        <v>18</v>
      </c>
    </row>
    <row r="4" spans="1:10" x14ac:dyDescent="0.3">
      <c r="A4" s="157">
        <v>1</v>
      </c>
      <c r="B4" s="157" t="s">
        <v>40</v>
      </c>
      <c r="C4" s="262" t="s">
        <v>39</v>
      </c>
      <c r="D4" s="123">
        <f>SUMIF(SALES!$B$7:$B$489,'PARTYWISE SALE'!$C$4:$C$153,SALES!$E$7:$E$489)</f>
        <v>166136.99999999997</v>
      </c>
      <c r="E4" s="123">
        <f>SUMIF(SALES!$B$7:$B$489,'PARTYWISE SALE'!$C$4:$C$153,SALES!$V$7:$V$489)</f>
        <v>482</v>
      </c>
      <c r="F4" s="123">
        <f>SUMIF(SALES!$B$7:$B$489,'PARTYWISE SALE'!$C$4:$C$153,SALES!$K$7:$K$489)</f>
        <v>140794.01999999999</v>
      </c>
      <c r="G4" s="123">
        <f>SUMIF(SALES!$B$7:$B$489,'PARTYWISE SALE'!$C$4:$C$153,SALES!$L$7:$L$489)</f>
        <v>0</v>
      </c>
      <c r="H4" s="123">
        <f>SUMIF(SALES!$B$7:$B$489,'PARTYWISE SALE'!$C$4:$C$153,SALES!$M$7:$M$489)</f>
        <v>12671.461799999999</v>
      </c>
      <c r="I4" s="123">
        <f>SUMIF(SALES!$B$7:$B$489,'PARTYWISE SALE'!$C$4:$C$153,SALES!$N$7:$N$489)</f>
        <v>12671.461799999999</v>
      </c>
      <c r="J4" s="158">
        <f>SUMIF(SALES!$B$7:$B$489,'PARTYWISE SALE'!$C$4:$C$153,SALES!$O$7:$O$489)</f>
        <v>0</v>
      </c>
    </row>
    <row r="5" spans="1:10" x14ac:dyDescent="0.3">
      <c r="A5" s="159">
        <v>2</v>
      </c>
      <c r="B5" s="159" t="s">
        <v>6</v>
      </c>
      <c r="C5" s="121" t="s">
        <v>5</v>
      </c>
      <c r="D5" s="124">
        <f>SUMIF(SALES!$B$7:$B$489,'PARTYWISE SALE'!$C$4:$C$153,SALES!$E$7:$E$489)</f>
        <v>4124156.2799999984</v>
      </c>
      <c r="E5" s="124">
        <f>SUMIF(SALES!$B$7:$B$489,'PARTYWISE SALE'!$C$4:$C$153,SALES!$V$7:$V$489)</f>
        <v>39992</v>
      </c>
      <c r="F5" s="124">
        <f>SUMIF(SALES!$B$7:$B$489,'PARTYWISE SALE'!$C$4:$C$153,SALES!$K$7:$K$489)</f>
        <v>3221997.0000000009</v>
      </c>
      <c r="G5" s="124">
        <f>SUMIF(SALES!$B$7:$B$489,'PARTYWISE SALE'!$C$4:$C$153,SALES!$L$7:$L$489)</f>
        <v>0</v>
      </c>
      <c r="H5" s="124">
        <f>SUMIF(SALES!$B$7:$B$489,'PARTYWISE SALE'!$C$4:$C$153,SALES!$M$7:$M$489)</f>
        <v>451079.5799999999</v>
      </c>
      <c r="I5" s="124">
        <f>SUMIF(SALES!$B$7:$B$489,'PARTYWISE SALE'!$C$4:$C$153,SALES!$N$7:$N$489)</f>
        <v>451079.5799999999</v>
      </c>
      <c r="J5" s="160">
        <f>SUMIF(SALES!$B$7:$B$489,'PARTYWISE SALE'!$C$4:$C$153,SALES!$O$7:$O$489)</f>
        <v>0</v>
      </c>
    </row>
    <row r="6" spans="1:10" x14ac:dyDescent="0.3">
      <c r="A6" s="159">
        <v>3</v>
      </c>
      <c r="B6" s="159" t="s">
        <v>187</v>
      </c>
      <c r="C6" s="121" t="s">
        <v>178</v>
      </c>
      <c r="D6" s="124">
        <f>SUMIF(SALES!$B$7:$B$489,'PARTYWISE SALE'!$C$4:$C$153,SALES!$E$7:$E$489)</f>
        <v>1021252.9599999998</v>
      </c>
      <c r="E6" s="124">
        <f>SUMIF(SALES!$B$7:$B$489,'PARTYWISE SALE'!$C$4:$C$153,SALES!$V$7:$V$489)</f>
        <v>3236</v>
      </c>
      <c r="F6" s="124">
        <f>SUMIF(SALES!$B$7:$B$489,'PARTYWISE SALE'!$C$4:$C$153,SALES!$K$7:$K$489)</f>
        <v>797853.9</v>
      </c>
      <c r="G6" s="124">
        <f>SUMIF(SALES!$B$7:$B$489,'PARTYWISE SALE'!$C$4:$C$153,SALES!$L$7:$L$489)</f>
        <v>0</v>
      </c>
      <c r="H6" s="124">
        <f>SUMIF(SALES!$B$7:$B$489,'PARTYWISE SALE'!$C$4:$C$153,SALES!$M$7:$M$489)</f>
        <v>111699.54600000003</v>
      </c>
      <c r="I6" s="124">
        <f>SUMIF(SALES!$B$7:$B$489,'PARTYWISE SALE'!$C$4:$C$153,SALES!$N$7:$N$489)</f>
        <v>111699.54600000003</v>
      </c>
      <c r="J6" s="160">
        <f>SUMIF(SALES!$B$7:$B$489,'PARTYWISE SALE'!$C$4:$C$153,SALES!$O$7:$O$489)</f>
        <v>0</v>
      </c>
    </row>
    <row r="7" spans="1:10" x14ac:dyDescent="0.3">
      <c r="A7" s="159">
        <v>4</v>
      </c>
      <c r="B7" s="159" t="s">
        <v>209</v>
      </c>
      <c r="C7" s="121" t="s">
        <v>208</v>
      </c>
      <c r="D7" s="124">
        <f>SUMIF(SALES!$B$7:$B$489,'PARTYWISE SALE'!$C$4:$C$153,SALES!$E$7:$E$489)</f>
        <v>388803.85</v>
      </c>
      <c r="E7" s="124">
        <f>SUMIF(SALES!$B$7:$B$489,'PARTYWISE SALE'!$C$4:$C$153,SALES!$V$7:$V$489)</f>
        <v>423</v>
      </c>
      <c r="F7" s="124">
        <f>SUMIF(SALES!$B$7:$B$489,'PARTYWISE SALE'!$C$4:$C$153,SALES!$K$7:$K$489)</f>
        <v>303753.02</v>
      </c>
      <c r="G7" s="124">
        <f>SUMIF(SALES!$B$7:$B$489,'PARTYWISE SALE'!$C$4:$C$153,SALES!$L$7:$L$489)</f>
        <v>85050.845600000001</v>
      </c>
      <c r="H7" s="124">
        <f>SUMIF(SALES!$B$7:$B$489,'PARTYWISE SALE'!$C$4:$C$153,SALES!$M$7:$M$489)</f>
        <v>0</v>
      </c>
      <c r="I7" s="124">
        <f>SUMIF(SALES!$B$7:$B$489,'PARTYWISE SALE'!$C$4:$C$153,SALES!$N$7:$N$489)</f>
        <v>0</v>
      </c>
      <c r="J7" s="160">
        <f>SUMIF(SALES!$B$7:$B$489,'PARTYWISE SALE'!$C$4:$C$153,SALES!$O$7:$O$489)</f>
        <v>0</v>
      </c>
    </row>
    <row r="8" spans="1:10" x14ac:dyDescent="0.3">
      <c r="A8" s="159">
        <v>5</v>
      </c>
      <c r="B8" s="159" t="s">
        <v>188</v>
      </c>
      <c r="C8" s="121" t="s">
        <v>189</v>
      </c>
      <c r="D8" s="124">
        <f>SUMIF(SALES!$B$7:$B$489,'PARTYWISE SALE'!$C$4:$C$153,SALES!$E$7:$E$489)</f>
        <v>959140.45999999985</v>
      </c>
      <c r="E8" s="124">
        <f>SUMIF(SALES!$B$7:$B$489,'PARTYWISE SALE'!$C$4:$C$153,SALES!$V$7:$V$489)</f>
        <v>32784</v>
      </c>
      <c r="F8" s="124">
        <f>SUMIF(SALES!$B$7:$B$489,'PARTYWISE SALE'!$C$4:$C$153,SALES!$K$7:$K$489)</f>
        <v>749328.47999999986</v>
      </c>
      <c r="G8" s="124">
        <f>SUMIF(SALES!$B$7:$B$489,'PARTYWISE SALE'!$C$4:$C$153,SALES!$L$7:$L$489)</f>
        <v>0</v>
      </c>
      <c r="H8" s="124">
        <f>SUMIF(SALES!$B$7:$B$489,'PARTYWISE SALE'!$C$4:$C$153,SALES!$M$7:$M$489)</f>
        <v>104905.98720000002</v>
      </c>
      <c r="I8" s="124">
        <f>SUMIF(SALES!$B$7:$B$489,'PARTYWISE SALE'!$C$4:$C$153,SALES!$N$7:$N$489)</f>
        <v>104905.98720000002</v>
      </c>
      <c r="J8" s="160">
        <f>SUMIF(SALES!$B$7:$B$489,'PARTYWISE SALE'!$C$4:$C$153,SALES!$O$7:$O$489)</f>
        <v>0</v>
      </c>
    </row>
    <row r="9" spans="1:10" x14ac:dyDescent="0.3">
      <c r="A9" s="159">
        <v>6</v>
      </c>
      <c r="B9" s="159" t="s">
        <v>214</v>
      </c>
      <c r="C9" s="121" t="s">
        <v>215</v>
      </c>
      <c r="D9" s="124">
        <f>SUMIF(SALES!$B$7:$B$489,'PARTYWISE SALE'!$C$4:$C$153,SALES!$E$7:$E$489)</f>
        <v>459840</v>
      </c>
      <c r="E9" s="124">
        <f>SUMIF(SALES!$B$7:$B$489,'PARTYWISE SALE'!$C$4:$C$153,SALES!$V$7:$V$489)</f>
        <v>14370</v>
      </c>
      <c r="F9" s="124">
        <f>SUMIF(SALES!$B$7:$B$489,'PARTYWISE SALE'!$C$4:$C$153,SALES!$K$7:$K$489)</f>
        <v>359250</v>
      </c>
      <c r="G9" s="124">
        <f>SUMIF(SALES!$B$7:$B$489,'PARTYWISE SALE'!$C$4:$C$153,SALES!$L$7:$L$489)</f>
        <v>0</v>
      </c>
      <c r="H9" s="124">
        <f>SUMIF(SALES!$B$7:$B$489,'PARTYWISE SALE'!$C$4:$C$153,SALES!$M$7:$M$489)</f>
        <v>50295.000000000007</v>
      </c>
      <c r="I9" s="124">
        <f>SUMIF(SALES!$B$7:$B$489,'PARTYWISE SALE'!$C$4:$C$153,SALES!$N$7:$N$489)</f>
        <v>50295.000000000007</v>
      </c>
      <c r="J9" s="160">
        <f>SUMIF(SALES!$B$7:$B$489,'PARTYWISE SALE'!$C$4:$C$153,SALES!$O$7:$O$489)</f>
        <v>0</v>
      </c>
    </row>
    <row r="10" spans="1:10" x14ac:dyDescent="0.3">
      <c r="A10" s="159">
        <v>7</v>
      </c>
      <c r="B10" s="159" t="s">
        <v>185</v>
      </c>
      <c r="C10" s="121" t="s">
        <v>184</v>
      </c>
      <c r="D10" s="124">
        <f>SUMIF(SALES!$B$7:$B$489,'PARTYWISE SALE'!$C$4:$C$153,SALES!$E$7:$E$489)</f>
        <v>766285.26</v>
      </c>
      <c r="E10" s="124">
        <f>SUMIF(SALES!$B$7:$B$489,'PARTYWISE SALE'!$C$4:$C$153,SALES!$V$7:$V$489)</f>
        <v>9981</v>
      </c>
      <c r="F10" s="124">
        <f>SUMIF(SALES!$B$7:$B$489,'PARTYWISE SALE'!$C$4:$C$153,SALES!$K$7:$K$489)</f>
        <v>598660.38</v>
      </c>
      <c r="G10" s="124">
        <f>SUMIF(SALES!$B$7:$B$489,'PARTYWISE SALE'!$C$4:$C$153,SALES!$L$7:$L$489)</f>
        <v>0</v>
      </c>
      <c r="H10" s="124">
        <f>SUMIF(SALES!$B$7:$B$489,'PARTYWISE SALE'!$C$4:$C$153,SALES!$M$7:$M$489)</f>
        <v>83812.453200000004</v>
      </c>
      <c r="I10" s="124">
        <f>SUMIF(SALES!$B$7:$B$489,'PARTYWISE SALE'!$C$4:$C$153,SALES!$N$7:$N$489)</f>
        <v>83812.453200000004</v>
      </c>
      <c r="J10" s="160">
        <f>SUMIF(SALES!$B$7:$B$489,'PARTYWISE SALE'!$C$4:$C$153,SALES!$O$7:$O$489)</f>
        <v>0</v>
      </c>
    </row>
    <row r="11" spans="1:10" x14ac:dyDescent="0.3">
      <c r="A11" s="159">
        <v>8</v>
      </c>
      <c r="B11" s="159" t="s">
        <v>227</v>
      </c>
      <c r="C11" s="121" t="s">
        <v>226</v>
      </c>
      <c r="D11" s="124">
        <f>SUMIF(SALES!$B$7:$B$489,'PARTYWISE SALE'!$C$4:$C$153,SALES!$E$7:$E$489)</f>
        <v>279659.08</v>
      </c>
      <c r="E11" s="124">
        <f>SUMIF(SALES!$B$7:$B$489,'PARTYWISE SALE'!$C$4:$C$153,SALES!$V$7:$V$489)</f>
        <v>605</v>
      </c>
      <c r="F11" s="124">
        <f>SUMIF(SALES!$B$7:$B$489,'PARTYWISE SALE'!$C$4:$C$153,SALES!$K$7:$K$489)</f>
        <v>218483.65000000002</v>
      </c>
      <c r="G11" s="124">
        <f>SUMIF(SALES!$B$7:$B$489,'PARTYWISE SALE'!$C$4:$C$153,SALES!$L$7:$L$489)</f>
        <v>61175.422000000006</v>
      </c>
      <c r="H11" s="124">
        <f>SUMIF(SALES!$B$7:$B$489,'PARTYWISE SALE'!$C$4:$C$153,SALES!$M$7:$M$489)</f>
        <v>0</v>
      </c>
      <c r="I11" s="124">
        <f>SUMIF(SALES!$B$7:$B$489,'PARTYWISE SALE'!$C$4:$C$153,SALES!$N$7:$N$489)</f>
        <v>0</v>
      </c>
      <c r="J11" s="160">
        <f>SUMIF(SALES!$B$7:$B$489,'PARTYWISE SALE'!$C$4:$C$153,SALES!$O$7:$O$489)</f>
        <v>0</v>
      </c>
    </row>
    <row r="12" spans="1:10" x14ac:dyDescent="0.3">
      <c r="A12" s="159">
        <v>9</v>
      </c>
      <c r="B12" s="159" t="s">
        <v>383</v>
      </c>
      <c r="C12" s="121" t="s">
        <v>382</v>
      </c>
      <c r="D12" s="124">
        <f>SUMIF(SALES!$B$7:$B$489,'PARTYWISE SALE'!$C$4:$C$153,SALES!$E$7:$E$489)</f>
        <v>4461.8</v>
      </c>
      <c r="E12" s="124">
        <f>SUMIF(SALES!$B$7:$B$489,'PARTYWISE SALE'!$C$4:$C$153,SALES!$V$7:$V$489)</f>
        <v>460</v>
      </c>
      <c r="F12" s="124">
        <f>SUMIF(SALES!$B$7:$B$489,'PARTYWISE SALE'!$C$4:$C$153,SALES!$K$7:$K$489)</f>
        <v>3781.2</v>
      </c>
      <c r="G12" s="124">
        <f>SUMIF(SALES!$B$7:$B$489,'PARTYWISE SALE'!$C$4:$C$153,SALES!$L$7:$L$489)</f>
        <v>0</v>
      </c>
      <c r="H12" s="124">
        <f>SUMIF(SALES!$B$7:$B$489,'PARTYWISE SALE'!$C$4:$C$153,SALES!$M$7:$M$489)</f>
        <v>340.30799999999999</v>
      </c>
      <c r="I12" s="124">
        <f>SUMIF(SALES!$B$7:$B$489,'PARTYWISE SALE'!$C$4:$C$153,SALES!$N$7:$N$489)</f>
        <v>340.30799999999999</v>
      </c>
      <c r="J12" s="160">
        <f>SUMIF(SALES!$B$7:$B$489,'PARTYWISE SALE'!$C$4:$C$153,SALES!$O$7:$O$489)</f>
        <v>0</v>
      </c>
    </row>
    <row r="13" spans="1:10" x14ac:dyDescent="0.3">
      <c r="A13" s="159">
        <v>10</v>
      </c>
      <c r="B13" s="159" t="s">
        <v>376</v>
      </c>
      <c r="C13" s="121" t="s">
        <v>375</v>
      </c>
      <c r="D13" s="124">
        <f>SUMIF(SALES!$B$7:$B$489,'PARTYWISE SALE'!$C$4:$C$153,SALES!$E$7:$E$489)</f>
        <v>175623.40000000005</v>
      </c>
      <c r="E13" s="124">
        <f>SUMIF(SALES!$B$7:$B$489,'PARTYWISE SALE'!$C$4:$C$153,SALES!$V$7:$V$489)</f>
        <v>461</v>
      </c>
      <c r="F13" s="124">
        <f>SUMIF(SALES!$B$7:$B$489,'PARTYWISE SALE'!$C$4:$C$153,SALES!$K$7:$K$489)</f>
        <v>148833.4</v>
      </c>
      <c r="G13" s="124">
        <f>SUMIF(SALES!$B$7:$B$489,'PARTYWISE SALE'!$C$4:$C$153,SALES!$L$7:$L$489)</f>
        <v>0</v>
      </c>
      <c r="H13" s="124">
        <f>SUMIF(SALES!$B$7:$B$489,'PARTYWISE SALE'!$C$4:$C$153,SALES!$M$7:$M$489)</f>
        <v>13395.006000000003</v>
      </c>
      <c r="I13" s="124">
        <f>SUMIF(SALES!$B$7:$B$489,'PARTYWISE SALE'!$C$4:$C$153,SALES!$N$7:$N$489)</f>
        <v>13395.006000000003</v>
      </c>
      <c r="J13" s="160">
        <f>SUMIF(SALES!$B$7:$B$489,'PARTYWISE SALE'!$C$4:$C$153,SALES!$O$7:$O$489)</f>
        <v>0</v>
      </c>
    </row>
    <row r="14" spans="1:10" x14ac:dyDescent="0.3">
      <c r="A14" s="159">
        <v>11</v>
      </c>
      <c r="B14" s="159" t="s">
        <v>328</v>
      </c>
      <c r="C14" s="121" t="s">
        <v>327</v>
      </c>
      <c r="D14" s="124">
        <f>SUMIF(SALES!$B$7:$B$489,'PARTYWISE SALE'!$C$4:$C$153,SALES!$E$7:$E$489)</f>
        <v>650232.10000000009</v>
      </c>
      <c r="E14" s="124">
        <f>SUMIF(SALES!$B$7:$B$489,'PARTYWISE SALE'!$C$4:$C$153,SALES!$V$7:$V$489)</f>
        <v>6740</v>
      </c>
      <c r="F14" s="124">
        <f>SUMIF(SALES!$B$7:$B$489,'PARTYWISE SALE'!$C$4:$C$153,SALES!$K$7:$K$489)</f>
        <v>507993.80000000005</v>
      </c>
      <c r="G14" s="124">
        <f>SUMIF(SALES!$B$7:$B$489,'PARTYWISE SALE'!$C$4:$C$153,SALES!$L$7:$L$489)</f>
        <v>0</v>
      </c>
      <c r="H14" s="124">
        <f>SUMIF(SALES!$B$7:$B$489,'PARTYWISE SALE'!$C$4:$C$153,SALES!$M$7:$M$489)</f>
        <v>71119.132000000012</v>
      </c>
      <c r="I14" s="124">
        <f>SUMIF(SALES!$B$7:$B$489,'PARTYWISE SALE'!$C$4:$C$153,SALES!$N$7:$N$489)</f>
        <v>71119.132000000012</v>
      </c>
      <c r="J14" s="160">
        <f>SUMIF(SALES!$B$7:$B$489,'PARTYWISE SALE'!$C$4:$C$153,SALES!$O$7:$O$489)</f>
        <v>0</v>
      </c>
    </row>
    <row r="15" spans="1:10" x14ac:dyDescent="0.3">
      <c r="A15" s="159">
        <v>12</v>
      </c>
      <c r="B15" s="159" t="s">
        <v>416</v>
      </c>
      <c r="C15" s="121" t="s">
        <v>415</v>
      </c>
      <c r="D15" s="124">
        <f>SUMIF(SALES!$B$7:$B$489,'PARTYWISE SALE'!$C$4:$C$153,SALES!$E$7:$E$489)</f>
        <v>57738.239999999998</v>
      </c>
      <c r="E15" s="124">
        <f>SUMIF(SALES!$B$7:$B$489,'PARTYWISE SALE'!$C$4:$C$153,SALES!$V$7:$V$489)</f>
        <v>535</v>
      </c>
      <c r="F15" s="124">
        <f>SUMIF(SALES!$B$7:$B$489,'PARTYWISE SALE'!$C$4:$C$153,SALES!$K$7:$K$489)</f>
        <v>48930.7</v>
      </c>
      <c r="G15" s="124">
        <f>SUMIF(SALES!$B$7:$B$489,'PARTYWISE SALE'!$C$4:$C$153,SALES!$L$7:$L$489)</f>
        <v>0</v>
      </c>
      <c r="H15" s="124">
        <f>SUMIF(SALES!$B$7:$B$489,'PARTYWISE SALE'!$C$4:$C$153,SALES!$M$7:$M$489)</f>
        <v>4403.7629999999999</v>
      </c>
      <c r="I15" s="124">
        <f>SUMIF(SALES!$B$7:$B$489,'PARTYWISE SALE'!$C$4:$C$153,SALES!$N$7:$N$489)</f>
        <v>4403.7629999999999</v>
      </c>
      <c r="J15" s="160">
        <f>SUMIF(SALES!$B$7:$B$489,'PARTYWISE SALE'!$C$4:$C$153,SALES!$O$7:$O$489)</f>
        <v>0</v>
      </c>
    </row>
    <row r="16" spans="1:10" x14ac:dyDescent="0.3">
      <c r="A16" s="159">
        <v>13</v>
      </c>
      <c r="B16" s="159" t="s">
        <v>342</v>
      </c>
      <c r="C16" s="121" t="s">
        <v>341</v>
      </c>
      <c r="D16" s="124">
        <f>SUMIF(SALES!$B$7:$B$489,'PARTYWISE SALE'!$C$4:$C$153,SALES!$E$7:$E$489)</f>
        <v>121278.08</v>
      </c>
      <c r="E16" s="124">
        <f>SUMIF(SALES!$B$7:$B$489,'PARTYWISE SALE'!$C$4:$C$153,SALES!$V$7:$V$489)</f>
        <v>3484</v>
      </c>
      <c r="F16" s="124">
        <f>SUMIF(SALES!$B$7:$B$489,'PARTYWISE SALE'!$C$4:$C$153,SALES!$K$7:$K$489)</f>
        <v>102778</v>
      </c>
      <c r="G16" s="124">
        <f>SUMIF(SALES!$B$7:$B$489,'PARTYWISE SALE'!$C$4:$C$153,SALES!$L$7:$L$489)</f>
        <v>0</v>
      </c>
      <c r="H16" s="124">
        <f>SUMIF(SALES!$B$7:$B$489,'PARTYWISE SALE'!$C$4:$C$153,SALES!$M$7:$M$489)</f>
        <v>9250.02</v>
      </c>
      <c r="I16" s="124">
        <f>SUMIF(SALES!$B$7:$B$489,'PARTYWISE SALE'!$C$4:$C$153,SALES!$N$7:$N$489)</f>
        <v>9250.02</v>
      </c>
      <c r="J16" s="160">
        <f>SUMIF(SALES!$B$7:$B$489,'PARTYWISE SALE'!$C$4:$C$153,SALES!$O$7:$O$489)</f>
        <v>0</v>
      </c>
    </row>
    <row r="17" spans="1:10" x14ac:dyDescent="0.3">
      <c r="A17" s="159"/>
      <c r="B17" s="159"/>
      <c r="C17" s="5"/>
      <c r="D17" s="124">
        <f>SUMIF(SALES!$B$7:$B$489,'PARTYWISE SALE'!$C$4:$C$153,SALES!$E$7:$E$489)</f>
        <v>0</v>
      </c>
      <c r="E17" s="124">
        <f>SUMIF(SALES!$B$7:$B$489,'PARTYWISE SALE'!$C$4:$C$153,SALES!$V$7:$V$489)</f>
        <v>0</v>
      </c>
      <c r="F17" s="124">
        <f>SUMIF(SALES!$B$7:$B$489,'PARTYWISE SALE'!$C$4:$C$153,SALES!$K$7:$K$489)</f>
        <v>0</v>
      </c>
      <c r="G17" s="124"/>
      <c r="H17" s="124"/>
      <c r="I17" s="124"/>
      <c r="J17" s="160"/>
    </row>
    <row r="18" spans="1:10" x14ac:dyDescent="0.3">
      <c r="A18" s="159"/>
      <c r="B18" s="159"/>
      <c r="C18" s="5"/>
      <c r="D18" s="124"/>
      <c r="E18" s="124"/>
      <c r="F18" s="124"/>
      <c r="G18" s="124"/>
      <c r="H18" s="124"/>
      <c r="I18" s="124"/>
      <c r="J18" s="160"/>
    </row>
    <row r="19" spans="1:10" x14ac:dyDescent="0.3">
      <c r="A19" s="159"/>
      <c r="B19" s="159"/>
      <c r="C19" s="5"/>
      <c r="D19" s="124"/>
      <c r="E19" s="124"/>
      <c r="F19" s="124"/>
      <c r="G19" s="124"/>
      <c r="H19" s="124"/>
      <c r="I19" s="124"/>
      <c r="J19" s="160"/>
    </row>
    <row r="20" spans="1:10" ht="15" thickBot="1" x14ac:dyDescent="0.35">
      <c r="A20" s="159"/>
      <c r="B20" s="159"/>
      <c r="C20" s="5"/>
      <c r="D20" s="124"/>
      <c r="E20" s="124"/>
      <c r="F20" s="124"/>
      <c r="G20" s="124"/>
      <c r="H20" s="124"/>
      <c r="I20" s="124"/>
      <c r="J20" s="160"/>
    </row>
    <row r="21" spans="1:10" ht="15" thickBot="1" x14ac:dyDescent="0.35">
      <c r="A21" s="161"/>
      <c r="B21" s="161"/>
      <c r="C21" s="3" t="s">
        <v>31</v>
      </c>
      <c r="D21" s="18">
        <f t="shared" ref="D21:J21" si="0">SUM(D4:D20)</f>
        <v>9174608.5099999979</v>
      </c>
      <c r="E21" s="18">
        <f t="shared" si="0"/>
        <v>113553</v>
      </c>
      <c r="F21" s="18">
        <f t="shared" si="0"/>
        <v>7202437.5500000017</v>
      </c>
      <c r="G21" s="18">
        <f t="shared" si="0"/>
        <v>146226.26760000002</v>
      </c>
      <c r="H21" s="18">
        <f t="shared" si="0"/>
        <v>912972.25719999988</v>
      </c>
      <c r="I21" s="18">
        <f t="shared" si="0"/>
        <v>912972.25719999988</v>
      </c>
      <c r="J21" s="162">
        <f t="shared" si="0"/>
        <v>0</v>
      </c>
    </row>
    <row r="22" spans="1:10" x14ac:dyDescent="0.3">
      <c r="A22" s="163"/>
      <c r="B22" s="163"/>
      <c r="C22" s="15"/>
      <c r="D22" s="133"/>
      <c r="E22" s="22"/>
      <c r="F22" s="21"/>
      <c r="G22" s="21"/>
      <c r="H22" s="21"/>
      <c r="I22" s="21"/>
      <c r="J22" s="164"/>
    </row>
    <row r="23" spans="1:10" x14ac:dyDescent="0.3">
      <c r="A23" s="165"/>
      <c r="B23" s="165"/>
      <c r="C23" s="16" t="s">
        <v>580</v>
      </c>
      <c r="D23" s="136">
        <f>+F21</f>
        <v>7202437.5500000017</v>
      </c>
      <c r="E23" s="154"/>
      <c r="F23" s="118"/>
      <c r="G23" s="141">
        <f>+G21+H21+I21</f>
        <v>1972170.7819999997</v>
      </c>
      <c r="H23" s="118"/>
      <c r="I23" s="118"/>
      <c r="J23" s="166"/>
    </row>
    <row r="24" spans="1:10" x14ac:dyDescent="0.3">
      <c r="A24" s="165"/>
      <c r="B24" s="165"/>
      <c r="C24" s="16" t="s">
        <v>576</v>
      </c>
      <c r="D24" s="136">
        <f>+G21</f>
        <v>146226.26760000002</v>
      </c>
      <c r="E24" s="154"/>
      <c r="F24" s="118"/>
      <c r="G24" s="118"/>
      <c r="H24" s="118"/>
      <c r="I24" s="118"/>
      <c r="J24" s="166"/>
    </row>
    <row r="25" spans="1:10" x14ac:dyDescent="0.3">
      <c r="A25" s="165"/>
      <c r="B25" s="165"/>
      <c r="C25" s="16" t="s">
        <v>577</v>
      </c>
      <c r="D25" s="136">
        <f>+H21</f>
        <v>912972.25719999988</v>
      </c>
      <c r="E25" s="154"/>
      <c r="F25" s="118"/>
      <c r="G25" s="118"/>
      <c r="H25" s="118"/>
      <c r="I25" s="118"/>
      <c r="J25" s="166"/>
    </row>
    <row r="26" spans="1:10" x14ac:dyDescent="0.3">
      <c r="A26" s="165"/>
      <c r="B26" s="165"/>
      <c r="C26" s="16" t="s">
        <v>578</v>
      </c>
      <c r="D26" s="136">
        <f>+I21</f>
        <v>912972.25719999988</v>
      </c>
      <c r="E26" s="154"/>
      <c r="F26" s="118"/>
      <c r="G26" s="118"/>
      <c r="H26" s="118"/>
      <c r="I26" s="118"/>
      <c r="J26" s="166"/>
    </row>
    <row r="27" spans="1:10" x14ac:dyDescent="0.3">
      <c r="A27" s="165"/>
      <c r="B27" s="165"/>
      <c r="C27" s="16" t="s">
        <v>581</v>
      </c>
      <c r="D27" s="136">
        <f>+J21</f>
        <v>0</v>
      </c>
      <c r="E27" s="154"/>
      <c r="F27" s="118"/>
      <c r="G27" s="118"/>
      <c r="H27" s="118"/>
      <c r="I27" s="118"/>
      <c r="J27" s="166"/>
    </row>
    <row r="28" spans="1:10" ht="15" thickBot="1" x14ac:dyDescent="0.35">
      <c r="A28" s="165"/>
      <c r="B28" s="165"/>
      <c r="C28" s="16" t="s">
        <v>47</v>
      </c>
      <c r="D28" s="136">
        <f>+D27+D26+D25+D24+D23</f>
        <v>9174608.3320000023</v>
      </c>
      <c r="E28" s="154"/>
      <c r="F28" s="118"/>
      <c r="G28" s="118"/>
      <c r="H28" s="118"/>
      <c r="I28" s="118"/>
      <c r="J28" s="166"/>
    </row>
    <row r="29" spans="1:10" ht="15" thickBot="1" x14ac:dyDescent="0.35">
      <c r="A29" s="167"/>
      <c r="B29" s="167"/>
      <c r="C29" s="170" t="s">
        <v>579</v>
      </c>
      <c r="D29" s="172">
        <f>+D21-D28</f>
        <v>0.17799999564886093</v>
      </c>
      <c r="E29" s="171"/>
      <c r="F29" s="168"/>
      <c r="G29" s="168"/>
      <c r="H29" s="168"/>
      <c r="I29" s="168"/>
      <c r="J29" s="169"/>
    </row>
    <row r="30" spans="1:10" ht="15" thickTop="1" x14ac:dyDescent="0.3"/>
  </sheetData>
  <pageMargins left="0.7" right="0.7" top="0.75" bottom="0.75" header="0.3" footer="0.3"/>
  <pageSetup paperSize="9" fitToHeight="0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D18" sqref="D18"/>
    </sheetView>
  </sheetViews>
  <sheetFormatPr defaultRowHeight="14.4" x14ac:dyDescent="0.3"/>
  <cols>
    <col min="1" max="1" width="21.109375" bestFit="1" customWidth="1"/>
    <col min="2" max="2" width="13.33203125" bestFit="1" customWidth="1"/>
    <col min="3" max="3" width="18.5546875" bestFit="1" customWidth="1"/>
    <col min="4" max="4" width="12.6640625" bestFit="1" customWidth="1"/>
    <col min="5" max="5" width="11.109375" bestFit="1" customWidth="1"/>
    <col min="6" max="6" width="18.6640625" bestFit="1" customWidth="1"/>
    <col min="7" max="7" width="19.88671875" bestFit="1" customWidth="1"/>
    <col min="8" max="8" width="17.6640625" bestFit="1" customWidth="1"/>
    <col min="9" max="9" width="19.33203125" bestFit="1" customWidth="1"/>
    <col min="10" max="10" width="11.6640625" bestFit="1" customWidth="1"/>
  </cols>
  <sheetData>
    <row r="1" spans="1:10" ht="15" thickBot="1" x14ac:dyDescent="0.35">
      <c r="A1" s="41" t="s">
        <v>140</v>
      </c>
      <c r="B1" s="64"/>
      <c r="C1" s="44"/>
      <c r="D1" s="44"/>
      <c r="E1" s="43"/>
      <c r="F1" s="43"/>
      <c r="G1" s="43"/>
      <c r="H1" s="43"/>
      <c r="I1" s="43"/>
      <c r="J1" s="60"/>
    </row>
    <row r="2" spans="1:10" ht="15" thickBot="1" x14ac:dyDescent="0.35">
      <c r="A2" s="94" t="s">
        <v>141</v>
      </c>
      <c r="B2" s="95"/>
      <c r="C2" s="96"/>
      <c r="D2" s="96"/>
      <c r="E2" s="97" t="s">
        <v>142</v>
      </c>
      <c r="F2" s="97" t="s">
        <v>50</v>
      </c>
      <c r="G2" s="98" t="s">
        <v>143</v>
      </c>
      <c r="H2" s="98" t="s">
        <v>144</v>
      </c>
      <c r="I2" s="98" t="s">
        <v>145</v>
      </c>
      <c r="J2" s="99" t="s">
        <v>51</v>
      </c>
    </row>
    <row r="3" spans="1:10" x14ac:dyDescent="0.3">
      <c r="A3" s="100">
        <f>SUMPRODUCT((A5:A40001&lt;&gt;"")/COUNTIF(A5:A40001,A5:A40001&amp;""))</f>
        <v>4</v>
      </c>
      <c r="B3" s="101"/>
      <c r="C3" s="102"/>
      <c r="D3" s="103"/>
      <c r="E3" s="104">
        <f t="shared" ref="E3:J3" si="0">SUM(E5:E40000)</f>
        <v>499384.8039</v>
      </c>
      <c r="F3" s="104">
        <f t="shared" si="0"/>
        <v>54.150000000000006</v>
      </c>
      <c r="G3" s="104">
        <f t="shared" si="0"/>
        <v>2147.04</v>
      </c>
      <c r="H3" s="104">
        <f t="shared" si="0"/>
        <v>8103</v>
      </c>
      <c r="I3" s="104">
        <f t="shared" si="0"/>
        <v>11771</v>
      </c>
      <c r="J3" s="105">
        <f t="shared" si="0"/>
        <v>1503</v>
      </c>
    </row>
    <row r="4" spans="1:10" x14ac:dyDescent="0.3">
      <c r="A4" s="32" t="s">
        <v>7</v>
      </c>
      <c r="B4" s="32" t="s">
        <v>20</v>
      </c>
      <c r="C4" s="32" t="s">
        <v>146</v>
      </c>
      <c r="D4" s="32" t="s">
        <v>147</v>
      </c>
      <c r="E4" s="88" t="s">
        <v>142</v>
      </c>
      <c r="F4" s="88" t="s">
        <v>59</v>
      </c>
      <c r="G4" s="88" t="s">
        <v>148</v>
      </c>
      <c r="H4" s="88" t="s">
        <v>149</v>
      </c>
      <c r="I4" s="88" t="s">
        <v>150</v>
      </c>
      <c r="J4" s="88" t="s">
        <v>60</v>
      </c>
    </row>
    <row r="5" spans="1:10" x14ac:dyDescent="0.3">
      <c r="A5" s="81">
        <v>34</v>
      </c>
      <c r="B5" s="33" t="s">
        <v>151</v>
      </c>
      <c r="C5" s="40" t="s">
        <v>152</v>
      </c>
      <c r="D5" s="40">
        <v>2.0499999999999998</v>
      </c>
      <c r="E5" s="35">
        <v>99876.36</v>
      </c>
      <c r="F5" s="35">
        <v>10.23</v>
      </c>
      <c r="G5" s="35">
        <v>214.52</v>
      </c>
      <c r="H5" s="35">
        <v>600</v>
      </c>
      <c r="I5" s="35">
        <v>500</v>
      </c>
      <c r="J5" s="35">
        <v>300</v>
      </c>
    </row>
    <row r="6" spans="1:10" x14ac:dyDescent="0.3">
      <c r="A6" s="81">
        <v>1001</v>
      </c>
      <c r="B6" s="33" t="s">
        <v>153</v>
      </c>
      <c r="C6" s="40" t="s">
        <v>154</v>
      </c>
      <c r="D6" s="40">
        <v>2.0499999999999998</v>
      </c>
      <c r="E6" s="35">
        <v>99876.36</v>
      </c>
      <c r="F6" s="35">
        <v>10.23</v>
      </c>
      <c r="G6" s="35">
        <v>14.52</v>
      </c>
      <c r="H6" s="35">
        <v>600</v>
      </c>
      <c r="I6" s="35">
        <v>500</v>
      </c>
      <c r="J6" s="35">
        <v>300</v>
      </c>
    </row>
    <row r="7" spans="1:10" x14ac:dyDescent="0.3">
      <c r="A7" s="81">
        <v>10083214</v>
      </c>
      <c r="B7" s="33" t="s">
        <v>155</v>
      </c>
      <c r="C7" s="40" t="s">
        <v>156</v>
      </c>
      <c r="D7" s="40">
        <v>3.05</v>
      </c>
      <c r="E7" s="35">
        <v>99877.361300000004</v>
      </c>
      <c r="F7" s="35">
        <v>11.23</v>
      </c>
      <c r="G7" s="35">
        <v>678</v>
      </c>
      <c r="H7" s="35">
        <v>601</v>
      </c>
      <c r="I7" s="35">
        <v>501</v>
      </c>
      <c r="J7" s="35">
        <v>301</v>
      </c>
    </row>
    <row r="8" spans="1:10" x14ac:dyDescent="0.3">
      <c r="A8" s="81">
        <v>10083214</v>
      </c>
      <c r="B8" s="33" t="s">
        <v>157</v>
      </c>
      <c r="C8" s="40" t="s">
        <v>152</v>
      </c>
      <c r="D8" s="40">
        <v>3.05</v>
      </c>
      <c r="E8" s="35">
        <v>99877.361300000004</v>
      </c>
      <c r="F8" s="35">
        <v>11.23</v>
      </c>
      <c r="G8" s="35">
        <v>895</v>
      </c>
      <c r="H8" s="35">
        <v>701</v>
      </c>
      <c r="I8" s="35">
        <v>501</v>
      </c>
      <c r="J8" s="35">
        <v>301</v>
      </c>
    </row>
    <row r="9" spans="1:10" x14ac:dyDescent="0.3">
      <c r="A9" s="81">
        <v>3456721</v>
      </c>
      <c r="B9" s="33" t="s">
        <v>158</v>
      </c>
      <c r="C9" s="40" t="s">
        <v>159</v>
      </c>
      <c r="D9" s="40">
        <v>3.05</v>
      </c>
      <c r="E9" s="35">
        <v>99877.361300000004</v>
      </c>
      <c r="F9" s="35">
        <v>11.23</v>
      </c>
      <c r="G9" s="35">
        <v>345</v>
      </c>
      <c r="H9" s="35">
        <v>5601</v>
      </c>
      <c r="I9" s="35">
        <v>9769</v>
      </c>
      <c r="J9" s="35">
        <v>301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" sqref="E1"/>
    </sheetView>
  </sheetViews>
  <sheetFormatPr defaultRowHeight="14.4" x14ac:dyDescent="0.3"/>
  <cols>
    <col min="1" max="1" width="43" bestFit="1" customWidth="1"/>
    <col min="2" max="2" width="11.6640625" bestFit="1" customWidth="1"/>
    <col min="3" max="3" width="10.6640625" bestFit="1" customWidth="1"/>
    <col min="4" max="4" width="13.33203125" bestFit="1" customWidth="1"/>
  </cols>
  <sheetData>
    <row r="1" spans="1:5" ht="27.6" x14ac:dyDescent="0.3">
      <c r="A1" s="106" t="s">
        <v>160</v>
      </c>
      <c r="B1" s="64"/>
      <c r="C1" s="107"/>
      <c r="D1" s="45"/>
      <c r="E1" s="60"/>
    </row>
    <row r="2" spans="1:5" x14ac:dyDescent="0.3">
      <c r="A2" s="26"/>
      <c r="B2" s="26"/>
      <c r="C2" s="108"/>
      <c r="D2" s="25" t="s">
        <v>161</v>
      </c>
      <c r="E2" s="25" t="s">
        <v>162</v>
      </c>
    </row>
    <row r="3" spans="1:5" x14ac:dyDescent="0.3">
      <c r="A3" s="29"/>
      <c r="B3" s="29"/>
      <c r="C3" s="109"/>
      <c r="D3" s="110">
        <f>SUM(D5:D15)</f>
        <v>450</v>
      </c>
      <c r="E3" s="110">
        <f>SUM(E5:E15)</f>
        <v>17</v>
      </c>
    </row>
    <row r="4" spans="1:5" x14ac:dyDescent="0.3">
      <c r="A4" s="111" t="s">
        <v>163</v>
      </c>
      <c r="B4" s="111" t="s">
        <v>164</v>
      </c>
      <c r="C4" s="112" t="s">
        <v>165</v>
      </c>
      <c r="D4" s="93" t="s">
        <v>161</v>
      </c>
      <c r="E4" s="113" t="s">
        <v>166</v>
      </c>
    </row>
    <row r="5" spans="1:5" x14ac:dyDescent="0.3">
      <c r="A5" s="114" t="s">
        <v>167</v>
      </c>
      <c r="B5" s="114" t="s">
        <v>168</v>
      </c>
      <c r="C5" s="115" t="s">
        <v>169</v>
      </c>
      <c r="D5" s="116">
        <v>90</v>
      </c>
      <c r="E5" s="117">
        <v>5</v>
      </c>
    </row>
    <row r="6" spans="1:5" x14ac:dyDescent="0.3">
      <c r="A6" s="114" t="s">
        <v>167</v>
      </c>
      <c r="B6" s="114" t="s">
        <v>170</v>
      </c>
      <c r="C6" s="115" t="s">
        <v>171</v>
      </c>
      <c r="D6" s="116">
        <v>339</v>
      </c>
      <c r="E6" s="117">
        <v>10</v>
      </c>
    </row>
    <row r="7" spans="1:5" x14ac:dyDescent="0.3">
      <c r="A7" s="114" t="s">
        <v>172</v>
      </c>
      <c r="B7" s="114" t="s">
        <v>173</v>
      </c>
      <c r="C7" s="115" t="s">
        <v>174</v>
      </c>
      <c r="D7" s="116">
        <v>21</v>
      </c>
      <c r="E7" s="117">
        <v>2</v>
      </c>
    </row>
    <row r="8" spans="1:5" x14ac:dyDescent="0.3">
      <c r="A8" s="114" t="s">
        <v>172</v>
      </c>
      <c r="B8" s="114"/>
      <c r="C8" s="115"/>
      <c r="D8" s="116"/>
      <c r="E8" s="117"/>
    </row>
    <row r="9" spans="1:5" x14ac:dyDescent="0.3">
      <c r="A9" s="114" t="s">
        <v>175</v>
      </c>
      <c r="B9" s="114"/>
      <c r="C9" s="115"/>
      <c r="D9" s="116"/>
      <c r="E9" s="117"/>
    </row>
    <row r="10" spans="1:5" x14ac:dyDescent="0.3">
      <c r="A10" s="114" t="s">
        <v>176</v>
      </c>
      <c r="B10" s="114"/>
      <c r="C10" s="115"/>
      <c r="D10" s="116"/>
      <c r="E10" s="117"/>
    </row>
    <row r="11" spans="1:5" x14ac:dyDescent="0.3">
      <c r="A11" s="114" t="s">
        <v>177</v>
      </c>
      <c r="B11" s="114"/>
      <c r="C11" s="115"/>
      <c r="D11" s="116"/>
      <c r="E11" s="1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13" sqref="H13"/>
    </sheetView>
  </sheetViews>
  <sheetFormatPr defaultRowHeight="14.4" x14ac:dyDescent="0.3"/>
  <cols>
    <col min="1" max="1" width="10.88671875" customWidth="1"/>
    <col min="2" max="2" width="35" bestFit="1" customWidth="1"/>
    <col min="3" max="3" width="6.33203125" customWidth="1"/>
    <col min="4" max="4" width="10.109375" customWidth="1"/>
    <col min="5" max="5" width="14.44140625" customWidth="1"/>
    <col min="6" max="6" width="11.5546875" customWidth="1"/>
    <col min="7" max="7" width="9.33203125" customWidth="1"/>
    <col min="8" max="8" width="10.33203125" customWidth="1"/>
    <col min="9" max="9" width="10.109375" customWidth="1"/>
  </cols>
  <sheetData>
    <row r="1" spans="1:10" ht="15.6" thickTop="1" thickBot="1" x14ac:dyDescent="0.35">
      <c r="A1" s="144"/>
      <c r="B1" s="145" t="s">
        <v>583</v>
      </c>
      <c r="C1" s="145"/>
      <c r="D1" s="145"/>
      <c r="E1" s="145"/>
      <c r="F1" s="145"/>
      <c r="G1" s="151"/>
      <c r="H1" s="151" t="s">
        <v>574</v>
      </c>
      <c r="I1" s="153" t="s">
        <v>575</v>
      </c>
      <c r="J1" s="152">
        <v>2017</v>
      </c>
    </row>
    <row r="2" spans="1:10" ht="15" thickBot="1" x14ac:dyDescent="0.35">
      <c r="A2" s="1" t="s">
        <v>7</v>
      </c>
      <c r="B2" s="1" t="s">
        <v>20</v>
      </c>
      <c r="C2" s="1" t="s">
        <v>23</v>
      </c>
      <c r="D2" s="1" t="s">
        <v>31</v>
      </c>
      <c r="E2" s="1" t="s">
        <v>31</v>
      </c>
      <c r="F2" s="9" t="s">
        <v>25</v>
      </c>
      <c r="G2" s="132" t="s">
        <v>1</v>
      </c>
      <c r="H2" s="130" t="s">
        <v>2</v>
      </c>
      <c r="I2" s="130" t="s">
        <v>3</v>
      </c>
      <c r="J2" s="131" t="s">
        <v>4</v>
      </c>
    </row>
    <row r="3" spans="1:10" ht="15" thickBot="1" x14ac:dyDescent="0.35">
      <c r="A3" s="2" t="s">
        <v>33</v>
      </c>
      <c r="B3" s="2" t="s">
        <v>21</v>
      </c>
      <c r="C3" s="5"/>
      <c r="D3" s="5" t="s">
        <v>32</v>
      </c>
      <c r="E3" s="5" t="s">
        <v>572</v>
      </c>
      <c r="F3" s="19" t="s">
        <v>18</v>
      </c>
      <c r="G3" s="1" t="s">
        <v>18</v>
      </c>
      <c r="H3" s="1" t="s">
        <v>18</v>
      </c>
      <c r="I3" s="1" t="s">
        <v>18</v>
      </c>
      <c r="J3" s="1" t="s">
        <v>18</v>
      </c>
    </row>
    <row r="4" spans="1:10" x14ac:dyDescent="0.3">
      <c r="A4" s="1">
        <v>87089900</v>
      </c>
      <c r="B4" s="120" t="s">
        <v>22</v>
      </c>
      <c r="C4" s="125" t="s">
        <v>582</v>
      </c>
      <c r="D4" s="123">
        <f>SUMIF(SALES!$P$7:$P$489,'HSN SALE SUMMERY'!A$4:$A$110,SALES!$V$7:$V$489)</f>
        <v>3841</v>
      </c>
      <c r="E4" s="123">
        <f>SUMIF(SALES!$P$7:$P$489,'HSN SALE SUMMERY'!$A$4:$A$110,SALES!$E$7:$E$489)</f>
        <v>1300912.0399999998</v>
      </c>
      <c r="F4" s="123">
        <f>SUMIF(SALES!$P$7:$P$489,'HSN SALE SUMMERY'!$A$4:$A$110,SALES!$K$7:$K$489)</f>
        <v>1016337.5499999998</v>
      </c>
      <c r="G4" s="123">
        <f>SUMIF(SALES!$P$7:$P$489,'HSN SALE SUMMERY'!$A$4:$A$110,SALES!$L$7:$L$489)</f>
        <v>61175.422000000006</v>
      </c>
      <c r="H4" s="123">
        <f>SUMIF(SALES!$P$7:$P$489,'HSN SALE SUMMERY'!$A$4:$A$110,SALES!$M$7:$M$489)</f>
        <v>111699.54600000003</v>
      </c>
      <c r="I4" s="123">
        <f>SUMIF(SALES!$P$7:$P$489,'HSN SALE SUMMERY'!$A$4:$A$110,SALES!$N$7:$N$489)</f>
        <v>111699.54600000003</v>
      </c>
      <c r="J4" s="123">
        <f>SUMIF(SALES!$P$7:$P$489,'HSN SALE SUMMERY'!$A$4:$A$110,SALES!$O$7:$O$489)</f>
        <v>0</v>
      </c>
    </row>
    <row r="5" spans="1:10" x14ac:dyDescent="0.3">
      <c r="A5" s="5">
        <v>87081090</v>
      </c>
      <c r="B5" s="17" t="s">
        <v>22</v>
      </c>
      <c r="C5" s="126" t="s">
        <v>582</v>
      </c>
      <c r="D5" s="124">
        <f>SUMIF(SALES!$P$7:$P$489,'HSN SALE SUMMERY'!A$4:$A$110,SALES!$V$7:$V$489)</f>
        <v>33307</v>
      </c>
      <c r="E5" s="124">
        <f>SUMIF(SALES!$P$7:$P$489,'HSN SALE SUMMERY'!$A$4:$A$110,SALES!$E$7:$E$489)</f>
        <v>3949763.9699999993</v>
      </c>
      <c r="F5" s="124">
        <f>SUMIF(SALES!$P$7:$P$489,'HSN SALE SUMMERY'!$A$4:$A$110,SALES!$K$7:$K$489)</f>
        <v>3085753.0200000009</v>
      </c>
      <c r="G5" s="124">
        <f>SUMIF(SALES!$P$7:$P$489,'HSN SALE SUMMERY'!$A$4:$A$110,SALES!$L$7:$L$489)</f>
        <v>85050.845600000001</v>
      </c>
      <c r="H5" s="124">
        <f>SUMIF(SALES!$P$7:$P$489,'HSN SALE SUMMERY'!$A$4:$A$110,SALES!$M$7:$M$489)</f>
        <v>389479.99999999994</v>
      </c>
      <c r="I5" s="124">
        <f>SUMIF(SALES!$P$7:$P$489,'HSN SALE SUMMERY'!$A$4:$A$110,SALES!$N$7:$N$489)</f>
        <v>389479.99999999994</v>
      </c>
      <c r="J5" s="124">
        <f>SUMIF(SALES!$P$7:$P$489,'HSN SALE SUMMERY'!$A$4:$A$110,SALES!$O$7:$O$489)</f>
        <v>0</v>
      </c>
    </row>
    <row r="6" spans="1:10" x14ac:dyDescent="0.3">
      <c r="A6" s="5">
        <v>87141090</v>
      </c>
      <c r="B6" s="17" t="s">
        <v>22</v>
      </c>
      <c r="C6" s="126" t="s">
        <v>582</v>
      </c>
      <c r="D6" s="124">
        <f>SUMIF(SALES!$P$7:$P$489,'HSN SALE SUMMERY'!A$4:$A$110,SALES!$V$7:$V$489)</f>
        <v>46632</v>
      </c>
      <c r="E6" s="124">
        <f>SUMIF(SALES!$P$7:$P$489,'HSN SALE SUMMERY'!$A$4:$A$110,SALES!$E$7:$E$489)</f>
        <v>2172568.7199999997</v>
      </c>
      <c r="F6" s="124">
        <f>SUMIF(SALES!$P$7:$P$489,'HSN SALE SUMMERY'!$A$4:$A$110,SALES!$K$7:$K$489)</f>
        <v>1697319.2799999998</v>
      </c>
      <c r="G6" s="124">
        <f>SUMIF(SALES!$P$7:$P$489,'HSN SALE SUMMERY'!$A$4:$A$110,SALES!$L$7:$L$489)</f>
        <v>0</v>
      </c>
      <c r="H6" s="124">
        <f>SUMIF(SALES!$P$7:$P$489,'HSN SALE SUMMERY'!$A$4:$A$110,SALES!$M$7:$M$489)</f>
        <v>237624.69920000003</v>
      </c>
      <c r="I6" s="124">
        <f>SUMIF(SALES!$P$7:$P$489,'HSN SALE SUMMERY'!$A$4:$A$110,SALES!$N$7:$N$489)</f>
        <v>237624.69920000003</v>
      </c>
      <c r="J6" s="124">
        <f>SUMIF(SALES!$P$7:$P$489,'HSN SALE SUMMERY'!$A$4:$A$110,SALES!$O$7:$O$489)</f>
        <v>0</v>
      </c>
    </row>
    <row r="7" spans="1:10" x14ac:dyDescent="0.3">
      <c r="A7" s="5">
        <v>85129000</v>
      </c>
      <c r="B7" s="17" t="s">
        <v>22</v>
      </c>
      <c r="C7" s="126" t="s">
        <v>582</v>
      </c>
      <c r="D7" s="124">
        <f>SUMIF(SALES!$P$7:$P$489,'HSN SALE SUMMERY'!A$4:$A$110,SALES!$V$7:$V$489)</f>
        <v>24351</v>
      </c>
      <c r="E7" s="124">
        <f>SUMIF(SALES!$P$7:$P$489,'HSN SALE SUMMERY'!$A$4:$A$110,SALES!$E$7:$E$489)</f>
        <v>1226125.2599999998</v>
      </c>
      <c r="F7" s="124">
        <f>SUMIF(SALES!$P$7:$P$489,'HSN SALE SUMMERY'!$A$4:$A$110,SALES!$K$7:$K$489)</f>
        <v>957910.38</v>
      </c>
      <c r="G7" s="124">
        <f>SUMIF(SALES!$P$7:$P$489,'HSN SALE SUMMERY'!$A$4:$A$110,SALES!$L$7:$L$489)</f>
        <v>0</v>
      </c>
      <c r="H7" s="124">
        <f>SUMIF(SALES!$P$7:$P$489,'HSN SALE SUMMERY'!$A$4:$A$110,SALES!$M$7:$M$489)</f>
        <v>134107.45320000002</v>
      </c>
      <c r="I7" s="124">
        <f>SUMIF(SALES!$P$7:$P$489,'HSN SALE SUMMERY'!$A$4:$A$110,SALES!$N$7:$N$489)</f>
        <v>134107.45320000002</v>
      </c>
      <c r="J7" s="124">
        <f>SUMIF(SALES!$P$7:$P$489,'HSN SALE SUMMERY'!$A$4:$A$110,SALES!$O$7:$O$489)</f>
        <v>0</v>
      </c>
    </row>
    <row r="8" spans="1:10" x14ac:dyDescent="0.3">
      <c r="A8" s="5">
        <v>998898</v>
      </c>
      <c r="B8" s="17" t="s">
        <v>22</v>
      </c>
      <c r="C8" s="126" t="s">
        <v>582</v>
      </c>
      <c r="D8" s="124">
        <f>SUMIF(SALES!$P$7:$P$489,'HSN SALE SUMMERY'!A$4:$A$110,SALES!$V$7:$V$489)</f>
        <v>1938</v>
      </c>
      <c r="E8" s="124">
        <f>SUMIF(SALES!$P$7:$P$489,'HSN SALE SUMMERY'!$A$4:$A$110,SALES!$E$7:$E$489)</f>
        <v>403960.44000000012</v>
      </c>
      <c r="F8" s="124">
        <f>SUMIF(SALES!$P$7:$P$489,'HSN SALE SUMMERY'!$A$4:$A$110,SALES!$K$7:$K$489)</f>
        <v>342339.32</v>
      </c>
      <c r="G8" s="124">
        <f>SUMIF(SALES!$P$7:$P$489,'HSN SALE SUMMERY'!$A$4:$A$110,SALES!$L$7:$L$489)</f>
        <v>0</v>
      </c>
      <c r="H8" s="124">
        <f>SUMIF(SALES!$P$7:$P$489,'HSN SALE SUMMERY'!$A$4:$A$110,SALES!$M$7:$M$489)</f>
        <v>30810.538799999991</v>
      </c>
      <c r="I8" s="124">
        <f>SUMIF(SALES!$P$7:$P$489,'HSN SALE SUMMERY'!$A$4:$A$110,SALES!$N$7:$N$489)</f>
        <v>30810.538799999991</v>
      </c>
      <c r="J8" s="124">
        <f>SUMIF(SALES!$P$7:$P$489,'HSN SALE SUMMERY'!$A$4:$A$110,SALES!$O$7:$O$489)</f>
        <v>0</v>
      </c>
    </row>
    <row r="9" spans="1:10" x14ac:dyDescent="0.3">
      <c r="A9" s="5">
        <v>998873</v>
      </c>
      <c r="B9" s="17" t="s">
        <v>22</v>
      </c>
      <c r="C9" s="126" t="s">
        <v>582</v>
      </c>
      <c r="D9" s="124">
        <f>SUMIF(SALES!$P$7:$P$489,'HSN SALE SUMMERY'!A$4:$A$110,SALES!$V$7:$V$489)</f>
        <v>3484</v>
      </c>
      <c r="E9" s="124">
        <f>SUMIF(SALES!$P$7:$P$489,'HSN SALE SUMMERY'!$A$4:$A$110,SALES!$E$7:$E$489)</f>
        <v>121278.08</v>
      </c>
      <c r="F9" s="124">
        <f>SUMIF(SALES!$P$7:$P$489,'HSN SALE SUMMERY'!$A$4:$A$110,SALES!$K$7:$K$489)</f>
        <v>102778</v>
      </c>
      <c r="G9" s="124">
        <f>SUMIF(SALES!$P$7:$P$489,'HSN SALE SUMMERY'!$A$4:$A$110,SALES!$L$7:$L$489)</f>
        <v>0</v>
      </c>
      <c r="H9" s="124">
        <f>SUMIF(SALES!$P$7:$P$489,'HSN SALE SUMMERY'!$A$4:$A$110,SALES!$M$7:$M$489)</f>
        <v>9250.02</v>
      </c>
      <c r="I9" s="124">
        <f>SUMIF(SALES!$P$7:$P$489,'HSN SALE SUMMERY'!$A$4:$A$110,SALES!$N$7:$N$489)</f>
        <v>9250.02</v>
      </c>
      <c r="J9" s="124">
        <f>SUMIF(SALES!$P$7:$P$489,'HSN SALE SUMMERY'!$A$4:$A$110,SALES!$O$7:$O$489)</f>
        <v>0</v>
      </c>
    </row>
    <row r="10" spans="1:10" x14ac:dyDescent="0.3">
      <c r="A10" s="5"/>
      <c r="B10" s="17"/>
      <c r="C10" s="126"/>
      <c r="D10" s="124">
        <f>SUMIF(SALES!$P$7:$P$489,'HSN SALE SUMMERY'!A$4:$A$110,SALES!$V$7:$V$489)</f>
        <v>0</v>
      </c>
      <c r="E10" s="124">
        <f>SUMIF(SALES!$P$7:$P$489,'HSN SALE SUMMERY'!$A$4:$A$110,SALES!$E$7:$E$489)</f>
        <v>0</v>
      </c>
      <c r="F10" s="124">
        <f>SUMIF(SALES!$P$7:$P$489,'HSN SALE SUMMERY'!$A$4:$A$110,SALES!$K$7:$K$489)</f>
        <v>0</v>
      </c>
      <c r="G10" s="124">
        <f>SUMIF(SALES!$P$7:$P$489,'HSN SALE SUMMERY'!$A$4:$A$110,SALES!$L$7:$L$489)</f>
        <v>0</v>
      </c>
      <c r="H10" s="124">
        <f>SUMIF(SALES!$P$7:$P$489,'HSN SALE SUMMERY'!$A$4:$A$110,SALES!$M$7:$M$489)</f>
        <v>0</v>
      </c>
      <c r="I10" s="124">
        <f>SUMIF(SALES!$P$7:$P$489,'HSN SALE SUMMERY'!$A$4:$A$110,SALES!$N$7:$N$489)</f>
        <v>0</v>
      </c>
      <c r="J10" s="124">
        <f>SUMIF(SALES!$P$7:$P$489,'HSN SALE SUMMERY'!$A$4:$A$110,SALES!$O$7:$O$489)</f>
        <v>0</v>
      </c>
    </row>
    <row r="11" spans="1:10" ht="15" thickBot="1" x14ac:dyDescent="0.35">
      <c r="A11" s="5"/>
      <c r="B11" s="119"/>
      <c r="C11" s="122"/>
      <c r="D11" s="177">
        <f>SUMIF(SALES!$P$7:$P$489,'HSN SALE SUMMERY'!A$4:$A$110,SALES!$V$7:$V$489)</f>
        <v>0</v>
      </c>
      <c r="E11" s="177">
        <f>SUMIF(SALES!$P$7:$P$489,'HSN SALE SUMMERY'!$A$4:$A$110,SALES!$E$7:$E$489)</f>
        <v>0</v>
      </c>
      <c r="F11" s="177">
        <f>SUMIF(SALES!$P$7:$P$489,'HSN SALE SUMMERY'!$A$4:$A$110,SALES!$K$7:$K$489)</f>
        <v>0</v>
      </c>
      <c r="G11" s="177">
        <f>SUMIF(SALES!$P$7:$P$489,'HSN SALE SUMMERY'!$A$4:$A$110,SALES!$L$7:$L$489)</f>
        <v>0</v>
      </c>
      <c r="H11" s="177">
        <f>SUMIF(SALES!$P$7:$P$489,'HSN SALE SUMMERY'!$A$4:$A$110,SALES!$M$7:$M$489)</f>
        <v>0</v>
      </c>
      <c r="I11" s="177">
        <f>SUMIF(SALES!$P$7:$P$489,'HSN SALE SUMMERY'!$A$4:$A$110,SALES!$N$7:$N$489)</f>
        <v>0</v>
      </c>
      <c r="J11" s="177">
        <f>SUMIF(SALES!$P$7:$P$489,'HSN SALE SUMMERY'!$A$4:$A$110,SALES!$O$7:$O$489)</f>
        <v>0</v>
      </c>
    </row>
    <row r="12" spans="1:10" ht="15" thickBot="1" x14ac:dyDescent="0.35">
      <c r="A12" s="3"/>
      <c r="B12" s="20"/>
      <c r="C12" s="3"/>
      <c r="D12" s="18">
        <f t="shared" ref="D12:J12" si="0">SUM(D4:D11)</f>
        <v>113553</v>
      </c>
      <c r="E12" s="18">
        <f t="shared" si="0"/>
        <v>9174608.5099999979</v>
      </c>
      <c r="F12" s="18">
        <f t="shared" si="0"/>
        <v>7202437.5500000007</v>
      </c>
      <c r="G12" s="18">
        <f t="shared" si="0"/>
        <v>146226.26760000002</v>
      </c>
      <c r="H12" s="18">
        <f t="shared" si="0"/>
        <v>912972.25719999999</v>
      </c>
      <c r="I12" s="18">
        <f t="shared" si="0"/>
        <v>912972.25719999999</v>
      </c>
      <c r="J12" s="18">
        <f t="shared" si="0"/>
        <v>0</v>
      </c>
    </row>
    <row r="15" spans="1:10" x14ac:dyDescent="0.3">
      <c r="F15" s="129"/>
    </row>
    <row r="16" spans="1:10" x14ac:dyDescent="0.3">
      <c r="F16" s="129"/>
    </row>
    <row r="17" spans="6:6" x14ac:dyDescent="0.3">
      <c r="F17" s="129"/>
    </row>
    <row r="18" spans="6:6" x14ac:dyDescent="0.3">
      <c r="F18" s="129"/>
    </row>
    <row r="19" spans="6:6" x14ac:dyDescent="0.3">
      <c r="F19" s="129"/>
    </row>
    <row r="20" spans="6:6" x14ac:dyDescent="0.3">
      <c r="F20" s="129"/>
    </row>
    <row r="21" spans="6:6" x14ac:dyDescent="0.3">
      <c r="F21" s="129"/>
    </row>
    <row r="22" spans="6:6" x14ac:dyDescent="0.3">
      <c r="F22" s="129"/>
    </row>
    <row r="23" spans="6:6" x14ac:dyDescent="0.3">
      <c r="F23" s="129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9"/>
  <sheetViews>
    <sheetView tabSelected="1" topLeftCell="A205" workbookViewId="0">
      <selection activeCell="D7" sqref="D7:D212"/>
    </sheetView>
  </sheetViews>
  <sheetFormatPr defaultRowHeight="14.4" x14ac:dyDescent="0.3"/>
  <cols>
    <col min="1" max="1" width="31.33203125" customWidth="1"/>
    <col min="2" max="2" width="18.6640625" bestFit="1" customWidth="1"/>
    <col min="3" max="3" width="12" bestFit="1" customWidth="1"/>
    <col min="4" max="4" width="13.109375" style="310" customWidth="1"/>
    <col min="5" max="5" width="13.6640625" bestFit="1" customWidth="1"/>
    <col min="6" max="6" width="17.33203125" bestFit="1" customWidth="1"/>
    <col min="7" max="7" width="7.44140625" customWidth="1"/>
    <col min="8" max="8" width="10.44140625" customWidth="1"/>
    <col min="10" max="10" width="13.21875" bestFit="1" customWidth="1"/>
    <col min="11" max="11" width="10.109375" bestFit="1" customWidth="1"/>
    <col min="12" max="13" width="11.109375" bestFit="1" customWidth="1"/>
    <col min="14" max="14" width="7.44140625" bestFit="1" customWidth="1"/>
    <col min="15" max="16" width="7.44140625" customWidth="1"/>
    <col min="18" max="18" width="34.5546875" customWidth="1"/>
  </cols>
  <sheetData>
    <row r="1" spans="1:23" ht="15" thickTop="1" x14ac:dyDescent="0.3">
      <c r="A1" s="144"/>
      <c r="B1" s="145"/>
      <c r="C1" s="145"/>
      <c r="D1" s="304"/>
      <c r="E1" s="145"/>
      <c r="F1" s="145"/>
      <c r="G1" s="145"/>
      <c r="H1" s="145"/>
      <c r="I1" s="145"/>
      <c r="J1" s="178"/>
      <c r="K1" s="145"/>
      <c r="L1" s="145"/>
      <c r="M1" s="145"/>
      <c r="N1" s="145"/>
      <c r="O1" s="145"/>
      <c r="P1" s="145"/>
      <c r="Q1" s="179"/>
      <c r="R1" s="145"/>
      <c r="S1" s="145"/>
      <c r="T1" s="145"/>
      <c r="U1" s="145"/>
      <c r="V1" s="145"/>
      <c r="W1" s="180"/>
    </row>
    <row r="2" spans="1:23" x14ac:dyDescent="0.3">
      <c r="A2" s="165"/>
      <c r="B2" s="118"/>
      <c r="C2" s="118"/>
      <c r="D2" s="305"/>
      <c r="E2" s="118"/>
      <c r="F2" s="118"/>
      <c r="G2" s="118"/>
      <c r="H2" s="118"/>
      <c r="I2" s="118"/>
      <c r="J2" s="181"/>
      <c r="K2" s="118"/>
      <c r="L2" s="118"/>
      <c r="M2" s="118"/>
      <c r="N2" s="118"/>
      <c r="O2" s="118"/>
      <c r="P2" s="118"/>
      <c r="Q2" s="182"/>
      <c r="R2" s="118"/>
      <c r="S2" s="118"/>
      <c r="T2" s="118"/>
      <c r="U2" s="118"/>
      <c r="V2" s="118"/>
      <c r="W2" s="166"/>
    </row>
    <row r="3" spans="1:23" x14ac:dyDescent="0.3">
      <c r="A3" s="165"/>
      <c r="B3" s="118"/>
      <c r="C3" s="118" t="s">
        <v>584</v>
      </c>
      <c r="D3" s="305"/>
      <c r="E3" s="118"/>
      <c r="F3" s="118"/>
      <c r="G3" s="118"/>
      <c r="H3" s="118"/>
      <c r="I3" s="118"/>
      <c r="J3" s="181"/>
      <c r="K3" s="118"/>
      <c r="L3" s="118"/>
      <c r="M3" s="118"/>
      <c r="N3" s="118"/>
      <c r="O3" s="118"/>
      <c r="P3" s="118"/>
      <c r="Q3" s="182"/>
      <c r="R3" s="118"/>
      <c r="S3" s="118"/>
      <c r="T3" s="118"/>
      <c r="U3" s="118"/>
      <c r="V3" s="118"/>
      <c r="W3" s="166"/>
    </row>
    <row r="4" spans="1:23" ht="15" thickBot="1" x14ac:dyDescent="0.35">
      <c r="A4" s="183"/>
      <c r="B4" s="184"/>
      <c r="C4" s="184"/>
      <c r="D4" s="306"/>
      <c r="E4" s="184"/>
      <c r="F4" s="184"/>
      <c r="G4" s="184"/>
      <c r="H4" s="184"/>
      <c r="I4" s="184"/>
      <c r="J4" s="185"/>
      <c r="K4" s="184"/>
      <c r="L4" s="184"/>
      <c r="M4" s="184"/>
      <c r="N4" s="184"/>
      <c r="O4" s="184"/>
      <c r="P4" s="184"/>
      <c r="Q4" s="186"/>
      <c r="R4" s="184"/>
      <c r="S4" s="184"/>
      <c r="T4" s="184"/>
      <c r="U4" s="184"/>
      <c r="V4" s="184"/>
      <c r="W4" s="187"/>
    </row>
    <row r="5" spans="1:23" ht="15.6" thickTop="1" thickBot="1" x14ac:dyDescent="0.35">
      <c r="A5" s="193" t="s">
        <v>15</v>
      </c>
      <c r="B5" s="193" t="s">
        <v>0</v>
      </c>
      <c r="C5" s="193" t="s">
        <v>16</v>
      </c>
      <c r="D5" s="307" t="s">
        <v>17</v>
      </c>
      <c r="E5" s="193" t="s">
        <v>19</v>
      </c>
      <c r="F5" s="193" t="s">
        <v>26</v>
      </c>
      <c r="G5" s="193" t="s">
        <v>29</v>
      </c>
      <c r="H5" s="193" t="s">
        <v>19</v>
      </c>
      <c r="I5" s="195" t="s">
        <v>35</v>
      </c>
      <c r="J5" s="196" t="s">
        <v>25</v>
      </c>
      <c r="K5" s="197" t="s">
        <v>1</v>
      </c>
      <c r="L5" s="198" t="s">
        <v>2</v>
      </c>
      <c r="M5" s="198" t="s">
        <v>3</v>
      </c>
      <c r="N5" s="198" t="s">
        <v>4</v>
      </c>
      <c r="O5" s="253" t="s">
        <v>645</v>
      </c>
      <c r="P5" s="253" t="s">
        <v>636</v>
      </c>
      <c r="Q5" s="199" t="s">
        <v>7</v>
      </c>
      <c r="R5" s="193" t="s">
        <v>20</v>
      </c>
      <c r="S5" s="193" t="s">
        <v>23</v>
      </c>
      <c r="T5" s="193" t="s">
        <v>8</v>
      </c>
      <c r="U5" s="193" t="s">
        <v>9</v>
      </c>
      <c r="V5" s="193" t="s">
        <v>10</v>
      </c>
      <c r="W5" s="193" t="s">
        <v>31</v>
      </c>
    </row>
    <row r="6" spans="1:23" ht="15" thickBot="1" x14ac:dyDescent="0.35">
      <c r="A6" s="127"/>
      <c r="B6" s="127"/>
      <c r="C6" s="127"/>
      <c r="D6" s="308"/>
      <c r="E6" s="127" t="s">
        <v>18</v>
      </c>
      <c r="F6" s="127" t="s">
        <v>27</v>
      </c>
      <c r="G6" s="127" t="s">
        <v>30</v>
      </c>
      <c r="H6" s="127" t="s">
        <v>28</v>
      </c>
      <c r="I6" s="135" t="s">
        <v>24</v>
      </c>
      <c r="J6" s="134" t="s">
        <v>18</v>
      </c>
      <c r="K6" s="18" t="s">
        <v>18</v>
      </c>
      <c r="L6" s="18" t="s">
        <v>18</v>
      </c>
      <c r="M6" s="18" t="s">
        <v>18</v>
      </c>
      <c r="N6" s="18" t="s">
        <v>18</v>
      </c>
      <c r="O6" s="127" t="s">
        <v>28</v>
      </c>
      <c r="P6" s="127" t="s">
        <v>637</v>
      </c>
      <c r="Q6" s="174" t="s">
        <v>33</v>
      </c>
      <c r="R6" s="127" t="s">
        <v>21</v>
      </c>
      <c r="S6" s="127"/>
      <c r="T6" s="127" t="s">
        <v>32</v>
      </c>
      <c r="U6" s="127" t="s">
        <v>32</v>
      </c>
      <c r="V6" s="127" t="s">
        <v>32</v>
      </c>
      <c r="W6" s="127" t="s">
        <v>32</v>
      </c>
    </row>
    <row r="7" spans="1:23" x14ac:dyDescent="0.3">
      <c r="A7" s="5" t="s">
        <v>243</v>
      </c>
      <c r="B7" s="5" t="s">
        <v>242</v>
      </c>
      <c r="C7" s="5">
        <v>1718006</v>
      </c>
      <c r="D7" s="302">
        <v>42919</v>
      </c>
      <c r="E7" s="6">
        <v>77742</v>
      </c>
      <c r="F7" s="1" t="s">
        <v>14</v>
      </c>
      <c r="G7" s="1" t="s">
        <v>11</v>
      </c>
      <c r="H7" s="1" t="s">
        <v>12</v>
      </c>
      <c r="I7" s="13">
        <v>28</v>
      </c>
      <c r="J7" s="11">
        <v>60736</v>
      </c>
      <c r="K7" s="1">
        <v>0</v>
      </c>
      <c r="L7" s="1">
        <v>8503.0400000000009</v>
      </c>
      <c r="M7" s="1">
        <v>8503.0400000000009</v>
      </c>
      <c r="N7" s="1">
        <v>0</v>
      </c>
      <c r="O7" s="1" t="s">
        <v>646</v>
      </c>
      <c r="P7" s="1" t="s">
        <v>636</v>
      </c>
      <c r="Q7" s="1">
        <v>39269099</v>
      </c>
      <c r="R7" s="4" t="s">
        <v>22</v>
      </c>
      <c r="S7" s="1" t="s">
        <v>13</v>
      </c>
      <c r="T7" s="6">
        <v>0</v>
      </c>
      <c r="U7" s="6">
        <v>0</v>
      </c>
      <c r="V7" s="6">
        <f t="shared" ref="V7:V70" si="0">+T7-U7</f>
        <v>0</v>
      </c>
      <c r="W7" s="6">
        <v>6400</v>
      </c>
    </row>
    <row r="8" spans="1:23" x14ac:dyDescent="0.3">
      <c r="A8" s="5" t="s">
        <v>245</v>
      </c>
      <c r="B8" s="5" t="s">
        <v>244</v>
      </c>
      <c r="C8" s="5">
        <v>759</v>
      </c>
      <c r="D8" s="303">
        <v>42918</v>
      </c>
      <c r="E8" s="7">
        <v>6382.62</v>
      </c>
      <c r="F8" s="5" t="s">
        <v>14</v>
      </c>
      <c r="G8" s="5" t="s">
        <v>11</v>
      </c>
      <c r="H8" s="5" t="s">
        <v>12</v>
      </c>
      <c r="I8" s="14">
        <v>18</v>
      </c>
      <c r="J8" s="12">
        <v>5409</v>
      </c>
      <c r="K8" s="5">
        <v>0</v>
      </c>
      <c r="L8" s="5">
        <v>486.81000000000006</v>
      </c>
      <c r="M8" s="5">
        <v>486.81000000000006</v>
      </c>
      <c r="N8" s="5">
        <v>0</v>
      </c>
      <c r="O8" s="5" t="s">
        <v>646</v>
      </c>
      <c r="P8" s="5" t="s">
        <v>636</v>
      </c>
      <c r="Q8" s="5">
        <v>39199090</v>
      </c>
      <c r="R8" s="17" t="s">
        <v>246</v>
      </c>
      <c r="S8" s="5" t="s">
        <v>13</v>
      </c>
      <c r="T8" s="7">
        <v>0</v>
      </c>
      <c r="U8" s="7">
        <v>0</v>
      </c>
      <c r="V8" s="7">
        <f t="shared" si="0"/>
        <v>0</v>
      </c>
      <c r="W8" s="7">
        <v>450</v>
      </c>
    </row>
    <row r="9" spans="1:23" x14ac:dyDescent="0.3">
      <c r="A9" s="5" t="s">
        <v>45</v>
      </c>
      <c r="B9" s="5" t="s">
        <v>699</v>
      </c>
      <c r="C9" s="5">
        <v>967766909</v>
      </c>
      <c r="D9" s="303">
        <v>42920</v>
      </c>
      <c r="E9" s="7">
        <v>10700.8</v>
      </c>
      <c r="F9" s="5" t="s">
        <v>14</v>
      </c>
      <c r="G9" s="5" t="s">
        <v>11</v>
      </c>
      <c r="H9" s="5" t="s">
        <v>12</v>
      </c>
      <c r="I9" s="14">
        <v>28</v>
      </c>
      <c r="J9" s="12">
        <v>8360.7999999999993</v>
      </c>
      <c r="K9" s="5">
        <v>0</v>
      </c>
      <c r="L9" s="5">
        <v>1170.002</v>
      </c>
      <c r="M9" s="5">
        <v>1170.002</v>
      </c>
      <c r="N9" s="5">
        <v>0</v>
      </c>
      <c r="O9" s="5" t="s">
        <v>646</v>
      </c>
      <c r="P9" s="5" t="s">
        <v>636</v>
      </c>
      <c r="Q9" s="5">
        <v>87089900</v>
      </c>
      <c r="R9" s="17" t="s">
        <v>22</v>
      </c>
      <c r="S9" s="5" t="s">
        <v>13</v>
      </c>
      <c r="T9" s="7">
        <v>0</v>
      </c>
      <c r="U9" s="7">
        <v>0</v>
      </c>
      <c r="V9" s="7">
        <f t="shared" si="0"/>
        <v>0</v>
      </c>
      <c r="W9" s="7">
        <v>440</v>
      </c>
    </row>
    <row r="10" spans="1:23" x14ac:dyDescent="0.3">
      <c r="A10" s="5" t="s">
        <v>248</v>
      </c>
      <c r="B10" s="5" t="s">
        <v>247</v>
      </c>
      <c r="C10" s="5">
        <v>7887671694</v>
      </c>
      <c r="D10" s="303">
        <v>42920</v>
      </c>
      <c r="E10" s="7">
        <v>64143.360000000001</v>
      </c>
      <c r="F10" s="5" t="s">
        <v>14</v>
      </c>
      <c r="G10" s="5" t="s">
        <v>11</v>
      </c>
      <c r="H10" s="5" t="s">
        <v>12</v>
      </c>
      <c r="I10" s="14">
        <v>28</v>
      </c>
      <c r="J10" s="12">
        <v>50112</v>
      </c>
      <c r="K10" s="5">
        <v>0</v>
      </c>
      <c r="L10" s="5">
        <v>7015.68</v>
      </c>
      <c r="M10" s="5">
        <v>7015.68</v>
      </c>
      <c r="N10" s="5">
        <v>0</v>
      </c>
      <c r="O10" s="5" t="s">
        <v>646</v>
      </c>
      <c r="P10" s="5" t="s">
        <v>636</v>
      </c>
      <c r="Q10" s="5">
        <v>32082090</v>
      </c>
      <c r="R10" s="17" t="s">
        <v>250</v>
      </c>
      <c r="S10" s="5" t="s">
        <v>249</v>
      </c>
      <c r="T10" s="7">
        <v>0</v>
      </c>
      <c r="U10" s="7">
        <v>0</v>
      </c>
      <c r="V10" s="7">
        <f t="shared" si="0"/>
        <v>0</v>
      </c>
      <c r="W10" s="7">
        <v>96</v>
      </c>
    </row>
    <row r="11" spans="1:23" x14ac:dyDescent="0.3">
      <c r="A11" s="5" t="s">
        <v>248</v>
      </c>
      <c r="B11" s="5" t="s">
        <v>247</v>
      </c>
      <c r="C11" s="5">
        <v>7887671694</v>
      </c>
      <c r="D11" s="303">
        <v>42920</v>
      </c>
      <c r="E11" s="7">
        <v>25984</v>
      </c>
      <c r="F11" s="5" t="s">
        <v>14</v>
      </c>
      <c r="G11" s="5" t="s">
        <v>11</v>
      </c>
      <c r="H11" s="5" t="s">
        <v>12</v>
      </c>
      <c r="I11" s="14">
        <v>28</v>
      </c>
      <c r="J11" s="12">
        <v>20300</v>
      </c>
      <c r="K11" s="5">
        <v>0</v>
      </c>
      <c r="L11" s="5">
        <v>2842</v>
      </c>
      <c r="M11" s="5">
        <v>2842</v>
      </c>
      <c r="N11" s="5">
        <v>0</v>
      </c>
      <c r="O11" s="5" t="s">
        <v>646</v>
      </c>
      <c r="P11" s="5" t="s">
        <v>636</v>
      </c>
      <c r="Q11" s="5">
        <v>38140010</v>
      </c>
      <c r="R11" s="17" t="s">
        <v>251</v>
      </c>
      <c r="S11" s="5" t="s">
        <v>249</v>
      </c>
      <c r="T11" s="7">
        <v>0</v>
      </c>
      <c r="U11" s="7">
        <v>0</v>
      </c>
      <c r="V11" s="7">
        <f t="shared" si="0"/>
        <v>0</v>
      </c>
      <c r="W11" s="7">
        <v>140</v>
      </c>
    </row>
    <row r="12" spans="1:23" x14ac:dyDescent="0.3">
      <c r="A12" s="5" t="s">
        <v>248</v>
      </c>
      <c r="B12" s="5" t="s">
        <v>247</v>
      </c>
      <c r="C12" s="5">
        <v>7887671695</v>
      </c>
      <c r="D12" s="303">
        <v>42920</v>
      </c>
      <c r="E12" s="7">
        <v>6553.6</v>
      </c>
      <c r="F12" s="5" t="s">
        <v>14</v>
      </c>
      <c r="G12" s="5" t="s">
        <v>11</v>
      </c>
      <c r="H12" s="5" t="s">
        <v>12</v>
      </c>
      <c r="I12" s="14">
        <v>28</v>
      </c>
      <c r="J12" s="12">
        <v>5120</v>
      </c>
      <c r="K12" s="5">
        <v>0</v>
      </c>
      <c r="L12" s="5">
        <v>716.80000000000007</v>
      </c>
      <c r="M12" s="5">
        <v>716.80000000000007</v>
      </c>
      <c r="N12" s="5">
        <v>0</v>
      </c>
      <c r="O12" s="5" t="s">
        <v>646</v>
      </c>
      <c r="P12" s="5" t="s">
        <v>636</v>
      </c>
      <c r="Q12" s="5">
        <v>32082090</v>
      </c>
      <c r="R12" s="17" t="s">
        <v>250</v>
      </c>
      <c r="S12" s="5" t="s">
        <v>249</v>
      </c>
      <c r="T12" s="7">
        <v>0</v>
      </c>
      <c r="U12" s="7">
        <v>0</v>
      </c>
      <c r="V12" s="7">
        <f t="shared" si="0"/>
        <v>0</v>
      </c>
      <c r="W12" s="7">
        <v>8</v>
      </c>
    </row>
    <row r="13" spans="1:23" x14ac:dyDescent="0.3">
      <c r="A13" s="5" t="s">
        <v>248</v>
      </c>
      <c r="B13" s="5" t="s">
        <v>247</v>
      </c>
      <c r="C13" s="5">
        <v>7887671695</v>
      </c>
      <c r="D13" s="303">
        <v>42920</v>
      </c>
      <c r="E13" s="7">
        <v>6553.6</v>
      </c>
      <c r="F13" s="5" t="s">
        <v>14</v>
      </c>
      <c r="G13" s="5" t="s">
        <v>11</v>
      </c>
      <c r="H13" s="5" t="s">
        <v>12</v>
      </c>
      <c r="I13" s="14">
        <v>28</v>
      </c>
      <c r="J13" s="12">
        <v>5120</v>
      </c>
      <c r="K13" s="5">
        <v>0</v>
      </c>
      <c r="L13" s="5">
        <v>716.80000000000007</v>
      </c>
      <c r="M13" s="5">
        <v>716.80000000000007</v>
      </c>
      <c r="N13" s="5">
        <v>0</v>
      </c>
      <c r="O13" s="5" t="s">
        <v>646</v>
      </c>
      <c r="P13" s="5" t="s">
        <v>636</v>
      </c>
      <c r="Q13" s="5">
        <v>32089090</v>
      </c>
      <c r="R13" s="17" t="s">
        <v>250</v>
      </c>
      <c r="S13" s="5" t="s">
        <v>249</v>
      </c>
      <c r="T13" s="7">
        <v>0</v>
      </c>
      <c r="U13" s="7">
        <v>0</v>
      </c>
      <c r="V13" s="7">
        <f t="shared" si="0"/>
        <v>0</v>
      </c>
      <c r="W13" s="7">
        <v>8</v>
      </c>
    </row>
    <row r="14" spans="1:23" x14ac:dyDescent="0.3">
      <c r="A14" s="5" t="s">
        <v>248</v>
      </c>
      <c r="B14" s="5" t="s">
        <v>247</v>
      </c>
      <c r="C14" s="5">
        <v>7887671695</v>
      </c>
      <c r="D14" s="303">
        <v>42920</v>
      </c>
      <c r="E14" s="7">
        <v>9728</v>
      </c>
      <c r="F14" s="5" t="s">
        <v>14</v>
      </c>
      <c r="G14" s="5" t="s">
        <v>11</v>
      </c>
      <c r="H14" s="5" t="s">
        <v>12</v>
      </c>
      <c r="I14" s="14">
        <v>28</v>
      </c>
      <c r="J14" s="12">
        <v>7600</v>
      </c>
      <c r="K14" s="5">
        <v>0</v>
      </c>
      <c r="L14" s="5">
        <v>1064</v>
      </c>
      <c r="M14" s="5">
        <v>1064</v>
      </c>
      <c r="N14" s="5">
        <v>0</v>
      </c>
      <c r="O14" s="5" t="s">
        <v>646</v>
      </c>
      <c r="P14" s="5" t="s">
        <v>636</v>
      </c>
      <c r="Q14" s="5">
        <v>38140010</v>
      </c>
      <c r="R14" s="17" t="s">
        <v>251</v>
      </c>
      <c r="S14" s="5" t="s">
        <v>249</v>
      </c>
      <c r="T14" s="7">
        <v>0</v>
      </c>
      <c r="U14" s="7">
        <v>0</v>
      </c>
      <c r="V14" s="7">
        <f t="shared" si="0"/>
        <v>0</v>
      </c>
      <c r="W14" s="7">
        <v>20</v>
      </c>
    </row>
    <row r="15" spans="1:23" x14ac:dyDescent="0.3">
      <c r="A15" s="5" t="s">
        <v>253</v>
      </c>
      <c r="B15" s="5" t="s">
        <v>252</v>
      </c>
      <c r="C15" s="5">
        <v>1432</v>
      </c>
      <c r="D15" s="303">
        <v>42920</v>
      </c>
      <c r="E15" s="7">
        <v>28774</v>
      </c>
      <c r="F15" s="5" t="s">
        <v>14</v>
      </c>
      <c r="G15" s="5" t="s">
        <v>11</v>
      </c>
      <c r="H15" s="5" t="s">
        <v>12</v>
      </c>
      <c r="I15" s="14">
        <v>28</v>
      </c>
      <c r="J15" s="12">
        <v>22480</v>
      </c>
      <c r="K15" s="5">
        <v>0</v>
      </c>
      <c r="L15" s="5">
        <v>3147.2000000000003</v>
      </c>
      <c r="M15" s="5">
        <v>3147.2000000000003</v>
      </c>
      <c r="N15" s="5">
        <v>0</v>
      </c>
      <c r="O15" s="5" t="s">
        <v>646</v>
      </c>
      <c r="P15" s="5" t="s">
        <v>636</v>
      </c>
      <c r="Q15" s="5">
        <v>85129000</v>
      </c>
      <c r="R15" s="5" t="s">
        <v>254</v>
      </c>
      <c r="S15" s="5" t="s">
        <v>13</v>
      </c>
      <c r="T15" s="7">
        <v>0</v>
      </c>
      <c r="U15" s="7">
        <v>0</v>
      </c>
      <c r="V15" s="7">
        <f t="shared" si="0"/>
        <v>0</v>
      </c>
      <c r="W15" s="7">
        <v>800</v>
      </c>
    </row>
    <row r="16" spans="1:23" x14ac:dyDescent="0.3">
      <c r="A16" s="5" t="s">
        <v>256</v>
      </c>
      <c r="B16" s="5" t="s">
        <v>255</v>
      </c>
      <c r="C16" s="5">
        <v>17610284</v>
      </c>
      <c r="D16" s="303">
        <v>42920</v>
      </c>
      <c r="E16" s="7">
        <v>8135.19</v>
      </c>
      <c r="F16" s="5" t="s">
        <v>211</v>
      </c>
      <c r="G16" s="5" t="s">
        <v>11</v>
      </c>
      <c r="H16" s="5" t="s">
        <v>12</v>
      </c>
      <c r="I16" s="14">
        <v>28</v>
      </c>
      <c r="J16" s="12">
        <v>6356.19</v>
      </c>
      <c r="K16" s="5">
        <v>1779.7331999999999</v>
      </c>
      <c r="L16" s="5">
        <v>0</v>
      </c>
      <c r="M16" s="5">
        <v>0</v>
      </c>
      <c r="N16" s="5">
        <v>0</v>
      </c>
      <c r="O16" s="5" t="s">
        <v>646</v>
      </c>
      <c r="P16" s="5" t="s">
        <v>636</v>
      </c>
      <c r="Q16" s="5">
        <v>87081090</v>
      </c>
      <c r="R16" s="17" t="s">
        <v>22</v>
      </c>
      <c r="S16" s="5" t="s">
        <v>13</v>
      </c>
      <c r="T16" s="7">
        <v>0</v>
      </c>
      <c r="U16" s="7">
        <v>0</v>
      </c>
      <c r="V16" s="7">
        <f t="shared" si="0"/>
        <v>0</v>
      </c>
      <c r="W16" s="7">
        <v>23</v>
      </c>
    </row>
    <row r="17" spans="1:23" x14ac:dyDescent="0.3">
      <c r="A17" s="5" t="s">
        <v>187</v>
      </c>
      <c r="B17" s="5" t="s">
        <v>699</v>
      </c>
      <c r="C17" s="5">
        <v>967767026</v>
      </c>
      <c r="D17" s="303">
        <v>42921</v>
      </c>
      <c r="E17" s="7">
        <v>5386.96</v>
      </c>
      <c r="F17" s="5" t="s">
        <v>14</v>
      </c>
      <c r="G17" s="5" t="s">
        <v>11</v>
      </c>
      <c r="H17" s="5" t="s">
        <v>12</v>
      </c>
      <c r="I17" s="14">
        <v>28</v>
      </c>
      <c r="J17" s="12">
        <v>4208.96</v>
      </c>
      <c r="K17" s="5">
        <v>0</v>
      </c>
      <c r="L17" s="5">
        <v>589.00439999999992</v>
      </c>
      <c r="M17" s="5">
        <v>589.00439999999992</v>
      </c>
      <c r="N17" s="5">
        <v>0</v>
      </c>
      <c r="O17" s="5" t="s">
        <v>646</v>
      </c>
      <c r="P17" s="5" t="s">
        <v>636</v>
      </c>
      <c r="Q17" s="5">
        <v>87089900</v>
      </c>
      <c r="R17" s="17" t="s">
        <v>22</v>
      </c>
      <c r="S17" s="5" t="s">
        <v>13</v>
      </c>
      <c r="T17" s="7">
        <v>0</v>
      </c>
      <c r="U17" s="7">
        <v>0</v>
      </c>
      <c r="V17" s="7">
        <f t="shared" si="0"/>
        <v>0</v>
      </c>
      <c r="W17" s="7">
        <v>28</v>
      </c>
    </row>
    <row r="18" spans="1:23" x14ac:dyDescent="0.3">
      <c r="A18" s="5" t="s">
        <v>187</v>
      </c>
      <c r="B18" s="5" t="s">
        <v>699</v>
      </c>
      <c r="C18" s="5">
        <v>967767026</v>
      </c>
      <c r="D18" s="303">
        <v>42921</v>
      </c>
      <c r="E18" s="7">
        <v>8002.8</v>
      </c>
      <c r="F18" s="5" t="s">
        <v>14</v>
      </c>
      <c r="G18" s="5" t="s">
        <v>11</v>
      </c>
      <c r="H18" s="5" t="s">
        <v>12</v>
      </c>
      <c r="I18" s="14">
        <v>28</v>
      </c>
      <c r="J18" s="12">
        <v>6252.8</v>
      </c>
      <c r="K18" s="5">
        <v>0</v>
      </c>
      <c r="L18" s="5">
        <v>875.00199999999995</v>
      </c>
      <c r="M18" s="5">
        <v>875.00199999999995</v>
      </c>
      <c r="N18" s="5">
        <v>0</v>
      </c>
      <c r="O18" s="5" t="s">
        <v>646</v>
      </c>
      <c r="P18" s="5" t="s">
        <v>636</v>
      </c>
      <c r="Q18" s="5">
        <v>87082900</v>
      </c>
      <c r="R18" s="17" t="s">
        <v>22</v>
      </c>
      <c r="S18" s="5" t="s">
        <v>13</v>
      </c>
      <c r="T18" s="7">
        <v>0</v>
      </c>
      <c r="U18" s="7">
        <v>0</v>
      </c>
      <c r="V18" s="7">
        <f t="shared" si="0"/>
        <v>0</v>
      </c>
      <c r="W18" s="7">
        <v>40</v>
      </c>
    </row>
    <row r="19" spans="1:23" x14ac:dyDescent="0.3">
      <c r="A19" s="5" t="s">
        <v>253</v>
      </c>
      <c r="B19" s="5" t="s">
        <v>252</v>
      </c>
      <c r="C19" s="5">
        <v>1459</v>
      </c>
      <c r="D19" s="303">
        <v>42921</v>
      </c>
      <c r="E19" s="7">
        <v>53952</v>
      </c>
      <c r="F19" s="5" t="s">
        <v>14</v>
      </c>
      <c r="G19" s="5" t="s">
        <v>11</v>
      </c>
      <c r="H19" s="5" t="s">
        <v>12</v>
      </c>
      <c r="I19" s="14">
        <v>28</v>
      </c>
      <c r="J19" s="12">
        <v>42150</v>
      </c>
      <c r="K19" s="5">
        <v>0</v>
      </c>
      <c r="L19" s="5">
        <v>5901</v>
      </c>
      <c r="M19" s="5">
        <v>5901</v>
      </c>
      <c r="N19" s="5">
        <v>0</v>
      </c>
      <c r="O19" s="5" t="s">
        <v>646</v>
      </c>
      <c r="P19" s="5" t="s">
        <v>636</v>
      </c>
      <c r="Q19" s="5">
        <v>85129000</v>
      </c>
      <c r="R19" s="5" t="s">
        <v>254</v>
      </c>
      <c r="S19" s="5" t="s">
        <v>13</v>
      </c>
      <c r="T19" s="7">
        <v>0</v>
      </c>
      <c r="U19" s="7">
        <v>0</v>
      </c>
      <c r="V19" s="7">
        <f t="shared" si="0"/>
        <v>0</v>
      </c>
      <c r="W19" s="7">
        <v>1500</v>
      </c>
    </row>
    <row r="20" spans="1:23" x14ac:dyDescent="0.3">
      <c r="A20" s="5" t="s">
        <v>256</v>
      </c>
      <c r="B20" s="5" t="s">
        <v>255</v>
      </c>
      <c r="C20" s="5">
        <v>17610390</v>
      </c>
      <c r="D20" s="303">
        <v>42921</v>
      </c>
      <c r="E20" s="7">
        <v>45063.95</v>
      </c>
      <c r="F20" s="5" t="s">
        <v>211</v>
      </c>
      <c r="G20" s="5" t="s">
        <v>11</v>
      </c>
      <c r="H20" s="5" t="s">
        <v>12</v>
      </c>
      <c r="I20" s="14">
        <v>28</v>
      </c>
      <c r="J20" s="12">
        <v>35206.949999999997</v>
      </c>
      <c r="K20" s="5">
        <v>9856.9959999999974</v>
      </c>
      <c r="L20" s="5">
        <v>0</v>
      </c>
      <c r="M20" s="5">
        <v>0</v>
      </c>
      <c r="N20" s="5">
        <v>0</v>
      </c>
      <c r="O20" s="5" t="s">
        <v>646</v>
      </c>
      <c r="P20" s="5" t="s">
        <v>636</v>
      </c>
      <c r="Q20" s="5">
        <v>87081090</v>
      </c>
      <c r="R20" s="17" t="s">
        <v>22</v>
      </c>
      <c r="S20" s="5" t="s">
        <v>13</v>
      </c>
      <c r="T20" s="7">
        <v>0</v>
      </c>
      <c r="U20" s="7">
        <v>0</v>
      </c>
      <c r="V20" s="7">
        <f t="shared" si="0"/>
        <v>0</v>
      </c>
      <c r="W20" s="7">
        <v>79</v>
      </c>
    </row>
    <row r="21" spans="1:23" x14ac:dyDescent="0.3">
      <c r="A21" s="5" t="s">
        <v>214</v>
      </c>
      <c r="B21" s="5" t="s">
        <v>215</v>
      </c>
      <c r="C21" s="5">
        <v>2701800211</v>
      </c>
      <c r="D21" s="303">
        <v>42921</v>
      </c>
      <c r="E21" s="7">
        <v>57759.76</v>
      </c>
      <c r="F21" s="5" t="s">
        <v>14</v>
      </c>
      <c r="G21" s="5" t="s">
        <v>11</v>
      </c>
      <c r="H21" s="5" t="s">
        <v>12</v>
      </c>
      <c r="I21" s="14">
        <v>28</v>
      </c>
      <c r="J21" s="12">
        <v>45124.800000000003</v>
      </c>
      <c r="K21" s="5">
        <v>0</v>
      </c>
      <c r="L21" s="5">
        <v>6317.4820000000009</v>
      </c>
      <c r="M21" s="5">
        <v>6317.4820000000009</v>
      </c>
      <c r="N21" s="5">
        <v>0</v>
      </c>
      <c r="O21" s="5" t="s">
        <v>646</v>
      </c>
      <c r="P21" s="5" t="s">
        <v>636</v>
      </c>
      <c r="Q21" s="5">
        <v>87142090</v>
      </c>
      <c r="R21" s="17" t="s">
        <v>22</v>
      </c>
      <c r="S21" s="5" t="s">
        <v>13</v>
      </c>
      <c r="T21" s="7">
        <v>0</v>
      </c>
      <c r="U21" s="7">
        <v>0</v>
      </c>
      <c r="V21" s="7">
        <f t="shared" si="0"/>
        <v>0</v>
      </c>
      <c r="W21" s="7">
        <v>4080</v>
      </c>
    </row>
    <row r="22" spans="1:23" x14ac:dyDescent="0.3">
      <c r="A22" s="5" t="s">
        <v>248</v>
      </c>
      <c r="B22" s="5" t="s">
        <v>247</v>
      </c>
      <c r="C22" s="5">
        <v>7887671857</v>
      </c>
      <c r="D22" s="303">
        <v>42923</v>
      </c>
      <c r="E22" s="7">
        <v>17700</v>
      </c>
      <c r="F22" s="5" t="s">
        <v>14</v>
      </c>
      <c r="G22" s="5" t="s">
        <v>11</v>
      </c>
      <c r="H22" s="5" t="s">
        <v>12</v>
      </c>
      <c r="I22" s="14">
        <v>18</v>
      </c>
      <c r="J22" s="12">
        <v>15000</v>
      </c>
      <c r="K22" s="5">
        <v>0</v>
      </c>
      <c r="L22" s="5">
        <v>1350</v>
      </c>
      <c r="M22" s="5">
        <v>1350</v>
      </c>
      <c r="N22" s="5">
        <v>0</v>
      </c>
      <c r="O22" s="5" t="s">
        <v>646</v>
      </c>
      <c r="P22" s="5" t="s">
        <v>636</v>
      </c>
      <c r="Q22" s="5">
        <v>39119090</v>
      </c>
      <c r="R22" s="17" t="s">
        <v>250</v>
      </c>
      <c r="S22" s="5" t="s">
        <v>249</v>
      </c>
      <c r="T22" s="7">
        <v>0</v>
      </c>
      <c r="U22" s="7">
        <v>0</v>
      </c>
      <c r="V22" s="7">
        <f t="shared" si="0"/>
        <v>0</v>
      </c>
      <c r="W22" s="7">
        <v>30</v>
      </c>
    </row>
    <row r="23" spans="1:23" x14ac:dyDescent="0.3">
      <c r="A23" s="5" t="s">
        <v>248</v>
      </c>
      <c r="B23" s="5" t="s">
        <v>247</v>
      </c>
      <c r="C23" s="5">
        <v>7887671858</v>
      </c>
      <c r="D23" s="303">
        <v>42923</v>
      </c>
      <c r="E23" s="7">
        <v>15321.6</v>
      </c>
      <c r="F23" s="5" t="s">
        <v>14</v>
      </c>
      <c r="G23" s="5" t="s">
        <v>11</v>
      </c>
      <c r="H23" s="5" t="s">
        <v>12</v>
      </c>
      <c r="I23" s="14">
        <v>28</v>
      </c>
      <c r="J23" s="12">
        <v>11970</v>
      </c>
      <c r="K23" s="5">
        <v>0</v>
      </c>
      <c r="L23" s="5">
        <v>1675.8</v>
      </c>
      <c r="M23" s="5">
        <v>1675.8</v>
      </c>
      <c r="N23" s="5">
        <v>0</v>
      </c>
      <c r="O23" s="5" t="s">
        <v>646</v>
      </c>
      <c r="P23" s="5" t="s">
        <v>636</v>
      </c>
      <c r="Q23" s="5">
        <v>32089090</v>
      </c>
      <c r="R23" s="17" t="s">
        <v>250</v>
      </c>
      <c r="S23" s="5" t="s">
        <v>249</v>
      </c>
      <c r="T23" s="7">
        <v>0</v>
      </c>
      <c r="U23" s="7">
        <v>0</v>
      </c>
      <c r="V23" s="7">
        <f t="shared" si="0"/>
        <v>0</v>
      </c>
      <c r="W23" s="7">
        <v>18</v>
      </c>
    </row>
    <row r="24" spans="1:23" x14ac:dyDescent="0.3">
      <c r="A24" s="5" t="s">
        <v>187</v>
      </c>
      <c r="B24" s="5" t="s">
        <v>699</v>
      </c>
      <c r="C24" s="5">
        <v>967767194</v>
      </c>
      <c r="D24" s="303">
        <v>42923</v>
      </c>
      <c r="E24" s="7">
        <v>13429.36</v>
      </c>
      <c r="F24" s="5" t="s">
        <v>14</v>
      </c>
      <c r="G24" s="5" t="s">
        <v>11</v>
      </c>
      <c r="H24" s="5" t="s">
        <v>12</v>
      </c>
      <c r="I24" s="14">
        <v>28</v>
      </c>
      <c r="J24" s="12">
        <v>10491.36</v>
      </c>
      <c r="K24" s="5">
        <v>0</v>
      </c>
      <c r="L24" s="5">
        <v>1469.0004000000001</v>
      </c>
      <c r="M24" s="5">
        <v>1469.0004000000001</v>
      </c>
      <c r="N24" s="5">
        <v>0</v>
      </c>
      <c r="O24" s="5" t="s">
        <v>646</v>
      </c>
      <c r="P24" s="5" t="s">
        <v>636</v>
      </c>
      <c r="Q24" s="5">
        <v>87089900</v>
      </c>
      <c r="R24" s="17" t="s">
        <v>22</v>
      </c>
      <c r="S24" s="5" t="s">
        <v>13</v>
      </c>
      <c r="T24" s="7">
        <v>0</v>
      </c>
      <c r="U24" s="7">
        <v>0</v>
      </c>
      <c r="V24" s="7">
        <f t="shared" si="0"/>
        <v>0</v>
      </c>
      <c r="W24" s="7">
        <v>66</v>
      </c>
    </row>
    <row r="25" spans="1:23" x14ac:dyDescent="0.3">
      <c r="A25" s="5" t="s">
        <v>258</v>
      </c>
      <c r="B25" s="5" t="s">
        <v>257</v>
      </c>
      <c r="C25" s="5">
        <v>65</v>
      </c>
      <c r="D25" s="303">
        <v>42924</v>
      </c>
      <c r="E25" s="7">
        <v>44864</v>
      </c>
      <c r="F25" s="5" t="s">
        <v>14</v>
      </c>
      <c r="G25" s="5" t="s">
        <v>11</v>
      </c>
      <c r="H25" s="5" t="s">
        <v>12</v>
      </c>
      <c r="I25" s="14">
        <v>28</v>
      </c>
      <c r="J25" s="12">
        <v>35050</v>
      </c>
      <c r="K25" s="5">
        <v>0</v>
      </c>
      <c r="L25" s="5">
        <v>4907</v>
      </c>
      <c r="M25" s="5">
        <v>4907</v>
      </c>
      <c r="N25" s="5">
        <v>0</v>
      </c>
      <c r="O25" s="5" t="s">
        <v>646</v>
      </c>
      <c r="P25" s="5" t="s">
        <v>636</v>
      </c>
      <c r="Q25" s="5">
        <v>32082090</v>
      </c>
      <c r="R25" s="17" t="s">
        <v>250</v>
      </c>
      <c r="S25" s="5" t="s">
        <v>259</v>
      </c>
      <c r="T25" s="7">
        <v>0</v>
      </c>
      <c r="U25" s="7">
        <v>0</v>
      </c>
      <c r="V25" s="7">
        <f t="shared" si="0"/>
        <v>0</v>
      </c>
      <c r="W25" s="7">
        <v>200</v>
      </c>
    </row>
    <row r="26" spans="1:23" x14ac:dyDescent="0.3">
      <c r="A26" s="5" t="s">
        <v>261</v>
      </c>
      <c r="B26" s="5" t="s">
        <v>260</v>
      </c>
      <c r="C26" s="5">
        <v>9271</v>
      </c>
      <c r="D26" s="303">
        <v>42924</v>
      </c>
      <c r="E26" s="7">
        <v>250060.85</v>
      </c>
      <c r="F26" s="5" t="s">
        <v>14</v>
      </c>
      <c r="G26" s="5" t="s">
        <v>11</v>
      </c>
      <c r="H26" s="5" t="s">
        <v>12</v>
      </c>
      <c r="I26" s="14">
        <v>28</v>
      </c>
      <c r="J26" s="12">
        <v>195661.85</v>
      </c>
      <c r="K26" s="5">
        <v>0</v>
      </c>
      <c r="L26" s="5">
        <v>27392.999</v>
      </c>
      <c r="M26" s="5">
        <v>27392.999</v>
      </c>
      <c r="N26" s="5">
        <v>0</v>
      </c>
      <c r="O26" s="5" t="s">
        <v>646</v>
      </c>
      <c r="P26" s="5" t="s">
        <v>636</v>
      </c>
      <c r="Q26" s="5">
        <v>87141900</v>
      </c>
      <c r="R26" s="17" t="s">
        <v>22</v>
      </c>
      <c r="S26" s="5" t="s">
        <v>13</v>
      </c>
      <c r="T26" s="7">
        <v>0</v>
      </c>
      <c r="U26" s="7">
        <v>0</v>
      </c>
      <c r="V26" s="7">
        <f t="shared" si="0"/>
        <v>0</v>
      </c>
      <c r="W26" s="7">
        <v>3695</v>
      </c>
    </row>
    <row r="27" spans="1:23" x14ac:dyDescent="0.3">
      <c r="A27" s="5" t="s">
        <v>261</v>
      </c>
      <c r="B27" s="5" t="s">
        <v>260</v>
      </c>
      <c r="C27" s="5">
        <v>9272</v>
      </c>
      <c r="D27" s="303">
        <v>42924</v>
      </c>
      <c r="E27" s="7">
        <v>259085.71</v>
      </c>
      <c r="F27" s="5" t="s">
        <v>14</v>
      </c>
      <c r="G27" s="5" t="s">
        <v>11</v>
      </c>
      <c r="H27" s="5" t="s">
        <v>12</v>
      </c>
      <c r="I27" s="14">
        <v>28</v>
      </c>
      <c r="J27" s="12">
        <v>202725.37</v>
      </c>
      <c r="K27" s="5">
        <v>0</v>
      </c>
      <c r="L27" s="5">
        <v>28382.001800000002</v>
      </c>
      <c r="M27" s="5">
        <v>28382.001800000002</v>
      </c>
      <c r="N27" s="5">
        <v>0</v>
      </c>
      <c r="O27" s="5" t="s">
        <v>646</v>
      </c>
      <c r="P27" s="5" t="s">
        <v>636</v>
      </c>
      <c r="Q27" s="5">
        <v>87141900</v>
      </c>
      <c r="R27" s="17" t="s">
        <v>22</v>
      </c>
      <c r="S27" s="5" t="s">
        <v>13</v>
      </c>
      <c r="T27" s="7">
        <v>0</v>
      </c>
      <c r="U27" s="7">
        <v>0</v>
      </c>
      <c r="V27" s="7">
        <f t="shared" si="0"/>
        <v>0</v>
      </c>
      <c r="W27" s="7">
        <v>3827</v>
      </c>
    </row>
    <row r="28" spans="1:23" x14ac:dyDescent="0.3">
      <c r="A28" s="5" t="s">
        <v>214</v>
      </c>
      <c r="B28" s="5" t="s">
        <v>215</v>
      </c>
      <c r="C28" s="5">
        <v>2701800641</v>
      </c>
      <c r="D28" s="303">
        <v>42924</v>
      </c>
      <c r="E28" s="7">
        <v>40771.599999999999</v>
      </c>
      <c r="F28" s="5" t="s">
        <v>14</v>
      </c>
      <c r="G28" s="5" t="s">
        <v>11</v>
      </c>
      <c r="H28" s="5" t="s">
        <v>12</v>
      </c>
      <c r="I28" s="14">
        <v>28</v>
      </c>
      <c r="J28" s="12">
        <v>31852</v>
      </c>
      <c r="K28" s="5">
        <v>0</v>
      </c>
      <c r="L28" s="5">
        <v>4459.3999999999996</v>
      </c>
      <c r="M28" s="5">
        <v>4459.3999999999996</v>
      </c>
      <c r="N28" s="5">
        <v>0</v>
      </c>
      <c r="O28" s="5" t="s">
        <v>646</v>
      </c>
      <c r="P28" s="5" t="s">
        <v>636</v>
      </c>
      <c r="Q28" s="5">
        <v>87142090</v>
      </c>
      <c r="R28" s="17" t="s">
        <v>22</v>
      </c>
      <c r="S28" s="5" t="s">
        <v>13</v>
      </c>
      <c r="T28" s="7">
        <v>0</v>
      </c>
      <c r="U28" s="7">
        <v>0</v>
      </c>
      <c r="V28" s="7">
        <f t="shared" si="0"/>
        <v>0</v>
      </c>
      <c r="W28" s="7">
        <v>2880</v>
      </c>
    </row>
    <row r="29" spans="1:23" x14ac:dyDescent="0.3">
      <c r="A29" s="5" t="s">
        <v>187</v>
      </c>
      <c r="B29" s="5" t="s">
        <v>699</v>
      </c>
      <c r="C29" s="5">
        <v>967767408</v>
      </c>
      <c r="D29" s="303">
        <v>42924</v>
      </c>
      <c r="E29" s="7">
        <v>2403.66</v>
      </c>
      <c r="F29" s="5" t="s">
        <v>14</v>
      </c>
      <c r="G29" s="5" t="s">
        <v>11</v>
      </c>
      <c r="H29" s="5" t="s">
        <v>12</v>
      </c>
      <c r="I29" s="14">
        <v>28</v>
      </c>
      <c r="J29" s="12">
        <v>1877.66</v>
      </c>
      <c r="K29" s="5">
        <v>0</v>
      </c>
      <c r="L29" s="5">
        <v>263.00240000000002</v>
      </c>
      <c r="M29" s="5">
        <v>263.00240000000002</v>
      </c>
      <c r="N29" s="5">
        <v>0</v>
      </c>
      <c r="O29" s="5" t="s">
        <v>646</v>
      </c>
      <c r="P29" s="5" t="s">
        <v>636</v>
      </c>
      <c r="Q29" s="5">
        <v>87089900</v>
      </c>
      <c r="R29" s="17" t="s">
        <v>22</v>
      </c>
      <c r="S29" s="5" t="s">
        <v>13</v>
      </c>
      <c r="T29" s="7">
        <v>0</v>
      </c>
      <c r="U29" s="7">
        <v>0</v>
      </c>
      <c r="V29" s="7">
        <f t="shared" si="0"/>
        <v>0</v>
      </c>
      <c r="W29" s="7">
        <v>61</v>
      </c>
    </row>
    <row r="30" spans="1:23" x14ac:dyDescent="0.3">
      <c r="A30" s="5" t="s">
        <v>187</v>
      </c>
      <c r="B30" s="5" t="s">
        <v>699</v>
      </c>
      <c r="C30" s="5">
        <v>967767408</v>
      </c>
      <c r="D30" s="303">
        <v>42924</v>
      </c>
      <c r="E30" s="7">
        <v>7504.6</v>
      </c>
      <c r="F30" s="5" t="s">
        <v>14</v>
      </c>
      <c r="G30" s="5" t="s">
        <v>11</v>
      </c>
      <c r="H30" s="5" t="s">
        <v>12</v>
      </c>
      <c r="I30" s="14">
        <v>28</v>
      </c>
      <c r="J30" s="12">
        <v>5862.6</v>
      </c>
      <c r="K30" s="5">
        <v>0</v>
      </c>
      <c r="L30" s="5">
        <v>821.00400000000013</v>
      </c>
      <c r="M30" s="5">
        <v>821.00400000000013</v>
      </c>
      <c r="N30" s="5">
        <v>0</v>
      </c>
      <c r="O30" s="5" t="s">
        <v>646</v>
      </c>
      <c r="P30" s="5" t="s">
        <v>636</v>
      </c>
      <c r="Q30" s="5">
        <v>87081090</v>
      </c>
      <c r="R30" s="17" t="s">
        <v>22</v>
      </c>
      <c r="S30" s="5" t="s">
        <v>13</v>
      </c>
      <c r="T30" s="7">
        <v>0</v>
      </c>
      <c r="U30" s="7">
        <v>0</v>
      </c>
      <c r="V30" s="7">
        <f t="shared" si="0"/>
        <v>0</v>
      </c>
      <c r="W30" s="7">
        <v>45</v>
      </c>
    </row>
    <row r="31" spans="1:23" x14ac:dyDescent="0.3">
      <c r="A31" s="5" t="s">
        <v>187</v>
      </c>
      <c r="B31" s="5" t="s">
        <v>699</v>
      </c>
      <c r="C31" s="5">
        <v>967767408</v>
      </c>
      <c r="D31" s="303">
        <v>42924</v>
      </c>
      <c r="E31" s="7">
        <v>3802.08</v>
      </c>
      <c r="F31" s="5" t="s">
        <v>14</v>
      </c>
      <c r="G31" s="5" t="s">
        <v>11</v>
      </c>
      <c r="H31" s="5" t="s">
        <v>12</v>
      </c>
      <c r="I31" s="14">
        <v>28</v>
      </c>
      <c r="J31" s="12">
        <v>2970.08</v>
      </c>
      <c r="K31" s="5">
        <v>0</v>
      </c>
      <c r="L31" s="5">
        <v>416.00119999999998</v>
      </c>
      <c r="M31" s="5">
        <v>416.00119999999998</v>
      </c>
      <c r="N31" s="5">
        <v>0</v>
      </c>
      <c r="O31" s="5" t="s">
        <v>646</v>
      </c>
      <c r="P31" s="5" t="s">
        <v>636</v>
      </c>
      <c r="Q31" s="5">
        <v>87082900</v>
      </c>
      <c r="R31" s="17" t="s">
        <v>22</v>
      </c>
      <c r="S31" s="5" t="s">
        <v>13</v>
      </c>
      <c r="T31" s="7">
        <v>0</v>
      </c>
      <c r="U31" s="7">
        <v>0</v>
      </c>
      <c r="V31" s="7">
        <f t="shared" si="0"/>
        <v>0</v>
      </c>
      <c r="W31" s="7">
        <v>19</v>
      </c>
    </row>
    <row r="32" spans="1:23" x14ac:dyDescent="0.3">
      <c r="A32" s="5" t="s">
        <v>263</v>
      </c>
      <c r="B32" s="5" t="s">
        <v>262</v>
      </c>
      <c r="C32" s="5">
        <v>487</v>
      </c>
      <c r="D32" s="303">
        <v>42923</v>
      </c>
      <c r="E32" s="7">
        <v>19028</v>
      </c>
      <c r="F32" s="5" t="s">
        <v>14</v>
      </c>
      <c r="G32" s="5" t="s">
        <v>11</v>
      </c>
      <c r="H32" s="5" t="s">
        <v>12</v>
      </c>
      <c r="I32" s="14">
        <v>18</v>
      </c>
      <c r="J32" s="12">
        <v>16125</v>
      </c>
      <c r="K32" s="5">
        <v>0</v>
      </c>
      <c r="L32" s="5">
        <v>1451.25</v>
      </c>
      <c r="M32" s="5">
        <v>1451.25</v>
      </c>
      <c r="N32" s="5">
        <v>0</v>
      </c>
      <c r="O32" s="5" t="s">
        <v>646</v>
      </c>
      <c r="P32" s="5" t="s">
        <v>636</v>
      </c>
      <c r="Q32" s="5">
        <v>68052090</v>
      </c>
      <c r="R32" s="17" t="s">
        <v>264</v>
      </c>
      <c r="S32" s="5" t="s">
        <v>13</v>
      </c>
      <c r="T32" s="7">
        <v>0</v>
      </c>
      <c r="U32" s="7">
        <v>0</v>
      </c>
      <c r="V32" s="7">
        <f t="shared" si="0"/>
        <v>0</v>
      </c>
      <c r="W32" s="7">
        <v>1500</v>
      </c>
    </row>
    <row r="33" spans="1:23" x14ac:dyDescent="0.3">
      <c r="A33" s="5" t="s">
        <v>187</v>
      </c>
      <c r="B33" s="5" t="s">
        <v>699</v>
      </c>
      <c r="C33" s="5">
        <v>967767523</v>
      </c>
      <c r="D33" s="303">
        <v>42926</v>
      </c>
      <c r="E33" s="7">
        <v>15009.2</v>
      </c>
      <c r="F33" s="5" t="s">
        <v>14</v>
      </c>
      <c r="G33" s="5" t="s">
        <v>11</v>
      </c>
      <c r="H33" s="5" t="s">
        <v>12</v>
      </c>
      <c r="I33" s="14">
        <v>28</v>
      </c>
      <c r="J33" s="12">
        <v>11725.2</v>
      </c>
      <c r="K33" s="5">
        <v>0</v>
      </c>
      <c r="L33" s="5">
        <v>1641.9980000000003</v>
      </c>
      <c r="M33" s="5">
        <v>1641.9980000000003</v>
      </c>
      <c r="N33" s="5">
        <v>0</v>
      </c>
      <c r="O33" s="5" t="s">
        <v>646</v>
      </c>
      <c r="P33" s="5" t="s">
        <v>636</v>
      </c>
      <c r="Q33" s="5">
        <v>87081090</v>
      </c>
      <c r="R33" s="17" t="s">
        <v>22</v>
      </c>
      <c r="S33" s="5" t="s">
        <v>13</v>
      </c>
      <c r="T33" s="7">
        <v>0</v>
      </c>
      <c r="U33" s="7">
        <v>0</v>
      </c>
      <c r="V33" s="7">
        <f t="shared" si="0"/>
        <v>0</v>
      </c>
      <c r="W33" s="7">
        <v>90</v>
      </c>
    </row>
    <row r="34" spans="1:23" x14ac:dyDescent="0.3">
      <c r="A34" s="5" t="s">
        <v>243</v>
      </c>
      <c r="B34" s="5" t="s">
        <v>242</v>
      </c>
      <c r="C34" s="5">
        <v>17180045</v>
      </c>
      <c r="D34" s="303">
        <v>42926</v>
      </c>
      <c r="E34" s="7">
        <v>58307</v>
      </c>
      <c r="F34" s="5" t="s">
        <v>14</v>
      </c>
      <c r="G34" s="5" t="s">
        <v>11</v>
      </c>
      <c r="H34" s="5" t="s">
        <v>12</v>
      </c>
      <c r="I34" s="14">
        <v>28</v>
      </c>
      <c r="J34" s="12">
        <v>45552</v>
      </c>
      <c r="K34" s="5">
        <v>0</v>
      </c>
      <c r="L34" s="5">
        <v>6377.28</v>
      </c>
      <c r="M34" s="5">
        <v>6377.28</v>
      </c>
      <c r="N34" s="5">
        <v>0</v>
      </c>
      <c r="O34" s="5" t="s">
        <v>646</v>
      </c>
      <c r="P34" s="5" t="s">
        <v>636</v>
      </c>
      <c r="Q34" s="5">
        <v>39269099</v>
      </c>
      <c r="R34" s="17" t="s">
        <v>22</v>
      </c>
      <c r="S34" s="5" t="s">
        <v>13</v>
      </c>
      <c r="T34" s="7">
        <v>0</v>
      </c>
      <c r="U34" s="7">
        <v>0</v>
      </c>
      <c r="V34" s="7">
        <f t="shared" si="0"/>
        <v>0</v>
      </c>
      <c r="W34" s="7">
        <v>4800</v>
      </c>
    </row>
    <row r="35" spans="1:23" x14ac:dyDescent="0.3">
      <c r="A35" s="5" t="s">
        <v>253</v>
      </c>
      <c r="B35" s="5" t="s">
        <v>252</v>
      </c>
      <c r="C35" s="5">
        <v>1525</v>
      </c>
      <c r="D35" s="303">
        <v>42926</v>
      </c>
      <c r="E35" s="7">
        <v>18703</v>
      </c>
      <c r="F35" s="5" t="s">
        <v>14</v>
      </c>
      <c r="G35" s="5" t="s">
        <v>11</v>
      </c>
      <c r="H35" s="5" t="s">
        <v>12</v>
      </c>
      <c r="I35" s="14">
        <v>28</v>
      </c>
      <c r="J35" s="12">
        <v>14612</v>
      </c>
      <c r="K35" s="5">
        <v>0</v>
      </c>
      <c r="L35" s="5">
        <v>2045.68</v>
      </c>
      <c r="M35" s="5">
        <v>2045.68</v>
      </c>
      <c r="N35" s="5">
        <v>0</v>
      </c>
      <c r="O35" s="5" t="s">
        <v>646</v>
      </c>
      <c r="P35" s="5" t="s">
        <v>636</v>
      </c>
      <c r="Q35" s="5">
        <v>85129000</v>
      </c>
      <c r="R35" s="5" t="s">
        <v>254</v>
      </c>
      <c r="S35" s="5" t="s">
        <v>13</v>
      </c>
      <c r="T35" s="7">
        <v>0</v>
      </c>
      <c r="U35" s="7">
        <v>0</v>
      </c>
      <c r="V35" s="7">
        <f t="shared" si="0"/>
        <v>0</v>
      </c>
      <c r="W35" s="7">
        <v>520</v>
      </c>
    </row>
    <row r="36" spans="1:23" x14ac:dyDescent="0.3">
      <c r="A36" s="5" t="s">
        <v>270</v>
      </c>
      <c r="B36" s="5" t="s">
        <v>269</v>
      </c>
      <c r="C36" s="5">
        <v>1641</v>
      </c>
      <c r="D36" s="303">
        <v>42926</v>
      </c>
      <c r="E36" s="7">
        <v>1890</v>
      </c>
      <c r="F36" s="5" t="s">
        <v>14</v>
      </c>
      <c r="G36" s="5" t="s">
        <v>101</v>
      </c>
      <c r="H36" s="5" t="s">
        <v>12</v>
      </c>
      <c r="I36" s="14">
        <v>5</v>
      </c>
      <c r="J36" s="12">
        <v>1800</v>
      </c>
      <c r="K36" s="5">
        <v>0</v>
      </c>
      <c r="L36" s="5">
        <v>45</v>
      </c>
      <c r="M36" s="5">
        <v>45</v>
      </c>
      <c r="N36" s="5">
        <v>0</v>
      </c>
      <c r="O36" s="5" t="s">
        <v>646</v>
      </c>
      <c r="P36" s="5" t="s">
        <v>636</v>
      </c>
      <c r="Q36" s="5">
        <v>25202090</v>
      </c>
      <c r="R36" s="17" t="s">
        <v>271</v>
      </c>
      <c r="S36" s="5" t="s">
        <v>272</v>
      </c>
      <c r="T36" s="7">
        <v>0</v>
      </c>
      <c r="U36" s="7">
        <v>0</v>
      </c>
      <c r="V36" s="7">
        <f t="shared" si="0"/>
        <v>0</v>
      </c>
      <c r="W36" s="7">
        <v>15</v>
      </c>
    </row>
    <row r="37" spans="1:23" x14ac:dyDescent="0.3">
      <c r="A37" s="5" t="s">
        <v>274</v>
      </c>
      <c r="B37" s="5" t="s">
        <v>273</v>
      </c>
      <c r="C37" s="5">
        <v>1761000924</v>
      </c>
      <c r="D37" s="303">
        <v>42926</v>
      </c>
      <c r="E37" s="7">
        <v>5990</v>
      </c>
      <c r="F37" s="5" t="s">
        <v>14</v>
      </c>
      <c r="G37" s="5" t="s">
        <v>11</v>
      </c>
      <c r="H37" s="5" t="s">
        <v>12</v>
      </c>
      <c r="I37" s="14">
        <v>28</v>
      </c>
      <c r="J37" s="12">
        <v>4679.6000000000004</v>
      </c>
      <c r="K37" s="5">
        <v>0</v>
      </c>
      <c r="L37" s="5">
        <v>655.20400000000006</v>
      </c>
      <c r="M37" s="5">
        <v>655.20400000000006</v>
      </c>
      <c r="N37" s="5">
        <v>0</v>
      </c>
      <c r="O37" s="5" t="s">
        <v>646</v>
      </c>
      <c r="P37" s="5" t="s">
        <v>636</v>
      </c>
      <c r="Q37" s="5">
        <v>3814</v>
      </c>
      <c r="R37" s="17" t="s">
        <v>251</v>
      </c>
      <c r="S37" s="5" t="s">
        <v>249</v>
      </c>
      <c r="T37" s="7">
        <v>0</v>
      </c>
      <c r="U37" s="7">
        <v>0</v>
      </c>
      <c r="V37" s="7">
        <f t="shared" si="0"/>
        <v>0</v>
      </c>
      <c r="W37" s="7">
        <v>40</v>
      </c>
    </row>
    <row r="38" spans="1:23" x14ac:dyDescent="0.3">
      <c r="A38" s="5" t="s">
        <v>187</v>
      </c>
      <c r="B38" s="5" t="s">
        <v>699</v>
      </c>
      <c r="C38" s="5">
        <v>967767678</v>
      </c>
      <c r="D38" s="303">
        <v>42927</v>
      </c>
      <c r="E38" s="7">
        <v>10054.48</v>
      </c>
      <c r="F38" s="5" t="s">
        <v>14</v>
      </c>
      <c r="G38" s="5" t="s">
        <v>11</v>
      </c>
      <c r="H38" s="5" t="s">
        <v>12</v>
      </c>
      <c r="I38" s="14">
        <v>28</v>
      </c>
      <c r="J38" s="12">
        <v>7854.48</v>
      </c>
      <c r="K38" s="5">
        <v>0</v>
      </c>
      <c r="L38" s="5">
        <v>1099.9971999999998</v>
      </c>
      <c r="M38" s="5">
        <v>1099.9971999999998</v>
      </c>
      <c r="N38" s="5">
        <v>0</v>
      </c>
      <c r="O38" s="5" t="s">
        <v>646</v>
      </c>
      <c r="P38" s="5" t="s">
        <v>636</v>
      </c>
      <c r="Q38" s="5">
        <v>87089900</v>
      </c>
      <c r="R38" s="17" t="s">
        <v>22</v>
      </c>
      <c r="S38" s="5" t="s">
        <v>13</v>
      </c>
      <c r="T38" s="7">
        <v>0</v>
      </c>
      <c r="U38" s="7">
        <v>0</v>
      </c>
      <c r="V38" s="7">
        <f t="shared" si="0"/>
        <v>0</v>
      </c>
      <c r="W38" s="7">
        <v>54</v>
      </c>
    </row>
    <row r="39" spans="1:23" x14ac:dyDescent="0.3">
      <c r="A39" s="5" t="s">
        <v>187</v>
      </c>
      <c r="B39" s="5" t="s">
        <v>699</v>
      </c>
      <c r="C39" s="5">
        <v>967767678</v>
      </c>
      <c r="D39" s="303">
        <v>42927</v>
      </c>
      <c r="E39" s="7">
        <v>7338.32</v>
      </c>
      <c r="F39" s="5" t="s">
        <v>14</v>
      </c>
      <c r="G39" s="5" t="s">
        <v>11</v>
      </c>
      <c r="H39" s="5" t="s">
        <v>12</v>
      </c>
      <c r="I39" s="14">
        <v>28</v>
      </c>
      <c r="J39" s="12">
        <v>5732.32</v>
      </c>
      <c r="K39" s="5">
        <v>0</v>
      </c>
      <c r="L39" s="5">
        <v>803.00480000000005</v>
      </c>
      <c r="M39" s="5">
        <v>803.00480000000005</v>
      </c>
      <c r="N39" s="5">
        <v>0</v>
      </c>
      <c r="O39" s="5" t="s">
        <v>646</v>
      </c>
      <c r="P39" s="5" t="s">
        <v>636</v>
      </c>
      <c r="Q39" s="5">
        <v>87081090</v>
      </c>
      <c r="R39" s="17" t="s">
        <v>22</v>
      </c>
      <c r="S39" s="5" t="s">
        <v>13</v>
      </c>
      <c r="T39" s="7">
        <v>0</v>
      </c>
      <c r="U39" s="7">
        <v>0</v>
      </c>
      <c r="V39" s="7">
        <f t="shared" si="0"/>
        <v>0</v>
      </c>
      <c r="W39" s="7">
        <v>44</v>
      </c>
    </row>
    <row r="40" spans="1:23" x14ac:dyDescent="0.3">
      <c r="A40" s="5" t="s">
        <v>187</v>
      </c>
      <c r="B40" s="5" t="s">
        <v>699</v>
      </c>
      <c r="C40" s="5">
        <v>967767678</v>
      </c>
      <c r="D40" s="303">
        <v>42927</v>
      </c>
      <c r="E40" s="7">
        <v>5202.32</v>
      </c>
      <c r="F40" s="5" t="s">
        <v>14</v>
      </c>
      <c r="G40" s="5" t="s">
        <v>11</v>
      </c>
      <c r="H40" s="5" t="s">
        <v>12</v>
      </c>
      <c r="I40" s="14">
        <v>28</v>
      </c>
      <c r="J40" s="12">
        <v>4064.32</v>
      </c>
      <c r="K40" s="5">
        <v>0</v>
      </c>
      <c r="L40" s="5">
        <v>569.00480000000005</v>
      </c>
      <c r="M40" s="5">
        <v>569.00480000000005</v>
      </c>
      <c r="N40" s="5">
        <v>0</v>
      </c>
      <c r="O40" s="5" t="s">
        <v>646</v>
      </c>
      <c r="P40" s="5" t="s">
        <v>636</v>
      </c>
      <c r="Q40" s="5">
        <v>87082900</v>
      </c>
      <c r="R40" s="17" t="s">
        <v>22</v>
      </c>
      <c r="S40" s="5" t="s">
        <v>13</v>
      </c>
      <c r="T40" s="7">
        <v>0</v>
      </c>
      <c r="U40" s="7">
        <v>0</v>
      </c>
      <c r="V40" s="7">
        <f t="shared" si="0"/>
        <v>0</v>
      </c>
      <c r="W40" s="7">
        <v>26</v>
      </c>
    </row>
    <row r="41" spans="1:23" x14ac:dyDescent="0.3">
      <c r="A41" s="5" t="s">
        <v>282</v>
      </c>
      <c r="B41" s="5" t="s">
        <v>5</v>
      </c>
      <c r="C41" s="5">
        <v>2040996196</v>
      </c>
      <c r="D41" s="303">
        <v>42924</v>
      </c>
      <c r="E41" s="7">
        <v>6285.32</v>
      </c>
      <c r="F41" s="5" t="s">
        <v>14</v>
      </c>
      <c r="G41" s="5" t="s">
        <v>11</v>
      </c>
      <c r="H41" s="5" t="s">
        <v>12</v>
      </c>
      <c r="I41" s="14">
        <v>28</v>
      </c>
      <c r="J41" s="12">
        <v>4910.3999999999996</v>
      </c>
      <c r="K41" s="5">
        <v>0</v>
      </c>
      <c r="L41" s="5">
        <v>687.45600000000002</v>
      </c>
      <c r="M41" s="5">
        <v>687.45600000000002</v>
      </c>
      <c r="N41" s="5">
        <v>0</v>
      </c>
      <c r="O41" s="5" t="s">
        <v>646</v>
      </c>
      <c r="P41" s="5" t="s">
        <v>636</v>
      </c>
      <c r="Q41" s="5">
        <v>87141090</v>
      </c>
      <c r="R41" s="17" t="s">
        <v>22</v>
      </c>
      <c r="S41" s="5" t="s">
        <v>13</v>
      </c>
      <c r="T41" s="7">
        <v>0</v>
      </c>
      <c r="U41" s="7">
        <v>0</v>
      </c>
      <c r="V41" s="7">
        <f t="shared" si="0"/>
        <v>0</v>
      </c>
      <c r="W41" s="7">
        <v>96</v>
      </c>
    </row>
    <row r="42" spans="1:23" x14ac:dyDescent="0.3">
      <c r="A42" s="5" t="s">
        <v>282</v>
      </c>
      <c r="B42" s="5" t="s">
        <v>5</v>
      </c>
      <c r="C42" s="5">
        <v>2040996197</v>
      </c>
      <c r="D42" s="303">
        <v>42924</v>
      </c>
      <c r="E42" s="7">
        <v>5156.0600000000004</v>
      </c>
      <c r="F42" s="5" t="s">
        <v>14</v>
      </c>
      <c r="G42" s="5" t="s">
        <v>11</v>
      </c>
      <c r="H42" s="5" t="s">
        <v>12</v>
      </c>
      <c r="I42" s="14">
        <v>28</v>
      </c>
      <c r="J42" s="12">
        <v>4028.16</v>
      </c>
      <c r="K42" s="5">
        <v>0</v>
      </c>
      <c r="L42" s="5">
        <v>563.9523999999999</v>
      </c>
      <c r="M42" s="5">
        <v>563.9523999999999</v>
      </c>
      <c r="N42" s="5">
        <v>0</v>
      </c>
      <c r="O42" s="5" t="s">
        <v>646</v>
      </c>
      <c r="P42" s="5" t="s">
        <v>636</v>
      </c>
      <c r="Q42" s="5">
        <v>87141090</v>
      </c>
      <c r="R42" s="17" t="s">
        <v>22</v>
      </c>
      <c r="S42" s="5" t="s">
        <v>13</v>
      </c>
      <c r="T42" s="7">
        <v>0</v>
      </c>
      <c r="U42" s="7">
        <v>0</v>
      </c>
      <c r="V42" s="7">
        <f t="shared" si="0"/>
        <v>0</v>
      </c>
      <c r="W42" s="7">
        <v>96</v>
      </c>
    </row>
    <row r="43" spans="1:23" x14ac:dyDescent="0.3">
      <c r="A43" s="5" t="s">
        <v>282</v>
      </c>
      <c r="B43" s="5" t="s">
        <v>5</v>
      </c>
      <c r="C43" s="5">
        <v>2040996198</v>
      </c>
      <c r="D43" s="303">
        <v>42924</v>
      </c>
      <c r="E43" s="7">
        <v>13094.4</v>
      </c>
      <c r="F43" s="5" t="s">
        <v>14</v>
      </c>
      <c r="G43" s="5" t="s">
        <v>11</v>
      </c>
      <c r="H43" s="5" t="s">
        <v>12</v>
      </c>
      <c r="I43" s="14">
        <v>28</v>
      </c>
      <c r="J43" s="12">
        <v>10230</v>
      </c>
      <c r="K43" s="5">
        <v>0</v>
      </c>
      <c r="L43" s="5">
        <v>1432.2</v>
      </c>
      <c r="M43" s="5">
        <v>1432.2</v>
      </c>
      <c r="N43" s="5">
        <v>0</v>
      </c>
      <c r="O43" s="5" t="s">
        <v>646</v>
      </c>
      <c r="P43" s="5" t="s">
        <v>636</v>
      </c>
      <c r="Q43" s="5">
        <v>87141090</v>
      </c>
      <c r="R43" s="17" t="s">
        <v>22</v>
      </c>
      <c r="S43" s="5" t="s">
        <v>13</v>
      </c>
      <c r="T43" s="7">
        <v>0</v>
      </c>
      <c r="U43" s="7">
        <v>0</v>
      </c>
      <c r="V43" s="7">
        <f t="shared" si="0"/>
        <v>0</v>
      </c>
      <c r="W43" s="7">
        <v>200</v>
      </c>
    </row>
    <row r="44" spans="1:23" x14ac:dyDescent="0.3">
      <c r="A44" s="5" t="s">
        <v>282</v>
      </c>
      <c r="B44" s="5" t="s">
        <v>5</v>
      </c>
      <c r="C44" s="5">
        <v>2040996197</v>
      </c>
      <c r="D44" s="303">
        <v>42924</v>
      </c>
      <c r="E44" s="7">
        <v>10741.76</v>
      </c>
      <c r="F44" s="5" t="s">
        <v>14</v>
      </c>
      <c r="G44" s="5" t="s">
        <v>11</v>
      </c>
      <c r="H44" s="5" t="s">
        <v>12</v>
      </c>
      <c r="I44" s="14">
        <v>28</v>
      </c>
      <c r="J44" s="12">
        <v>8392</v>
      </c>
      <c r="K44" s="5">
        <v>0</v>
      </c>
      <c r="L44" s="5">
        <v>1174.8800000000001</v>
      </c>
      <c r="M44" s="5">
        <v>1174.8800000000001</v>
      </c>
      <c r="N44" s="5">
        <v>0</v>
      </c>
      <c r="O44" s="5" t="s">
        <v>646</v>
      </c>
      <c r="P44" s="5" t="s">
        <v>636</v>
      </c>
      <c r="Q44" s="5">
        <v>87141090</v>
      </c>
      <c r="R44" s="17" t="s">
        <v>22</v>
      </c>
      <c r="S44" s="5" t="s">
        <v>13</v>
      </c>
      <c r="T44" s="7">
        <v>0</v>
      </c>
      <c r="U44" s="7">
        <v>0</v>
      </c>
      <c r="V44" s="7">
        <f t="shared" si="0"/>
        <v>0</v>
      </c>
      <c r="W44" s="7">
        <v>200</v>
      </c>
    </row>
    <row r="45" spans="1:23" x14ac:dyDescent="0.3">
      <c r="A45" s="5" t="s">
        <v>253</v>
      </c>
      <c r="B45" s="5" t="s">
        <v>252</v>
      </c>
      <c r="C45" s="5">
        <v>1542</v>
      </c>
      <c r="D45" s="303">
        <v>42927</v>
      </c>
      <c r="E45" s="7">
        <v>43162</v>
      </c>
      <c r="F45" s="5" t="s">
        <v>14</v>
      </c>
      <c r="G45" s="5" t="s">
        <v>11</v>
      </c>
      <c r="H45" s="5" t="s">
        <v>12</v>
      </c>
      <c r="I45" s="14">
        <v>28</v>
      </c>
      <c r="J45" s="12">
        <v>33720</v>
      </c>
      <c r="K45" s="5">
        <v>0</v>
      </c>
      <c r="L45" s="5">
        <v>4720.8</v>
      </c>
      <c r="M45" s="5">
        <v>4720.8</v>
      </c>
      <c r="N45" s="5">
        <v>0</v>
      </c>
      <c r="O45" s="5" t="s">
        <v>646</v>
      </c>
      <c r="P45" s="5" t="s">
        <v>636</v>
      </c>
      <c r="Q45" s="5">
        <v>85129000</v>
      </c>
      <c r="R45" s="5" t="s">
        <v>254</v>
      </c>
      <c r="S45" s="5" t="s">
        <v>13</v>
      </c>
      <c r="T45" s="7">
        <v>0</v>
      </c>
      <c r="U45" s="7">
        <v>0</v>
      </c>
      <c r="V45" s="7">
        <f t="shared" si="0"/>
        <v>0</v>
      </c>
      <c r="W45" s="7">
        <v>1200</v>
      </c>
    </row>
    <row r="46" spans="1:23" x14ac:dyDescent="0.3">
      <c r="A46" s="5" t="s">
        <v>284</v>
      </c>
      <c r="B46" s="5" t="s">
        <v>283</v>
      </c>
      <c r="C46" s="5">
        <v>2214</v>
      </c>
      <c r="D46" s="303">
        <v>42922</v>
      </c>
      <c r="E46" s="7">
        <v>7363.2</v>
      </c>
      <c r="F46" s="5" t="s">
        <v>14</v>
      </c>
      <c r="G46" s="5" t="s">
        <v>11</v>
      </c>
      <c r="H46" s="5" t="s">
        <v>12</v>
      </c>
      <c r="I46" s="14">
        <v>18</v>
      </c>
      <c r="J46" s="12">
        <v>6240</v>
      </c>
      <c r="K46" s="5">
        <v>0</v>
      </c>
      <c r="L46" s="5">
        <v>561.6</v>
      </c>
      <c r="M46" s="5">
        <v>561.6</v>
      </c>
      <c r="N46" s="5">
        <v>0</v>
      </c>
      <c r="O46" s="5" t="s">
        <v>646</v>
      </c>
      <c r="P46" s="5" t="s">
        <v>636</v>
      </c>
      <c r="Q46" s="5">
        <v>40151100</v>
      </c>
      <c r="R46" s="17" t="s">
        <v>285</v>
      </c>
      <c r="S46" s="5" t="s">
        <v>13</v>
      </c>
      <c r="T46" s="7">
        <v>0</v>
      </c>
      <c r="U46" s="7">
        <v>0</v>
      </c>
      <c r="V46" s="7">
        <f t="shared" si="0"/>
        <v>0</v>
      </c>
      <c r="W46" s="7">
        <v>2400</v>
      </c>
    </row>
    <row r="47" spans="1:23" x14ac:dyDescent="0.3">
      <c r="A47" s="5" t="s">
        <v>284</v>
      </c>
      <c r="B47" s="5" t="s">
        <v>283</v>
      </c>
      <c r="C47" s="5">
        <v>2214</v>
      </c>
      <c r="D47" s="303">
        <v>42922</v>
      </c>
      <c r="E47" s="7">
        <v>236</v>
      </c>
      <c r="F47" s="5" t="s">
        <v>14</v>
      </c>
      <c r="G47" s="5" t="s">
        <v>11</v>
      </c>
      <c r="H47" s="5" t="s">
        <v>12</v>
      </c>
      <c r="I47" s="14">
        <v>18</v>
      </c>
      <c r="J47" s="12">
        <v>200</v>
      </c>
      <c r="K47" s="5">
        <v>0</v>
      </c>
      <c r="L47" s="5">
        <v>18</v>
      </c>
      <c r="M47" s="5">
        <v>18</v>
      </c>
      <c r="N47" s="5">
        <v>0</v>
      </c>
      <c r="O47" s="5" t="s">
        <v>646</v>
      </c>
      <c r="P47" s="5" t="s">
        <v>636</v>
      </c>
      <c r="Q47" s="5">
        <v>96031000</v>
      </c>
      <c r="R47" s="17" t="s">
        <v>286</v>
      </c>
      <c r="S47" s="5" t="s">
        <v>13</v>
      </c>
      <c r="T47" s="7">
        <v>0</v>
      </c>
      <c r="U47" s="7">
        <v>0</v>
      </c>
      <c r="V47" s="7">
        <f t="shared" si="0"/>
        <v>0</v>
      </c>
      <c r="W47" s="7">
        <v>10</v>
      </c>
    </row>
    <row r="48" spans="1:23" x14ac:dyDescent="0.3">
      <c r="A48" s="5" t="s">
        <v>284</v>
      </c>
      <c r="B48" s="5" t="s">
        <v>283</v>
      </c>
      <c r="C48" s="5">
        <v>2215</v>
      </c>
      <c r="D48" s="303">
        <v>42922</v>
      </c>
      <c r="E48" s="7">
        <v>2301</v>
      </c>
      <c r="F48" s="5" t="s">
        <v>14</v>
      </c>
      <c r="G48" s="5" t="s">
        <v>11</v>
      </c>
      <c r="H48" s="5" t="s">
        <v>12</v>
      </c>
      <c r="I48" s="14">
        <v>18</v>
      </c>
      <c r="J48" s="12">
        <v>1950</v>
      </c>
      <c r="K48" s="5">
        <v>0</v>
      </c>
      <c r="L48" s="5">
        <v>175.5</v>
      </c>
      <c r="M48" s="5">
        <v>175.5</v>
      </c>
      <c r="N48" s="5">
        <v>0</v>
      </c>
      <c r="O48" s="5" t="s">
        <v>646</v>
      </c>
      <c r="P48" s="5" t="s">
        <v>636</v>
      </c>
      <c r="Q48" s="5">
        <v>59114000</v>
      </c>
      <c r="R48" s="17" t="s">
        <v>287</v>
      </c>
      <c r="S48" s="5" t="s">
        <v>13</v>
      </c>
      <c r="T48" s="7">
        <v>0</v>
      </c>
      <c r="U48" s="7">
        <v>0</v>
      </c>
      <c r="V48" s="7">
        <f t="shared" si="0"/>
        <v>0</v>
      </c>
      <c r="W48" s="7">
        <v>150</v>
      </c>
    </row>
    <row r="49" spans="1:23" x14ac:dyDescent="0.3">
      <c r="A49" s="5" t="s">
        <v>284</v>
      </c>
      <c r="B49" s="5" t="s">
        <v>283</v>
      </c>
      <c r="C49" s="5">
        <v>2217</v>
      </c>
      <c r="D49" s="303">
        <v>42922</v>
      </c>
      <c r="E49" s="7">
        <v>1260</v>
      </c>
      <c r="F49" s="5" t="s">
        <v>14</v>
      </c>
      <c r="G49" s="5" t="s">
        <v>11</v>
      </c>
      <c r="H49" s="5" t="s">
        <v>12</v>
      </c>
      <c r="I49" s="14">
        <v>5</v>
      </c>
      <c r="J49" s="12">
        <v>1200</v>
      </c>
      <c r="K49" s="5">
        <v>0</v>
      </c>
      <c r="L49" s="5">
        <v>30</v>
      </c>
      <c r="M49" s="5">
        <v>30</v>
      </c>
      <c r="N49" s="5">
        <v>0</v>
      </c>
      <c r="O49" s="5" t="s">
        <v>646</v>
      </c>
      <c r="P49" s="5" t="s">
        <v>636</v>
      </c>
      <c r="Q49" s="5">
        <v>61169200</v>
      </c>
      <c r="R49" s="17" t="s">
        <v>288</v>
      </c>
      <c r="S49" s="5" t="s">
        <v>13</v>
      </c>
      <c r="T49" s="7">
        <v>0</v>
      </c>
      <c r="U49" s="7">
        <v>0</v>
      </c>
      <c r="V49" s="7">
        <f t="shared" si="0"/>
        <v>0</v>
      </c>
      <c r="W49" s="7">
        <v>100</v>
      </c>
    </row>
    <row r="50" spans="1:23" x14ac:dyDescent="0.3">
      <c r="A50" s="5" t="s">
        <v>284</v>
      </c>
      <c r="B50" s="5" t="s">
        <v>283</v>
      </c>
      <c r="C50" s="5">
        <v>2217</v>
      </c>
      <c r="D50" s="303">
        <v>42922</v>
      </c>
      <c r="E50" s="7">
        <v>1732.5</v>
      </c>
      <c r="F50" s="5" t="s">
        <v>14</v>
      </c>
      <c r="G50" s="5" t="s">
        <v>11</v>
      </c>
      <c r="H50" s="5" t="s">
        <v>12</v>
      </c>
      <c r="I50" s="14">
        <v>5</v>
      </c>
      <c r="J50" s="12">
        <v>1650</v>
      </c>
      <c r="K50" s="5">
        <v>0</v>
      </c>
      <c r="L50" s="5">
        <v>41.25</v>
      </c>
      <c r="M50" s="5">
        <v>41.25</v>
      </c>
      <c r="N50" s="5">
        <v>0</v>
      </c>
      <c r="O50" s="5" t="s">
        <v>646</v>
      </c>
      <c r="P50" s="5" t="s">
        <v>636</v>
      </c>
      <c r="Q50" s="5">
        <v>60060000</v>
      </c>
      <c r="R50" s="17" t="s">
        <v>289</v>
      </c>
      <c r="S50" s="5" t="s">
        <v>290</v>
      </c>
      <c r="T50" s="7">
        <v>0</v>
      </c>
      <c r="U50" s="7">
        <v>0</v>
      </c>
      <c r="V50" s="7">
        <f t="shared" si="0"/>
        <v>0</v>
      </c>
      <c r="W50" s="7">
        <v>50</v>
      </c>
    </row>
    <row r="51" spans="1:23" x14ac:dyDescent="0.3">
      <c r="A51" s="5" t="s">
        <v>284</v>
      </c>
      <c r="B51" s="5" t="s">
        <v>283</v>
      </c>
      <c r="C51" s="5">
        <v>2217</v>
      </c>
      <c r="D51" s="303">
        <v>42922</v>
      </c>
      <c r="E51" s="7">
        <v>14175</v>
      </c>
      <c r="F51" s="5" t="s">
        <v>14</v>
      </c>
      <c r="G51" s="5" t="s">
        <v>11</v>
      </c>
      <c r="H51" s="5" t="s">
        <v>12</v>
      </c>
      <c r="I51" s="14">
        <v>5</v>
      </c>
      <c r="J51" s="12">
        <v>13500</v>
      </c>
      <c r="K51" s="5">
        <v>0</v>
      </c>
      <c r="L51" s="5">
        <v>337.5</v>
      </c>
      <c r="M51" s="5">
        <v>337.5</v>
      </c>
      <c r="N51" s="5">
        <v>0</v>
      </c>
      <c r="O51" s="5" t="s">
        <v>646</v>
      </c>
      <c r="P51" s="5" t="s">
        <v>636</v>
      </c>
      <c r="Q51" s="5">
        <v>5407</v>
      </c>
      <c r="R51" s="17" t="s">
        <v>291</v>
      </c>
      <c r="S51" s="5" t="s">
        <v>290</v>
      </c>
      <c r="T51" s="7">
        <v>0</v>
      </c>
      <c r="U51" s="7">
        <v>0</v>
      </c>
      <c r="V51" s="7">
        <f t="shared" si="0"/>
        <v>0</v>
      </c>
      <c r="W51" s="7">
        <v>50</v>
      </c>
    </row>
    <row r="52" spans="1:23" x14ac:dyDescent="0.3">
      <c r="A52" s="5" t="s">
        <v>284</v>
      </c>
      <c r="B52" s="5" t="s">
        <v>283</v>
      </c>
      <c r="C52" s="5">
        <v>2219</v>
      </c>
      <c r="D52" s="303">
        <v>42922</v>
      </c>
      <c r="E52" s="7">
        <v>442.5</v>
      </c>
      <c r="F52" s="5" t="s">
        <v>14</v>
      </c>
      <c r="G52" s="5" t="s">
        <v>11</v>
      </c>
      <c r="H52" s="5" t="s">
        <v>12</v>
      </c>
      <c r="I52" s="14">
        <v>18</v>
      </c>
      <c r="J52" s="12">
        <v>375</v>
      </c>
      <c r="K52" s="5">
        <v>0</v>
      </c>
      <c r="L52" s="5">
        <v>33.75</v>
      </c>
      <c r="M52" s="5">
        <v>33.75</v>
      </c>
      <c r="N52" s="5">
        <v>0</v>
      </c>
      <c r="O52" s="5" t="s">
        <v>646</v>
      </c>
      <c r="P52" s="5" t="s">
        <v>636</v>
      </c>
      <c r="Q52" s="5">
        <v>96082000</v>
      </c>
      <c r="R52" s="17" t="s">
        <v>292</v>
      </c>
      <c r="S52" s="5" t="s">
        <v>13</v>
      </c>
      <c r="T52" s="7">
        <v>0</v>
      </c>
      <c r="U52" s="7">
        <v>0</v>
      </c>
      <c r="V52" s="7">
        <f t="shared" si="0"/>
        <v>0</v>
      </c>
      <c r="W52" s="7">
        <v>100</v>
      </c>
    </row>
    <row r="53" spans="1:23" x14ac:dyDescent="0.3">
      <c r="A53" s="5" t="s">
        <v>284</v>
      </c>
      <c r="B53" s="5" t="s">
        <v>283</v>
      </c>
      <c r="C53" s="5">
        <v>2219</v>
      </c>
      <c r="D53" s="303">
        <v>42922</v>
      </c>
      <c r="E53" s="7">
        <v>679.68</v>
      </c>
      <c r="F53" s="5" t="s">
        <v>14</v>
      </c>
      <c r="G53" s="5" t="s">
        <v>11</v>
      </c>
      <c r="H53" s="5" t="s">
        <v>12</v>
      </c>
      <c r="I53" s="14">
        <v>18</v>
      </c>
      <c r="J53" s="12">
        <v>576</v>
      </c>
      <c r="K53" s="5">
        <v>0</v>
      </c>
      <c r="L53" s="5">
        <v>51.839999999999996</v>
      </c>
      <c r="M53" s="5">
        <v>51.839999999999996</v>
      </c>
      <c r="N53" s="5">
        <v>0</v>
      </c>
      <c r="O53" s="5" t="s">
        <v>646</v>
      </c>
      <c r="P53" s="5" t="s">
        <v>636</v>
      </c>
      <c r="Q53" s="5">
        <v>40151900</v>
      </c>
      <c r="R53" s="17" t="s">
        <v>293</v>
      </c>
      <c r="S53" s="5" t="s">
        <v>294</v>
      </c>
      <c r="T53" s="7">
        <v>0</v>
      </c>
      <c r="U53" s="7">
        <v>0</v>
      </c>
      <c r="V53" s="7">
        <f t="shared" si="0"/>
        <v>0</v>
      </c>
      <c r="W53" s="7">
        <v>12</v>
      </c>
    </row>
    <row r="54" spans="1:23" x14ac:dyDescent="0.3">
      <c r="A54" s="5" t="s">
        <v>284</v>
      </c>
      <c r="B54" s="5" t="s">
        <v>283</v>
      </c>
      <c r="C54" s="5">
        <v>2219</v>
      </c>
      <c r="D54" s="303">
        <v>42922</v>
      </c>
      <c r="E54" s="7">
        <v>283.2</v>
      </c>
      <c r="F54" s="5" t="s">
        <v>14</v>
      </c>
      <c r="G54" s="5" t="s">
        <v>11</v>
      </c>
      <c r="H54" s="5" t="s">
        <v>12</v>
      </c>
      <c r="I54" s="14">
        <v>18</v>
      </c>
      <c r="J54" s="12">
        <v>240</v>
      </c>
      <c r="K54" s="5">
        <v>0</v>
      </c>
      <c r="L54" s="5">
        <v>21.599999999999998</v>
      </c>
      <c r="M54" s="5">
        <v>21.599999999999998</v>
      </c>
      <c r="N54" s="5">
        <v>0</v>
      </c>
      <c r="O54" s="5" t="s">
        <v>646</v>
      </c>
      <c r="P54" s="5" t="s">
        <v>636</v>
      </c>
      <c r="Q54" s="5">
        <v>40159030</v>
      </c>
      <c r="R54" s="17" t="s">
        <v>295</v>
      </c>
      <c r="S54" s="5" t="s">
        <v>296</v>
      </c>
      <c r="T54" s="7">
        <v>0</v>
      </c>
      <c r="U54" s="7">
        <v>0</v>
      </c>
      <c r="V54" s="7">
        <f t="shared" si="0"/>
        <v>0</v>
      </c>
      <c r="W54" s="7">
        <v>12</v>
      </c>
    </row>
    <row r="55" spans="1:23" x14ac:dyDescent="0.3">
      <c r="A55" s="5" t="s">
        <v>284</v>
      </c>
      <c r="B55" s="5" t="s">
        <v>283</v>
      </c>
      <c r="C55" s="5">
        <v>2236</v>
      </c>
      <c r="D55" s="303">
        <v>42923</v>
      </c>
      <c r="E55" s="7">
        <v>474.36</v>
      </c>
      <c r="F55" s="5" t="s">
        <v>14</v>
      </c>
      <c r="G55" s="5" t="s">
        <v>11</v>
      </c>
      <c r="H55" s="5" t="s">
        <v>12</v>
      </c>
      <c r="I55" s="14">
        <v>18</v>
      </c>
      <c r="J55" s="12">
        <v>402</v>
      </c>
      <c r="K55" s="5">
        <v>0</v>
      </c>
      <c r="L55" s="5">
        <v>36.179999999999993</v>
      </c>
      <c r="M55" s="5">
        <v>36.179999999999993</v>
      </c>
      <c r="N55" s="5">
        <v>0</v>
      </c>
      <c r="O55" s="5" t="s">
        <v>646</v>
      </c>
      <c r="P55" s="5" t="s">
        <v>636</v>
      </c>
      <c r="Q55" s="5">
        <v>85061000</v>
      </c>
      <c r="R55" s="17" t="s">
        <v>297</v>
      </c>
      <c r="S55" s="5" t="s">
        <v>13</v>
      </c>
      <c r="T55" s="7">
        <v>0</v>
      </c>
      <c r="U55" s="7">
        <v>0</v>
      </c>
      <c r="V55" s="7">
        <f t="shared" si="0"/>
        <v>0</v>
      </c>
      <c r="W55" s="7">
        <v>12</v>
      </c>
    </row>
    <row r="56" spans="1:23" x14ac:dyDescent="0.3">
      <c r="A56" s="5" t="s">
        <v>284</v>
      </c>
      <c r="B56" s="5" t="s">
        <v>283</v>
      </c>
      <c r="C56" s="5">
        <v>2236</v>
      </c>
      <c r="D56" s="303">
        <v>42923</v>
      </c>
      <c r="E56" s="7">
        <v>637.20000000000005</v>
      </c>
      <c r="F56" s="5" t="s">
        <v>14</v>
      </c>
      <c r="G56" s="5" t="s">
        <v>11</v>
      </c>
      <c r="H56" s="5" t="s">
        <v>12</v>
      </c>
      <c r="I56" s="14">
        <v>18</v>
      </c>
      <c r="J56" s="12">
        <v>540</v>
      </c>
      <c r="K56" s="5">
        <v>0</v>
      </c>
      <c r="L56" s="5">
        <v>48.6</v>
      </c>
      <c r="M56" s="5">
        <v>48.6</v>
      </c>
      <c r="N56" s="5">
        <v>0</v>
      </c>
      <c r="O56" s="5" t="s">
        <v>646</v>
      </c>
      <c r="P56" s="5" t="s">
        <v>636</v>
      </c>
      <c r="Q56" s="5">
        <v>38089199</v>
      </c>
      <c r="R56" s="17" t="s">
        <v>298</v>
      </c>
      <c r="S56" s="5" t="s">
        <v>13</v>
      </c>
      <c r="T56" s="7">
        <v>0</v>
      </c>
      <c r="U56" s="7">
        <v>0</v>
      </c>
      <c r="V56" s="7">
        <f t="shared" si="0"/>
        <v>0</v>
      </c>
      <c r="W56" s="7">
        <v>10</v>
      </c>
    </row>
    <row r="57" spans="1:23" x14ac:dyDescent="0.3">
      <c r="A57" s="5" t="s">
        <v>284</v>
      </c>
      <c r="B57" s="5" t="s">
        <v>283</v>
      </c>
      <c r="C57" s="5">
        <v>2313</v>
      </c>
      <c r="D57" s="303">
        <v>42927</v>
      </c>
      <c r="E57" s="7">
        <v>1732.5</v>
      </c>
      <c r="F57" s="5" t="s">
        <v>14</v>
      </c>
      <c r="G57" s="5" t="s">
        <v>11</v>
      </c>
      <c r="H57" s="5" t="s">
        <v>12</v>
      </c>
      <c r="I57" s="14">
        <v>5</v>
      </c>
      <c r="J57" s="12">
        <v>1650</v>
      </c>
      <c r="K57" s="5">
        <v>0</v>
      </c>
      <c r="L57" s="5">
        <v>41.25</v>
      </c>
      <c r="M57" s="5">
        <v>41.25</v>
      </c>
      <c r="N57" s="5">
        <v>0</v>
      </c>
      <c r="O57" s="5" t="s">
        <v>646</v>
      </c>
      <c r="P57" s="5" t="s">
        <v>636</v>
      </c>
      <c r="Q57" s="5">
        <v>60060000</v>
      </c>
      <c r="R57" s="17" t="s">
        <v>289</v>
      </c>
      <c r="S57" s="5" t="s">
        <v>290</v>
      </c>
      <c r="T57" s="7">
        <v>0</v>
      </c>
      <c r="U57" s="7">
        <v>0</v>
      </c>
      <c r="V57" s="7">
        <f t="shared" si="0"/>
        <v>0</v>
      </c>
      <c r="W57" s="7">
        <v>50</v>
      </c>
    </row>
    <row r="58" spans="1:23" x14ac:dyDescent="0.3">
      <c r="A58" s="5" t="s">
        <v>284</v>
      </c>
      <c r="B58" s="5" t="s">
        <v>283</v>
      </c>
      <c r="C58" s="5">
        <v>2315</v>
      </c>
      <c r="D58" s="303">
        <v>42927</v>
      </c>
      <c r="E58" s="7">
        <v>3097.5</v>
      </c>
      <c r="F58" s="5" t="s">
        <v>14</v>
      </c>
      <c r="G58" s="5" t="s">
        <v>11</v>
      </c>
      <c r="H58" s="5" t="s">
        <v>12</v>
      </c>
      <c r="I58" s="14">
        <v>18</v>
      </c>
      <c r="J58" s="12">
        <v>2625</v>
      </c>
      <c r="K58" s="5">
        <v>0</v>
      </c>
      <c r="L58" s="5">
        <v>236.25</v>
      </c>
      <c r="M58" s="5">
        <v>236.25</v>
      </c>
      <c r="N58" s="5">
        <v>0</v>
      </c>
      <c r="O58" s="5" t="s">
        <v>646</v>
      </c>
      <c r="P58" s="5" t="s">
        <v>636</v>
      </c>
      <c r="Q58" s="5">
        <v>68053050</v>
      </c>
      <c r="R58" s="17" t="s">
        <v>299</v>
      </c>
      <c r="S58" s="5" t="s">
        <v>13</v>
      </c>
      <c r="T58" s="7">
        <v>0</v>
      </c>
      <c r="U58" s="7">
        <v>0</v>
      </c>
      <c r="V58" s="7">
        <f t="shared" si="0"/>
        <v>0</v>
      </c>
      <c r="W58" s="7">
        <v>105</v>
      </c>
    </row>
    <row r="59" spans="1:23" x14ac:dyDescent="0.3">
      <c r="A59" s="5" t="s">
        <v>284</v>
      </c>
      <c r="B59" s="5" t="s">
        <v>283</v>
      </c>
      <c r="C59" s="5">
        <v>2315</v>
      </c>
      <c r="D59" s="303">
        <v>42927</v>
      </c>
      <c r="E59" s="7">
        <v>283.2</v>
      </c>
      <c r="F59" s="5" t="s">
        <v>14</v>
      </c>
      <c r="G59" s="5" t="s">
        <v>11</v>
      </c>
      <c r="H59" s="5" t="s">
        <v>12</v>
      </c>
      <c r="I59" s="14">
        <v>18</v>
      </c>
      <c r="J59" s="12">
        <v>240</v>
      </c>
      <c r="K59" s="5">
        <v>0</v>
      </c>
      <c r="L59" s="5">
        <v>21.599999999999998</v>
      </c>
      <c r="M59" s="5">
        <v>21.599999999999998</v>
      </c>
      <c r="N59" s="5">
        <v>0</v>
      </c>
      <c r="O59" s="5" t="s">
        <v>646</v>
      </c>
      <c r="P59" s="5" t="s">
        <v>636</v>
      </c>
      <c r="Q59" s="5">
        <v>28530010</v>
      </c>
      <c r="R59" s="17" t="s">
        <v>300</v>
      </c>
      <c r="S59" s="5" t="s">
        <v>249</v>
      </c>
      <c r="T59" s="7">
        <v>0</v>
      </c>
      <c r="U59" s="7">
        <v>0</v>
      </c>
      <c r="V59" s="7">
        <f t="shared" si="0"/>
        <v>0</v>
      </c>
      <c r="W59" s="7">
        <v>20</v>
      </c>
    </row>
    <row r="60" spans="1:23" x14ac:dyDescent="0.3">
      <c r="A60" s="5" t="s">
        <v>284</v>
      </c>
      <c r="B60" s="5" t="s">
        <v>283</v>
      </c>
      <c r="C60" s="5">
        <v>2315</v>
      </c>
      <c r="D60" s="303">
        <v>42927</v>
      </c>
      <c r="E60" s="7">
        <v>56.64</v>
      </c>
      <c r="F60" s="5" t="s">
        <v>14</v>
      </c>
      <c r="G60" s="5" t="s">
        <v>11</v>
      </c>
      <c r="H60" s="5" t="s">
        <v>12</v>
      </c>
      <c r="I60" s="14">
        <v>18</v>
      </c>
      <c r="J60" s="12">
        <v>48</v>
      </c>
      <c r="K60" s="5">
        <v>0</v>
      </c>
      <c r="L60" s="5">
        <v>4.32</v>
      </c>
      <c r="M60" s="5">
        <v>4.32</v>
      </c>
      <c r="N60" s="5">
        <v>0</v>
      </c>
      <c r="O60" s="5" t="s">
        <v>646</v>
      </c>
      <c r="P60" s="5" t="s">
        <v>636</v>
      </c>
      <c r="Q60" s="5">
        <v>82055990</v>
      </c>
      <c r="R60" s="17" t="s">
        <v>301</v>
      </c>
      <c r="S60" s="5" t="s">
        <v>13</v>
      </c>
      <c r="T60" s="7">
        <v>0</v>
      </c>
      <c r="U60" s="7">
        <v>0</v>
      </c>
      <c r="V60" s="7">
        <f t="shared" si="0"/>
        <v>0</v>
      </c>
      <c r="W60" s="7">
        <v>12</v>
      </c>
    </row>
    <row r="61" spans="1:23" x14ac:dyDescent="0.3">
      <c r="A61" s="5" t="s">
        <v>303</v>
      </c>
      <c r="B61" s="5" t="s">
        <v>302</v>
      </c>
      <c r="C61" s="5">
        <v>24</v>
      </c>
      <c r="D61" s="303">
        <v>42927</v>
      </c>
      <c r="E61" s="7">
        <v>12980</v>
      </c>
      <c r="F61" s="5" t="s">
        <v>14</v>
      </c>
      <c r="G61" s="5" t="s">
        <v>11</v>
      </c>
      <c r="H61" s="5" t="s">
        <v>12</v>
      </c>
      <c r="I61" s="14">
        <v>18</v>
      </c>
      <c r="J61" s="12">
        <v>11000</v>
      </c>
      <c r="K61" s="5">
        <v>0</v>
      </c>
      <c r="L61" s="5">
        <v>990</v>
      </c>
      <c r="M61" s="5">
        <v>990</v>
      </c>
      <c r="N61" s="5">
        <v>0</v>
      </c>
      <c r="O61" s="5" t="s">
        <v>646</v>
      </c>
      <c r="P61" s="5" t="s">
        <v>636</v>
      </c>
      <c r="Q61" s="5">
        <v>39232100</v>
      </c>
      <c r="R61" s="17" t="s">
        <v>246</v>
      </c>
      <c r="S61" s="5" t="s">
        <v>13</v>
      </c>
      <c r="T61" s="7">
        <v>0</v>
      </c>
      <c r="U61" s="7">
        <v>0</v>
      </c>
      <c r="V61" s="7">
        <f t="shared" si="0"/>
        <v>0</v>
      </c>
      <c r="W61" s="7">
        <v>20</v>
      </c>
    </row>
    <row r="62" spans="1:23" x14ac:dyDescent="0.3">
      <c r="A62" s="5" t="s">
        <v>284</v>
      </c>
      <c r="B62" s="5" t="s">
        <v>283</v>
      </c>
      <c r="C62" s="5">
        <v>2314</v>
      </c>
      <c r="D62" s="303">
        <v>42927</v>
      </c>
      <c r="E62" s="7">
        <v>6117.12</v>
      </c>
      <c r="F62" s="5" t="s">
        <v>14</v>
      </c>
      <c r="G62" s="5" t="s">
        <v>11</v>
      </c>
      <c r="H62" s="5" t="s">
        <v>12</v>
      </c>
      <c r="I62" s="14">
        <v>18</v>
      </c>
      <c r="J62" s="12">
        <v>5184</v>
      </c>
      <c r="K62" s="5">
        <v>0</v>
      </c>
      <c r="L62" s="5">
        <v>466.56000000000006</v>
      </c>
      <c r="M62" s="5">
        <v>466.56000000000006</v>
      </c>
      <c r="N62" s="5">
        <v>0</v>
      </c>
      <c r="O62" s="5" t="s">
        <v>646</v>
      </c>
      <c r="P62" s="5" t="s">
        <v>636</v>
      </c>
      <c r="Q62" s="5">
        <v>48114100</v>
      </c>
      <c r="R62" s="17" t="s">
        <v>246</v>
      </c>
      <c r="S62" s="5" t="s">
        <v>13</v>
      </c>
      <c r="T62" s="7">
        <v>0</v>
      </c>
      <c r="U62" s="7">
        <v>0</v>
      </c>
      <c r="V62" s="7">
        <f t="shared" si="0"/>
        <v>0</v>
      </c>
      <c r="W62" s="7">
        <v>144</v>
      </c>
    </row>
    <row r="63" spans="1:23" x14ac:dyDescent="0.3">
      <c r="A63" s="5" t="s">
        <v>284</v>
      </c>
      <c r="B63" s="5" t="s">
        <v>283</v>
      </c>
      <c r="C63" s="5">
        <v>2314</v>
      </c>
      <c r="D63" s="303">
        <v>42927</v>
      </c>
      <c r="E63" s="7">
        <v>1699.2</v>
      </c>
      <c r="F63" s="5" t="s">
        <v>14</v>
      </c>
      <c r="G63" s="5" t="s">
        <v>11</v>
      </c>
      <c r="H63" s="5" t="s">
        <v>12</v>
      </c>
      <c r="I63" s="14">
        <v>18</v>
      </c>
      <c r="J63" s="12">
        <v>1440</v>
      </c>
      <c r="K63" s="5">
        <v>0</v>
      </c>
      <c r="L63" s="5">
        <v>129.6</v>
      </c>
      <c r="M63" s="5">
        <v>129.6</v>
      </c>
      <c r="N63" s="5">
        <v>0</v>
      </c>
      <c r="O63" s="5" t="s">
        <v>646</v>
      </c>
      <c r="P63" s="5" t="s">
        <v>636</v>
      </c>
      <c r="Q63" s="5">
        <v>39199099</v>
      </c>
      <c r="R63" s="17" t="s">
        <v>304</v>
      </c>
      <c r="S63" s="5" t="s">
        <v>13</v>
      </c>
      <c r="T63" s="7">
        <v>0</v>
      </c>
      <c r="U63" s="7">
        <v>0</v>
      </c>
      <c r="V63" s="7">
        <f t="shared" si="0"/>
        <v>0</v>
      </c>
      <c r="W63" s="7">
        <v>72</v>
      </c>
    </row>
    <row r="64" spans="1:23" x14ac:dyDescent="0.3">
      <c r="A64" s="5" t="s">
        <v>284</v>
      </c>
      <c r="B64" s="5" t="s">
        <v>283</v>
      </c>
      <c r="C64" s="5">
        <v>2314</v>
      </c>
      <c r="D64" s="303">
        <v>42927</v>
      </c>
      <c r="E64" s="7">
        <v>467.28</v>
      </c>
      <c r="F64" s="5" t="s">
        <v>14</v>
      </c>
      <c r="G64" s="5" t="s">
        <v>11</v>
      </c>
      <c r="H64" s="5" t="s">
        <v>12</v>
      </c>
      <c r="I64" s="14">
        <v>18</v>
      </c>
      <c r="J64" s="12">
        <v>396</v>
      </c>
      <c r="K64" s="5">
        <v>0</v>
      </c>
      <c r="L64" s="5">
        <v>35.64</v>
      </c>
      <c r="M64" s="5">
        <v>35.64</v>
      </c>
      <c r="N64" s="5">
        <v>0</v>
      </c>
      <c r="O64" s="5" t="s">
        <v>646</v>
      </c>
      <c r="P64" s="5" t="s">
        <v>636</v>
      </c>
      <c r="Q64" s="5">
        <v>84411090</v>
      </c>
      <c r="R64" s="17" t="s">
        <v>305</v>
      </c>
      <c r="S64" s="5" t="s">
        <v>13</v>
      </c>
      <c r="T64" s="7">
        <v>0</v>
      </c>
      <c r="U64" s="7">
        <v>0</v>
      </c>
      <c r="V64" s="7">
        <f t="shared" si="0"/>
        <v>0</v>
      </c>
      <c r="W64" s="7">
        <v>144</v>
      </c>
    </row>
    <row r="65" spans="1:23" x14ac:dyDescent="0.3">
      <c r="A65" s="5" t="s">
        <v>284</v>
      </c>
      <c r="B65" s="5" t="s">
        <v>283</v>
      </c>
      <c r="C65" s="5">
        <v>2314</v>
      </c>
      <c r="D65" s="303">
        <v>42927</v>
      </c>
      <c r="E65" s="7">
        <v>377.6</v>
      </c>
      <c r="F65" s="5" t="s">
        <v>14</v>
      </c>
      <c r="G65" s="5" t="s">
        <v>11</v>
      </c>
      <c r="H65" s="5" t="s">
        <v>12</v>
      </c>
      <c r="I65" s="14">
        <v>18</v>
      </c>
      <c r="J65" s="12">
        <v>320</v>
      </c>
      <c r="K65" s="5">
        <v>0</v>
      </c>
      <c r="L65" s="5">
        <v>28.8</v>
      </c>
      <c r="M65" s="5">
        <v>28.8</v>
      </c>
      <c r="N65" s="5">
        <v>0</v>
      </c>
      <c r="O65" s="5" t="s">
        <v>646</v>
      </c>
      <c r="P65" s="5" t="s">
        <v>636</v>
      </c>
      <c r="Q65" s="5">
        <v>84701000</v>
      </c>
      <c r="R65" s="17" t="s">
        <v>306</v>
      </c>
      <c r="S65" s="5" t="s">
        <v>13</v>
      </c>
      <c r="T65" s="7">
        <v>0</v>
      </c>
      <c r="U65" s="7">
        <v>0</v>
      </c>
      <c r="V65" s="7">
        <f t="shared" si="0"/>
        <v>0</v>
      </c>
      <c r="W65" s="7">
        <v>1</v>
      </c>
    </row>
    <row r="66" spans="1:23" x14ac:dyDescent="0.3">
      <c r="A66" s="5" t="s">
        <v>261</v>
      </c>
      <c r="B66" s="5" t="s">
        <v>260</v>
      </c>
      <c r="C66" s="5">
        <v>9503</v>
      </c>
      <c r="D66" s="303">
        <v>42928</v>
      </c>
      <c r="E66" s="7">
        <v>154364.4</v>
      </c>
      <c r="F66" s="5" t="s">
        <v>14</v>
      </c>
      <c r="G66" s="5" t="s">
        <v>11</v>
      </c>
      <c r="H66" s="5" t="s">
        <v>12</v>
      </c>
      <c r="I66" s="14">
        <v>28</v>
      </c>
      <c r="J66" s="12">
        <v>120785.2</v>
      </c>
      <c r="K66" s="5">
        <v>0</v>
      </c>
      <c r="L66" s="5">
        <v>16909.998</v>
      </c>
      <c r="M66" s="5">
        <v>16909.998</v>
      </c>
      <c r="N66" s="5">
        <v>0</v>
      </c>
      <c r="O66" s="5" t="s">
        <v>646</v>
      </c>
      <c r="P66" s="5" t="s">
        <v>636</v>
      </c>
      <c r="Q66" s="5">
        <v>87141900</v>
      </c>
      <c r="R66" s="17" t="s">
        <v>22</v>
      </c>
      <c r="S66" s="5" t="s">
        <v>13</v>
      </c>
      <c r="T66" s="7">
        <v>0</v>
      </c>
      <c r="U66" s="7">
        <v>0</v>
      </c>
      <c r="V66" s="7">
        <f t="shared" si="0"/>
        <v>0</v>
      </c>
      <c r="W66" s="7">
        <v>2280</v>
      </c>
    </row>
    <row r="67" spans="1:23" x14ac:dyDescent="0.3">
      <c r="A67" s="5" t="s">
        <v>282</v>
      </c>
      <c r="B67" s="5" t="s">
        <v>5</v>
      </c>
      <c r="C67" s="5">
        <v>2040997246</v>
      </c>
      <c r="D67" s="303">
        <v>42928</v>
      </c>
      <c r="E67" s="7">
        <v>37922.480000000003</v>
      </c>
      <c r="F67" s="5" t="s">
        <v>14</v>
      </c>
      <c r="G67" s="5" t="s">
        <v>11</v>
      </c>
      <c r="H67" s="5" t="s">
        <v>12</v>
      </c>
      <c r="I67" s="14">
        <v>28</v>
      </c>
      <c r="J67" s="12">
        <v>29626.92</v>
      </c>
      <c r="K67" s="5">
        <v>0</v>
      </c>
      <c r="L67" s="5">
        <v>4147.7788</v>
      </c>
      <c r="M67" s="5">
        <v>4147.7788</v>
      </c>
      <c r="N67" s="5">
        <v>0</v>
      </c>
      <c r="O67" s="5" t="s">
        <v>646</v>
      </c>
      <c r="P67" s="5" t="s">
        <v>636</v>
      </c>
      <c r="Q67" s="5">
        <v>87141090</v>
      </c>
      <c r="R67" s="17" t="s">
        <v>22</v>
      </c>
      <c r="S67" s="5" t="s">
        <v>13</v>
      </c>
      <c r="T67" s="7">
        <v>0</v>
      </c>
      <c r="U67" s="7">
        <v>0</v>
      </c>
      <c r="V67" s="7">
        <f t="shared" si="0"/>
        <v>0</v>
      </c>
      <c r="W67" s="7">
        <v>799</v>
      </c>
    </row>
    <row r="68" spans="1:23" x14ac:dyDescent="0.3">
      <c r="A68" s="5" t="s">
        <v>253</v>
      </c>
      <c r="B68" s="5" t="s">
        <v>252</v>
      </c>
      <c r="C68" s="5">
        <v>1555</v>
      </c>
      <c r="D68" s="303">
        <v>42928</v>
      </c>
      <c r="E68" s="7">
        <v>57549</v>
      </c>
      <c r="F68" s="5" t="s">
        <v>14</v>
      </c>
      <c r="G68" s="5" t="s">
        <v>11</v>
      </c>
      <c r="H68" s="5" t="s">
        <v>12</v>
      </c>
      <c r="I68" s="14">
        <v>28</v>
      </c>
      <c r="J68" s="12">
        <v>44960</v>
      </c>
      <c r="K68" s="5">
        <v>0</v>
      </c>
      <c r="L68" s="5">
        <v>6294.4000000000005</v>
      </c>
      <c r="M68" s="5">
        <v>6294.4000000000005</v>
      </c>
      <c r="N68" s="5">
        <v>0</v>
      </c>
      <c r="O68" s="5" t="s">
        <v>646</v>
      </c>
      <c r="P68" s="5" t="s">
        <v>636</v>
      </c>
      <c r="Q68" s="5">
        <v>85129000</v>
      </c>
      <c r="R68" s="5" t="s">
        <v>254</v>
      </c>
      <c r="S68" s="5" t="s">
        <v>13</v>
      </c>
      <c r="T68" s="7">
        <v>0</v>
      </c>
      <c r="U68" s="7">
        <v>0</v>
      </c>
      <c r="V68" s="7">
        <f t="shared" si="0"/>
        <v>0</v>
      </c>
      <c r="W68" s="7">
        <v>1600</v>
      </c>
    </row>
    <row r="69" spans="1:23" x14ac:dyDescent="0.3">
      <c r="A69" s="5" t="s">
        <v>187</v>
      </c>
      <c r="B69" s="5" t="s">
        <v>699</v>
      </c>
      <c r="C69" s="5">
        <v>967767890</v>
      </c>
      <c r="D69" s="303">
        <v>42929</v>
      </c>
      <c r="E69" s="7">
        <v>13150.92</v>
      </c>
      <c r="F69" s="5" t="s">
        <v>14</v>
      </c>
      <c r="G69" s="5" t="s">
        <v>11</v>
      </c>
      <c r="H69" s="5" t="s">
        <v>12</v>
      </c>
      <c r="I69" s="14">
        <v>28</v>
      </c>
      <c r="J69" s="12">
        <v>10274.92</v>
      </c>
      <c r="K69" s="5">
        <v>0</v>
      </c>
      <c r="L69" s="5">
        <v>1437.9988000000001</v>
      </c>
      <c r="M69" s="5">
        <v>1437.9988000000001</v>
      </c>
      <c r="N69" s="5">
        <v>0</v>
      </c>
      <c r="O69" s="5" t="s">
        <v>646</v>
      </c>
      <c r="P69" s="5" t="s">
        <v>636</v>
      </c>
      <c r="Q69" s="5">
        <v>87089900</v>
      </c>
      <c r="R69" s="17" t="s">
        <v>22</v>
      </c>
      <c r="S69" s="5" t="s">
        <v>13</v>
      </c>
      <c r="T69" s="7">
        <v>0</v>
      </c>
      <c r="U69" s="7">
        <v>0</v>
      </c>
      <c r="V69" s="7">
        <f t="shared" si="0"/>
        <v>0</v>
      </c>
      <c r="W69" s="7">
        <v>356</v>
      </c>
    </row>
    <row r="70" spans="1:23" x14ac:dyDescent="0.3">
      <c r="A70" s="5" t="s">
        <v>308</v>
      </c>
      <c r="B70" s="5" t="s">
        <v>307</v>
      </c>
      <c r="C70" s="5">
        <v>6593966476</v>
      </c>
      <c r="D70" s="303">
        <v>42928</v>
      </c>
      <c r="E70" s="7">
        <v>12518</v>
      </c>
      <c r="F70" s="5" t="s">
        <v>14</v>
      </c>
      <c r="G70" s="5" t="s">
        <v>11</v>
      </c>
      <c r="H70" s="5" t="s">
        <v>12</v>
      </c>
      <c r="I70" s="14">
        <v>28</v>
      </c>
      <c r="J70" s="12">
        <v>9780</v>
      </c>
      <c r="K70" s="5">
        <v>0</v>
      </c>
      <c r="L70" s="5">
        <v>1369.2</v>
      </c>
      <c r="M70" s="5">
        <v>1369.2</v>
      </c>
      <c r="N70" s="5">
        <v>0</v>
      </c>
      <c r="O70" s="5" t="s">
        <v>646</v>
      </c>
      <c r="P70" s="5" t="s">
        <v>636</v>
      </c>
      <c r="Q70" s="5">
        <v>38140010</v>
      </c>
      <c r="R70" s="17" t="s">
        <v>251</v>
      </c>
      <c r="S70" s="5" t="s">
        <v>249</v>
      </c>
      <c r="T70" s="7">
        <v>0</v>
      </c>
      <c r="U70" s="7">
        <v>0</v>
      </c>
      <c r="V70" s="7">
        <f t="shared" si="0"/>
        <v>0</v>
      </c>
      <c r="W70" s="7">
        <v>60</v>
      </c>
    </row>
    <row r="71" spans="1:23" x14ac:dyDescent="0.3">
      <c r="A71" s="5" t="s">
        <v>308</v>
      </c>
      <c r="B71" s="5" t="s">
        <v>307</v>
      </c>
      <c r="C71" s="5">
        <v>6593966478</v>
      </c>
      <c r="D71" s="303">
        <v>42928</v>
      </c>
      <c r="E71" s="7">
        <v>18561</v>
      </c>
      <c r="F71" s="5" t="s">
        <v>14</v>
      </c>
      <c r="G71" s="5" t="s">
        <v>11</v>
      </c>
      <c r="H71" s="5" t="s">
        <v>12</v>
      </c>
      <c r="I71" s="14">
        <v>28</v>
      </c>
      <c r="J71" s="12">
        <v>14500.8</v>
      </c>
      <c r="K71" s="5">
        <v>0</v>
      </c>
      <c r="L71" s="5">
        <v>2030.1119999999996</v>
      </c>
      <c r="M71" s="5">
        <v>2030.1119999999996</v>
      </c>
      <c r="N71" s="5">
        <v>0</v>
      </c>
      <c r="O71" s="5" t="s">
        <v>646</v>
      </c>
      <c r="P71" s="5" t="s">
        <v>636</v>
      </c>
      <c r="Q71" s="5">
        <v>32089090</v>
      </c>
      <c r="R71" s="17" t="s">
        <v>250</v>
      </c>
      <c r="S71" s="5" t="s">
        <v>249</v>
      </c>
      <c r="T71" s="7">
        <v>0</v>
      </c>
      <c r="U71" s="7">
        <v>0</v>
      </c>
      <c r="V71" s="7">
        <f t="shared" ref="V71:V134" si="1">+T71-U71</f>
        <v>0</v>
      </c>
      <c r="W71" s="7">
        <v>60</v>
      </c>
    </row>
    <row r="72" spans="1:23" x14ac:dyDescent="0.3">
      <c r="A72" s="5" t="s">
        <v>310</v>
      </c>
      <c r="B72" s="5" t="s">
        <v>309</v>
      </c>
      <c r="C72" s="5">
        <v>428</v>
      </c>
      <c r="D72" s="303">
        <v>42928</v>
      </c>
      <c r="E72" s="7">
        <v>34707</v>
      </c>
      <c r="F72" s="5" t="s">
        <v>14</v>
      </c>
      <c r="G72" s="5" t="s">
        <v>11</v>
      </c>
      <c r="H72" s="5" t="s">
        <v>12</v>
      </c>
      <c r="I72" s="14">
        <v>18</v>
      </c>
      <c r="J72" s="12">
        <v>29480</v>
      </c>
      <c r="K72" s="5">
        <v>0</v>
      </c>
      <c r="L72" s="5">
        <v>2653.2000000000003</v>
      </c>
      <c r="M72" s="5">
        <v>2653.2000000000003</v>
      </c>
      <c r="N72" s="5">
        <v>0</v>
      </c>
      <c r="O72" s="5" t="s">
        <v>646</v>
      </c>
      <c r="P72" s="5" t="s">
        <v>636</v>
      </c>
      <c r="Q72" s="5">
        <v>29023000</v>
      </c>
      <c r="R72" s="17" t="s">
        <v>311</v>
      </c>
      <c r="S72" s="5" t="s">
        <v>249</v>
      </c>
      <c r="T72" s="7">
        <v>0</v>
      </c>
      <c r="U72" s="7">
        <v>0</v>
      </c>
      <c r="V72" s="7">
        <f t="shared" si="1"/>
        <v>0</v>
      </c>
      <c r="W72" s="7">
        <v>440</v>
      </c>
    </row>
    <row r="73" spans="1:23" x14ac:dyDescent="0.3">
      <c r="A73" s="5" t="s">
        <v>310</v>
      </c>
      <c r="B73" s="5" t="s">
        <v>309</v>
      </c>
      <c r="C73" s="5">
        <v>428</v>
      </c>
      <c r="D73" s="303">
        <v>42928</v>
      </c>
      <c r="E73" s="7">
        <v>33827</v>
      </c>
      <c r="F73" s="5" t="s">
        <v>14</v>
      </c>
      <c r="G73" s="5" t="s">
        <v>11</v>
      </c>
      <c r="H73" s="5" t="s">
        <v>12</v>
      </c>
      <c r="I73" s="14">
        <v>18</v>
      </c>
      <c r="J73" s="12">
        <v>28600</v>
      </c>
      <c r="K73" s="5">
        <v>0</v>
      </c>
      <c r="L73" s="5">
        <v>2573.8000000000002</v>
      </c>
      <c r="M73" s="5">
        <v>2573.8000000000002</v>
      </c>
      <c r="N73" s="5">
        <v>0</v>
      </c>
      <c r="O73" s="5" t="s">
        <v>646</v>
      </c>
      <c r="P73" s="5" t="s">
        <v>636</v>
      </c>
      <c r="Q73" s="5">
        <v>29051220</v>
      </c>
      <c r="R73" s="17" t="s">
        <v>312</v>
      </c>
      <c r="S73" s="5" t="s">
        <v>249</v>
      </c>
      <c r="T73" s="7">
        <v>0</v>
      </c>
      <c r="U73" s="7">
        <v>0</v>
      </c>
      <c r="V73" s="7">
        <f t="shared" si="1"/>
        <v>0</v>
      </c>
      <c r="W73" s="7">
        <v>440</v>
      </c>
    </row>
    <row r="74" spans="1:23" x14ac:dyDescent="0.3">
      <c r="A74" s="5" t="s">
        <v>187</v>
      </c>
      <c r="B74" s="5" t="s">
        <v>699</v>
      </c>
      <c r="C74" s="5">
        <v>967768111</v>
      </c>
      <c r="D74" s="303">
        <v>42930</v>
      </c>
      <c r="E74" s="7">
        <v>3623.2</v>
      </c>
      <c r="F74" s="5" t="s">
        <v>14</v>
      </c>
      <c r="G74" s="5" t="s">
        <v>11</v>
      </c>
      <c r="H74" s="5" t="s">
        <v>12</v>
      </c>
      <c r="I74" s="14">
        <v>28</v>
      </c>
      <c r="J74" s="12">
        <v>2831.2</v>
      </c>
      <c r="K74" s="5">
        <v>0</v>
      </c>
      <c r="L74" s="5">
        <v>395.99799999999993</v>
      </c>
      <c r="M74" s="5">
        <v>395.99799999999993</v>
      </c>
      <c r="N74" s="5">
        <v>0</v>
      </c>
      <c r="O74" s="5" t="s">
        <v>646</v>
      </c>
      <c r="P74" s="5" t="s">
        <v>636</v>
      </c>
      <c r="Q74" s="5">
        <v>87089900</v>
      </c>
      <c r="R74" s="17" t="s">
        <v>22</v>
      </c>
      <c r="S74" s="5" t="s">
        <v>13</v>
      </c>
      <c r="T74" s="7">
        <v>0</v>
      </c>
      <c r="U74" s="7">
        <v>0</v>
      </c>
      <c r="V74" s="7">
        <f t="shared" si="1"/>
        <v>0</v>
      </c>
      <c r="W74" s="7">
        <v>20</v>
      </c>
    </row>
    <row r="75" spans="1:23" x14ac:dyDescent="0.3">
      <c r="A75" s="5" t="s">
        <v>187</v>
      </c>
      <c r="B75" s="5" t="s">
        <v>699</v>
      </c>
      <c r="C75" s="5">
        <v>967768111</v>
      </c>
      <c r="D75" s="303">
        <v>42930</v>
      </c>
      <c r="E75" s="7">
        <v>13174.12</v>
      </c>
      <c r="F75" s="5" t="s">
        <v>14</v>
      </c>
      <c r="G75" s="5" t="s">
        <v>11</v>
      </c>
      <c r="H75" s="5" t="s">
        <v>12</v>
      </c>
      <c r="I75" s="14">
        <v>28</v>
      </c>
      <c r="J75" s="12">
        <v>10292.120000000001</v>
      </c>
      <c r="K75" s="5">
        <v>0</v>
      </c>
      <c r="L75" s="5">
        <v>1440.9968000000001</v>
      </c>
      <c r="M75" s="5">
        <v>1440.9968000000001</v>
      </c>
      <c r="N75" s="5">
        <v>0</v>
      </c>
      <c r="O75" s="5" t="s">
        <v>646</v>
      </c>
      <c r="P75" s="5" t="s">
        <v>636</v>
      </c>
      <c r="Q75" s="5">
        <v>87081090</v>
      </c>
      <c r="R75" s="17" t="s">
        <v>22</v>
      </c>
      <c r="S75" s="5" t="s">
        <v>13</v>
      </c>
      <c r="T75" s="7">
        <v>0</v>
      </c>
      <c r="U75" s="7">
        <v>0</v>
      </c>
      <c r="V75" s="7">
        <f t="shared" si="1"/>
        <v>0</v>
      </c>
      <c r="W75" s="7">
        <v>79</v>
      </c>
    </row>
    <row r="76" spans="1:23" x14ac:dyDescent="0.3">
      <c r="A76" s="5" t="s">
        <v>284</v>
      </c>
      <c r="B76" s="5" t="s">
        <v>283</v>
      </c>
      <c r="C76" s="5">
        <v>2216</v>
      </c>
      <c r="D76" s="303">
        <v>42922</v>
      </c>
      <c r="E76" s="7">
        <v>868</v>
      </c>
      <c r="F76" s="5" t="s">
        <v>14</v>
      </c>
      <c r="G76" s="5" t="s">
        <v>11</v>
      </c>
      <c r="H76" s="5" t="s">
        <v>12</v>
      </c>
      <c r="I76" s="14">
        <v>12</v>
      </c>
      <c r="J76" s="12">
        <v>775</v>
      </c>
      <c r="K76" s="5">
        <v>0</v>
      </c>
      <c r="L76" s="5">
        <v>46.5</v>
      </c>
      <c r="M76" s="5">
        <v>46.5</v>
      </c>
      <c r="N76" s="5">
        <v>0</v>
      </c>
      <c r="O76" s="5" t="s">
        <v>646</v>
      </c>
      <c r="P76" s="5" t="s">
        <v>636</v>
      </c>
      <c r="Q76" s="5">
        <v>63079090</v>
      </c>
      <c r="R76" s="17" t="s">
        <v>338</v>
      </c>
      <c r="S76" s="5" t="s">
        <v>13</v>
      </c>
      <c r="T76" s="7">
        <v>0</v>
      </c>
      <c r="U76" s="7">
        <v>0</v>
      </c>
      <c r="V76" s="7">
        <f t="shared" si="1"/>
        <v>0</v>
      </c>
      <c r="W76" s="7">
        <v>100</v>
      </c>
    </row>
    <row r="77" spans="1:23" x14ac:dyDescent="0.3">
      <c r="A77" s="5" t="s">
        <v>284</v>
      </c>
      <c r="B77" s="5" t="s">
        <v>283</v>
      </c>
      <c r="C77" s="5">
        <v>2218</v>
      </c>
      <c r="D77" s="303">
        <v>42922</v>
      </c>
      <c r="E77" s="7">
        <v>5890.56</v>
      </c>
      <c r="F77" s="5" t="s">
        <v>14</v>
      </c>
      <c r="G77" s="5" t="s">
        <v>11</v>
      </c>
      <c r="H77" s="5" t="s">
        <v>12</v>
      </c>
      <c r="I77" s="14">
        <v>18</v>
      </c>
      <c r="J77" s="12">
        <v>4992</v>
      </c>
      <c r="K77" s="5">
        <v>0</v>
      </c>
      <c r="L77" s="5">
        <v>449.28000000000003</v>
      </c>
      <c r="M77" s="5">
        <v>449.28000000000003</v>
      </c>
      <c r="N77" s="5">
        <v>0</v>
      </c>
      <c r="O77" s="5" t="s">
        <v>646</v>
      </c>
      <c r="P77" s="5" t="s">
        <v>636</v>
      </c>
      <c r="Q77" s="5">
        <v>39199090</v>
      </c>
      <c r="R77" s="17" t="s">
        <v>304</v>
      </c>
      <c r="S77" s="5" t="s">
        <v>13</v>
      </c>
      <c r="T77" s="7">
        <v>0</v>
      </c>
      <c r="U77" s="7">
        <v>0</v>
      </c>
      <c r="V77" s="7">
        <f t="shared" si="1"/>
        <v>0</v>
      </c>
      <c r="W77" s="7">
        <v>384</v>
      </c>
    </row>
    <row r="78" spans="1:23" x14ac:dyDescent="0.3">
      <c r="A78" s="5" t="s">
        <v>284</v>
      </c>
      <c r="B78" s="5" t="s">
        <v>283</v>
      </c>
      <c r="C78" s="5">
        <v>2218</v>
      </c>
      <c r="D78" s="303">
        <v>42922</v>
      </c>
      <c r="E78" s="7">
        <v>233.64</v>
      </c>
      <c r="F78" s="5" t="s">
        <v>14</v>
      </c>
      <c r="G78" s="5" t="s">
        <v>11</v>
      </c>
      <c r="H78" s="5" t="s">
        <v>12</v>
      </c>
      <c r="I78" s="14">
        <v>18</v>
      </c>
      <c r="J78" s="12">
        <v>198</v>
      </c>
      <c r="K78" s="5">
        <v>0</v>
      </c>
      <c r="L78" s="5">
        <v>17.82</v>
      </c>
      <c r="M78" s="5">
        <v>17.82</v>
      </c>
      <c r="N78" s="5">
        <v>0</v>
      </c>
      <c r="O78" s="5" t="s">
        <v>646</v>
      </c>
      <c r="P78" s="5" t="s">
        <v>636</v>
      </c>
      <c r="Q78" s="5">
        <v>29029090</v>
      </c>
      <c r="R78" s="17" t="s">
        <v>339</v>
      </c>
      <c r="S78" s="5" t="s">
        <v>13</v>
      </c>
      <c r="T78" s="7">
        <v>0</v>
      </c>
      <c r="U78" s="7">
        <v>0</v>
      </c>
      <c r="V78" s="7">
        <f t="shared" si="1"/>
        <v>0</v>
      </c>
      <c r="W78" s="7">
        <v>3</v>
      </c>
    </row>
    <row r="79" spans="1:23" x14ac:dyDescent="0.3">
      <c r="A79" s="5" t="s">
        <v>270</v>
      </c>
      <c r="B79" s="5" t="s">
        <v>269</v>
      </c>
      <c r="C79" s="5">
        <v>1640</v>
      </c>
      <c r="D79" s="303">
        <v>42926</v>
      </c>
      <c r="E79" s="7">
        <v>6800</v>
      </c>
      <c r="F79" s="5" t="s">
        <v>14</v>
      </c>
      <c r="G79" s="5" t="s">
        <v>101</v>
      </c>
      <c r="H79" s="5" t="s">
        <v>12</v>
      </c>
      <c r="I79" s="14">
        <v>28</v>
      </c>
      <c r="J79" s="12">
        <v>5312</v>
      </c>
      <c r="K79" s="5">
        <v>0</v>
      </c>
      <c r="L79" s="5">
        <v>743.68</v>
      </c>
      <c r="M79" s="5">
        <v>743.68</v>
      </c>
      <c r="N79" s="5">
        <v>0</v>
      </c>
      <c r="O79" s="5" t="s">
        <v>646</v>
      </c>
      <c r="P79" s="5" t="s">
        <v>636</v>
      </c>
      <c r="Q79" s="5">
        <v>25232910</v>
      </c>
      <c r="R79" s="17" t="s">
        <v>340</v>
      </c>
      <c r="S79" s="5" t="s">
        <v>272</v>
      </c>
      <c r="T79" s="7">
        <v>0</v>
      </c>
      <c r="U79" s="7">
        <v>0</v>
      </c>
      <c r="V79" s="7">
        <f t="shared" si="1"/>
        <v>0</v>
      </c>
      <c r="W79" s="7">
        <v>20</v>
      </c>
    </row>
    <row r="80" spans="1:23" x14ac:dyDescent="0.3">
      <c r="A80" s="5" t="s">
        <v>245</v>
      </c>
      <c r="B80" s="5" t="s">
        <v>244</v>
      </c>
      <c r="C80" s="5">
        <v>885</v>
      </c>
      <c r="D80" s="303">
        <v>42931</v>
      </c>
      <c r="E80" s="7">
        <v>11434.2</v>
      </c>
      <c r="F80" s="5" t="s">
        <v>14</v>
      </c>
      <c r="G80" s="5" t="s">
        <v>11</v>
      </c>
      <c r="H80" s="5" t="s">
        <v>12</v>
      </c>
      <c r="I80" s="14">
        <v>18</v>
      </c>
      <c r="J80" s="12">
        <v>9690</v>
      </c>
      <c r="K80" s="5">
        <v>0</v>
      </c>
      <c r="L80" s="5">
        <v>872.1</v>
      </c>
      <c r="M80" s="5">
        <v>872.1</v>
      </c>
      <c r="N80" s="5">
        <v>0</v>
      </c>
      <c r="O80" s="5" t="s">
        <v>646</v>
      </c>
      <c r="P80" s="5" t="s">
        <v>636</v>
      </c>
      <c r="Q80" s="5">
        <v>39199090</v>
      </c>
      <c r="R80" s="17" t="s">
        <v>246</v>
      </c>
      <c r="S80" s="5" t="s">
        <v>13</v>
      </c>
      <c r="T80" s="7">
        <v>0</v>
      </c>
      <c r="U80" s="7">
        <v>0</v>
      </c>
      <c r="V80" s="7">
        <f t="shared" si="1"/>
        <v>0</v>
      </c>
      <c r="W80" s="7">
        <v>1000</v>
      </c>
    </row>
    <row r="81" spans="1:23" x14ac:dyDescent="0.3">
      <c r="A81" s="5" t="s">
        <v>245</v>
      </c>
      <c r="B81" s="5" t="s">
        <v>244</v>
      </c>
      <c r="C81" s="5">
        <v>889</v>
      </c>
      <c r="D81" s="303">
        <v>42931</v>
      </c>
      <c r="E81" s="7">
        <v>15653.88</v>
      </c>
      <c r="F81" s="5" t="s">
        <v>14</v>
      </c>
      <c r="G81" s="5" t="s">
        <v>11</v>
      </c>
      <c r="H81" s="5" t="s">
        <v>12</v>
      </c>
      <c r="I81" s="14">
        <v>18</v>
      </c>
      <c r="J81" s="12">
        <v>13266</v>
      </c>
      <c r="K81" s="5">
        <v>0</v>
      </c>
      <c r="L81" s="5">
        <v>1193.94</v>
      </c>
      <c r="M81" s="5">
        <v>1193.94</v>
      </c>
      <c r="N81" s="5">
        <v>0</v>
      </c>
      <c r="O81" s="5" t="s">
        <v>646</v>
      </c>
      <c r="P81" s="5" t="s">
        <v>636</v>
      </c>
      <c r="Q81" s="5">
        <v>39199090</v>
      </c>
      <c r="R81" s="17" t="s">
        <v>246</v>
      </c>
      <c r="S81" s="5" t="s">
        <v>13</v>
      </c>
      <c r="T81" s="7">
        <v>0</v>
      </c>
      <c r="U81" s="7">
        <v>0</v>
      </c>
      <c r="V81" s="7">
        <f t="shared" si="1"/>
        <v>0</v>
      </c>
      <c r="W81" s="7">
        <v>900</v>
      </c>
    </row>
    <row r="82" spans="1:23" x14ac:dyDescent="0.3">
      <c r="A82" s="5" t="s">
        <v>274</v>
      </c>
      <c r="B82" s="5" t="s">
        <v>273</v>
      </c>
      <c r="C82" s="5">
        <v>1761001623</v>
      </c>
      <c r="D82" s="303">
        <v>42931</v>
      </c>
      <c r="E82" s="7">
        <v>87040</v>
      </c>
      <c r="F82" s="5" t="s">
        <v>14</v>
      </c>
      <c r="G82" s="5" t="s">
        <v>11</v>
      </c>
      <c r="H82" s="5" t="s">
        <v>12</v>
      </c>
      <c r="I82" s="14">
        <v>28</v>
      </c>
      <c r="J82" s="12">
        <v>68000</v>
      </c>
      <c r="K82" s="5">
        <v>0</v>
      </c>
      <c r="L82" s="5">
        <v>9520</v>
      </c>
      <c r="M82" s="5">
        <v>9520</v>
      </c>
      <c r="N82" s="5">
        <v>0</v>
      </c>
      <c r="O82" s="5" t="s">
        <v>646</v>
      </c>
      <c r="P82" s="5" t="s">
        <v>636</v>
      </c>
      <c r="Q82" s="5">
        <v>3208</v>
      </c>
      <c r="R82" s="17" t="s">
        <v>250</v>
      </c>
      <c r="S82" s="5" t="s">
        <v>249</v>
      </c>
      <c r="T82" s="7">
        <v>0</v>
      </c>
      <c r="U82" s="7">
        <v>0</v>
      </c>
      <c r="V82" s="7">
        <f t="shared" si="1"/>
        <v>0</v>
      </c>
      <c r="W82" s="7">
        <v>200</v>
      </c>
    </row>
    <row r="83" spans="1:23" x14ac:dyDescent="0.3">
      <c r="A83" s="5" t="s">
        <v>274</v>
      </c>
      <c r="B83" s="5" t="s">
        <v>273</v>
      </c>
      <c r="C83" s="5">
        <v>1761001623</v>
      </c>
      <c r="D83" s="303">
        <v>42931</v>
      </c>
      <c r="E83" s="7">
        <v>14976</v>
      </c>
      <c r="F83" s="5" t="s">
        <v>14</v>
      </c>
      <c r="G83" s="5" t="s">
        <v>11</v>
      </c>
      <c r="H83" s="5" t="s">
        <v>12</v>
      </c>
      <c r="I83" s="14">
        <v>28</v>
      </c>
      <c r="J83" s="12">
        <v>11700</v>
      </c>
      <c r="K83" s="5">
        <v>0</v>
      </c>
      <c r="L83" s="5">
        <v>1638.06</v>
      </c>
      <c r="M83" s="5">
        <v>1638.06</v>
      </c>
      <c r="N83" s="5">
        <v>0</v>
      </c>
      <c r="O83" s="5" t="s">
        <v>646</v>
      </c>
      <c r="P83" s="5" t="s">
        <v>636</v>
      </c>
      <c r="Q83" s="5">
        <v>14976</v>
      </c>
      <c r="R83" s="17" t="s">
        <v>251</v>
      </c>
      <c r="S83" s="5"/>
      <c r="T83" s="7">
        <v>0</v>
      </c>
      <c r="U83" s="7">
        <v>0</v>
      </c>
      <c r="V83" s="7">
        <f t="shared" si="1"/>
        <v>0</v>
      </c>
      <c r="W83" s="7">
        <v>100</v>
      </c>
    </row>
    <row r="84" spans="1:23" x14ac:dyDescent="0.3">
      <c r="A84" s="5" t="s">
        <v>261</v>
      </c>
      <c r="B84" s="5" t="s">
        <v>260</v>
      </c>
      <c r="C84" s="5">
        <v>9686</v>
      </c>
      <c r="D84" s="303">
        <v>42931</v>
      </c>
      <c r="E84" s="7">
        <v>162263.06</v>
      </c>
      <c r="F84" s="5" t="s">
        <v>14</v>
      </c>
      <c r="G84" s="5" t="s">
        <v>11</v>
      </c>
      <c r="H84" s="5" t="s">
        <v>12</v>
      </c>
      <c r="I84" s="14">
        <v>28</v>
      </c>
      <c r="J84" s="12">
        <v>126965.53</v>
      </c>
      <c r="K84" s="5">
        <v>0</v>
      </c>
      <c r="L84" s="5">
        <v>17775.004199999999</v>
      </c>
      <c r="M84" s="5">
        <v>17775.004199999999</v>
      </c>
      <c r="N84" s="5">
        <v>0</v>
      </c>
      <c r="O84" s="5" t="s">
        <v>646</v>
      </c>
      <c r="P84" s="5" t="s">
        <v>636</v>
      </c>
      <c r="Q84" s="5">
        <v>87141900</v>
      </c>
      <c r="R84" s="17" t="s">
        <v>22</v>
      </c>
      <c r="S84" s="5" t="s">
        <v>13</v>
      </c>
      <c r="T84" s="7">
        <v>0</v>
      </c>
      <c r="U84" s="7">
        <v>0</v>
      </c>
      <c r="V84" s="7">
        <f t="shared" si="1"/>
        <v>0</v>
      </c>
      <c r="W84" s="7">
        <v>2397</v>
      </c>
    </row>
    <row r="85" spans="1:23" x14ac:dyDescent="0.3">
      <c r="A85" s="5" t="s">
        <v>243</v>
      </c>
      <c r="B85" s="5" t="s">
        <v>242</v>
      </c>
      <c r="C85" s="5">
        <v>17180065</v>
      </c>
      <c r="D85" s="303">
        <v>42931</v>
      </c>
      <c r="E85" s="7">
        <v>77742</v>
      </c>
      <c r="F85" s="5" t="s">
        <v>14</v>
      </c>
      <c r="G85" s="5" t="s">
        <v>11</v>
      </c>
      <c r="H85" s="5" t="s">
        <v>12</v>
      </c>
      <c r="I85" s="14">
        <v>28</v>
      </c>
      <c r="J85" s="12">
        <v>60736</v>
      </c>
      <c r="K85" s="5">
        <v>0</v>
      </c>
      <c r="L85" s="5">
        <v>8503.0400000000009</v>
      </c>
      <c r="M85" s="5">
        <v>8503.0400000000009</v>
      </c>
      <c r="N85" s="5">
        <v>0</v>
      </c>
      <c r="O85" s="5" t="s">
        <v>646</v>
      </c>
      <c r="P85" s="5" t="s">
        <v>636</v>
      </c>
      <c r="Q85" s="5">
        <v>39269099</v>
      </c>
      <c r="R85" s="17" t="s">
        <v>22</v>
      </c>
      <c r="S85" s="5" t="s">
        <v>13</v>
      </c>
      <c r="T85" s="7">
        <v>0</v>
      </c>
      <c r="U85" s="7">
        <v>0</v>
      </c>
      <c r="V85" s="7">
        <f t="shared" si="1"/>
        <v>0</v>
      </c>
      <c r="W85" s="7">
        <v>6400</v>
      </c>
    </row>
    <row r="86" spans="1:23" x14ac:dyDescent="0.3">
      <c r="A86" s="5" t="s">
        <v>389</v>
      </c>
      <c r="B86" s="5" t="s">
        <v>388</v>
      </c>
      <c r="C86" s="5">
        <v>30385</v>
      </c>
      <c r="D86" s="303">
        <v>42927</v>
      </c>
      <c r="E86" s="7">
        <v>28947.200000000001</v>
      </c>
      <c r="F86" s="5" t="s">
        <v>14</v>
      </c>
      <c r="G86" s="5" t="s">
        <v>11</v>
      </c>
      <c r="H86" s="5" t="s">
        <v>12</v>
      </c>
      <c r="I86" s="14">
        <v>28</v>
      </c>
      <c r="J86" s="12">
        <v>22615</v>
      </c>
      <c r="K86" s="5">
        <v>6332.2</v>
      </c>
      <c r="L86" s="5">
        <v>0</v>
      </c>
      <c r="M86" s="5">
        <v>0</v>
      </c>
      <c r="N86" s="5">
        <v>0</v>
      </c>
      <c r="O86" s="5" t="s">
        <v>646</v>
      </c>
      <c r="P86" s="5" t="s">
        <v>636</v>
      </c>
      <c r="Q86" s="5">
        <v>87081090</v>
      </c>
      <c r="R86" s="17" t="s">
        <v>22</v>
      </c>
      <c r="S86" s="5" t="s">
        <v>13</v>
      </c>
      <c r="T86" s="7">
        <v>0</v>
      </c>
      <c r="U86" s="7">
        <v>0</v>
      </c>
      <c r="V86" s="7">
        <f t="shared" si="1"/>
        <v>0</v>
      </c>
      <c r="W86" s="7">
        <v>500</v>
      </c>
    </row>
    <row r="87" spans="1:23" x14ac:dyDescent="0.3">
      <c r="A87" s="5" t="s">
        <v>187</v>
      </c>
      <c r="B87" s="5" t="s">
        <v>699</v>
      </c>
      <c r="C87" s="5">
        <v>967768385</v>
      </c>
      <c r="D87" s="303">
        <v>42933</v>
      </c>
      <c r="E87" s="7">
        <v>15009.2</v>
      </c>
      <c r="F87" s="5" t="s">
        <v>14</v>
      </c>
      <c r="G87" s="5" t="s">
        <v>11</v>
      </c>
      <c r="H87" s="5" t="s">
        <v>12</v>
      </c>
      <c r="I87" s="14">
        <v>28</v>
      </c>
      <c r="J87" s="12">
        <v>11725.2</v>
      </c>
      <c r="K87" s="5">
        <v>0</v>
      </c>
      <c r="L87" s="5">
        <v>1641.9980000000003</v>
      </c>
      <c r="M87" s="5">
        <v>1641.9980000000003</v>
      </c>
      <c r="N87" s="5">
        <v>0</v>
      </c>
      <c r="O87" s="5" t="s">
        <v>646</v>
      </c>
      <c r="P87" s="5" t="s">
        <v>636</v>
      </c>
      <c r="Q87" s="5">
        <v>87081090</v>
      </c>
      <c r="R87" s="17" t="s">
        <v>22</v>
      </c>
      <c r="S87" s="5" t="s">
        <v>13</v>
      </c>
      <c r="T87" s="7">
        <v>0</v>
      </c>
      <c r="U87" s="7">
        <v>0</v>
      </c>
      <c r="V87" s="7">
        <f t="shared" si="1"/>
        <v>0</v>
      </c>
      <c r="W87" s="7">
        <v>90</v>
      </c>
    </row>
    <row r="88" spans="1:23" x14ac:dyDescent="0.3">
      <c r="A88" s="5" t="s">
        <v>187</v>
      </c>
      <c r="B88" s="5" t="s">
        <v>699</v>
      </c>
      <c r="C88" s="5">
        <v>967768385</v>
      </c>
      <c r="D88" s="303">
        <v>42933</v>
      </c>
      <c r="E88" s="7">
        <v>6003.6</v>
      </c>
      <c r="F88" s="5" t="s">
        <v>14</v>
      </c>
      <c r="G88" s="5" t="s">
        <v>11</v>
      </c>
      <c r="H88" s="5" t="s">
        <v>12</v>
      </c>
      <c r="I88" s="14">
        <v>28</v>
      </c>
      <c r="J88" s="12">
        <v>4689.6000000000004</v>
      </c>
      <c r="K88" s="5">
        <v>0</v>
      </c>
      <c r="L88" s="5">
        <v>657.00400000000002</v>
      </c>
      <c r="M88" s="5">
        <v>657.00400000000002</v>
      </c>
      <c r="N88" s="5">
        <v>0</v>
      </c>
      <c r="O88" s="5" t="s">
        <v>646</v>
      </c>
      <c r="P88" s="5" t="s">
        <v>636</v>
      </c>
      <c r="Q88" s="5">
        <v>87082900</v>
      </c>
      <c r="R88" s="17" t="s">
        <v>22</v>
      </c>
      <c r="S88" s="5" t="s">
        <v>13</v>
      </c>
      <c r="T88" s="7">
        <v>0</v>
      </c>
      <c r="U88" s="7">
        <v>0</v>
      </c>
      <c r="V88" s="7">
        <f t="shared" si="1"/>
        <v>0</v>
      </c>
      <c r="W88" s="7">
        <v>30</v>
      </c>
    </row>
    <row r="89" spans="1:23" x14ac:dyDescent="0.3">
      <c r="A89" s="5" t="s">
        <v>256</v>
      </c>
      <c r="B89" s="5" t="s">
        <v>255</v>
      </c>
      <c r="C89" s="5">
        <v>17610807</v>
      </c>
      <c r="D89" s="303">
        <v>42924</v>
      </c>
      <c r="E89" s="7">
        <v>4731.51</v>
      </c>
      <c r="F89" s="5" t="s">
        <v>211</v>
      </c>
      <c r="G89" s="5" t="s">
        <v>11</v>
      </c>
      <c r="H89" s="5" t="s">
        <v>12</v>
      </c>
      <c r="I89" s="14">
        <v>28</v>
      </c>
      <c r="J89" s="12">
        <v>3696.45</v>
      </c>
      <c r="K89" s="5">
        <v>1035.056</v>
      </c>
      <c r="L89" s="5">
        <v>0</v>
      </c>
      <c r="M89" s="5">
        <v>0</v>
      </c>
      <c r="N89" s="5">
        <v>0</v>
      </c>
      <c r="O89" s="5" t="s">
        <v>646</v>
      </c>
      <c r="P89" s="5" t="s">
        <v>636</v>
      </c>
      <c r="Q89" s="5">
        <v>87081090</v>
      </c>
      <c r="R89" s="17" t="s">
        <v>22</v>
      </c>
      <c r="S89" s="5" t="s">
        <v>13</v>
      </c>
      <c r="T89" s="7">
        <v>0</v>
      </c>
      <c r="U89" s="7">
        <v>0</v>
      </c>
      <c r="V89" s="7">
        <f t="shared" si="1"/>
        <v>0</v>
      </c>
      <c r="W89" s="7">
        <v>5</v>
      </c>
    </row>
    <row r="90" spans="1:23" x14ac:dyDescent="0.3">
      <c r="A90" s="5" t="s">
        <v>227</v>
      </c>
      <c r="B90" s="5" t="s">
        <v>226</v>
      </c>
      <c r="C90" s="5">
        <v>564</v>
      </c>
      <c r="D90" s="303">
        <v>42931</v>
      </c>
      <c r="E90" s="7">
        <v>19200</v>
      </c>
      <c r="F90" s="5" t="s">
        <v>211</v>
      </c>
      <c r="G90" s="5" t="s">
        <v>11</v>
      </c>
      <c r="H90" s="5" t="s">
        <v>12</v>
      </c>
      <c r="I90" s="14">
        <v>28</v>
      </c>
      <c r="J90" s="12">
        <v>15000</v>
      </c>
      <c r="K90" s="5">
        <v>4200</v>
      </c>
      <c r="L90" s="5">
        <v>0</v>
      </c>
      <c r="M90" s="5">
        <v>0</v>
      </c>
      <c r="N90" s="5">
        <v>0</v>
      </c>
      <c r="O90" s="5" t="s">
        <v>646</v>
      </c>
      <c r="P90" s="5" t="s">
        <v>636</v>
      </c>
      <c r="Q90" s="5">
        <v>87089900</v>
      </c>
      <c r="R90" s="17" t="s">
        <v>22</v>
      </c>
      <c r="S90" s="5" t="s">
        <v>13</v>
      </c>
      <c r="T90" s="7">
        <v>0</v>
      </c>
      <c r="U90" s="7">
        <v>0</v>
      </c>
      <c r="V90" s="7">
        <f t="shared" si="1"/>
        <v>0</v>
      </c>
      <c r="W90" s="7">
        <v>300</v>
      </c>
    </row>
    <row r="91" spans="1:23" x14ac:dyDescent="0.3">
      <c r="A91" s="5" t="s">
        <v>282</v>
      </c>
      <c r="B91" s="5" t="s">
        <v>5</v>
      </c>
      <c r="C91" s="5">
        <v>2040999447</v>
      </c>
      <c r="D91" s="303">
        <v>42934</v>
      </c>
      <c r="E91" s="7">
        <v>15713.28</v>
      </c>
      <c r="F91" s="5" t="s">
        <v>14</v>
      </c>
      <c r="G91" s="5" t="s">
        <v>11</v>
      </c>
      <c r="H91" s="5" t="s">
        <v>12</v>
      </c>
      <c r="I91" s="14">
        <v>28</v>
      </c>
      <c r="J91" s="12">
        <v>12276</v>
      </c>
      <c r="K91" s="5">
        <v>0</v>
      </c>
      <c r="L91" s="5">
        <v>1718.64</v>
      </c>
      <c r="M91" s="5">
        <v>1718.64</v>
      </c>
      <c r="N91" s="5">
        <v>0</v>
      </c>
      <c r="O91" s="5" t="s">
        <v>646</v>
      </c>
      <c r="P91" s="5" t="s">
        <v>636</v>
      </c>
      <c r="Q91" s="5">
        <v>87141090</v>
      </c>
      <c r="R91" s="17" t="s">
        <v>22</v>
      </c>
      <c r="S91" s="5" t="s">
        <v>13</v>
      </c>
      <c r="T91" s="7">
        <v>0</v>
      </c>
      <c r="U91" s="7">
        <v>0</v>
      </c>
      <c r="V91" s="7">
        <f t="shared" si="1"/>
        <v>0</v>
      </c>
      <c r="W91" s="7">
        <v>240</v>
      </c>
    </row>
    <row r="92" spans="1:23" x14ac:dyDescent="0.3">
      <c r="A92" s="5" t="s">
        <v>282</v>
      </c>
      <c r="B92" s="5" t="s">
        <v>5</v>
      </c>
      <c r="C92" s="5">
        <v>2040999449</v>
      </c>
      <c r="D92" s="303">
        <v>42934</v>
      </c>
      <c r="E92" s="7">
        <v>12890.12</v>
      </c>
      <c r="F92" s="5" t="s">
        <v>14</v>
      </c>
      <c r="G92" s="5" t="s">
        <v>11</v>
      </c>
      <c r="H92" s="5" t="s">
        <v>12</v>
      </c>
      <c r="I92" s="14">
        <v>28</v>
      </c>
      <c r="J92" s="12">
        <v>10070.4</v>
      </c>
      <c r="K92" s="5">
        <v>0</v>
      </c>
      <c r="L92" s="5">
        <v>1409.856</v>
      </c>
      <c r="M92" s="5">
        <v>1409.856</v>
      </c>
      <c r="N92" s="5">
        <v>0</v>
      </c>
      <c r="O92" s="5" t="s">
        <v>646</v>
      </c>
      <c r="P92" s="5" t="s">
        <v>636</v>
      </c>
      <c r="Q92" s="5">
        <v>87141090</v>
      </c>
      <c r="R92" s="17" t="s">
        <v>22</v>
      </c>
      <c r="S92" s="5" t="s">
        <v>13</v>
      </c>
      <c r="T92" s="7">
        <v>0</v>
      </c>
      <c r="U92" s="7">
        <v>0</v>
      </c>
      <c r="V92" s="7">
        <f t="shared" si="1"/>
        <v>0</v>
      </c>
      <c r="W92" s="7">
        <v>240</v>
      </c>
    </row>
    <row r="93" spans="1:23" x14ac:dyDescent="0.3">
      <c r="A93" s="5" t="s">
        <v>391</v>
      </c>
      <c r="B93" s="5" t="s">
        <v>390</v>
      </c>
      <c r="C93" s="5">
        <v>407</v>
      </c>
      <c r="D93" s="303">
        <v>42933</v>
      </c>
      <c r="E93" s="7">
        <v>3658</v>
      </c>
      <c r="F93" s="5" t="s">
        <v>14</v>
      </c>
      <c r="G93" s="5" t="s">
        <v>11</v>
      </c>
      <c r="H93" s="5" t="s">
        <v>12</v>
      </c>
      <c r="I93" s="14">
        <v>18</v>
      </c>
      <c r="J93" s="12">
        <v>3100</v>
      </c>
      <c r="K93" s="5">
        <v>0</v>
      </c>
      <c r="L93" s="5">
        <v>279</v>
      </c>
      <c r="M93" s="5">
        <v>279</v>
      </c>
      <c r="N93" s="5">
        <v>0</v>
      </c>
      <c r="O93" s="5" t="s">
        <v>646</v>
      </c>
      <c r="P93" s="5" t="s">
        <v>636</v>
      </c>
      <c r="Q93" s="5">
        <v>84717020</v>
      </c>
      <c r="R93" s="17" t="s">
        <v>392</v>
      </c>
      <c r="S93" s="5" t="s">
        <v>13</v>
      </c>
      <c r="T93" s="7">
        <v>0</v>
      </c>
      <c r="U93" s="7">
        <v>0</v>
      </c>
      <c r="V93" s="7">
        <f t="shared" si="1"/>
        <v>0</v>
      </c>
      <c r="W93" s="7">
        <v>1</v>
      </c>
    </row>
    <row r="94" spans="1:23" x14ac:dyDescent="0.3">
      <c r="A94" s="5" t="s">
        <v>391</v>
      </c>
      <c r="B94" s="5" t="s">
        <v>390</v>
      </c>
      <c r="C94" s="5">
        <v>413</v>
      </c>
      <c r="D94" s="303">
        <v>42934</v>
      </c>
      <c r="E94" s="7">
        <v>1180</v>
      </c>
      <c r="F94" s="5" t="s">
        <v>14</v>
      </c>
      <c r="G94" s="5" t="s">
        <v>11</v>
      </c>
      <c r="H94" s="5" t="s">
        <v>12</v>
      </c>
      <c r="I94" s="14">
        <v>18</v>
      </c>
      <c r="J94" s="12">
        <v>1000</v>
      </c>
      <c r="K94" s="5">
        <v>0</v>
      </c>
      <c r="L94" s="5">
        <v>90</v>
      </c>
      <c r="M94" s="5">
        <v>90</v>
      </c>
      <c r="N94" s="5">
        <v>0</v>
      </c>
      <c r="O94" s="5" t="s">
        <v>646</v>
      </c>
      <c r="P94" s="5" t="s">
        <v>636</v>
      </c>
      <c r="Q94" s="5">
        <v>84733099</v>
      </c>
      <c r="R94" s="17" t="s">
        <v>393</v>
      </c>
      <c r="S94" s="5" t="s">
        <v>13</v>
      </c>
      <c r="T94" s="7">
        <v>0</v>
      </c>
      <c r="U94" s="7">
        <v>0</v>
      </c>
      <c r="V94" s="7">
        <f t="shared" si="1"/>
        <v>0</v>
      </c>
      <c r="W94" s="7">
        <v>1</v>
      </c>
    </row>
    <row r="95" spans="1:23" x14ac:dyDescent="0.3">
      <c r="A95" s="5" t="s">
        <v>261</v>
      </c>
      <c r="B95" s="5" t="s">
        <v>260</v>
      </c>
      <c r="C95" s="5">
        <v>9848</v>
      </c>
      <c r="D95" s="303">
        <v>42934</v>
      </c>
      <c r="E95" s="7">
        <v>79184.600000000006</v>
      </c>
      <c r="F95" s="5" t="s">
        <v>14</v>
      </c>
      <c r="G95" s="5" t="s">
        <v>11</v>
      </c>
      <c r="H95" s="5" t="s">
        <v>12</v>
      </c>
      <c r="I95" s="14">
        <v>28</v>
      </c>
      <c r="J95" s="12">
        <v>61959.3</v>
      </c>
      <c r="K95" s="5">
        <v>0</v>
      </c>
      <c r="L95" s="5">
        <v>8674.0020000000022</v>
      </c>
      <c r="M95" s="5">
        <v>8674.0020000000022</v>
      </c>
      <c r="N95" s="5">
        <v>0</v>
      </c>
      <c r="O95" s="5" t="s">
        <v>646</v>
      </c>
      <c r="P95" s="5" t="s">
        <v>636</v>
      </c>
      <c r="Q95" s="5">
        <v>87141900</v>
      </c>
      <c r="R95" s="17" t="s">
        <v>22</v>
      </c>
      <c r="S95" s="5" t="s">
        <v>13</v>
      </c>
      <c r="T95" s="7">
        <v>0</v>
      </c>
      <c r="U95" s="7">
        <v>0</v>
      </c>
      <c r="V95" s="7">
        <f t="shared" si="1"/>
        <v>0</v>
      </c>
      <c r="W95" s="7">
        <v>1170</v>
      </c>
    </row>
    <row r="96" spans="1:23" x14ac:dyDescent="0.3">
      <c r="A96" s="5" t="s">
        <v>395</v>
      </c>
      <c r="B96" s="5" t="s">
        <v>394</v>
      </c>
      <c r="C96" s="5">
        <v>1100</v>
      </c>
      <c r="D96" s="303">
        <v>42934</v>
      </c>
      <c r="E96" s="7">
        <v>59939</v>
      </c>
      <c r="F96" s="5" t="s">
        <v>14</v>
      </c>
      <c r="G96" s="5" t="s">
        <v>11</v>
      </c>
      <c r="H96" s="5" t="s">
        <v>12</v>
      </c>
      <c r="I96" s="14">
        <v>28</v>
      </c>
      <c r="J96" s="12">
        <v>46827</v>
      </c>
      <c r="K96" s="5">
        <v>0</v>
      </c>
      <c r="L96" s="5">
        <v>6556</v>
      </c>
      <c r="M96" s="5">
        <v>6556</v>
      </c>
      <c r="N96" s="5">
        <v>0</v>
      </c>
      <c r="O96" s="5" t="s">
        <v>646</v>
      </c>
      <c r="P96" s="5" t="s">
        <v>636</v>
      </c>
      <c r="Q96" s="5">
        <v>87082900</v>
      </c>
      <c r="R96" s="17" t="s">
        <v>22</v>
      </c>
      <c r="S96" s="5" t="s">
        <v>13</v>
      </c>
      <c r="T96" s="7">
        <v>0</v>
      </c>
      <c r="U96" s="7">
        <v>0</v>
      </c>
      <c r="V96" s="7">
        <f t="shared" si="1"/>
        <v>0</v>
      </c>
      <c r="W96" s="7">
        <v>1100</v>
      </c>
    </row>
    <row r="97" spans="1:23" x14ac:dyDescent="0.3">
      <c r="A97" s="5" t="s">
        <v>395</v>
      </c>
      <c r="B97" s="5" t="s">
        <v>394</v>
      </c>
      <c r="C97" s="5">
        <v>1104</v>
      </c>
      <c r="D97" s="303">
        <v>42934</v>
      </c>
      <c r="E97" s="7">
        <v>46860</v>
      </c>
      <c r="F97" s="5" t="s">
        <v>14</v>
      </c>
      <c r="G97" s="5" t="s">
        <v>11</v>
      </c>
      <c r="H97" s="5" t="s">
        <v>12</v>
      </c>
      <c r="I97" s="14">
        <v>28</v>
      </c>
      <c r="J97" s="12">
        <v>36610.199999999997</v>
      </c>
      <c r="K97" s="5">
        <v>0</v>
      </c>
      <c r="L97" s="5">
        <v>5124.9979999999996</v>
      </c>
      <c r="M97" s="5">
        <v>5124.9979999999996</v>
      </c>
      <c r="N97" s="5">
        <v>0</v>
      </c>
      <c r="O97" s="5" t="s">
        <v>646</v>
      </c>
      <c r="P97" s="5" t="s">
        <v>636</v>
      </c>
      <c r="Q97" s="5">
        <v>87082900</v>
      </c>
      <c r="R97" s="17" t="s">
        <v>22</v>
      </c>
      <c r="S97" s="5" t="s">
        <v>13</v>
      </c>
      <c r="T97" s="7">
        <v>0</v>
      </c>
      <c r="U97" s="7">
        <v>0</v>
      </c>
      <c r="V97" s="7">
        <f t="shared" si="1"/>
        <v>0</v>
      </c>
      <c r="W97" s="7">
        <v>860</v>
      </c>
    </row>
    <row r="98" spans="1:23" x14ac:dyDescent="0.3">
      <c r="A98" s="5" t="s">
        <v>243</v>
      </c>
      <c r="B98" s="5" t="s">
        <v>242</v>
      </c>
      <c r="C98" s="5">
        <v>17180076</v>
      </c>
      <c r="D98" s="303">
        <v>42934</v>
      </c>
      <c r="E98" s="7">
        <v>77742</v>
      </c>
      <c r="F98" s="5" t="s">
        <v>14</v>
      </c>
      <c r="G98" s="5" t="s">
        <v>11</v>
      </c>
      <c r="H98" s="5" t="s">
        <v>12</v>
      </c>
      <c r="I98" s="14">
        <v>28</v>
      </c>
      <c r="J98" s="12">
        <v>60736</v>
      </c>
      <c r="K98" s="5">
        <v>0</v>
      </c>
      <c r="L98" s="5">
        <v>8503.0400000000009</v>
      </c>
      <c r="M98" s="5">
        <v>8503.0400000000009</v>
      </c>
      <c r="N98" s="5">
        <v>0</v>
      </c>
      <c r="O98" s="5" t="s">
        <v>646</v>
      </c>
      <c r="P98" s="5" t="s">
        <v>636</v>
      </c>
      <c r="Q98" s="5">
        <v>39269099</v>
      </c>
      <c r="R98" s="17" t="s">
        <v>22</v>
      </c>
      <c r="S98" s="5" t="s">
        <v>13</v>
      </c>
      <c r="T98" s="7">
        <v>0</v>
      </c>
      <c r="U98" s="7">
        <v>0</v>
      </c>
      <c r="V98" s="7">
        <f t="shared" si="1"/>
        <v>0</v>
      </c>
      <c r="W98" s="7">
        <v>6400</v>
      </c>
    </row>
    <row r="99" spans="1:23" x14ac:dyDescent="0.3">
      <c r="A99" s="5" t="s">
        <v>187</v>
      </c>
      <c r="B99" s="5" t="s">
        <v>699</v>
      </c>
      <c r="C99" s="5">
        <v>967768513</v>
      </c>
      <c r="D99" s="303">
        <v>42934</v>
      </c>
      <c r="E99" s="7">
        <v>3848.4</v>
      </c>
      <c r="F99" s="5" t="s">
        <v>14</v>
      </c>
      <c r="G99" s="5" t="s">
        <v>11</v>
      </c>
      <c r="H99" s="5" t="s">
        <v>12</v>
      </c>
      <c r="I99" s="14">
        <v>28</v>
      </c>
      <c r="J99" s="12">
        <v>3006.4</v>
      </c>
      <c r="K99" s="5">
        <v>0</v>
      </c>
      <c r="L99" s="5">
        <v>420.99600000000004</v>
      </c>
      <c r="M99" s="5">
        <v>420.99600000000004</v>
      </c>
      <c r="N99" s="5">
        <v>0</v>
      </c>
      <c r="O99" s="5" t="s">
        <v>646</v>
      </c>
      <c r="P99" s="5" t="s">
        <v>636</v>
      </c>
      <c r="Q99" s="5">
        <v>87089900</v>
      </c>
      <c r="R99" s="17" t="s">
        <v>22</v>
      </c>
      <c r="S99" s="5" t="s">
        <v>13</v>
      </c>
      <c r="T99" s="7">
        <v>0</v>
      </c>
      <c r="U99" s="7">
        <v>0</v>
      </c>
      <c r="V99" s="7">
        <f t="shared" si="1"/>
        <v>0</v>
      </c>
      <c r="W99" s="7">
        <v>20</v>
      </c>
    </row>
    <row r="100" spans="1:23" x14ac:dyDescent="0.3">
      <c r="A100" s="5" t="s">
        <v>187</v>
      </c>
      <c r="B100" s="5" t="s">
        <v>699</v>
      </c>
      <c r="C100" s="5">
        <v>967768385</v>
      </c>
      <c r="D100" s="303">
        <v>42933</v>
      </c>
      <c r="E100" s="7">
        <v>7604.16</v>
      </c>
      <c r="F100" s="5" t="s">
        <v>14</v>
      </c>
      <c r="G100" s="5" t="s">
        <v>11</v>
      </c>
      <c r="H100" s="5" t="s">
        <v>12</v>
      </c>
      <c r="I100" s="14">
        <v>28</v>
      </c>
      <c r="J100" s="12">
        <v>5940.16</v>
      </c>
      <c r="K100" s="5">
        <v>0</v>
      </c>
      <c r="L100" s="5">
        <v>832.00239999999997</v>
      </c>
      <c r="M100" s="5">
        <v>832.00239999999997</v>
      </c>
      <c r="N100" s="5">
        <v>0</v>
      </c>
      <c r="O100" s="5" t="s">
        <v>646</v>
      </c>
      <c r="P100" s="5" t="s">
        <v>636</v>
      </c>
      <c r="Q100" s="5">
        <v>87082900</v>
      </c>
      <c r="R100" s="17" t="s">
        <v>22</v>
      </c>
      <c r="S100" s="5" t="s">
        <v>13</v>
      </c>
      <c r="T100" s="7">
        <v>0</v>
      </c>
      <c r="U100" s="7">
        <v>0</v>
      </c>
      <c r="V100" s="7">
        <f t="shared" si="1"/>
        <v>0</v>
      </c>
      <c r="W100" s="7">
        <v>38</v>
      </c>
    </row>
    <row r="101" spans="1:23" x14ac:dyDescent="0.3">
      <c r="A101" s="5" t="s">
        <v>256</v>
      </c>
      <c r="B101" s="5" t="s">
        <v>255</v>
      </c>
      <c r="C101" s="5">
        <v>17611736</v>
      </c>
      <c r="D101" s="303">
        <v>42933</v>
      </c>
      <c r="E101" s="7">
        <v>47315.76</v>
      </c>
      <c r="F101" s="5" t="s">
        <v>211</v>
      </c>
      <c r="G101" s="5" t="s">
        <v>11</v>
      </c>
      <c r="H101" s="5" t="s">
        <v>12</v>
      </c>
      <c r="I101" s="14">
        <v>28</v>
      </c>
      <c r="J101" s="12">
        <v>36965.75</v>
      </c>
      <c r="K101" s="5">
        <v>10350</v>
      </c>
      <c r="L101" s="5">
        <v>0</v>
      </c>
      <c r="M101" s="5">
        <v>0</v>
      </c>
      <c r="N101" s="5">
        <v>0</v>
      </c>
      <c r="O101" s="5" t="s">
        <v>646</v>
      </c>
      <c r="P101" s="5" t="s">
        <v>636</v>
      </c>
      <c r="Q101" s="5">
        <v>87081090</v>
      </c>
      <c r="R101" s="17" t="s">
        <v>22</v>
      </c>
      <c r="S101" s="5" t="s">
        <v>13</v>
      </c>
      <c r="T101" s="7">
        <v>0</v>
      </c>
      <c r="U101" s="7">
        <v>0</v>
      </c>
      <c r="V101" s="7">
        <f t="shared" si="1"/>
        <v>0</v>
      </c>
      <c r="W101" s="7">
        <v>60</v>
      </c>
    </row>
    <row r="102" spans="1:23" x14ac:dyDescent="0.3">
      <c r="A102" s="5" t="s">
        <v>397</v>
      </c>
      <c r="B102" s="5" t="s">
        <v>396</v>
      </c>
      <c r="C102" s="5">
        <v>1093</v>
      </c>
      <c r="D102" s="303">
        <v>42935</v>
      </c>
      <c r="E102" s="7">
        <v>3658</v>
      </c>
      <c r="F102" s="5" t="s">
        <v>14</v>
      </c>
      <c r="G102" s="5" t="s">
        <v>11</v>
      </c>
      <c r="H102" s="5" t="s">
        <v>12</v>
      </c>
      <c r="I102" s="14">
        <v>18</v>
      </c>
      <c r="J102" s="12">
        <v>3100</v>
      </c>
      <c r="K102" s="5">
        <v>0</v>
      </c>
      <c r="L102" s="5">
        <v>279</v>
      </c>
      <c r="M102" s="5">
        <v>279</v>
      </c>
      <c r="N102" s="5">
        <v>0</v>
      </c>
      <c r="O102" s="5" t="s">
        <v>646</v>
      </c>
      <c r="P102" s="5" t="s">
        <v>636</v>
      </c>
      <c r="Q102" s="5">
        <v>998933</v>
      </c>
      <c r="R102" s="17" t="s">
        <v>22</v>
      </c>
      <c r="S102" s="5" t="s">
        <v>13</v>
      </c>
      <c r="T102" s="7">
        <v>0</v>
      </c>
      <c r="U102" s="7">
        <v>0</v>
      </c>
      <c r="V102" s="7">
        <f t="shared" si="1"/>
        <v>0</v>
      </c>
      <c r="W102" s="7">
        <v>400</v>
      </c>
    </row>
    <row r="103" spans="1:23" x14ac:dyDescent="0.3">
      <c r="A103" s="5" t="s">
        <v>399</v>
      </c>
      <c r="B103" s="5" t="s">
        <v>398</v>
      </c>
      <c r="C103" s="5" t="s">
        <v>400</v>
      </c>
      <c r="D103" s="303">
        <v>42935</v>
      </c>
      <c r="E103" s="7">
        <v>446451</v>
      </c>
      <c r="F103" s="5" t="s">
        <v>14</v>
      </c>
      <c r="G103" s="5" t="s">
        <v>11</v>
      </c>
      <c r="H103" s="5" t="s">
        <v>12</v>
      </c>
      <c r="I103" s="14">
        <v>28</v>
      </c>
      <c r="J103" s="12">
        <v>348790</v>
      </c>
      <c r="K103" s="5">
        <v>0</v>
      </c>
      <c r="L103" s="5">
        <v>48830.6</v>
      </c>
      <c r="M103" s="5">
        <v>48830.6</v>
      </c>
      <c r="N103" s="5">
        <v>0</v>
      </c>
      <c r="O103" s="5" t="s">
        <v>646</v>
      </c>
      <c r="P103" s="5" t="s">
        <v>636</v>
      </c>
      <c r="Q103" s="5">
        <v>32082090</v>
      </c>
      <c r="R103" s="17" t="s">
        <v>250</v>
      </c>
      <c r="S103" s="5" t="s">
        <v>249</v>
      </c>
      <c r="T103" s="7">
        <v>0</v>
      </c>
      <c r="U103" s="7">
        <v>0</v>
      </c>
      <c r="V103" s="7">
        <f t="shared" si="1"/>
        <v>0</v>
      </c>
      <c r="W103" s="7">
        <v>1000</v>
      </c>
    </row>
    <row r="104" spans="1:23" x14ac:dyDescent="0.3">
      <c r="A104" s="5" t="s">
        <v>399</v>
      </c>
      <c r="B104" s="5" t="s">
        <v>398</v>
      </c>
      <c r="C104" s="5" t="s">
        <v>401</v>
      </c>
      <c r="D104" s="303">
        <v>42935</v>
      </c>
      <c r="E104" s="7">
        <v>16358</v>
      </c>
      <c r="F104" s="5" t="s">
        <v>14</v>
      </c>
      <c r="G104" s="5" t="s">
        <v>11</v>
      </c>
      <c r="H104" s="5" t="s">
        <v>12</v>
      </c>
      <c r="I104" s="14">
        <v>28</v>
      </c>
      <c r="J104" s="12">
        <v>12780</v>
      </c>
      <c r="K104" s="5">
        <v>0</v>
      </c>
      <c r="L104" s="5">
        <v>1789.2</v>
      </c>
      <c r="M104" s="5">
        <v>1789.2</v>
      </c>
      <c r="N104" s="5">
        <v>0</v>
      </c>
      <c r="O104" s="5" t="s">
        <v>646</v>
      </c>
      <c r="P104" s="5" t="s">
        <v>636</v>
      </c>
      <c r="Q104" s="5">
        <v>32081090</v>
      </c>
      <c r="R104" s="17" t="s">
        <v>250</v>
      </c>
      <c r="S104" s="5" t="s">
        <v>249</v>
      </c>
      <c r="T104" s="7">
        <v>0</v>
      </c>
      <c r="U104" s="7">
        <v>0</v>
      </c>
      <c r="V104" s="7">
        <f t="shared" si="1"/>
        <v>0</v>
      </c>
      <c r="W104" s="7">
        <v>60</v>
      </c>
    </row>
    <row r="105" spans="1:23" x14ac:dyDescent="0.3">
      <c r="A105" s="5" t="s">
        <v>399</v>
      </c>
      <c r="B105" s="5" t="s">
        <v>398</v>
      </c>
      <c r="C105" s="5" t="s">
        <v>401</v>
      </c>
      <c r="D105" s="303">
        <v>42935</v>
      </c>
      <c r="E105" s="7">
        <v>4731</v>
      </c>
      <c r="F105" s="5" t="s">
        <v>14</v>
      </c>
      <c r="G105" s="5" t="s">
        <v>11</v>
      </c>
      <c r="H105" s="5" t="s">
        <v>12</v>
      </c>
      <c r="I105" s="14">
        <v>28</v>
      </c>
      <c r="J105" s="12">
        <v>3696</v>
      </c>
      <c r="K105" s="5">
        <v>0</v>
      </c>
      <c r="L105" s="5">
        <v>517.44000000000005</v>
      </c>
      <c r="M105" s="5">
        <v>517.44000000000005</v>
      </c>
      <c r="N105" s="5">
        <v>0</v>
      </c>
      <c r="O105" s="5" t="s">
        <v>646</v>
      </c>
      <c r="P105" s="5" t="s">
        <v>636</v>
      </c>
      <c r="Q105" s="5">
        <v>38140010</v>
      </c>
      <c r="R105" s="17" t="s">
        <v>251</v>
      </c>
      <c r="S105" s="5" t="s">
        <v>249</v>
      </c>
      <c r="T105" s="7">
        <v>0</v>
      </c>
      <c r="U105" s="7">
        <v>0</v>
      </c>
      <c r="V105" s="7">
        <f t="shared" si="1"/>
        <v>0</v>
      </c>
      <c r="W105" s="7">
        <v>40</v>
      </c>
    </row>
    <row r="106" spans="1:23" x14ac:dyDescent="0.3">
      <c r="A106" s="121" t="s">
        <v>187</v>
      </c>
      <c r="B106" s="5" t="s">
        <v>699</v>
      </c>
      <c r="C106" s="5">
        <v>967768633</v>
      </c>
      <c r="D106" s="303">
        <v>42935</v>
      </c>
      <c r="E106" s="7">
        <v>8002.8</v>
      </c>
      <c r="F106" s="5" t="s">
        <v>14</v>
      </c>
      <c r="G106" s="5" t="s">
        <v>11</v>
      </c>
      <c r="H106" s="5" t="s">
        <v>12</v>
      </c>
      <c r="I106" s="14">
        <v>28</v>
      </c>
      <c r="J106" s="12">
        <v>6252.8</v>
      </c>
      <c r="K106" s="5">
        <v>0</v>
      </c>
      <c r="L106" s="5">
        <v>875.00199999999995</v>
      </c>
      <c r="M106" s="5">
        <v>875.00199999999995</v>
      </c>
      <c r="N106" s="5">
        <v>0</v>
      </c>
      <c r="O106" s="5" t="s">
        <v>646</v>
      </c>
      <c r="P106" s="5" t="s">
        <v>636</v>
      </c>
      <c r="Q106" s="5">
        <v>87082900</v>
      </c>
      <c r="R106" s="17" t="s">
        <v>22</v>
      </c>
      <c r="S106" s="5" t="s">
        <v>13</v>
      </c>
      <c r="T106" s="7">
        <v>0</v>
      </c>
      <c r="U106" s="7">
        <v>0</v>
      </c>
      <c r="V106" s="7">
        <f t="shared" si="1"/>
        <v>0</v>
      </c>
      <c r="W106" s="7">
        <v>40</v>
      </c>
    </row>
    <row r="107" spans="1:23" x14ac:dyDescent="0.3">
      <c r="A107" s="5" t="s">
        <v>214</v>
      </c>
      <c r="B107" s="5" t="s">
        <v>215</v>
      </c>
      <c r="C107" s="5">
        <v>2701801670</v>
      </c>
      <c r="D107" s="303">
        <v>42935</v>
      </c>
      <c r="E107" s="7">
        <v>33976.32</v>
      </c>
      <c r="F107" s="5" t="s">
        <v>14</v>
      </c>
      <c r="G107" s="5" t="s">
        <v>11</v>
      </c>
      <c r="H107" s="5" t="s">
        <v>12</v>
      </c>
      <c r="I107" s="14">
        <v>28</v>
      </c>
      <c r="J107" s="12">
        <v>26544</v>
      </c>
      <c r="K107" s="5">
        <v>0</v>
      </c>
      <c r="L107" s="5">
        <v>3716.16</v>
      </c>
      <c r="M107" s="5">
        <v>3716.16</v>
      </c>
      <c r="N107" s="5">
        <v>0</v>
      </c>
      <c r="O107" s="5" t="s">
        <v>646</v>
      </c>
      <c r="P107" s="5" t="s">
        <v>636</v>
      </c>
      <c r="Q107" s="5">
        <v>87142090</v>
      </c>
      <c r="R107" s="17" t="s">
        <v>22</v>
      </c>
      <c r="S107" s="5" t="s">
        <v>13</v>
      </c>
      <c r="T107" s="7">
        <v>0</v>
      </c>
      <c r="U107" s="7">
        <v>0</v>
      </c>
      <c r="V107" s="7">
        <f t="shared" si="1"/>
        <v>0</v>
      </c>
      <c r="W107" s="7">
        <v>2400</v>
      </c>
    </row>
    <row r="108" spans="1:23" x14ac:dyDescent="0.3">
      <c r="A108" s="5" t="s">
        <v>282</v>
      </c>
      <c r="B108" s="5" t="s">
        <v>5</v>
      </c>
      <c r="C108" s="5">
        <v>2040999998</v>
      </c>
      <c r="D108" s="303">
        <v>42935</v>
      </c>
      <c r="E108" s="7">
        <v>13094.4</v>
      </c>
      <c r="F108" s="5" t="s">
        <v>14</v>
      </c>
      <c r="G108" s="5" t="s">
        <v>11</v>
      </c>
      <c r="H108" s="5" t="s">
        <v>12</v>
      </c>
      <c r="I108" s="14">
        <v>28</v>
      </c>
      <c r="J108" s="12">
        <v>10230</v>
      </c>
      <c r="K108" s="5">
        <v>0</v>
      </c>
      <c r="L108" s="5">
        <v>1432.2</v>
      </c>
      <c r="M108" s="5">
        <v>1432.2</v>
      </c>
      <c r="N108" s="5">
        <v>0</v>
      </c>
      <c r="O108" s="5" t="s">
        <v>646</v>
      </c>
      <c r="P108" s="5" t="s">
        <v>636</v>
      </c>
      <c r="Q108" s="5">
        <v>87141090</v>
      </c>
      <c r="R108" s="17" t="s">
        <v>22</v>
      </c>
      <c r="S108" s="5" t="s">
        <v>13</v>
      </c>
      <c r="T108" s="7">
        <v>0</v>
      </c>
      <c r="U108" s="7">
        <v>0</v>
      </c>
      <c r="V108" s="7">
        <f t="shared" si="1"/>
        <v>0</v>
      </c>
      <c r="W108" s="7">
        <v>200</v>
      </c>
    </row>
    <row r="109" spans="1:23" x14ac:dyDescent="0.3">
      <c r="A109" s="5" t="s">
        <v>282</v>
      </c>
      <c r="B109" s="5" t="s">
        <v>5</v>
      </c>
      <c r="C109" s="5">
        <v>2040999999</v>
      </c>
      <c r="D109" s="303">
        <v>42935</v>
      </c>
      <c r="E109" s="7">
        <v>10741.76</v>
      </c>
      <c r="F109" s="5" t="s">
        <v>14</v>
      </c>
      <c r="G109" s="5" t="s">
        <v>11</v>
      </c>
      <c r="H109" s="5" t="s">
        <v>12</v>
      </c>
      <c r="I109" s="14">
        <v>28</v>
      </c>
      <c r="J109" s="12">
        <v>8392</v>
      </c>
      <c r="K109" s="5">
        <v>0</v>
      </c>
      <c r="L109" s="5">
        <v>1174.8800000000001</v>
      </c>
      <c r="M109" s="5">
        <v>1174.8800000000001</v>
      </c>
      <c r="N109" s="5">
        <v>0</v>
      </c>
      <c r="O109" s="5" t="s">
        <v>646</v>
      </c>
      <c r="P109" s="5" t="s">
        <v>636</v>
      </c>
      <c r="Q109" s="5">
        <v>39199090</v>
      </c>
      <c r="R109" s="17" t="s">
        <v>22</v>
      </c>
      <c r="S109" s="5" t="s">
        <v>13</v>
      </c>
      <c r="T109" s="7">
        <v>0</v>
      </c>
      <c r="U109" s="7">
        <v>0</v>
      </c>
      <c r="V109" s="7">
        <f t="shared" si="1"/>
        <v>0</v>
      </c>
      <c r="W109" s="7">
        <v>200</v>
      </c>
    </row>
    <row r="110" spans="1:23" x14ac:dyDescent="0.3">
      <c r="A110" s="5" t="s">
        <v>261</v>
      </c>
      <c r="B110" s="5" t="s">
        <v>260</v>
      </c>
      <c r="C110" s="5">
        <v>9963</v>
      </c>
      <c r="D110" s="303">
        <v>42935</v>
      </c>
      <c r="E110" s="7">
        <v>76793.8</v>
      </c>
      <c r="F110" s="5" t="s">
        <v>14</v>
      </c>
      <c r="G110" s="5" t="s">
        <v>11</v>
      </c>
      <c r="H110" s="5" t="s">
        <v>12</v>
      </c>
      <c r="I110" s="14">
        <v>28</v>
      </c>
      <c r="J110" s="12">
        <v>60088.15</v>
      </c>
      <c r="K110" s="5">
        <v>0</v>
      </c>
      <c r="L110" s="5">
        <v>8412.0010000000002</v>
      </c>
      <c r="M110" s="5">
        <v>8412.0010000000002</v>
      </c>
      <c r="N110" s="5">
        <v>0</v>
      </c>
      <c r="O110" s="5" t="s">
        <v>646</v>
      </c>
      <c r="P110" s="5" t="s">
        <v>636</v>
      </c>
      <c r="Q110" s="5">
        <v>87141900</v>
      </c>
      <c r="R110" s="17" t="s">
        <v>22</v>
      </c>
      <c r="S110" s="5" t="s">
        <v>13</v>
      </c>
      <c r="T110" s="7">
        <v>0</v>
      </c>
      <c r="U110" s="7">
        <v>0</v>
      </c>
      <c r="V110" s="7">
        <f t="shared" si="1"/>
        <v>0</v>
      </c>
      <c r="W110" s="7">
        <v>1135</v>
      </c>
    </row>
    <row r="111" spans="1:23" x14ac:dyDescent="0.3">
      <c r="A111" s="5" t="s">
        <v>227</v>
      </c>
      <c r="B111" s="5" t="s">
        <v>226</v>
      </c>
      <c r="C111" s="5">
        <v>679</v>
      </c>
      <c r="D111" s="303">
        <v>42934</v>
      </c>
      <c r="E111" s="7">
        <v>24000</v>
      </c>
      <c r="F111" s="5" t="s">
        <v>211</v>
      </c>
      <c r="G111" s="5" t="s">
        <v>11</v>
      </c>
      <c r="H111" s="5" t="s">
        <v>12</v>
      </c>
      <c r="I111" s="14">
        <v>28</v>
      </c>
      <c r="J111" s="12">
        <v>18750</v>
      </c>
      <c r="K111" s="5">
        <v>5250</v>
      </c>
      <c r="L111" s="5">
        <v>0</v>
      </c>
      <c r="M111" s="5">
        <v>0</v>
      </c>
      <c r="N111" s="5">
        <v>0</v>
      </c>
      <c r="O111" s="5" t="s">
        <v>646</v>
      </c>
      <c r="P111" s="5" t="s">
        <v>636</v>
      </c>
      <c r="Q111" s="5">
        <v>87089900</v>
      </c>
      <c r="R111" s="17" t="s">
        <v>22</v>
      </c>
      <c r="S111" s="5" t="s">
        <v>13</v>
      </c>
      <c r="T111" s="7">
        <v>0</v>
      </c>
      <c r="U111" s="7">
        <v>0</v>
      </c>
      <c r="V111" s="7">
        <f t="shared" si="1"/>
        <v>0</v>
      </c>
      <c r="W111" s="7">
        <v>375</v>
      </c>
    </row>
    <row r="112" spans="1:23" x14ac:dyDescent="0.3">
      <c r="A112" s="5" t="s">
        <v>227</v>
      </c>
      <c r="B112" s="5" t="s">
        <v>226</v>
      </c>
      <c r="C112" s="5">
        <v>722</v>
      </c>
      <c r="D112" s="303">
        <v>42935</v>
      </c>
      <c r="E112" s="7">
        <v>17920</v>
      </c>
      <c r="F112" s="5" t="s">
        <v>211</v>
      </c>
      <c r="G112" s="5" t="s">
        <v>11</v>
      </c>
      <c r="H112" s="5" t="s">
        <v>12</v>
      </c>
      <c r="I112" s="14">
        <v>28</v>
      </c>
      <c r="J112" s="12">
        <v>14000</v>
      </c>
      <c r="K112" s="5">
        <v>3920</v>
      </c>
      <c r="L112" s="5">
        <v>0</v>
      </c>
      <c r="M112" s="5">
        <v>0</v>
      </c>
      <c r="N112" s="5">
        <v>0</v>
      </c>
      <c r="O112" s="5" t="s">
        <v>646</v>
      </c>
      <c r="P112" s="5" t="s">
        <v>636</v>
      </c>
      <c r="Q112" s="5">
        <v>87089900</v>
      </c>
      <c r="R112" s="17" t="s">
        <v>22</v>
      </c>
      <c r="S112" s="5" t="s">
        <v>13</v>
      </c>
      <c r="T112" s="7">
        <v>0</v>
      </c>
      <c r="U112" s="7">
        <v>0</v>
      </c>
      <c r="V112" s="7">
        <f t="shared" si="1"/>
        <v>0</v>
      </c>
      <c r="W112" s="7">
        <v>280</v>
      </c>
    </row>
    <row r="113" spans="1:23" x14ac:dyDescent="0.3">
      <c r="A113" s="5" t="s">
        <v>282</v>
      </c>
      <c r="B113" s="5" t="s">
        <v>5</v>
      </c>
      <c r="C113" s="5">
        <v>2041000515</v>
      </c>
      <c r="D113" s="303">
        <v>42936</v>
      </c>
      <c r="E113" s="7">
        <v>10741.76</v>
      </c>
      <c r="F113" s="5" t="s">
        <v>14</v>
      </c>
      <c r="G113" s="5" t="s">
        <v>11</v>
      </c>
      <c r="H113" s="5" t="s">
        <v>12</v>
      </c>
      <c r="I113" s="14">
        <v>28</v>
      </c>
      <c r="J113" s="12">
        <v>8392</v>
      </c>
      <c r="K113" s="5">
        <v>0</v>
      </c>
      <c r="L113" s="5">
        <v>1174.8800000000001</v>
      </c>
      <c r="M113" s="5">
        <v>1174.8800000000001</v>
      </c>
      <c r="N113" s="5">
        <v>0</v>
      </c>
      <c r="O113" s="5" t="s">
        <v>646</v>
      </c>
      <c r="P113" s="5" t="s">
        <v>636</v>
      </c>
      <c r="Q113" s="5">
        <v>39199090</v>
      </c>
      <c r="R113" s="17" t="s">
        <v>22</v>
      </c>
      <c r="S113" s="5" t="s">
        <v>13</v>
      </c>
      <c r="T113" s="7">
        <v>0</v>
      </c>
      <c r="U113" s="7">
        <v>0</v>
      </c>
      <c r="V113" s="7">
        <f t="shared" si="1"/>
        <v>0</v>
      </c>
      <c r="W113" s="7">
        <v>200</v>
      </c>
    </row>
    <row r="114" spans="1:23" x14ac:dyDescent="0.3">
      <c r="A114" s="5" t="s">
        <v>282</v>
      </c>
      <c r="B114" s="5" t="s">
        <v>5</v>
      </c>
      <c r="C114" s="5">
        <v>2041000516</v>
      </c>
      <c r="D114" s="303">
        <v>42936</v>
      </c>
      <c r="E114" s="7">
        <v>13094.4</v>
      </c>
      <c r="F114" s="5" t="s">
        <v>14</v>
      </c>
      <c r="G114" s="5" t="s">
        <v>11</v>
      </c>
      <c r="H114" s="5" t="s">
        <v>12</v>
      </c>
      <c r="I114" s="14">
        <v>28</v>
      </c>
      <c r="J114" s="12">
        <v>10230</v>
      </c>
      <c r="K114" s="5">
        <v>0</v>
      </c>
      <c r="L114" s="5">
        <v>1432.2</v>
      </c>
      <c r="M114" s="5">
        <v>1432.2</v>
      </c>
      <c r="N114" s="5">
        <v>0</v>
      </c>
      <c r="O114" s="5" t="s">
        <v>646</v>
      </c>
      <c r="P114" s="5" t="s">
        <v>636</v>
      </c>
      <c r="Q114" s="5">
        <v>87141090</v>
      </c>
      <c r="R114" s="17" t="s">
        <v>22</v>
      </c>
      <c r="S114" s="5" t="s">
        <v>13</v>
      </c>
      <c r="T114" s="7">
        <v>0</v>
      </c>
      <c r="U114" s="7">
        <v>0</v>
      </c>
      <c r="V114" s="7">
        <f t="shared" si="1"/>
        <v>0</v>
      </c>
      <c r="W114" s="7">
        <v>200</v>
      </c>
    </row>
    <row r="115" spans="1:23" x14ac:dyDescent="0.3">
      <c r="A115" s="5" t="s">
        <v>253</v>
      </c>
      <c r="B115" s="5" t="s">
        <v>252</v>
      </c>
      <c r="C115" s="5">
        <v>1650</v>
      </c>
      <c r="D115" s="303">
        <v>42936</v>
      </c>
      <c r="E115" s="7">
        <v>39565</v>
      </c>
      <c r="F115" s="5" t="s">
        <v>14</v>
      </c>
      <c r="G115" s="5" t="s">
        <v>11</v>
      </c>
      <c r="H115" s="5" t="s">
        <v>12</v>
      </c>
      <c r="I115" s="14">
        <v>28</v>
      </c>
      <c r="J115" s="12">
        <v>30910</v>
      </c>
      <c r="K115" s="5">
        <v>0</v>
      </c>
      <c r="L115" s="5">
        <v>4327.4000000000005</v>
      </c>
      <c r="M115" s="5">
        <v>4327.4000000000005</v>
      </c>
      <c r="N115" s="5">
        <v>0</v>
      </c>
      <c r="O115" s="5" t="s">
        <v>646</v>
      </c>
      <c r="P115" s="5" t="s">
        <v>636</v>
      </c>
      <c r="Q115" s="5">
        <v>85129000</v>
      </c>
      <c r="R115" s="5" t="s">
        <v>254</v>
      </c>
      <c r="S115" s="5" t="s">
        <v>13</v>
      </c>
      <c r="T115" s="7">
        <v>0</v>
      </c>
      <c r="U115" s="7">
        <v>0</v>
      </c>
      <c r="V115" s="7">
        <f t="shared" si="1"/>
        <v>0</v>
      </c>
      <c r="W115" s="7">
        <v>1100</v>
      </c>
    </row>
    <row r="116" spans="1:23" x14ac:dyDescent="0.3">
      <c r="A116" s="5" t="s">
        <v>397</v>
      </c>
      <c r="B116" s="5" t="s">
        <v>396</v>
      </c>
      <c r="C116" s="5">
        <v>1104</v>
      </c>
      <c r="D116" s="303">
        <v>42936</v>
      </c>
      <c r="E116" s="7">
        <v>1920</v>
      </c>
      <c r="F116" s="5" t="s">
        <v>14</v>
      </c>
      <c r="G116" s="5" t="s">
        <v>11</v>
      </c>
      <c r="H116" s="5" t="s">
        <v>12</v>
      </c>
      <c r="I116" s="14">
        <v>18</v>
      </c>
      <c r="J116" s="12">
        <v>1626.8</v>
      </c>
      <c r="K116" s="5">
        <v>0</v>
      </c>
      <c r="L116" s="5">
        <v>146.41200000000001</v>
      </c>
      <c r="M116" s="5">
        <v>146.41200000000001</v>
      </c>
      <c r="N116" s="5">
        <v>0</v>
      </c>
      <c r="O116" s="5" t="s">
        <v>646</v>
      </c>
      <c r="P116" s="5" t="s">
        <v>636</v>
      </c>
      <c r="Q116" s="5">
        <v>998933</v>
      </c>
      <c r="R116" s="17" t="s">
        <v>22</v>
      </c>
      <c r="S116" s="5" t="s">
        <v>13</v>
      </c>
      <c r="T116" s="7">
        <v>0</v>
      </c>
      <c r="U116" s="7">
        <v>0</v>
      </c>
      <c r="V116" s="7">
        <f t="shared" si="1"/>
        <v>0</v>
      </c>
      <c r="W116" s="7">
        <v>20</v>
      </c>
    </row>
    <row r="117" spans="1:23" x14ac:dyDescent="0.3">
      <c r="A117" s="5" t="s">
        <v>435</v>
      </c>
      <c r="B117" s="5" t="s">
        <v>434</v>
      </c>
      <c r="C117" s="5">
        <v>188</v>
      </c>
      <c r="D117" s="303">
        <v>42935</v>
      </c>
      <c r="E117" s="7">
        <v>1760</v>
      </c>
      <c r="F117" s="5" t="s">
        <v>14</v>
      </c>
      <c r="G117" s="5" t="s">
        <v>11</v>
      </c>
      <c r="H117" s="5" t="s">
        <v>12</v>
      </c>
      <c r="I117" s="14">
        <v>28</v>
      </c>
      <c r="J117" s="12">
        <v>1375</v>
      </c>
      <c r="K117" s="5">
        <v>0</v>
      </c>
      <c r="L117" s="5">
        <v>192.5</v>
      </c>
      <c r="M117" s="5">
        <v>192.5</v>
      </c>
      <c r="N117" s="5">
        <v>0</v>
      </c>
      <c r="O117" s="5" t="s">
        <v>646</v>
      </c>
      <c r="P117" s="5" t="s">
        <v>636</v>
      </c>
      <c r="Q117" s="5">
        <v>32089022</v>
      </c>
      <c r="R117" s="17" t="s">
        <v>250</v>
      </c>
      <c r="S117" s="5" t="s">
        <v>249</v>
      </c>
      <c r="T117" s="7">
        <v>0</v>
      </c>
      <c r="U117" s="7">
        <v>0</v>
      </c>
      <c r="V117" s="7">
        <f t="shared" si="1"/>
        <v>0</v>
      </c>
      <c r="W117" s="7">
        <v>8</v>
      </c>
    </row>
    <row r="118" spans="1:23" x14ac:dyDescent="0.3">
      <c r="A118" s="5" t="s">
        <v>397</v>
      </c>
      <c r="B118" s="5" t="s">
        <v>396</v>
      </c>
      <c r="C118" s="5">
        <v>1115</v>
      </c>
      <c r="D118" s="303">
        <v>42937</v>
      </c>
      <c r="E118" s="7">
        <v>3658</v>
      </c>
      <c r="F118" s="5" t="s">
        <v>14</v>
      </c>
      <c r="G118" s="5" t="s">
        <v>11</v>
      </c>
      <c r="H118" s="5" t="s">
        <v>12</v>
      </c>
      <c r="I118" s="14">
        <v>18</v>
      </c>
      <c r="J118" s="12">
        <v>3100</v>
      </c>
      <c r="K118" s="5">
        <v>0</v>
      </c>
      <c r="L118" s="5">
        <v>279</v>
      </c>
      <c r="M118" s="5">
        <v>279</v>
      </c>
      <c r="N118" s="5">
        <v>0</v>
      </c>
      <c r="O118" s="5" t="s">
        <v>646</v>
      </c>
      <c r="P118" s="5" t="s">
        <v>636</v>
      </c>
      <c r="Q118" s="5">
        <v>998933</v>
      </c>
      <c r="R118" s="17" t="s">
        <v>22</v>
      </c>
      <c r="S118" s="5" t="s">
        <v>13</v>
      </c>
      <c r="T118" s="7">
        <v>0</v>
      </c>
      <c r="U118" s="7">
        <v>0</v>
      </c>
      <c r="V118" s="7">
        <f t="shared" si="1"/>
        <v>0</v>
      </c>
      <c r="W118" s="7">
        <v>200</v>
      </c>
    </row>
    <row r="119" spans="1:23" x14ac:dyDescent="0.3">
      <c r="A119" s="5" t="s">
        <v>397</v>
      </c>
      <c r="B119" s="5" t="s">
        <v>396</v>
      </c>
      <c r="C119" s="5">
        <v>1116</v>
      </c>
      <c r="D119" s="303">
        <v>42937</v>
      </c>
      <c r="E119" s="7">
        <v>1920</v>
      </c>
      <c r="F119" s="5" t="s">
        <v>14</v>
      </c>
      <c r="G119" s="5" t="s">
        <v>11</v>
      </c>
      <c r="H119" s="5" t="s">
        <v>12</v>
      </c>
      <c r="I119" s="14">
        <v>18</v>
      </c>
      <c r="J119" s="12">
        <v>1626.8</v>
      </c>
      <c r="K119" s="5">
        <v>0</v>
      </c>
      <c r="L119" s="5">
        <v>146.41200000000001</v>
      </c>
      <c r="M119" s="5">
        <v>146.41200000000001</v>
      </c>
      <c r="N119" s="5">
        <v>0</v>
      </c>
      <c r="O119" s="5" t="s">
        <v>646</v>
      </c>
      <c r="P119" s="5" t="s">
        <v>636</v>
      </c>
      <c r="Q119" s="5">
        <v>998933</v>
      </c>
      <c r="R119" s="17" t="s">
        <v>22</v>
      </c>
      <c r="S119" s="5" t="s">
        <v>13</v>
      </c>
      <c r="T119" s="7">
        <v>0</v>
      </c>
      <c r="U119" s="7">
        <v>0</v>
      </c>
      <c r="V119" s="7">
        <f t="shared" si="1"/>
        <v>0</v>
      </c>
      <c r="W119" s="7">
        <v>20</v>
      </c>
    </row>
    <row r="120" spans="1:23" x14ac:dyDescent="0.3">
      <c r="A120" s="5" t="s">
        <v>397</v>
      </c>
      <c r="B120" s="5" t="s">
        <v>396</v>
      </c>
      <c r="C120" s="5">
        <v>1124</v>
      </c>
      <c r="D120" s="303">
        <v>42937</v>
      </c>
      <c r="E120" s="7">
        <v>1829</v>
      </c>
      <c r="F120" s="5" t="s">
        <v>14</v>
      </c>
      <c r="G120" s="5" t="s">
        <v>11</v>
      </c>
      <c r="H120" s="5" t="s">
        <v>12</v>
      </c>
      <c r="I120" s="14">
        <v>18</v>
      </c>
      <c r="J120" s="12">
        <v>1550</v>
      </c>
      <c r="K120" s="5">
        <v>0</v>
      </c>
      <c r="L120" s="5">
        <v>139.5</v>
      </c>
      <c r="M120" s="5">
        <v>139.5</v>
      </c>
      <c r="N120" s="5">
        <v>0</v>
      </c>
      <c r="O120" s="5" t="s">
        <v>646</v>
      </c>
      <c r="P120" s="5" t="s">
        <v>636</v>
      </c>
      <c r="Q120" s="5">
        <v>998933</v>
      </c>
      <c r="R120" s="17" t="s">
        <v>22</v>
      </c>
      <c r="S120" s="5" t="s">
        <v>13</v>
      </c>
      <c r="T120" s="7">
        <v>0</v>
      </c>
      <c r="U120" s="7">
        <v>0</v>
      </c>
      <c r="V120" s="7">
        <f t="shared" si="1"/>
        <v>0</v>
      </c>
      <c r="W120" s="7">
        <v>200</v>
      </c>
    </row>
    <row r="121" spans="1:23" x14ac:dyDescent="0.3">
      <c r="A121" s="5" t="s">
        <v>261</v>
      </c>
      <c r="B121" s="5" t="s">
        <v>260</v>
      </c>
      <c r="C121" s="5">
        <v>10100</v>
      </c>
      <c r="D121" s="303">
        <v>42937</v>
      </c>
      <c r="E121" s="7">
        <v>42639.4</v>
      </c>
      <c r="F121" s="5" t="s">
        <v>14</v>
      </c>
      <c r="G121" s="5" t="s">
        <v>11</v>
      </c>
      <c r="H121" s="5" t="s">
        <v>12</v>
      </c>
      <c r="I121" s="14">
        <v>28</v>
      </c>
      <c r="J121" s="12">
        <f>33297.4+66.1</f>
        <v>33363.5</v>
      </c>
      <c r="K121" s="5">
        <v>0</v>
      </c>
      <c r="L121" s="5">
        <v>4670.9999999999991</v>
      </c>
      <c r="M121" s="5">
        <v>4670.9999999999991</v>
      </c>
      <c r="N121" s="5">
        <v>0</v>
      </c>
      <c r="O121" s="5" t="s">
        <v>646</v>
      </c>
      <c r="P121" s="5" t="s">
        <v>636</v>
      </c>
      <c r="Q121" s="5">
        <v>87141900</v>
      </c>
      <c r="R121" s="17" t="s">
        <v>22</v>
      </c>
      <c r="S121" s="5" t="s">
        <v>13</v>
      </c>
      <c r="T121" s="7">
        <v>0</v>
      </c>
      <c r="U121" s="7">
        <v>0</v>
      </c>
      <c r="V121" s="7">
        <f t="shared" si="1"/>
        <v>0</v>
      </c>
      <c r="W121" s="7">
        <v>630</v>
      </c>
    </row>
    <row r="122" spans="1:23" x14ac:dyDescent="0.3">
      <c r="A122" s="5" t="s">
        <v>261</v>
      </c>
      <c r="B122" s="5" t="s">
        <v>260</v>
      </c>
      <c r="C122" s="5">
        <v>10134</v>
      </c>
      <c r="D122" s="303">
        <v>42937</v>
      </c>
      <c r="E122" s="7">
        <v>86290.5</v>
      </c>
      <c r="F122" s="5" t="s">
        <v>14</v>
      </c>
      <c r="G122" s="5" t="s">
        <v>11</v>
      </c>
      <c r="H122" s="5" t="s">
        <v>12</v>
      </c>
      <c r="I122" s="14">
        <v>28</v>
      </c>
      <c r="J122" s="12">
        <f>67384.5+133.65</f>
        <v>67518.149999999994</v>
      </c>
      <c r="K122" s="5">
        <v>0</v>
      </c>
      <c r="L122" s="5">
        <v>9453.0009999999984</v>
      </c>
      <c r="M122" s="5">
        <v>9453.0009999999984</v>
      </c>
      <c r="N122" s="5">
        <v>0</v>
      </c>
      <c r="O122" s="5" t="s">
        <v>646</v>
      </c>
      <c r="P122" s="5" t="s">
        <v>636</v>
      </c>
      <c r="Q122" s="5">
        <v>87141900</v>
      </c>
      <c r="R122" s="17" t="s">
        <v>22</v>
      </c>
      <c r="S122" s="5" t="s">
        <v>13</v>
      </c>
      <c r="T122" s="7">
        <v>0</v>
      </c>
      <c r="U122" s="7">
        <v>0</v>
      </c>
      <c r="V122" s="7">
        <f t="shared" si="1"/>
        <v>0</v>
      </c>
      <c r="W122" s="7">
        <v>1275</v>
      </c>
    </row>
    <row r="123" spans="1:23" x14ac:dyDescent="0.3">
      <c r="A123" s="5" t="s">
        <v>282</v>
      </c>
      <c r="B123" s="5" t="s">
        <v>5</v>
      </c>
      <c r="C123" s="5">
        <v>2041000829</v>
      </c>
      <c r="D123" s="303">
        <v>42937</v>
      </c>
      <c r="E123" s="7">
        <v>67776.320000000007</v>
      </c>
      <c r="F123" s="5" t="s">
        <v>14</v>
      </c>
      <c r="G123" s="5" t="s">
        <v>11</v>
      </c>
      <c r="H123" s="5" t="s">
        <v>12</v>
      </c>
      <c r="I123" s="14">
        <v>28</v>
      </c>
      <c r="J123" s="12">
        <v>52950.239999999998</v>
      </c>
      <c r="K123" s="5">
        <v>0</v>
      </c>
      <c r="L123" s="5">
        <v>7413.0436</v>
      </c>
      <c r="M123" s="5">
        <v>7413.0436</v>
      </c>
      <c r="N123" s="5">
        <v>0</v>
      </c>
      <c r="O123" s="5" t="s">
        <v>646</v>
      </c>
      <c r="P123" s="5" t="s">
        <v>636</v>
      </c>
      <c r="Q123" s="5">
        <v>87141090</v>
      </c>
      <c r="R123" s="17" t="s">
        <v>22</v>
      </c>
      <c r="S123" s="5" t="s">
        <v>13</v>
      </c>
      <c r="T123" s="7">
        <v>0</v>
      </c>
      <c r="U123" s="7">
        <v>0</v>
      </c>
      <c r="V123" s="7">
        <f t="shared" si="1"/>
        <v>0</v>
      </c>
      <c r="W123" s="7">
        <v>1428</v>
      </c>
    </row>
    <row r="124" spans="1:23" x14ac:dyDescent="0.3">
      <c r="A124" s="5" t="s">
        <v>282</v>
      </c>
      <c r="B124" s="5" t="s">
        <v>5</v>
      </c>
      <c r="C124" s="5">
        <v>2041000830</v>
      </c>
      <c r="D124" s="303">
        <v>42937</v>
      </c>
      <c r="E124" s="7">
        <v>13094.4</v>
      </c>
      <c r="F124" s="5" t="s">
        <v>14</v>
      </c>
      <c r="G124" s="5" t="s">
        <v>11</v>
      </c>
      <c r="H124" s="5" t="s">
        <v>12</v>
      </c>
      <c r="I124" s="14">
        <v>28</v>
      </c>
      <c r="J124" s="12">
        <v>10230</v>
      </c>
      <c r="K124" s="5">
        <v>0</v>
      </c>
      <c r="L124" s="5">
        <v>1432.2</v>
      </c>
      <c r="M124" s="5">
        <v>1432.2</v>
      </c>
      <c r="N124" s="5">
        <v>0</v>
      </c>
      <c r="O124" s="5" t="s">
        <v>646</v>
      </c>
      <c r="P124" s="5" t="s">
        <v>636</v>
      </c>
      <c r="Q124" s="5">
        <v>87141090</v>
      </c>
      <c r="R124" s="17" t="s">
        <v>22</v>
      </c>
      <c r="S124" s="5" t="s">
        <v>13</v>
      </c>
      <c r="T124" s="7">
        <v>0</v>
      </c>
      <c r="U124" s="7">
        <v>0</v>
      </c>
      <c r="V124" s="7">
        <f t="shared" si="1"/>
        <v>0</v>
      </c>
      <c r="W124" s="7">
        <v>200</v>
      </c>
    </row>
    <row r="125" spans="1:23" x14ac:dyDescent="0.3">
      <c r="A125" s="5" t="s">
        <v>282</v>
      </c>
      <c r="B125" s="5" t="s">
        <v>5</v>
      </c>
      <c r="C125" s="5">
        <v>2041000831</v>
      </c>
      <c r="D125" s="303">
        <v>42937</v>
      </c>
      <c r="E125" s="7">
        <v>10741.76</v>
      </c>
      <c r="F125" s="5" t="s">
        <v>14</v>
      </c>
      <c r="G125" s="5" t="s">
        <v>11</v>
      </c>
      <c r="H125" s="5" t="s">
        <v>12</v>
      </c>
      <c r="I125" s="14">
        <v>28</v>
      </c>
      <c r="J125" s="12">
        <v>8392</v>
      </c>
      <c r="K125" s="5">
        <v>0</v>
      </c>
      <c r="L125" s="5">
        <v>1174.8800000000001</v>
      </c>
      <c r="M125" s="5">
        <v>1174.8800000000001</v>
      </c>
      <c r="N125" s="5">
        <v>0</v>
      </c>
      <c r="O125" s="5" t="s">
        <v>646</v>
      </c>
      <c r="P125" s="5" t="s">
        <v>636</v>
      </c>
      <c r="Q125" s="5">
        <v>39199090</v>
      </c>
      <c r="R125" s="17" t="s">
        <v>22</v>
      </c>
      <c r="S125" s="5" t="s">
        <v>13</v>
      </c>
      <c r="T125" s="7">
        <v>0</v>
      </c>
      <c r="U125" s="7">
        <v>0</v>
      </c>
      <c r="V125" s="7">
        <f t="shared" si="1"/>
        <v>0</v>
      </c>
      <c r="W125" s="7">
        <v>200</v>
      </c>
    </row>
    <row r="126" spans="1:23" x14ac:dyDescent="0.3">
      <c r="A126" s="5" t="s">
        <v>187</v>
      </c>
      <c r="B126" s="5" t="s">
        <v>699</v>
      </c>
      <c r="C126" s="5">
        <v>967768853</v>
      </c>
      <c r="D126" s="303">
        <v>42937</v>
      </c>
      <c r="E126" s="7">
        <f>10943.52+1532+1532</f>
        <v>14007.52</v>
      </c>
      <c r="F126" s="5" t="s">
        <v>14</v>
      </c>
      <c r="G126" s="5" t="s">
        <v>11</v>
      </c>
      <c r="H126" s="5" t="s">
        <v>12</v>
      </c>
      <c r="I126" s="14">
        <v>28</v>
      </c>
      <c r="J126" s="12">
        <v>10943.52</v>
      </c>
      <c r="K126" s="5">
        <v>0</v>
      </c>
      <c r="L126" s="5">
        <v>1532.0028000000002</v>
      </c>
      <c r="M126" s="5">
        <v>1532.0028000000002</v>
      </c>
      <c r="N126" s="5">
        <v>0</v>
      </c>
      <c r="O126" s="5" t="s">
        <v>646</v>
      </c>
      <c r="P126" s="5" t="s">
        <v>636</v>
      </c>
      <c r="Q126" s="5">
        <v>87081090</v>
      </c>
      <c r="R126" s="17" t="s">
        <v>22</v>
      </c>
      <c r="S126" s="5" t="s">
        <v>13</v>
      </c>
      <c r="T126" s="7">
        <v>0</v>
      </c>
      <c r="U126" s="7">
        <v>0</v>
      </c>
      <c r="V126" s="7">
        <f t="shared" si="1"/>
        <v>0</v>
      </c>
      <c r="W126" s="7">
        <v>84</v>
      </c>
    </row>
    <row r="127" spans="1:23" x14ac:dyDescent="0.3">
      <c r="A127" s="5" t="s">
        <v>187</v>
      </c>
      <c r="B127" s="5" t="s">
        <v>699</v>
      </c>
      <c r="C127" s="5">
        <v>967768853</v>
      </c>
      <c r="D127" s="303">
        <v>42937</v>
      </c>
      <c r="E127" s="7">
        <f>12505.6+1751+1751</f>
        <v>16007.6</v>
      </c>
      <c r="F127" s="5" t="s">
        <v>14</v>
      </c>
      <c r="G127" s="5" t="s">
        <v>11</v>
      </c>
      <c r="H127" s="5" t="s">
        <v>12</v>
      </c>
      <c r="I127" s="14">
        <v>28</v>
      </c>
      <c r="J127" s="12">
        <v>12505.6</v>
      </c>
      <c r="K127" s="5">
        <v>0</v>
      </c>
      <c r="L127" s="5">
        <v>1751.0039999999999</v>
      </c>
      <c r="M127" s="5">
        <v>1751.0039999999999</v>
      </c>
      <c r="N127" s="5">
        <v>0</v>
      </c>
      <c r="O127" s="5" t="s">
        <v>646</v>
      </c>
      <c r="P127" s="5" t="s">
        <v>636</v>
      </c>
      <c r="Q127" s="5">
        <v>87082900</v>
      </c>
      <c r="R127" s="17" t="s">
        <v>22</v>
      </c>
      <c r="S127" s="5" t="s">
        <v>13</v>
      </c>
      <c r="T127" s="7">
        <v>0</v>
      </c>
      <c r="U127" s="7">
        <v>0</v>
      </c>
      <c r="V127" s="7">
        <f t="shared" si="1"/>
        <v>0</v>
      </c>
      <c r="W127" s="7">
        <v>80</v>
      </c>
    </row>
    <row r="128" spans="1:23" x14ac:dyDescent="0.3">
      <c r="A128" s="5" t="s">
        <v>187</v>
      </c>
      <c r="B128" s="5" t="s">
        <v>699</v>
      </c>
      <c r="C128" s="5">
        <v>967768732</v>
      </c>
      <c r="D128" s="303">
        <v>42936</v>
      </c>
      <c r="E128" s="7">
        <f>6358.4+890+890</f>
        <v>8138.4</v>
      </c>
      <c r="F128" s="5" t="s">
        <v>14</v>
      </c>
      <c r="G128" s="5" t="s">
        <v>11</v>
      </c>
      <c r="H128" s="5" t="s">
        <v>12</v>
      </c>
      <c r="I128" s="14">
        <v>28</v>
      </c>
      <c r="J128" s="12">
        <v>6358.4</v>
      </c>
      <c r="K128" s="5">
        <v>0</v>
      </c>
      <c r="L128" s="5">
        <v>889.99599999999998</v>
      </c>
      <c r="M128" s="5">
        <v>889.99599999999998</v>
      </c>
      <c r="N128" s="5">
        <v>0</v>
      </c>
      <c r="O128" s="5" t="s">
        <v>646</v>
      </c>
      <c r="P128" s="5" t="s">
        <v>636</v>
      </c>
      <c r="Q128" s="5">
        <v>87089900</v>
      </c>
      <c r="R128" s="17" t="s">
        <v>22</v>
      </c>
      <c r="S128" s="5" t="s">
        <v>13</v>
      </c>
      <c r="T128" s="7">
        <v>0</v>
      </c>
      <c r="U128" s="7">
        <v>0</v>
      </c>
      <c r="V128" s="7">
        <f t="shared" si="1"/>
        <v>0</v>
      </c>
      <c r="W128" s="7">
        <v>40</v>
      </c>
    </row>
    <row r="129" spans="1:23" x14ac:dyDescent="0.3">
      <c r="A129" s="5" t="s">
        <v>187</v>
      </c>
      <c r="B129" s="5" t="s">
        <v>699</v>
      </c>
      <c r="C129" s="5">
        <v>967768732</v>
      </c>
      <c r="D129" s="303">
        <v>42936</v>
      </c>
      <c r="E129" s="7">
        <f>6253.44+875+875</f>
        <v>8003.44</v>
      </c>
      <c r="F129" s="5" t="s">
        <v>14</v>
      </c>
      <c r="G129" s="5" t="s">
        <v>11</v>
      </c>
      <c r="H129" s="5" t="s">
        <v>12</v>
      </c>
      <c r="I129" s="14">
        <v>28</v>
      </c>
      <c r="J129" s="12">
        <v>6253.44</v>
      </c>
      <c r="K129" s="5">
        <v>0</v>
      </c>
      <c r="L129" s="5">
        <v>875.00159999999994</v>
      </c>
      <c r="M129" s="5">
        <v>875.00159999999994</v>
      </c>
      <c r="N129" s="5">
        <v>0</v>
      </c>
      <c r="O129" s="5" t="s">
        <v>646</v>
      </c>
      <c r="P129" s="5" t="s">
        <v>636</v>
      </c>
      <c r="Q129" s="5">
        <v>87081090</v>
      </c>
      <c r="R129" s="17" t="s">
        <v>22</v>
      </c>
      <c r="S129" s="5" t="s">
        <v>13</v>
      </c>
      <c r="T129" s="7">
        <v>0</v>
      </c>
      <c r="U129" s="7">
        <v>0</v>
      </c>
      <c r="V129" s="7">
        <f t="shared" si="1"/>
        <v>0</v>
      </c>
      <c r="W129" s="7">
        <v>48</v>
      </c>
    </row>
    <row r="130" spans="1:23" x14ac:dyDescent="0.3">
      <c r="A130" s="5" t="s">
        <v>256</v>
      </c>
      <c r="B130" s="5" t="s">
        <v>255</v>
      </c>
      <c r="C130" s="5">
        <v>17612137</v>
      </c>
      <c r="D130" s="303">
        <v>42936</v>
      </c>
      <c r="E130" s="7">
        <v>3644.3</v>
      </c>
      <c r="F130" s="5" t="s">
        <v>211</v>
      </c>
      <c r="G130" s="5" t="s">
        <v>11</v>
      </c>
      <c r="H130" s="5" t="s">
        <v>12</v>
      </c>
      <c r="I130" s="14">
        <v>28</v>
      </c>
      <c r="J130" s="12">
        <v>2847.3</v>
      </c>
      <c r="K130" s="5">
        <v>797.00400000000002</v>
      </c>
      <c r="L130" s="5">
        <v>0</v>
      </c>
      <c r="M130" s="5">
        <v>0</v>
      </c>
      <c r="N130" s="5">
        <v>0</v>
      </c>
      <c r="O130" s="5" t="s">
        <v>646</v>
      </c>
      <c r="P130" s="5" t="s">
        <v>636</v>
      </c>
      <c r="Q130" s="5">
        <v>87081090</v>
      </c>
      <c r="R130" s="17" t="s">
        <v>22</v>
      </c>
      <c r="S130" s="5" t="s">
        <v>13</v>
      </c>
      <c r="T130" s="7">
        <v>0</v>
      </c>
      <c r="U130" s="7">
        <v>0</v>
      </c>
      <c r="V130" s="7">
        <f t="shared" si="1"/>
        <v>0</v>
      </c>
      <c r="W130" s="7">
        <v>10</v>
      </c>
    </row>
    <row r="131" spans="1:23" x14ac:dyDescent="0.3">
      <c r="A131" s="5" t="s">
        <v>274</v>
      </c>
      <c r="B131" s="5" t="s">
        <v>273</v>
      </c>
      <c r="C131" s="5">
        <v>1761002695</v>
      </c>
      <c r="D131" s="303">
        <v>42937</v>
      </c>
      <c r="E131" s="7">
        <v>26112</v>
      </c>
      <c r="F131" s="5" t="s">
        <v>14</v>
      </c>
      <c r="G131" s="5" t="s">
        <v>11</v>
      </c>
      <c r="H131" s="5" t="s">
        <v>12</v>
      </c>
      <c r="I131" s="14">
        <v>28</v>
      </c>
      <c r="J131" s="12">
        <v>20400</v>
      </c>
      <c r="K131" s="5">
        <v>0</v>
      </c>
      <c r="L131" s="5">
        <v>2856</v>
      </c>
      <c r="M131" s="5">
        <v>2856</v>
      </c>
      <c r="N131" s="5">
        <v>0</v>
      </c>
      <c r="O131" s="5" t="s">
        <v>646</v>
      </c>
      <c r="P131" s="5" t="s">
        <v>636</v>
      </c>
      <c r="Q131" s="5">
        <v>3208</v>
      </c>
      <c r="R131" s="17" t="s">
        <v>251</v>
      </c>
      <c r="S131" s="5"/>
      <c r="T131" s="7">
        <v>0</v>
      </c>
      <c r="U131" s="7">
        <v>0</v>
      </c>
      <c r="V131" s="7">
        <f t="shared" si="1"/>
        <v>0</v>
      </c>
      <c r="W131" s="7">
        <v>60</v>
      </c>
    </row>
    <row r="132" spans="1:23" x14ac:dyDescent="0.3">
      <c r="A132" s="5" t="s">
        <v>261</v>
      </c>
      <c r="B132" s="5" t="s">
        <v>260</v>
      </c>
      <c r="C132" s="5">
        <v>10200</v>
      </c>
      <c r="D132" s="303">
        <v>42938</v>
      </c>
      <c r="E132" s="7">
        <v>54837.8</v>
      </c>
      <c r="F132" s="5" t="s">
        <v>14</v>
      </c>
      <c r="G132" s="5" t="s">
        <v>11</v>
      </c>
      <c r="H132" s="5" t="s">
        <v>12</v>
      </c>
      <c r="I132" s="14">
        <v>28</v>
      </c>
      <c r="J132" s="12">
        <f>42823.8+85.5</f>
        <v>42909.3</v>
      </c>
      <c r="K132" s="5">
        <v>0</v>
      </c>
      <c r="L132" s="5">
        <v>6007.0020000000004</v>
      </c>
      <c r="M132" s="5">
        <v>6007.0020000000004</v>
      </c>
      <c r="N132" s="5">
        <v>0</v>
      </c>
      <c r="O132" s="5" t="s">
        <v>646</v>
      </c>
      <c r="P132" s="5" t="s">
        <v>636</v>
      </c>
      <c r="Q132" s="5">
        <v>87141900</v>
      </c>
      <c r="R132" s="17" t="s">
        <v>22</v>
      </c>
      <c r="S132" s="5" t="s">
        <v>13</v>
      </c>
      <c r="T132" s="7">
        <v>0</v>
      </c>
      <c r="U132" s="7">
        <v>0</v>
      </c>
      <c r="V132" s="7">
        <f t="shared" si="1"/>
        <v>0</v>
      </c>
      <c r="W132" s="7">
        <v>810</v>
      </c>
    </row>
    <row r="133" spans="1:23" x14ac:dyDescent="0.3">
      <c r="A133" s="5" t="s">
        <v>187</v>
      </c>
      <c r="B133" s="5" t="s">
        <v>699</v>
      </c>
      <c r="C133" s="5">
        <v>967768969</v>
      </c>
      <c r="D133" s="303">
        <v>42938</v>
      </c>
      <c r="E133" s="7">
        <v>4617.68</v>
      </c>
      <c r="F133" s="5" t="s">
        <v>14</v>
      </c>
      <c r="G133" s="5" t="s">
        <v>11</v>
      </c>
      <c r="H133" s="5" t="s">
        <v>12</v>
      </c>
      <c r="I133" s="14">
        <v>28</v>
      </c>
      <c r="J133" s="12">
        <v>3607.68</v>
      </c>
      <c r="K133" s="5">
        <v>0</v>
      </c>
      <c r="L133" s="5">
        <v>504.99520000000001</v>
      </c>
      <c r="M133" s="5">
        <v>504.99520000000001</v>
      </c>
      <c r="N133" s="5">
        <v>0</v>
      </c>
      <c r="O133" s="5" t="s">
        <v>646</v>
      </c>
      <c r="P133" s="5" t="s">
        <v>636</v>
      </c>
      <c r="Q133" s="5">
        <v>87089900</v>
      </c>
      <c r="R133" s="17" t="s">
        <v>22</v>
      </c>
      <c r="S133" s="5" t="s">
        <v>13</v>
      </c>
      <c r="T133" s="7">
        <v>0</v>
      </c>
      <c r="U133" s="7">
        <v>0</v>
      </c>
      <c r="V133" s="7">
        <f t="shared" si="1"/>
        <v>0</v>
      </c>
      <c r="W133" s="7">
        <v>24</v>
      </c>
    </row>
    <row r="134" spans="1:23" x14ac:dyDescent="0.3">
      <c r="A134" s="5" t="s">
        <v>395</v>
      </c>
      <c r="B134" s="5" t="s">
        <v>394</v>
      </c>
      <c r="C134" s="5">
        <v>1155</v>
      </c>
      <c r="D134" s="303">
        <v>42938</v>
      </c>
      <c r="E134" s="7">
        <v>33783</v>
      </c>
      <c r="F134" s="5" t="s">
        <v>14</v>
      </c>
      <c r="G134" s="5" t="s">
        <v>11</v>
      </c>
      <c r="H134" s="5" t="s">
        <v>12</v>
      </c>
      <c r="I134" s="14">
        <v>28</v>
      </c>
      <c r="J134" s="12">
        <v>26393.4</v>
      </c>
      <c r="K134" s="5">
        <v>0</v>
      </c>
      <c r="L134" s="5">
        <v>3694.9960000000005</v>
      </c>
      <c r="M134" s="5">
        <v>3694.9960000000005</v>
      </c>
      <c r="N134" s="5">
        <v>0</v>
      </c>
      <c r="O134" s="5" t="s">
        <v>646</v>
      </c>
      <c r="P134" s="5" t="s">
        <v>636</v>
      </c>
      <c r="Q134" s="5">
        <v>87082900</v>
      </c>
      <c r="R134" s="17" t="s">
        <v>22</v>
      </c>
      <c r="S134" s="5" t="s">
        <v>13</v>
      </c>
      <c r="T134" s="7">
        <v>0</v>
      </c>
      <c r="U134" s="7">
        <v>0</v>
      </c>
      <c r="V134" s="7">
        <f t="shared" si="1"/>
        <v>0</v>
      </c>
      <c r="W134" s="7">
        <v>620</v>
      </c>
    </row>
    <row r="135" spans="1:23" x14ac:dyDescent="0.3">
      <c r="A135" s="5" t="s">
        <v>395</v>
      </c>
      <c r="B135" s="5" t="s">
        <v>394</v>
      </c>
      <c r="C135" s="5">
        <v>1149</v>
      </c>
      <c r="D135" s="303">
        <v>42937</v>
      </c>
      <c r="E135" s="7">
        <v>59939</v>
      </c>
      <c r="F135" s="5" t="s">
        <v>14</v>
      </c>
      <c r="G135" s="5" t="s">
        <v>11</v>
      </c>
      <c r="H135" s="5" t="s">
        <v>12</v>
      </c>
      <c r="I135" s="14">
        <v>28</v>
      </c>
      <c r="J135" s="12">
        <v>46827</v>
      </c>
      <c r="K135" s="5">
        <v>0</v>
      </c>
      <c r="L135" s="5">
        <v>6556</v>
      </c>
      <c r="M135" s="5">
        <v>6556</v>
      </c>
      <c r="N135" s="5">
        <v>0</v>
      </c>
      <c r="O135" s="5" t="s">
        <v>646</v>
      </c>
      <c r="P135" s="5" t="s">
        <v>636</v>
      </c>
      <c r="Q135" s="5">
        <v>87082900</v>
      </c>
      <c r="R135" s="17" t="s">
        <v>22</v>
      </c>
      <c r="S135" s="5" t="s">
        <v>13</v>
      </c>
      <c r="T135" s="7">
        <v>0</v>
      </c>
      <c r="U135" s="7">
        <v>0</v>
      </c>
      <c r="V135" s="7">
        <f t="shared" ref="V135:V198" si="2">+T135-U135</f>
        <v>0</v>
      </c>
      <c r="W135" s="7">
        <v>1100</v>
      </c>
    </row>
    <row r="136" spans="1:23" x14ac:dyDescent="0.3">
      <c r="A136" s="5" t="s">
        <v>253</v>
      </c>
      <c r="B136" s="5" t="s">
        <v>252</v>
      </c>
      <c r="C136" s="5">
        <v>1663</v>
      </c>
      <c r="D136" s="303">
        <v>42938</v>
      </c>
      <c r="E136" s="7">
        <v>38342</v>
      </c>
      <c r="F136" s="5" t="s">
        <v>14</v>
      </c>
      <c r="G136" s="5" t="s">
        <v>11</v>
      </c>
      <c r="H136" s="5" t="s">
        <v>12</v>
      </c>
      <c r="I136" s="14">
        <v>28</v>
      </c>
      <c r="J136" s="12">
        <v>29954.6</v>
      </c>
      <c r="K136" s="5">
        <v>0</v>
      </c>
      <c r="L136" s="5">
        <v>4193.6440000000002</v>
      </c>
      <c r="M136" s="5">
        <v>4193.6440000000002</v>
      </c>
      <c r="N136" s="5">
        <v>0</v>
      </c>
      <c r="O136" s="5" t="s">
        <v>646</v>
      </c>
      <c r="P136" s="5" t="s">
        <v>636</v>
      </c>
      <c r="Q136" s="5">
        <v>85129000</v>
      </c>
      <c r="R136" s="5" t="s">
        <v>254</v>
      </c>
      <c r="S136" s="5" t="s">
        <v>13</v>
      </c>
      <c r="T136" s="7">
        <v>0</v>
      </c>
      <c r="U136" s="7">
        <v>0</v>
      </c>
      <c r="V136" s="7">
        <f t="shared" si="2"/>
        <v>0</v>
      </c>
      <c r="W136" s="7">
        <v>1066</v>
      </c>
    </row>
    <row r="137" spans="1:23" x14ac:dyDescent="0.3">
      <c r="A137" s="5" t="s">
        <v>256</v>
      </c>
      <c r="B137" s="5" t="s">
        <v>255</v>
      </c>
      <c r="C137" s="5">
        <v>17612556</v>
      </c>
      <c r="D137" s="303">
        <v>42938</v>
      </c>
      <c r="E137" s="7">
        <v>3397.7</v>
      </c>
      <c r="F137" s="5" t="s">
        <v>211</v>
      </c>
      <c r="G137" s="5" t="s">
        <v>11</v>
      </c>
      <c r="H137" s="5" t="s">
        <v>12</v>
      </c>
      <c r="I137" s="14">
        <v>28</v>
      </c>
      <c r="J137" s="12">
        <v>2654.7</v>
      </c>
      <c r="K137" s="5">
        <v>742.99599999999987</v>
      </c>
      <c r="L137" s="5">
        <v>0</v>
      </c>
      <c r="M137" s="5">
        <v>0</v>
      </c>
      <c r="N137" s="5">
        <v>0</v>
      </c>
      <c r="O137" s="5" t="s">
        <v>646</v>
      </c>
      <c r="P137" s="5" t="s">
        <v>636</v>
      </c>
      <c r="Q137" s="5">
        <v>87081090</v>
      </c>
      <c r="R137" s="17" t="s">
        <v>22</v>
      </c>
      <c r="S137" s="5" t="s">
        <v>13</v>
      </c>
      <c r="T137" s="7">
        <v>0</v>
      </c>
      <c r="U137" s="7">
        <v>0</v>
      </c>
      <c r="V137" s="7">
        <f t="shared" si="2"/>
        <v>0</v>
      </c>
      <c r="W137" s="7">
        <v>10</v>
      </c>
    </row>
    <row r="138" spans="1:23" x14ac:dyDescent="0.3">
      <c r="A138" s="5" t="s">
        <v>437</v>
      </c>
      <c r="B138" s="5" t="s">
        <v>436</v>
      </c>
      <c r="C138" s="5">
        <v>155</v>
      </c>
      <c r="D138" s="303">
        <v>42930</v>
      </c>
      <c r="E138" s="7">
        <v>519.20000000000005</v>
      </c>
      <c r="F138" s="5" t="s">
        <v>14</v>
      </c>
      <c r="G138" s="5" t="s">
        <v>11</v>
      </c>
      <c r="H138" s="5" t="s">
        <v>12</v>
      </c>
      <c r="I138" s="14">
        <v>18</v>
      </c>
      <c r="J138" s="12">
        <v>440</v>
      </c>
      <c r="K138" s="5">
        <v>0</v>
      </c>
      <c r="L138" s="5">
        <v>39.6</v>
      </c>
      <c r="M138" s="5">
        <v>39.6</v>
      </c>
      <c r="N138" s="5">
        <v>0</v>
      </c>
      <c r="O138" s="5" t="s">
        <v>646</v>
      </c>
      <c r="P138" s="5" t="s">
        <v>636</v>
      </c>
      <c r="Q138" s="5">
        <v>48171000</v>
      </c>
      <c r="R138" s="5" t="s">
        <v>254</v>
      </c>
      <c r="S138" s="5" t="s">
        <v>13</v>
      </c>
      <c r="T138" s="7">
        <v>0</v>
      </c>
      <c r="U138" s="7">
        <v>0</v>
      </c>
      <c r="V138" s="7">
        <f t="shared" si="2"/>
        <v>0</v>
      </c>
      <c r="W138" s="7">
        <v>200</v>
      </c>
    </row>
    <row r="139" spans="1:23" x14ac:dyDescent="0.3">
      <c r="A139" s="5" t="s">
        <v>391</v>
      </c>
      <c r="B139" s="5" t="s">
        <v>390</v>
      </c>
      <c r="C139" s="5">
        <v>447</v>
      </c>
      <c r="D139" s="303">
        <v>42940</v>
      </c>
      <c r="E139" s="7">
        <v>354</v>
      </c>
      <c r="F139" s="5" t="s">
        <v>14</v>
      </c>
      <c r="G139" s="5" t="s">
        <v>11</v>
      </c>
      <c r="H139" s="5" t="s">
        <v>12</v>
      </c>
      <c r="I139" s="14">
        <v>18</v>
      </c>
      <c r="J139" s="12">
        <v>300</v>
      </c>
      <c r="K139" s="5">
        <v>0</v>
      </c>
      <c r="L139" s="5">
        <v>27</v>
      </c>
      <c r="M139" s="5">
        <v>27</v>
      </c>
      <c r="N139" s="5">
        <v>0</v>
      </c>
      <c r="O139" s="5" t="s">
        <v>646</v>
      </c>
      <c r="P139" s="5" t="s">
        <v>636</v>
      </c>
      <c r="Q139" s="5">
        <v>37079090</v>
      </c>
      <c r="R139" s="17" t="s">
        <v>393</v>
      </c>
      <c r="S139" s="5" t="s">
        <v>13</v>
      </c>
      <c r="T139" s="7">
        <v>0</v>
      </c>
      <c r="U139" s="7">
        <v>0</v>
      </c>
      <c r="V139" s="7">
        <f t="shared" si="2"/>
        <v>0</v>
      </c>
      <c r="W139" s="7">
        <v>1</v>
      </c>
    </row>
    <row r="140" spans="1:23" x14ac:dyDescent="0.3">
      <c r="A140" s="5" t="s">
        <v>261</v>
      </c>
      <c r="B140" s="5" t="s">
        <v>260</v>
      </c>
      <c r="C140" s="5">
        <v>10266</v>
      </c>
      <c r="D140" s="303">
        <v>42940</v>
      </c>
      <c r="E140" s="7">
        <v>138165.16</v>
      </c>
      <c r="F140" s="5" t="s">
        <v>14</v>
      </c>
      <c r="G140" s="5" t="s">
        <v>11</v>
      </c>
      <c r="H140" s="5" t="s">
        <v>12</v>
      </c>
      <c r="I140" s="14">
        <v>28</v>
      </c>
      <c r="J140" s="12">
        <f>107895.16+213.02</f>
        <v>108108.18000000001</v>
      </c>
      <c r="K140" s="5">
        <v>0</v>
      </c>
      <c r="L140" s="5">
        <v>15134.995200000003</v>
      </c>
      <c r="M140" s="5">
        <v>15134.995200000003</v>
      </c>
      <c r="N140" s="5">
        <v>0</v>
      </c>
      <c r="O140" s="5" t="s">
        <v>646</v>
      </c>
      <c r="P140" s="5" t="s">
        <v>636</v>
      </c>
      <c r="Q140" s="5">
        <v>87141900</v>
      </c>
      <c r="R140" s="17" t="s">
        <v>22</v>
      </c>
      <c r="S140" s="5" t="s">
        <v>13</v>
      </c>
      <c r="T140" s="7">
        <v>0</v>
      </c>
      <c r="U140" s="7">
        <v>0</v>
      </c>
      <c r="V140" s="7">
        <f t="shared" si="2"/>
        <v>0</v>
      </c>
      <c r="W140" s="7">
        <v>2042</v>
      </c>
    </row>
    <row r="141" spans="1:23" x14ac:dyDescent="0.3">
      <c r="A141" s="5" t="s">
        <v>282</v>
      </c>
      <c r="B141" s="5" t="s">
        <v>5</v>
      </c>
      <c r="C141" s="5">
        <v>2041001721</v>
      </c>
      <c r="D141" s="303">
        <v>42940</v>
      </c>
      <c r="E141" s="7">
        <v>10741.76</v>
      </c>
      <c r="F141" s="5" t="s">
        <v>14</v>
      </c>
      <c r="G141" s="5" t="s">
        <v>11</v>
      </c>
      <c r="H141" s="5" t="s">
        <v>12</v>
      </c>
      <c r="I141" s="14">
        <v>28</v>
      </c>
      <c r="J141" s="12">
        <v>8392</v>
      </c>
      <c r="K141" s="5">
        <v>0</v>
      </c>
      <c r="L141" s="5">
        <v>1174.8800000000001</v>
      </c>
      <c r="M141" s="5">
        <v>1174.8800000000001</v>
      </c>
      <c r="N141" s="5">
        <v>0</v>
      </c>
      <c r="O141" s="5" t="s">
        <v>646</v>
      </c>
      <c r="P141" s="5" t="s">
        <v>636</v>
      </c>
      <c r="Q141" s="5">
        <v>39199090</v>
      </c>
      <c r="R141" s="17" t="s">
        <v>22</v>
      </c>
      <c r="S141" s="5" t="s">
        <v>13</v>
      </c>
      <c r="T141" s="7">
        <v>0</v>
      </c>
      <c r="U141" s="7">
        <v>0</v>
      </c>
      <c r="V141" s="7">
        <f t="shared" si="2"/>
        <v>0</v>
      </c>
      <c r="W141" s="7">
        <v>200</v>
      </c>
    </row>
    <row r="142" spans="1:23" x14ac:dyDescent="0.3">
      <c r="A142" s="5" t="s">
        <v>282</v>
      </c>
      <c r="B142" s="5" t="s">
        <v>5</v>
      </c>
      <c r="C142" s="5">
        <v>2041001720</v>
      </c>
      <c r="D142" s="303">
        <v>42940</v>
      </c>
      <c r="E142" s="7">
        <v>13094.4</v>
      </c>
      <c r="F142" s="5" t="s">
        <v>14</v>
      </c>
      <c r="G142" s="5" t="s">
        <v>11</v>
      </c>
      <c r="H142" s="5" t="s">
        <v>12</v>
      </c>
      <c r="I142" s="14">
        <v>28</v>
      </c>
      <c r="J142" s="12">
        <v>10230</v>
      </c>
      <c r="K142" s="5">
        <v>0</v>
      </c>
      <c r="L142" s="5">
        <v>1432.2</v>
      </c>
      <c r="M142" s="5">
        <v>1432.2</v>
      </c>
      <c r="N142" s="5">
        <v>0</v>
      </c>
      <c r="O142" s="5" t="s">
        <v>646</v>
      </c>
      <c r="P142" s="5" t="s">
        <v>636</v>
      </c>
      <c r="Q142" s="5">
        <v>87141090</v>
      </c>
      <c r="R142" s="17" t="s">
        <v>22</v>
      </c>
      <c r="S142" s="5" t="s">
        <v>13</v>
      </c>
      <c r="T142" s="7">
        <v>0</v>
      </c>
      <c r="U142" s="7">
        <v>0</v>
      </c>
      <c r="V142" s="7">
        <f t="shared" si="2"/>
        <v>0</v>
      </c>
      <c r="W142" s="7">
        <v>200</v>
      </c>
    </row>
    <row r="143" spans="1:23" x14ac:dyDescent="0.3">
      <c r="A143" s="5" t="s">
        <v>395</v>
      </c>
      <c r="B143" s="5" t="s">
        <v>394</v>
      </c>
      <c r="C143" s="5">
        <v>1171</v>
      </c>
      <c r="D143" s="303">
        <v>42940</v>
      </c>
      <c r="E143" s="7">
        <v>51220</v>
      </c>
      <c r="F143" s="5" t="s">
        <v>14</v>
      </c>
      <c r="G143" s="5" t="s">
        <v>11</v>
      </c>
      <c r="H143" s="5" t="s">
        <v>12</v>
      </c>
      <c r="I143" s="14">
        <v>28</v>
      </c>
      <c r="J143" s="12">
        <v>40015.800000000003</v>
      </c>
      <c r="K143" s="5">
        <v>0</v>
      </c>
      <c r="L143" s="5">
        <v>5602.0020000000004</v>
      </c>
      <c r="M143" s="5">
        <v>5602.0020000000004</v>
      </c>
      <c r="N143" s="5">
        <v>0</v>
      </c>
      <c r="O143" s="5" t="s">
        <v>646</v>
      </c>
      <c r="P143" s="5" t="s">
        <v>636</v>
      </c>
      <c r="Q143" s="5">
        <v>87082900</v>
      </c>
      <c r="R143" s="17" t="s">
        <v>22</v>
      </c>
      <c r="S143" s="5" t="s">
        <v>13</v>
      </c>
      <c r="T143" s="7">
        <v>0</v>
      </c>
      <c r="U143" s="7">
        <v>0</v>
      </c>
      <c r="V143" s="7">
        <f t="shared" si="2"/>
        <v>0</v>
      </c>
      <c r="W143" s="7">
        <v>940</v>
      </c>
    </row>
    <row r="144" spans="1:23" x14ac:dyDescent="0.3">
      <c r="A144" s="5" t="s">
        <v>187</v>
      </c>
      <c r="B144" s="5" t="s">
        <v>699</v>
      </c>
      <c r="C144" s="5">
        <v>967769064</v>
      </c>
      <c r="D144" s="303">
        <v>42940</v>
      </c>
      <c r="E144" s="7">
        <v>12806.48</v>
      </c>
      <c r="F144" s="5" t="s">
        <v>14</v>
      </c>
      <c r="G144" s="5" t="s">
        <v>11</v>
      </c>
      <c r="H144" s="5" t="s">
        <v>12</v>
      </c>
      <c r="I144" s="14">
        <v>28</v>
      </c>
      <c r="J144" s="12">
        <v>10004.48</v>
      </c>
      <c r="K144" s="5">
        <v>0</v>
      </c>
      <c r="L144" s="5">
        <v>1400.9971999999998</v>
      </c>
      <c r="M144" s="5">
        <v>1400.9971999999998</v>
      </c>
      <c r="N144" s="5">
        <v>0</v>
      </c>
      <c r="O144" s="5" t="s">
        <v>646</v>
      </c>
      <c r="P144" s="5" t="s">
        <v>636</v>
      </c>
      <c r="Q144" s="5">
        <v>87082900</v>
      </c>
      <c r="R144" s="17" t="s">
        <v>22</v>
      </c>
      <c r="S144" s="5" t="s">
        <v>13</v>
      </c>
      <c r="T144" s="7">
        <v>0</v>
      </c>
      <c r="U144" s="7">
        <v>0</v>
      </c>
      <c r="V144" s="7">
        <f t="shared" si="2"/>
        <v>0</v>
      </c>
      <c r="W144" s="7">
        <v>64</v>
      </c>
    </row>
    <row r="145" spans="1:23" x14ac:dyDescent="0.3">
      <c r="A145" s="5" t="s">
        <v>253</v>
      </c>
      <c r="B145" s="5" t="s">
        <v>252</v>
      </c>
      <c r="C145" s="5">
        <v>1694</v>
      </c>
      <c r="D145" s="303">
        <v>42940</v>
      </c>
      <c r="E145" s="7">
        <v>71936</v>
      </c>
      <c r="F145" s="5" t="s">
        <v>14</v>
      </c>
      <c r="G145" s="5" t="s">
        <v>11</v>
      </c>
      <c r="H145" s="5" t="s">
        <v>12</v>
      </c>
      <c r="I145" s="14">
        <v>28</v>
      </c>
      <c r="J145" s="12">
        <v>56200</v>
      </c>
      <c r="K145" s="5">
        <v>0</v>
      </c>
      <c r="L145" s="5">
        <v>7868</v>
      </c>
      <c r="M145" s="5">
        <v>7868</v>
      </c>
      <c r="N145" s="5">
        <v>0</v>
      </c>
      <c r="O145" s="5" t="s">
        <v>646</v>
      </c>
      <c r="P145" s="5" t="s">
        <v>636</v>
      </c>
      <c r="Q145" s="5">
        <v>85129000</v>
      </c>
      <c r="R145" s="5" t="s">
        <v>254</v>
      </c>
      <c r="S145" s="5" t="s">
        <v>13</v>
      </c>
      <c r="T145" s="7">
        <v>0</v>
      </c>
      <c r="U145" s="7">
        <v>0</v>
      </c>
      <c r="V145" s="7">
        <f t="shared" si="2"/>
        <v>0</v>
      </c>
      <c r="W145" s="7">
        <v>2000</v>
      </c>
    </row>
    <row r="146" spans="1:23" x14ac:dyDescent="0.3">
      <c r="A146" s="5" t="s">
        <v>303</v>
      </c>
      <c r="B146" s="5" t="s">
        <v>302</v>
      </c>
      <c r="C146" s="5">
        <v>67</v>
      </c>
      <c r="D146" s="303">
        <v>42941</v>
      </c>
      <c r="E146" s="7">
        <v>3540</v>
      </c>
      <c r="F146" s="5" t="s">
        <v>14</v>
      </c>
      <c r="G146" s="5" t="s">
        <v>11</v>
      </c>
      <c r="H146" s="5" t="s">
        <v>12</v>
      </c>
      <c r="I146" s="14">
        <v>18</v>
      </c>
      <c r="J146" s="12">
        <v>3000</v>
      </c>
      <c r="K146" s="5">
        <v>0</v>
      </c>
      <c r="L146" s="5">
        <v>270</v>
      </c>
      <c r="M146" s="5">
        <v>270</v>
      </c>
      <c r="N146" s="5">
        <v>0</v>
      </c>
      <c r="O146" s="5" t="s">
        <v>646</v>
      </c>
      <c r="P146" s="5" t="s">
        <v>636</v>
      </c>
      <c r="Q146" s="5">
        <v>39232100</v>
      </c>
      <c r="R146" s="17" t="s">
        <v>246</v>
      </c>
      <c r="S146" s="5" t="s">
        <v>13</v>
      </c>
      <c r="T146" s="7">
        <v>0</v>
      </c>
      <c r="U146" s="7">
        <v>0</v>
      </c>
      <c r="V146" s="7">
        <f t="shared" si="2"/>
        <v>0</v>
      </c>
      <c r="W146" s="7">
        <v>4</v>
      </c>
    </row>
    <row r="147" spans="1:23" x14ac:dyDescent="0.3">
      <c r="A147" s="5" t="s">
        <v>391</v>
      </c>
      <c r="B147" s="5" t="s">
        <v>390</v>
      </c>
      <c r="C147" s="5">
        <v>456</v>
      </c>
      <c r="D147" s="303">
        <v>42941</v>
      </c>
      <c r="E147" s="7">
        <v>1475</v>
      </c>
      <c r="F147" s="5" t="s">
        <v>14</v>
      </c>
      <c r="G147" s="5" t="s">
        <v>11</v>
      </c>
      <c r="H147" s="5" t="s">
        <v>12</v>
      </c>
      <c r="I147" s="14">
        <v>18</v>
      </c>
      <c r="J147" s="12">
        <v>1250</v>
      </c>
      <c r="K147" s="5">
        <v>0</v>
      </c>
      <c r="L147" s="5">
        <v>112.5</v>
      </c>
      <c r="M147" s="5">
        <v>112.5</v>
      </c>
      <c r="N147" s="5">
        <v>0</v>
      </c>
      <c r="O147" s="5" t="s">
        <v>646</v>
      </c>
      <c r="P147" s="5" t="s">
        <v>636</v>
      </c>
      <c r="Q147" s="5">
        <v>84716090</v>
      </c>
      <c r="R147" s="17" t="s">
        <v>393</v>
      </c>
      <c r="S147" s="5" t="s">
        <v>13</v>
      </c>
      <c r="T147" s="7">
        <v>0</v>
      </c>
      <c r="U147" s="7">
        <v>0</v>
      </c>
      <c r="V147" s="7">
        <f t="shared" si="2"/>
        <v>0</v>
      </c>
      <c r="W147" s="7">
        <v>1</v>
      </c>
    </row>
    <row r="148" spans="1:23" x14ac:dyDescent="0.3">
      <c r="A148" s="5" t="s">
        <v>256</v>
      </c>
      <c r="B148" s="5" t="s">
        <v>255</v>
      </c>
      <c r="C148" s="5">
        <v>17612853</v>
      </c>
      <c r="D148" s="303">
        <v>42941</v>
      </c>
      <c r="E148" s="7">
        <v>3644.3</v>
      </c>
      <c r="F148" s="5" t="s">
        <v>211</v>
      </c>
      <c r="G148" s="5" t="s">
        <v>11</v>
      </c>
      <c r="H148" s="5" t="s">
        <v>12</v>
      </c>
      <c r="I148" s="14">
        <v>28</v>
      </c>
      <c r="J148" s="12">
        <v>2847.3</v>
      </c>
      <c r="K148" s="5">
        <v>797.00400000000002</v>
      </c>
      <c r="L148" s="5">
        <v>0</v>
      </c>
      <c r="M148" s="5">
        <v>0</v>
      </c>
      <c r="N148" s="5">
        <v>0</v>
      </c>
      <c r="O148" s="5" t="s">
        <v>646</v>
      </c>
      <c r="P148" s="5" t="s">
        <v>636</v>
      </c>
      <c r="Q148" s="5">
        <v>87081090</v>
      </c>
      <c r="R148" s="17" t="s">
        <v>22</v>
      </c>
      <c r="S148" s="5" t="s">
        <v>13</v>
      </c>
      <c r="T148" s="7">
        <v>0</v>
      </c>
      <c r="U148" s="7">
        <v>0</v>
      </c>
      <c r="V148" s="7">
        <f t="shared" si="2"/>
        <v>0</v>
      </c>
      <c r="W148" s="7">
        <v>10</v>
      </c>
    </row>
    <row r="149" spans="1:23" x14ac:dyDescent="0.3">
      <c r="A149" s="5" t="s">
        <v>187</v>
      </c>
      <c r="B149" s="5" t="s">
        <v>699</v>
      </c>
      <c r="C149" s="5">
        <v>967769196</v>
      </c>
      <c r="D149" s="303">
        <v>42941</v>
      </c>
      <c r="E149" s="7">
        <v>13174.12</v>
      </c>
      <c r="F149" s="5" t="s">
        <v>14</v>
      </c>
      <c r="G149" s="5" t="s">
        <v>11</v>
      </c>
      <c r="H149" s="5" t="s">
        <v>12</v>
      </c>
      <c r="I149" s="14">
        <v>28</v>
      </c>
      <c r="J149" s="12">
        <v>10292.120000000001</v>
      </c>
      <c r="K149" s="5">
        <v>0</v>
      </c>
      <c r="L149" s="5">
        <v>1440.9968000000001</v>
      </c>
      <c r="M149" s="5">
        <v>1440.9968000000001</v>
      </c>
      <c r="N149" s="5">
        <v>0</v>
      </c>
      <c r="O149" s="5" t="s">
        <v>646</v>
      </c>
      <c r="P149" s="5" t="s">
        <v>636</v>
      </c>
      <c r="Q149" s="5">
        <v>87081090</v>
      </c>
      <c r="R149" s="17" t="s">
        <v>22</v>
      </c>
      <c r="S149" s="5" t="s">
        <v>13</v>
      </c>
      <c r="T149" s="7">
        <v>0</v>
      </c>
      <c r="U149" s="7">
        <v>0</v>
      </c>
      <c r="V149" s="7">
        <f t="shared" si="2"/>
        <v>0</v>
      </c>
      <c r="W149" s="7">
        <v>79</v>
      </c>
    </row>
    <row r="150" spans="1:23" x14ac:dyDescent="0.3">
      <c r="A150" s="5" t="s">
        <v>187</v>
      </c>
      <c r="B150" s="5" t="s">
        <v>699</v>
      </c>
      <c r="C150" s="5">
        <v>967769168</v>
      </c>
      <c r="D150" s="303">
        <v>42941</v>
      </c>
      <c r="E150" s="7">
        <f>10422.4+1459+1459</f>
        <v>13340.4</v>
      </c>
      <c r="F150" s="5" t="s">
        <v>14</v>
      </c>
      <c r="G150" s="5" t="s">
        <v>11</v>
      </c>
      <c r="H150" s="5" t="s">
        <v>12</v>
      </c>
      <c r="I150" s="14">
        <v>28</v>
      </c>
      <c r="J150" s="12">
        <v>10422.4</v>
      </c>
      <c r="K150" s="5">
        <v>0</v>
      </c>
      <c r="L150" s="5">
        <v>1458.9959999999999</v>
      </c>
      <c r="M150" s="5">
        <v>1458.9959999999999</v>
      </c>
      <c r="N150" s="5">
        <v>0</v>
      </c>
      <c r="O150" s="5" t="s">
        <v>646</v>
      </c>
      <c r="P150" s="5" t="s">
        <v>636</v>
      </c>
      <c r="Q150" s="5">
        <v>87081090</v>
      </c>
      <c r="R150" s="17" t="s">
        <v>22</v>
      </c>
      <c r="S150" s="5" t="s">
        <v>13</v>
      </c>
      <c r="T150" s="7">
        <v>0</v>
      </c>
      <c r="U150" s="7">
        <v>0</v>
      </c>
      <c r="V150" s="7">
        <f t="shared" si="2"/>
        <v>0</v>
      </c>
      <c r="W150" s="7">
        <v>80</v>
      </c>
    </row>
    <row r="151" spans="1:23" x14ac:dyDescent="0.3">
      <c r="A151" s="5" t="s">
        <v>187</v>
      </c>
      <c r="B151" s="5" t="s">
        <v>699</v>
      </c>
      <c r="C151" s="5">
        <v>967769168</v>
      </c>
      <c r="D151" s="303">
        <v>42941</v>
      </c>
      <c r="E151" s="7">
        <f>2501.12+350+350</f>
        <v>3201.12</v>
      </c>
      <c r="F151" s="5" t="s">
        <v>14</v>
      </c>
      <c r="G151" s="5" t="s">
        <v>11</v>
      </c>
      <c r="H151" s="5" t="s">
        <v>12</v>
      </c>
      <c r="I151" s="14">
        <v>28</v>
      </c>
      <c r="J151" s="12">
        <v>2501.12</v>
      </c>
      <c r="K151" s="5">
        <v>0</v>
      </c>
      <c r="L151" s="5">
        <v>349.99679999999995</v>
      </c>
      <c r="M151" s="5">
        <v>349.99679999999995</v>
      </c>
      <c r="N151" s="5">
        <v>0</v>
      </c>
      <c r="O151" s="5" t="s">
        <v>646</v>
      </c>
      <c r="P151" s="5" t="s">
        <v>636</v>
      </c>
      <c r="Q151" s="5">
        <v>87082900</v>
      </c>
      <c r="R151" s="17" t="s">
        <v>22</v>
      </c>
      <c r="S151" s="5" t="s">
        <v>13</v>
      </c>
      <c r="T151" s="7">
        <v>0</v>
      </c>
      <c r="U151" s="7">
        <v>0</v>
      </c>
      <c r="V151" s="7">
        <f t="shared" si="2"/>
        <v>0</v>
      </c>
      <c r="W151" s="7">
        <v>16</v>
      </c>
    </row>
    <row r="152" spans="1:23" x14ac:dyDescent="0.3">
      <c r="A152" s="5" t="s">
        <v>214</v>
      </c>
      <c r="B152" s="5" t="s">
        <v>215</v>
      </c>
      <c r="C152" s="5">
        <v>2701802268</v>
      </c>
      <c r="D152" s="303">
        <v>42941</v>
      </c>
      <c r="E152" s="7">
        <v>44169.24</v>
      </c>
      <c r="F152" s="5" t="s">
        <v>14</v>
      </c>
      <c r="G152" s="5" t="s">
        <v>11</v>
      </c>
      <c r="H152" s="5" t="s">
        <v>12</v>
      </c>
      <c r="I152" s="14">
        <v>28</v>
      </c>
      <c r="J152" s="12">
        <v>34507.199999999997</v>
      </c>
      <c r="K152" s="5">
        <v>0</v>
      </c>
      <c r="L152" s="5">
        <v>4831.0179999999991</v>
      </c>
      <c r="M152" s="5">
        <v>4831.0179999999991</v>
      </c>
      <c r="N152" s="5">
        <v>0</v>
      </c>
      <c r="O152" s="5" t="s">
        <v>646</v>
      </c>
      <c r="P152" s="5" t="s">
        <v>636</v>
      </c>
      <c r="Q152" s="5">
        <v>87142090</v>
      </c>
      <c r="R152" s="17" t="s">
        <v>22</v>
      </c>
      <c r="S152" s="5" t="s">
        <v>13</v>
      </c>
      <c r="T152" s="7">
        <v>0</v>
      </c>
      <c r="U152" s="7">
        <v>0</v>
      </c>
      <c r="V152" s="7">
        <f t="shared" si="2"/>
        <v>0</v>
      </c>
      <c r="W152" s="7">
        <f>1560+1560</f>
        <v>3120</v>
      </c>
    </row>
    <row r="153" spans="1:23" x14ac:dyDescent="0.3">
      <c r="A153" s="5" t="s">
        <v>282</v>
      </c>
      <c r="B153" s="5" t="s">
        <v>5</v>
      </c>
      <c r="C153" s="5">
        <v>2041002598</v>
      </c>
      <c r="D153" s="303">
        <v>42942</v>
      </c>
      <c r="E153" s="7">
        <v>13764.62</v>
      </c>
      <c r="F153" s="5" t="s">
        <v>14</v>
      </c>
      <c r="G153" s="5" t="s">
        <v>11</v>
      </c>
      <c r="H153" s="5" t="s">
        <v>12</v>
      </c>
      <c r="I153" s="14">
        <v>28</v>
      </c>
      <c r="J153" s="12">
        <v>10753.6</v>
      </c>
      <c r="K153" s="5">
        <v>0</v>
      </c>
      <c r="L153" s="5">
        <v>1505.5139999999999</v>
      </c>
      <c r="M153" s="5">
        <v>1505.5139999999999</v>
      </c>
      <c r="N153" s="5">
        <v>0</v>
      </c>
      <c r="O153" s="5" t="s">
        <v>646</v>
      </c>
      <c r="P153" s="5" t="s">
        <v>636</v>
      </c>
      <c r="Q153" s="5">
        <v>87141090</v>
      </c>
      <c r="R153" s="17" t="s">
        <v>22</v>
      </c>
      <c r="S153" s="5" t="s">
        <v>13</v>
      </c>
      <c r="T153" s="7">
        <v>0</v>
      </c>
      <c r="U153" s="7">
        <v>0</v>
      </c>
      <c r="V153" s="7">
        <f t="shared" si="2"/>
        <v>0</v>
      </c>
      <c r="W153" s="7">
        <v>520</v>
      </c>
    </row>
    <row r="154" spans="1:23" x14ac:dyDescent="0.3">
      <c r="A154" s="5" t="s">
        <v>282</v>
      </c>
      <c r="B154" s="5" t="s">
        <v>5</v>
      </c>
      <c r="C154" s="5">
        <v>2041002599</v>
      </c>
      <c r="D154" s="303">
        <v>42942</v>
      </c>
      <c r="E154" s="7">
        <v>13764.62</v>
      </c>
      <c r="F154" s="5" t="s">
        <v>14</v>
      </c>
      <c r="G154" s="5" t="s">
        <v>11</v>
      </c>
      <c r="H154" s="5" t="s">
        <v>12</v>
      </c>
      <c r="I154" s="14">
        <v>28</v>
      </c>
      <c r="J154" s="12">
        <v>10753.6</v>
      </c>
      <c r="K154" s="5">
        <v>0</v>
      </c>
      <c r="L154" s="5">
        <v>1505.5139999999999</v>
      </c>
      <c r="M154" s="5">
        <v>1505.5139999999999</v>
      </c>
      <c r="N154" s="5">
        <v>0</v>
      </c>
      <c r="O154" s="5" t="s">
        <v>646</v>
      </c>
      <c r="P154" s="5" t="s">
        <v>636</v>
      </c>
      <c r="Q154" s="5">
        <v>87141090</v>
      </c>
      <c r="R154" s="17" t="s">
        <v>22</v>
      </c>
      <c r="S154" s="5" t="s">
        <v>13</v>
      </c>
      <c r="T154" s="7">
        <v>0</v>
      </c>
      <c r="U154" s="7">
        <v>0</v>
      </c>
      <c r="V154" s="7">
        <f t="shared" si="2"/>
        <v>0</v>
      </c>
      <c r="W154" s="7">
        <v>520</v>
      </c>
    </row>
    <row r="155" spans="1:23" x14ac:dyDescent="0.3">
      <c r="A155" s="5" t="s">
        <v>258</v>
      </c>
      <c r="B155" s="5" t="s">
        <v>257</v>
      </c>
      <c r="C155" s="5">
        <v>431</v>
      </c>
      <c r="D155" s="303">
        <v>42942</v>
      </c>
      <c r="E155" s="7">
        <v>22400</v>
      </c>
      <c r="F155" s="5" t="s">
        <v>14</v>
      </c>
      <c r="G155" s="5" t="s">
        <v>11</v>
      </c>
      <c r="H155" s="5" t="s">
        <v>12</v>
      </c>
      <c r="I155" s="14">
        <v>28</v>
      </c>
      <c r="J155" s="12">
        <v>17500</v>
      </c>
      <c r="K155" s="5">
        <v>0</v>
      </c>
      <c r="L155" s="5">
        <v>2450</v>
      </c>
      <c r="M155" s="5">
        <v>2450</v>
      </c>
      <c r="N155" s="5">
        <v>0</v>
      </c>
      <c r="O155" s="5" t="s">
        <v>646</v>
      </c>
      <c r="P155" s="5" t="s">
        <v>636</v>
      </c>
      <c r="Q155" s="5">
        <v>32082090</v>
      </c>
      <c r="R155" s="17" t="s">
        <v>250</v>
      </c>
      <c r="S155" s="5" t="s">
        <v>259</v>
      </c>
      <c r="T155" s="7">
        <v>0</v>
      </c>
      <c r="U155" s="7">
        <v>0</v>
      </c>
      <c r="V155" s="7">
        <f t="shared" si="2"/>
        <v>0</v>
      </c>
      <c r="W155" s="7">
        <v>100</v>
      </c>
    </row>
    <row r="156" spans="1:23" x14ac:dyDescent="0.3">
      <c r="A156" s="5" t="s">
        <v>397</v>
      </c>
      <c r="B156" s="5" t="s">
        <v>396</v>
      </c>
      <c r="C156" s="5">
        <v>1156</v>
      </c>
      <c r="D156" s="303">
        <v>42941</v>
      </c>
      <c r="E156" s="7">
        <v>3658</v>
      </c>
      <c r="F156" s="5" t="s">
        <v>14</v>
      </c>
      <c r="G156" s="5" t="s">
        <v>11</v>
      </c>
      <c r="H156" s="5" t="s">
        <v>12</v>
      </c>
      <c r="I156" s="14">
        <v>18</v>
      </c>
      <c r="J156" s="12">
        <v>3100</v>
      </c>
      <c r="K156" s="5">
        <v>0</v>
      </c>
      <c r="L156" s="5">
        <v>279</v>
      </c>
      <c r="M156" s="5">
        <v>279</v>
      </c>
      <c r="N156" s="5">
        <v>0</v>
      </c>
      <c r="O156" s="5" t="s">
        <v>646</v>
      </c>
      <c r="P156" s="5" t="s">
        <v>636</v>
      </c>
      <c r="Q156" s="5">
        <v>998933</v>
      </c>
      <c r="R156" s="17" t="s">
        <v>22</v>
      </c>
      <c r="S156" s="5" t="s">
        <v>13</v>
      </c>
      <c r="T156" s="7">
        <v>0</v>
      </c>
      <c r="U156" s="7">
        <v>0</v>
      </c>
      <c r="V156" s="7">
        <f t="shared" si="2"/>
        <v>0</v>
      </c>
      <c r="W156" s="7">
        <v>400</v>
      </c>
    </row>
    <row r="157" spans="1:23" x14ac:dyDescent="0.3">
      <c r="A157" s="5" t="s">
        <v>397</v>
      </c>
      <c r="B157" s="5" t="s">
        <v>396</v>
      </c>
      <c r="C157" s="5">
        <v>1189</v>
      </c>
      <c r="D157" s="303">
        <v>42942</v>
      </c>
      <c r="E157" s="7">
        <v>2744</v>
      </c>
      <c r="F157" s="5" t="s">
        <v>14</v>
      </c>
      <c r="G157" s="5" t="s">
        <v>11</v>
      </c>
      <c r="H157" s="5" t="s">
        <v>12</v>
      </c>
      <c r="I157" s="14">
        <v>18</v>
      </c>
      <c r="J157" s="12">
        <v>2325</v>
      </c>
      <c r="K157" s="5">
        <v>0</v>
      </c>
      <c r="L157" s="5">
        <v>209.25</v>
      </c>
      <c r="M157" s="5">
        <v>209.25</v>
      </c>
      <c r="N157" s="5">
        <v>0</v>
      </c>
      <c r="O157" s="5" t="s">
        <v>646</v>
      </c>
      <c r="P157" s="5" t="s">
        <v>636</v>
      </c>
      <c r="Q157" s="5">
        <v>998933</v>
      </c>
      <c r="R157" s="17" t="s">
        <v>22</v>
      </c>
      <c r="S157" s="5" t="s">
        <v>13</v>
      </c>
      <c r="T157" s="7">
        <v>0</v>
      </c>
      <c r="U157" s="7">
        <v>0</v>
      </c>
      <c r="V157" s="7">
        <f t="shared" si="2"/>
        <v>0</v>
      </c>
      <c r="W157" s="7">
        <v>300</v>
      </c>
    </row>
    <row r="158" spans="1:23" x14ac:dyDescent="0.3">
      <c r="A158" s="5" t="s">
        <v>261</v>
      </c>
      <c r="B158" s="5" t="s">
        <v>260</v>
      </c>
      <c r="C158" s="5">
        <v>10400</v>
      </c>
      <c r="D158" s="303">
        <v>42942</v>
      </c>
      <c r="E158" s="7">
        <v>88344.9</v>
      </c>
      <c r="F158" s="5" t="s">
        <v>14</v>
      </c>
      <c r="G158" s="5" t="s">
        <v>11</v>
      </c>
      <c r="H158" s="5" t="s">
        <v>12</v>
      </c>
      <c r="I158" s="14">
        <v>28</v>
      </c>
      <c r="J158" s="12">
        <f>68988.9+137.55</f>
        <v>69126.45</v>
      </c>
      <c r="K158" s="5">
        <v>0</v>
      </c>
      <c r="L158" s="5">
        <v>9678.0029999999988</v>
      </c>
      <c r="M158" s="5">
        <v>9678.0029999999988</v>
      </c>
      <c r="N158" s="5">
        <v>0</v>
      </c>
      <c r="O158" s="5" t="s">
        <v>646</v>
      </c>
      <c r="P158" s="5" t="s">
        <v>636</v>
      </c>
      <c r="Q158" s="5">
        <v>87141900</v>
      </c>
      <c r="R158" s="17" t="s">
        <v>22</v>
      </c>
      <c r="S158" s="5" t="s">
        <v>13</v>
      </c>
      <c r="T158" s="7">
        <v>0</v>
      </c>
      <c r="U158" s="7">
        <v>0</v>
      </c>
      <c r="V158" s="7">
        <f t="shared" si="2"/>
        <v>0</v>
      </c>
      <c r="W158" s="7">
        <v>1305</v>
      </c>
    </row>
    <row r="159" spans="1:23" x14ac:dyDescent="0.3">
      <c r="A159" s="5" t="s">
        <v>187</v>
      </c>
      <c r="B159" s="5" t="s">
        <v>699</v>
      </c>
      <c r="C159" s="5">
        <v>967769271</v>
      </c>
      <c r="D159" s="303">
        <v>42942</v>
      </c>
      <c r="E159" s="7">
        <v>13340.4</v>
      </c>
      <c r="F159" s="5" t="s">
        <v>14</v>
      </c>
      <c r="G159" s="5" t="s">
        <v>11</v>
      </c>
      <c r="H159" s="5" t="s">
        <v>12</v>
      </c>
      <c r="I159" s="14">
        <v>28</v>
      </c>
      <c r="J159" s="12">
        <v>10422.4</v>
      </c>
      <c r="K159" s="5">
        <v>0</v>
      </c>
      <c r="L159" s="5">
        <v>1458.9959999999999</v>
      </c>
      <c r="M159" s="5">
        <v>1458.9959999999999</v>
      </c>
      <c r="N159" s="5">
        <v>0</v>
      </c>
      <c r="O159" s="5" t="s">
        <v>646</v>
      </c>
      <c r="P159" s="5" t="s">
        <v>636</v>
      </c>
      <c r="Q159" s="5">
        <v>87081090</v>
      </c>
      <c r="R159" s="17" t="s">
        <v>22</v>
      </c>
      <c r="S159" s="5" t="s">
        <v>13</v>
      </c>
      <c r="T159" s="7">
        <v>0</v>
      </c>
      <c r="U159" s="7">
        <v>0</v>
      </c>
      <c r="V159" s="7">
        <f t="shared" si="2"/>
        <v>0</v>
      </c>
      <c r="W159" s="7">
        <v>80</v>
      </c>
    </row>
    <row r="160" spans="1:23" x14ac:dyDescent="0.3">
      <c r="A160" s="5" t="s">
        <v>214</v>
      </c>
      <c r="B160" s="5" t="s">
        <v>215</v>
      </c>
      <c r="C160" s="5">
        <v>2701802471</v>
      </c>
      <c r="D160" s="303">
        <v>42942</v>
      </c>
      <c r="E160" s="7">
        <v>57759.76</v>
      </c>
      <c r="F160" s="5" t="s">
        <v>14</v>
      </c>
      <c r="G160" s="5" t="s">
        <v>11</v>
      </c>
      <c r="H160" s="5" t="s">
        <v>12</v>
      </c>
      <c r="I160" s="14">
        <v>28</v>
      </c>
      <c r="J160" s="12">
        <v>45124.800000000003</v>
      </c>
      <c r="K160" s="5">
        <v>0</v>
      </c>
      <c r="L160" s="5">
        <v>6317.4820000000009</v>
      </c>
      <c r="M160" s="5">
        <v>6317.4820000000009</v>
      </c>
      <c r="N160" s="5">
        <v>0</v>
      </c>
      <c r="O160" s="5" t="s">
        <v>646</v>
      </c>
      <c r="P160" s="5" t="s">
        <v>636</v>
      </c>
      <c r="Q160" s="5">
        <v>87142090</v>
      </c>
      <c r="R160" s="17" t="s">
        <v>22</v>
      </c>
      <c r="S160" s="5" t="s">
        <v>13</v>
      </c>
      <c r="T160" s="7">
        <v>0</v>
      </c>
      <c r="U160" s="7">
        <v>0</v>
      </c>
      <c r="V160" s="7">
        <f t="shared" si="2"/>
        <v>0</v>
      </c>
      <c r="W160" s="7">
        <f>2040+2040</f>
        <v>4080</v>
      </c>
    </row>
    <row r="161" spans="1:23" x14ac:dyDescent="0.3">
      <c r="A161" s="5" t="s">
        <v>248</v>
      </c>
      <c r="B161" s="5" t="s">
        <v>247</v>
      </c>
      <c r="C161" s="5">
        <v>7887672689</v>
      </c>
      <c r="D161" s="303">
        <v>42942</v>
      </c>
      <c r="E161" s="7">
        <v>41344</v>
      </c>
      <c r="F161" s="5" t="s">
        <v>14</v>
      </c>
      <c r="G161" s="5" t="s">
        <v>11</v>
      </c>
      <c r="H161" s="5" t="s">
        <v>12</v>
      </c>
      <c r="I161" s="14">
        <v>28</v>
      </c>
      <c r="J161" s="12">
        <v>32300</v>
      </c>
      <c r="K161" s="5">
        <v>0</v>
      </c>
      <c r="L161" s="5">
        <v>4522</v>
      </c>
      <c r="M161" s="5">
        <v>4522</v>
      </c>
      <c r="N161" s="5">
        <v>0</v>
      </c>
      <c r="O161" s="5" t="s">
        <v>646</v>
      </c>
      <c r="P161" s="5" t="s">
        <v>636</v>
      </c>
      <c r="Q161" s="5">
        <v>32082090</v>
      </c>
      <c r="R161" s="17" t="s">
        <v>250</v>
      </c>
      <c r="S161" s="5" t="s">
        <v>249</v>
      </c>
      <c r="T161" s="7">
        <v>0</v>
      </c>
      <c r="U161" s="7">
        <v>0</v>
      </c>
      <c r="V161" s="7">
        <f t="shared" si="2"/>
        <v>0</v>
      </c>
      <c r="W161" s="7">
        <f>16+16+20+60</f>
        <v>112</v>
      </c>
    </row>
    <row r="162" spans="1:23" x14ac:dyDescent="0.3">
      <c r="A162" s="5" t="s">
        <v>248</v>
      </c>
      <c r="B162" s="5" t="s">
        <v>247</v>
      </c>
      <c r="C162" s="5">
        <v>7887672688</v>
      </c>
      <c r="D162" s="303">
        <v>42942</v>
      </c>
      <c r="E162" s="7">
        <v>45977.599999999999</v>
      </c>
      <c r="F162" s="5" t="s">
        <v>14</v>
      </c>
      <c r="G162" s="5" t="s">
        <v>11</v>
      </c>
      <c r="H162" s="5" t="s">
        <v>12</v>
      </c>
      <c r="I162" s="14">
        <v>28</v>
      </c>
      <c r="J162" s="12">
        <v>35920</v>
      </c>
      <c r="K162" s="5">
        <v>0</v>
      </c>
      <c r="L162" s="5">
        <v>5028.8</v>
      </c>
      <c r="M162" s="5">
        <v>5028.8</v>
      </c>
      <c r="N162" s="5">
        <v>0</v>
      </c>
      <c r="O162" s="5" t="s">
        <v>646</v>
      </c>
      <c r="P162" s="5" t="s">
        <v>636</v>
      </c>
      <c r="Q162" s="5">
        <v>32081090</v>
      </c>
      <c r="R162" s="17" t="s">
        <v>250</v>
      </c>
      <c r="S162" s="5" t="s">
        <v>249</v>
      </c>
      <c r="T162" s="7">
        <v>0</v>
      </c>
      <c r="U162" s="7">
        <v>0</v>
      </c>
      <c r="V162" s="7">
        <f t="shared" si="2"/>
        <v>0</v>
      </c>
      <c r="W162" s="7">
        <f>16+16+20+60</f>
        <v>112</v>
      </c>
    </row>
    <row r="163" spans="1:23" x14ac:dyDescent="0.3">
      <c r="A163" s="121" t="s">
        <v>248</v>
      </c>
      <c r="B163" s="5" t="s">
        <v>247</v>
      </c>
      <c r="C163" s="5">
        <v>7887672687</v>
      </c>
      <c r="D163" s="303">
        <v>42942</v>
      </c>
      <c r="E163" s="7">
        <f>7800+702+702+4944+444.96+444.96</f>
        <v>15037.919999999998</v>
      </c>
      <c r="F163" s="5" t="s">
        <v>14</v>
      </c>
      <c r="G163" s="5" t="s">
        <v>11</v>
      </c>
      <c r="H163" s="5" t="s">
        <v>12</v>
      </c>
      <c r="I163" s="14">
        <v>18</v>
      </c>
      <c r="J163" s="12">
        <f>7800+4944</f>
        <v>12744</v>
      </c>
      <c r="K163" s="5">
        <v>0</v>
      </c>
      <c r="L163" s="5">
        <v>1146.96</v>
      </c>
      <c r="M163" s="5">
        <v>1146.96</v>
      </c>
      <c r="N163" s="5">
        <v>0</v>
      </c>
      <c r="O163" s="5" t="s">
        <v>646</v>
      </c>
      <c r="P163" s="5" t="s">
        <v>636</v>
      </c>
      <c r="Q163" s="5">
        <v>38249990</v>
      </c>
      <c r="R163" s="17" t="s">
        <v>250</v>
      </c>
      <c r="S163" s="5" t="s">
        <v>249</v>
      </c>
      <c r="T163" s="7">
        <v>0</v>
      </c>
      <c r="U163" s="7">
        <v>0</v>
      </c>
      <c r="V163" s="7">
        <f t="shared" si="2"/>
        <v>0</v>
      </c>
      <c r="W163" s="7">
        <f>12+8</f>
        <v>20</v>
      </c>
    </row>
    <row r="164" spans="1:23" x14ac:dyDescent="0.3">
      <c r="A164" s="121" t="s">
        <v>248</v>
      </c>
      <c r="B164" s="5" t="s">
        <v>247</v>
      </c>
      <c r="C164" s="5">
        <v>7887672687</v>
      </c>
      <c r="D164" s="303">
        <v>42942</v>
      </c>
      <c r="E164" s="7">
        <f>7500+675+675</f>
        <v>8850</v>
      </c>
      <c r="F164" s="5" t="s">
        <v>14</v>
      </c>
      <c r="G164" s="5" t="s">
        <v>11</v>
      </c>
      <c r="H164" s="5" t="s">
        <v>12</v>
      </c>
      <c r="I164" s="14">
        <v>18</v>
      </c>
      <c r="J164" s="12">
        <v>7500</v>
      </c>
      <c r="K164" s="5">
        <v>0</v>
      </c>
      <c r="L164" s="5">
        <v>675</v>
      </c>
      <c r="M164" s="5">
        <v>675</v>
      </c>
      <c r="N164" s="5">
        <v>0</v>
      </c>
      <c r="O164" s="5" t="s">
        <v>646</v>
      </c>
      <c r="P164" s="5" t="s">
        <v>636</v>
      </c>
      <c r="Q164" s="5">
        <v>39119090</v>
      </c>
      <c r="R164" s="17" t="s">
        <v>250</v>
      </c>
      <c r="S164" s="5" t="s">
        <v>249</v>
      </c>
      <c r="T164" s="7">
        <v>0</v>
      </c>
      <c r="U164" s="7">
        <v>0</v>
      </c>
      <c r="V164" s="7">
        <f t="shared" si="2"/>
        <v>0</v>
      </c>
      <c r="W164" s="7">
        <v>15</v>
      </c>
    </row>
    <row r="165" spans="1:23" x14ac:dyDescent="0.3">
      <c r="A165" s="121" t="s">
        <v>248</v>
      </c>
      <c r="B165" s="5" t="s">
        <v>247</v>
      </c>
      <c r="C165" s="5">
        <v>7887672687</v>
      </c>
      <c r="D165" s="303">
        <v>42942</v>
      </c>
      <c r="E165" s="7">
        <f>501+45.09+45.09</f>
        <v>591.18000000000006</v>
      </c>
      <c r="F165" s="5" t="s">
        <v>14</v>
      </c>
      <c r="G165" s="5" t="s">
        <v>11</v>
      </c>
      <c r="H165" s="5" t="s">
        <v>12</v>
      </c>
      <c r="I165" s="14">
        <v>18</v>
      </c>
      <c r="J165" s="12">
        <v>501</v>
      </c>
      <c r="K165" s="5">
        <v>0</v>
      </c>
      <c r="L165" s="5">
        <v>45.089999999999996</v>
      </c>
      <c r="M165" s="5">
        <v>45.089999999999996</v>
      </c>
      <c r="N165" s="5">
        <v>0</v>
      </c>
      <c r="O165" s="5" t="s">
        <v>646</v>
      </c>
      <c r="P165" s="5" t="s">
        <v>636</v>
      </c>
      <c r="Q165" s="5">
        <v>29163200</v>
      </c>
      <c r="R165" s="17" t="s">
        <v>250</v>
      </c>
      <c r="S165" s="5" t="s">
        <v>249</v>
      </c>
      <c r="T165" s="7">
        <v>0</v>
      </c>
      <c r="U165" s="7">
        <v>0</v>
      </c>
      <c r="V165" s="7">
        <f t="shared" si="2"/>
        <v>0</v>
      </c>
      <c r="W165" s="7">
        <v>6</v>
      </c>
    </row>
    <row r="166" spans="1:23" x14ac:dyDescent="0.3">
      <c r="A166" s="5" t="s">
        <v>261</v>
      </c>
      <c r="B166" s="5" t="s">
        <v>260</v>
      </c>
      <c r="C166" s="5">
        <v>10447</v>
      </c>
      <c r="D166" s="303">
        <v>42943</v>
      </c>
      <c r="E166" s="7">
        <v>40611</v>
      </c>
      <c r="F166" s="5" t="s">
        <v>14</v>
      </c>
      <c r="G166" s="5" t="s">
        <v>11</v>
      </c>
      <c r="H166" s="5" t="s">
        <v>12</v>
      </c>
      <c r="I166" s="14">
        <v>28</v>
      </c>
      <c r="J166" s="12">
        <f>31713+63</f>
        <v>31776</v>
      </c>
      <c r="K166" s="5">
        <v>0</v>
      </c>
      <c r="L166" s="5">
        <v>4448.9999999999991</v>
      </c>
      <c r="M166" s="5">
        <v>4448.9999999999991</v>
      </c>
      <c r="N166" s="5">
        <v>0</v>
      </c>
      <c r="O166" s="5" t="s">
        <v>646</v>
      </c>
      <c r="P166" s="5" t="s">
        <v>636</v>
      </c>
      <c r="Q166" s="5">
        <v>87141900</v>
      </c>
      <c r="R166" s="17" t="s">
        <v>22</v>
      </c>
      <c r="S166" s="5" t="s">
        <v>13</v>
      </c>
      <c r="T166" s="7">
        <v>0</v>
      </c>
      <c r="U166" s="7">
        <v>0</v>
      </c>
      <c r="V166" s="7">
        <f t="shared" si="2"/>
        <v>0</v>
      </c>
      <c r="W166" s="7">
        <v>600</v>
      </c>
    </row>
    <row r="167" spans="1:23" x14ac:dyDescent="0.3">
      <c r="A167" s="5" t="s">
        <v>261</v>
      </c>
      <c r="B167" s="5" t="s">
        <v>260</v>
      </c>
      <c r="C167" s="5">
        <v>10484</v>
      </c>
      <c r="D167" s="303">
        <v>42943</v>
      </c>
      <c r="E167" s="7">
        <v>68630.97</v>
      </c>
      <c r="F167" s="5" t="s">
        <v>14</v>
      </c>
      <c r="G167" s="5" t="s">
        <v>11</v>
      </c>
      <c r="H167" s="5" t="s">
        <v>12</v>
      </c>
      <c r="I167" s="14">
        <v>28</v>
      </c>
      <c r="J167" s="12">
        <f>53594.97+106.47</f>
        <v>53701.440000000002</v>
      </c>
      <c r="K167" s="5">
        <v>0</v>
      </c>
      <c r="L167" s="5">
        <v>7518.0016000000005</v>
      </c>
      <c r="M167" s="5">
        <v>7518.0016000000005</v>
      </c>
      <c r="N167" s="5">
        <v>0</v>
      </c>
      <c r="O167" s="5" t="s">
        <v>646</v>
      </c>
      <c r="P167" s="5" t="s">
        <v>636</v>
      </c>
      <c r="Q167" s="5">
        <v>87141900</v>
      </c>
      <c r="R167" s="17" t="s">
        <v>22</v>
      </c>
      <c r="S167" s="5" t="s">
        <v>13</v>
      </c>
      <c r="T167" s="7">
        <v>0</v>
      </c>
      <c r="U167" s="7">
        <v>0</v>
      </c>
      <c r="V167" s="7">
        <f t="shared" si="2"/>
        <v>0</v>
      </c>
      <c r="W167" s="7">
        <v>1014</v>
      </c>
    </row>
    <row r="168" spans="1:23" x14ac:dyDescent="0.3">
      <c r="A168" s="5" t="s">
        <v>282</v>
      </c>
      <c r="B168" s="5" t="s">
        <v>5</v>
      </c>
      <c r="C168" s="5">
        <v>2041003134</v>
      </c>
      <c r="D168" s="303">
        <v>42943</v>
      </c>
      <c r="E168" s="7">
        <v>17470.48</v>
      </c>
      <c r="F168" s="5" t="s">
        <v>14</v>
      </c>
      <c r="G168" s="5" t="s">
        <v>11</v>
      </c>
      <c r="H168" s="5" t="s">
        <v>12</v>
      </c>
      <c r="I168" s="14">
        <v>28</v>
      </c>
      <c r="J168" s="12">
        <v>13648.8</v>
      </c>
      <c r="K168" s="5">
        <v>0</v>
      </c>
      <c r="L168" s="5">
        <v>1910.8419999999999</v>
      </c>
      <c r="M168" s="5">
        <v>1910.8419999999999</v>
      </c>
      <c r="N168" s="5">
        <v>0</v>
      </c>
      <c r="O168" s="5" t="s">
        <v>646</v>
      </c>
      <c r="P168" s="5" t="s">
        <v>636</v>
      </c>
      <c r="Q168" s="5">
        <v>87141090</v>
      </c>
      <c r="R168" s="17" t="s">
        <v>22</v>
      </c>
      <c r="S168" s="5" t="s">
        <v>13</v>
      </c>
      <c r="T168" s="7">
        <v>0</v>
      </c>
      <c r="U168" s="7">
        <v>0</v>
      </c>
      <c r="V168" s="7">
        <f t="shared" si="2"/>
        <v>0</v>
      </c>
      <c r="W168" s="7">
        <v>660</v>
      </c>
    </row>
    <row r="169" spans="1:23" x14ac:dyDescent="0.3">
      <c r="A169" s="5" t="s">
        <v>282</v>
      </c>
      <c r="B169" s="5" t="s">
        <v>5</v>
      </c>
      <c r="C169" s="5">
        <v>2041003135</v>
      </c>
      <c r="D169" s="303">
        <v>42943</v>
      </c>
      <c r="E169" s="7">
        <v>17470.48</v>
      </c>
      <c r="F169" s="5" t="s">
        <v>14</v>
      </c>
      <c r="G169" s="5" t="s">
        <v>11</v>
      </c>
      <c r="H169" s="5" t="s">
        <v>12</v>
      </c>
      <c r="I169" s="14">
        <v>28</v>
      </c>
      <c r="J169" s="12">
        <v>13648.8</v>
      </c>
      <c r="K169" s="5">
        <v>0</v>
      </c>
      <c r="L169" s="5">
        <v>1910.8419999999999</v>
      </c>
      <c r="M169" s="5">
        <v>1910.8419999999999</v>
      </c>
      <c r="N169" s="5">
        <v>0</v>
      </c>
      <c r="O169" s="5" t="s">
        <v>646</v>
      </c>
      <c r="P169" s="5" t="s">
        <v>636</v>
      </c>
      <c r="Q169" s="5">
        <v>87141090</v>
      </c>
      <c r="R169" s="17" t="s">
        <v>22</v>
      </c>
      <c r="S169" s="5" t="s">
        <v>13</v>
      </c>
      <c r="T169" s="7">
        <v>0</v>
      </c>
      <c r="U169" s="7">
        <v>0</v>
      </c>
      <c r="V169" s="7">
        <f t="shared" si="2"/>
        <v>0</v>
      </c>
      <c r="W169" s="7">
        <v>660</v>
      </c>
    </row>
    <row r="170" spans="1:23" x14ac:dyDescent="0.3">
      <c r="A170" s="5" t="s">
        <v>187</v>
      </c>
      <c r="B170" s="5" t="s">
        <v>699</v>
      </c>
      <c r="C170" s="5">
        <v>967769375</v>
      </c>
      <c r="D170" s="303">
        <v>42943</v>
      </c>
      <c r="E170" s="7">
        <f>11334.36+1587+1587</f>
        <v>14508.36</v>
      </c>
      <c r="F170" s="5" t="s">
        <v>14</v>
      </c>
      <c r="G170" s="5" t="s">
        <v>11</v>
      </c>
      <c r="H170" s="5" t="s">
        <v>12</v>
      </c>
      <c r="I170" s="14">
        <v>28</v>
      </c>
      <c r="J170" s="12">
        <v>11334.36</v>
      </c>
      <c r="K170" s="5">
        <v>0</v>
      </c>
      <c r="L170" s="5">
        <v>1587.0004000000001</v>
      </c>
      <c r="M170" s="5">
        <v>1587.0004000000001</v>
      </c>
      <c r="N170" s="5">
        <v>0</v>
      </c>
      <c r="O170" s="5" t="s">
        <v>646</v>
      </c>
      <c r="P170" s="5" t="s">
        <v>636</v>
      </c>
      <c r="Q170" s="5">
        <v>87081090</v>
      </c>
      <c r="R170" s="17" t="s">
        <v>22</v>
      </c>
      <c r="S170" s="5" t="s">
        <v>13</v>
      </c>
      <c r="T170" s="7">
        <v>0</v>
      </c>
      <c r="U170" s="7">
        <v>0</v>
      </c>
      <c r="V170" s="7">
        <f t="shared" si="2"/>
        <v>0</v>
      </c>
      <c r="W170" s="7">
        <v>87</v>
      </c>
    </row>
    <row r="171" spans="1:23" x14ac:dyDescent="0.3">
      <c r="A171" s="5" t="s">
        <v>187</v>
      </c>
      <c r="B171" s="5" t="s">
        <v>699</v>
      </c>
      <c r="C171" s="5">
        <v>967769375</v>
      </c>
      <c r="D171" s="303">
        <v>42943</v>
      </c>
      <c r="E171" s="7">
        <f>4689.6+657+657</f>
        <v>6003.6</v>
      </c>
      <c r="F171" s="5" t="s">
        <v>14</v>
      </c>
      <c r="G171" s="5" t="s">
        <v>11</v>
      </c>
      <c r="H171" s="5" t="s">
        <v>12</v>
      </c>
      <c r="I171" s="14">
        <v>28</v>
      </c>
      <c r="J171" s="12">
        <v>4689.6000000000004</v>
      </c>
      <c r="K171" s="5">
        <v>0</v>
      </c>
      <c r="L171" s="5">
        <v>657.00400000000002</v>
      </c>
      <c r="M171" s="5">
        <v>657.00400000000002</v>
      </c>
      <c r="N171" s="5">
        <v>0</v>
      </c>
      <c r="O171" s="5" t="s">
        <v>646</v>
      </c>
      <c r="P171" s="5" t="s">
        <v>636</v>
      </c>
      <c r="Q171" s="5">
        <v>87082900</v>
      </c>
      <c r="R171" s="17" t="s">
        <v>22</v>
      </c>
      <c r="S171" s="5" t="s">
        <v>13</v>
      </c>
      <c r="T171" s="7">
        <v>0</v>
      </c>
      <c r="U171" s="7">
        <v>0</v>
      </c>
      <c r="V171" s="7">
        <f t="shared" si="2"/>
        <v>0</v>
      </c>
      <c r="W171" s="7">
        <v>30</v>
      </c>
    </row>
    <row r="172" spans="1:23" x14ac:dyDescent="0.3">
      <c r="A172" s="5" t="s">
        <v>519</v>
      </c>
      <c r="B172" s="5" t="s">
        <v>518</v>
      </c>
      <c r="C172" s="5">
        <v>10</v>
      </c>
      <c r="D172" s="303">
        <v>42934</v>
      </c>
      <c r="E172" s="7">
        <v>3788</v>
      </c>
      <c r="F172" s="5" t="s">
        <v>14</v>
      </c>
      <c r="G172" s="5" t="s">
        <v>11</v>
      </c>
      <c r="H172" s="5" t="s">
        <v>12</v>
      </c>
      <c r="I172" s="14">
        <v>28</v>
      </c>
      <c r="J172" s="12">
        <v>2960</v>
      </c>
      <c r="K172" s="5">
        <v>0</v>
      </c>
      <c r="L172" s="5">
        <v>414.00000000000006</v>
      </c>
      <c r="M172" s="5">
        <v>414.00000000000006</v>
      </c>
      <c r="N172" s="5">
        <v>0</v>
      </c>
      <c r="O172" s="5" t="s">
        <v>646</v>
      </c>
      <c r="P172" s="5" t="s">
        <v>636</v>
      </c>
      <c r="Q172" s="5">
        <v>3813</v>
      </c>
      <c r="R172" s="17" t="s">
        <v>520</v>
      </c>
      <c r="S172" s="5" t="s">
        <v>13</v>
      </c>
      <c r="T172" s="7">
        <v>0</v>
      </c>
      <c r="U172" s="7">
        <v>0</v>
      </c>
      <c r="V172" s="7">
        <f t="shared" si="2"/>
        <v>0</v>
      </c>
      <c r="W172" s="7">
        <v>4</v>
      </c>
    </row>
    <row r="173" spans="1:23" x14ac:dyDescent="0.3">
      <c r="A173" s="5" t="s">
        <v>187</v>
      </c>
      <c r="B173" s="5" t="s">
        <v>699</v>
      </c>
      <c r="C173" s="5">
        <v>967769460</v>
      </c>
      <c r="D173" s="303">
        <v>42944</v>
      </c>
      <c r="E173" s="7">
        <f>13679.4+1915+1915</f>
        <v>17509.400000000001</v>
      </c>
      <c r="F173" s="5" t="s">
        <v>14</v>
      </c>
      <c r="G173" s="5" t="s">
        <v>11</v>
      </c>
      <c r="H173" s="5" t="s">
        <v>12</v>
      </c>
      <c r="I173" s="14">
        <v>28</v>
      </c>
      <c r="J173" s="12">
        <v>13679.4</v>
      </c>
      <c r="K173" s="5">
        <v>0</v>
      </c>
      <c r="L173" s="5">
        <v>1914.9959999999999</v>
      </c>
      <c r="M173" s="5">
        <v>1914.9959999999999</v>
      </c>
      <c r="N173" s="5">
        <v>0</v>
      </c>
      <c r="O173" s="5" t="s">
        <v>646</v>
      </c>
      <c r="P173" s="5" t="s">
        <v>636</v>
      </c>
      <c r="Q173" s="5">
        <v>87081090</v>
      </c>
      <c r="R173" s="17" t="s">
        <v>22</v>
      </c>
      <c r="S173" s="5" t="s">
        <v>13</v>
      </c>
      <c r="T173" s="7">
        <v>0</v>
      </c>
      <c r="U173" s="7">
        <v>0</v>
      </c>
      <c r="V173" s="7">
        <f t="shared" si="2"/>
        <v>0</v>
      </c>
      <c r="W173" s="7">
        <v>105</v>
      </c>
    </row>
    <row r="174" spans="1:23" x14ac:dyDescent="0.3">
      <c r="A174" s="5" t="s">
        <v>187</v>
      </c>
      <c r="B174" s="5" t="s">
        <v>699</v>
      </c>
      <c r="C174" s="5">
        <v>967769460</v>
      </c>
      <c r="D174" s="303">
        <v>42944</v>
      </c>
      <c r="E174" s="7">
        <f>4689.6+657+657</f>
        <v>6003.6</v>
      </c>
      <c r="F174" s="5" t="s">
        <v>14</v>
      </c>
      <c r="G174" s="5" t="s">
        <v>11</v>
      </c>
      <c r="H174" s="5" t="s">
        <v>12</v>
      </c>
      <c r="I174" s="14">
        <v>28</v>
      </c>
      <c r="J174" s="12">
        <v>4689.6000000000004</v>
      </c>
      <c r="K174" s="5">
        <v>0</v>
      </c>
      <c r="L174" s="5">
        <v>657.00400000000002</v>
      </c>
      <c r="M174" s="5">
        <v>657.00400000000002</v>
      </c>
      <c r="N174" s="5">
        <v>0</v>
      </c>
      <c r="O174" s="5" t="s">
        <v>646</v>
      </c>
      <c r="P174" s="5" t="s">
        <v>636</v>
      </c>
      <c r="Q174" s="5">
        <v>87082900</v>
      </c>
      <c r="R174" s="17" t="s">
        <v>22</v>
      </c>
      <c r="S174" s="5" t="s">
        <v>13</v>
      </c>
      <c r="T174" s="7">
        <v>0</v>
      </c>
      <c r="U174" s="7">
        <v>0</v>
      </c>
      <c r="V174" s="7">
        <f t="shared" si="2"/>
        <v>0</v>
      </c>
      <c r="W174" s="7">
        <v>30</v>
      </c>
    </row>
    <row r="175" spans="1:23" x14ac:dyDescent="0.3">
      <c r="A175" s="5" t="s">
        <v>243</v>
      </c>
      <c r="B175" s="5" t="s">
        <v>242</v>
      </c>
      <c r="C175" s="5">
        <v>171800126</v>
      </c>
      <c r="D175" s="303">
        <v>42944</v>
      </c>
      <c r="E175" s="7">
        <v>71911</v>
      </c>
      <c r="F175" s="5" t="s">
        <v>14</v>
      </c>
      <c r="G175" s="5" t="s">
        <v>11</v>
      </c>
      <c r="H175" s="5" t="s">
        <v>12</v>
      </c>
      <c r="I175" s="14">
        <v>28</v>
      </c>
      <c r="J175" s="12">
        <v>56180.800000000003</v>
      </c>
      <c r="K175" s="5">
        <v>0</v>
      </c>
      <c r="L175" s="5">
        <v>7865.3119999999999</v>
      </c>
      <c r="M175" s="5">
        <v>7865.3119999999999</v>
      </c>
      <c r="N175" s="5">
        <v>0</v>
      </c>
      <c r="O175" s="5" t="s">
        <v>646</v>
      </c>
      <c r="P175" s="5" t="s">
        <v>636</v>
      </c>
      <c r="Q175" s="5">
        <v>39269099</v>
      </c>
      <c r="R175" s="17" t="s">
        <v>22</v>
      </c>
      <c r="S175" s="5" t="s">
        <v>13</v>
      </c>
      <c r="T175" s="7">
        <v>0</v>
      </c>
      <c r="U175" s="7">
        <v>0</v>
      </c>
      <c r="V175" s="7">
        <f t="shared" si="2"/>
        <v>0</v>
      </c>
      <c r="W175" s="7">
        <v>5920</v>
      </c>
    </row>
    <row r="176" spans="1:23" x14ac:dyDescent="0.3">
      <c r="A176" s="5" t="s">
        <v>214</v>
      </c>
      <c r="B176" s="5" t="s">
        <v>215</v>
      </c>
      <c r="C176" s="5">
        <v>2701802766</v>
      </c>
      <c r="D176" s="303">
        <v>42944</v>
      </c>
      <c r="E176" s="7">
        <v>101928.96000000001</v>
      </c>
      <c r="F176" s="5" t="s">
        <v>14</v>
      </c>
      <c r="G176" s="5" t="s">
        <v>11</v>
      </c>
      <c r="H176" s="5" t="s">
        <v>12</v>
      </c>
      <c r="I176" s="14">
        <v>28</v>
      </c>
      <c r="J176" s="12">
        <v>79632</v>
      </c>
      <c r="K176" s="5">
        <v>0</v>
      </c>
      <c r="L176" s="5">
        <v>11148.480000000001</v>
      </c>
      <c r="M176" s="5">
        <v>11148.480000000001</v>
      </c>
      <c r="N176" s="5">
        <v>0</v>
      </c>
      <c r="O176" s="5" t="s">
        <v>646</v>
      </c>
      <c r="P176" s="5" t="s">
        <v>636</v>
      </c>
      <c r="Q176" s="5">
        <v>87142090</v>
      </c>
      <c r="R176" s="17" t="s">
        <v>22</v>
      </c>
      <c r="S176" s="5" t="s">
        <v>13</v>
      </c>
      <c r="T176" s="7">
        <v>0</v>
      </c>
      <c r="U176" s="7">
        <v>0</v>
      </c>
      <c r="V176" s="7">
        <f t="shared" si="2"/>
        <v>0</v>
      </c>
      <c r="W176" s="7">
        <f>3600+3600</f>
        <v>7200</v>
      </c>
    </row>
    <row r="177" spans="1:23" x14ac:dyDescent="0.3">
      <c r="A177" s="5" t="s">
        <v>282</v>
      </c>
      <c r="B177" s="5" t="s">
        <v>5</v>
      </c>
      <c r="C177" s="5">
        <v>2041003627</v>
      </c>
      <c r="D177" s="303">
        <v>42944</v>
      </c>
      <c r="E177" s="7">
        <v>54107.16</v>
      </c>
      <c r="F177" s="5" t="s">
        <v>14</v>
      </c>
      <c r="G177" s="5" t="s">
        <v>11</v>
      </c>
      <c r="H177" s="5" t="s">
        <v>12</v>
      </c>
      <c r="I177" s="14">
        <v>28</v>
      </c>
      <c r="J177" s="12">
        <v>42271.199999999997</v>
      </c>
      <c r="K177" s="5">
        <v>0</v>
      </c>
      <c r="L177" s="5">
        <v>5917.9780000000001</v>
      </c>
      <c r="M177" s="5">
        <v>5917.9780000000001</v>
      </c>
      <c r="N177" s="5">
        <v>0</v>
      </c>
      <c r="O177" s="5" t="s">
        <v>646</v>
      </c>
      <c r="P177" s="5" t="s">
        <v>636</v>
      </c>
      <c r="Q177" s="5">
        <v>87141090</v>
      </c>
      <c r="R177" s="17" t="s">
        <v>22</v>
      </c>
      <c r="S177" s="5" t="s">
        <v>13</v>
      </c>
      <c r="T177" s="7">
        <v>0</v>
      </c>
      <c r="U177" s="7">
        <v>0</v>
      </c>
      <c r="V177" s="7">
        <f t="shared" si="2"/>
        <v>0</v>
      </c>
      <c r="W177" s="7">
        <f>570+570</f>
        <v>1140</v>
      </c>
    </row>
    <row r="178" spans="1:23" x14ac:dyDescent="0.3">
      <c r="A178" s="5" t="s">
        <v>261</v>
      </c>
      <c r="B178" s="5" t="s">
        <v>260</v>
      </c>
      <c r="C178" s="5">
        <v>10526</v>
      </c>
      <c r="D178" s="303">
        <v>42944</v>
      </c>
      <c r="E178" s="7">
        <v>43317.2</v>
      </c>
      <c r="F178" s="5" t="s">
        <v>14</v>
      </c>
      <c r="G178" s="5" t="s">
        <v>11</v>
      </c>
      <c r="H178" s="5" t="s">
        <v>12</v>
      </c>
      <c r="I178" s="14">
        <v>28</v>
      </c>
      <c r="J178" s="12">
        <f>33827.2+67.2</f>
        <v>33894.399999999994</v>
      </c>
      <c r="K178" s="5">
        <v>0</v>
      </c>
      <c r="L178" s="5">
        <v>4744.9959999999992</v>
      </c>
      <c r="M178" s="5">
        <v>4744.9959999999992</v>
      </c>
      <c r="N178" s="5">
        <v>0</v>
      </c>
      <c r="O178" s="5" t="s">
        <v>646</v>
      </c>
      <c r="P178" s="5" t="s">
        <v>636</v>
      </c>
      <c r="Q178" s="5">
        <v>87141900</v>
      </c>
      <c r="R178" s="17" t="s">
        <v>22</v>
      </c>
      <c r="S178" s="5" t="s">
        <v>13</v>
      </c>
      <c r="T178" s="7">
        <v>0</v>
      </c>
      <c r="U178" s="7">
        <v>0</v>
      </c>
      <c r="V178" s="7">
        <f t="shared" si="2"/>
        <v>0</v>
      </c>
      <c r="W178" s="7">
        <f>320+320</f>
        <v>640</v>
      </c>
    </row>
    <row r="179" spans="1:23" x14ac:dyDescent="0.3">
      <c r="A179" s="5" t="s">
        <v>261</v>
      </c>
      <c r="B179" s="5" t="s">
        <v>260</v>
      </c>
      <c r="C179" s="5">
        <v>10513</v>
      </c>
      <c r="D179" s="303">
        <v>42944</v>
      </c>
      <c r="E179" s="7">
        <v>25042.35</v>
      </c>
      <c r="F179" s="5" t="s">
        <v>14</v>
      </c>
      <c r="G179" s="5" t="s">
        <v>11</v>
      </c>
      <c r="H179" s="5" t="s">
        <v>12</v>
      </c>
      <c r="I179" s="14">
        <v>28</v>
      </c>
      <c r="J179" s="12">
        <f>19556.35+38.85</f>
        <v>19595.199999999997</v>
      </c>
      <c r="K179" s="5">
        <v>0</v>
      </c>
      <c r="L179" s="5">
        <v>2742.9979999999996</v>
      </c>
      <c r="M179" s="5">
        <v>2742.9979999999996</v>
      </c>
      <c r="N179" s="5">
        <v>0</v>
      </c>
      <c r="O179" s="5" t="s">
        <v>646</v>
      </c>
      <c r="P179" s="5" t="s">
        <v>636</v>
      </c>
      <c r="Q179" s="5">
        <v>87141900</v>
      </c>
      <c r="R179" s="17" t="s">
        <v>22</v>
      </c>
      <c r="S179" s="5" t="s">
        <v>13</v>
      </c>
      <c r="T179" s="7">
        <v>0</v>
      </c>
      <c r="U179" s="7">
        <v>0</v>
      </c>
      <c r="V179" s="7">
        <f t="shared" si="2"/>
        <v>0</v>
      </c>
      <c r="W179" s="7">
        <v>370</v>
      </c>
    </row>
    <row r="180" spans="1:23" x14ac:dyDescent="0.3">
      <c r="A180" s="5" t="s">
        <v>261</v>
      </c>
      <c r="B180" s="5" t="s">
        <v>260</v>
      </c>
      <c r="C180" s="5">
        <v>10540</v>
      </c>
      <c r="D180" s="303">
        <v>42944</v>
      </c>
      <c r="E180" s="7">
        <v>40611</v>
      </c>
      <c r="F180" s="5" t="s">
        <v>14</v>
      </c>
      <c r="G180" s="5" t="s">
        <v>11</v>
      </c>
      <c r="H180" s="5" t="s">
        <v>12</v>
      </c>
      <c r="I180" s="14">
        <v>28</v>
      </c>
      <c r="J180" s="12">
        <f>31713+63</f>
        <v>31776</v>
      </c>
      <c r="K180" s="5">
        <v>0</v>
      </c>
      <c r="L180" s="5">
        <v>4448.9999999999991</v>
      </c>
      <c r="M180" s="5">
        <v>4448.9999999999991</v>
      </c>
      <c r="N180" s="5">
        <v>0</v>
      </c>
      <c r="O180" s="5" t="s">
        <v>646</v>
      </c>
      <c r="P180" s="5" t="s">
        <v>636</v>
      </c>
      <c r="Q180" s="5">
        <v>87141900</v>
      </c>
      <c r="R180" s="17" t="s">
        <v>22</v>
      </c>
      <c r="S180" s="5" t="s">
        <v>13</v>
      </c>
      <c r="T180" s="7">
        <v>0</v>
      </c>
      <c r="U180" s="7">
        <v>0</v>
      </c>
      <c r="V180" s="7">
        <f t="shared" si="2"/>
        <v>0</v>
      </c>
      <c r="W180" s="7">
        <v>600</v>
      </c>
    </row>
    <row r="181" spans="1:23" x14ac:dyDescent="0.3">
      <c r="A181" s="5" t="s">
        <v>248</v>
      </c>
      <c r="B181" s="5" t="s">
        <v>247</v>
      </c>
      <c r="C181" s="5">
        <v>7887672804</v>
      </c>
      <c r="D181" s="303">
        <v>42945</v>
      </c>
      <c r="E181" s="7">
        <v>15308.8</v>
      </c>
      <c r="F181" s="5" t="s">
        <v>14</v>
      </c>
      <c r="G181" s="5" t="s">
        <v>11</v>
      </c>
      <c r="H181" s="5" t="s">
        <v>12</v>
      </c>
      <c r="I181" s="14">
        <v>28</v>
      </c>
      <c r="J181" s="12">
        <v>11960</v>
      </c>
      <c r="K181" s="5">
        <v>0</v>
      </c>
      <c r="L181" s="5">
        <v>1674.3999999999999</v>
      </c>
      <c r="M181" s="5">
        <v>1674.3999999999999</v>
      </c>
      <c r="N181" s="5">
        <v>0</v>
      </c>
      <c r="O181" s="5" t="s">
        <v>646</v>
      </c>
      <c r="P181" s="5" t="s">
        <v>636</v>
      </c>
      <c r="Q181" s="5">
        <v>32082090</v>
      </c>
      <c r="R181" s="17" t="s">
        <v>250</v>
      </c>
      <c r="S181" s="5" t="s">
        <v>249</v>
      </c>
      <c r="T181" s="7">
        <v>0</v>
      </c>
      <c r="U181" s="7">
        <v>0</v>
      </c>
      <c r="V181" s="7">
        <f t="shared" si="2"/>
        <v>0</v>
      </c>
      <c r="W181" s="7">
        <v>20</v>
      </c>
    </row>
    <row r="182" spans="1:23" x14ac:dyDescent="0.3">
      <c r="A182" s="5" t="s">
        <v>248</v>
      </c>
      <c r="B182" s="5" t="s">
        <v>247</v>
      </c>
      <c r="C182" s="5">
        <v>7887672805</v>
      </c>
      <c r="D182" s="303">
        <v>42945</v>
      </c>
      <c r="E182" s="7">
        <v>4885.2</v>
      </c>
      <c r="F182" s="5" t="s">
        <v>14</v>
      </c>
      <c r="G182" s="5" t="s">
        <v>11</v>
      </c>
      <c r="H182" s="5" t="s">
        <v>12</v>
      </c>
      <c r="I182" s="14">
        <v>18</v>
      </c>
      <c r="J182" s="12">
        <v>4140</v>
      </c>
      <c r="K182" s="5">
        <v>0</v>
      </c>
      <c r="L182" s="5">
        <v>372.59999999999997</v>
      </c>
      <c r="M182" s="5">
        <v>372.59999999999997</v>
      </c>
      <c r="N182" s="5">
        <v>0</v>
      </c>
      <c r="O182" s="5" t="s">
        <v>646</v>
      </c>
      <c r="P182" s="5" t="s">
        <v>636</v>
      </c>
      <c r="Q182" s="5">
        <v>39119090</v>
      </c>
      <c r="R182" s="17" t="s">
        <v>250</v>
      </c>
      <c r="S182" s="5" t="s">
        <v>249</v>
      </c>
      <c r="T182" s="7">
        <v>0</v>
      </c>
      <c r="U182" s="7">
        <v>0</v>
      </c>
      <c r="V182" s="7">
        <f t="shared" si="2"/>
        <v>0</v>
      </c>
      <c r="W182" s="7">
        <v>6</v>
      </c>
    </row>
    <row r="183" spans="1:23" x14ac:dyDescent="0.3">
      <c r="A183" s="5" t="s">
        <v>284</v>
      </c>
      <c r="B183" s="5" t="s">
        <v>283</v>
      </c>
      <c r="C183" s="5">
        <v>2775</v>
      </c>
      <c r="D183" s="303">
        <v>42945</v>
      </c>
      <c r="E183" s="7">
        <v>15025.5</v>
      </c>
      <c r="F183" s="5" t="s">
        <v>14</v>
      </c>
      <c r="G183" s="5" t="s">
        <v>11</v>
      </c>
      <c r="H183" s="5" t="s">
        <v>12</v>
      </c>
      <c r="I183" s="14">
        <v>5</v>
      </c>
      <c r="J183" s="12">
        <v>14310</v>
      </c>
      <c r="K183" s="5">
        <v>0</v>
      </c>
      <c r="L183" s="5">
        <v>357.75</v>
      </c>
      <c r="M183" s="5">
        <v>357.75</v>
      </c>
      <c r="N183" s="5">
        <v>0</v>
      </c>
      <c r="O183" s="5" t="s">
        <v>646</v>
      </c>
      <c r="P183" s="5" t="s">
        <v>636</v>
      </c>
      <c r="Q183" s="5">
        <v>5407</v>
      </c>
      <c r="R183" s="17" t="s">
        <v>552</v>
      </c>
      <c r="S183" s="5" t="s">
        <v>290</v>
      </c>
      <c r="T183" s="7">
        <v>0</v>
      </c>
      <c r="U183" s="7">
        <v>0</v>
      </c>
      <c r="V183" s="7">
        <f t="shared" si="2"/>
        <v>0</v>
      </c>
      <c r="W183" s="7">
        <v>53</v>
      </c>
    </row>
    <row r="184" spans="1:23" x14ac:dyDescent="0.3">
      <c r="A184" s="5" t="s">
        <v>284</v>
      </c>
      <c r="B184" s="5" t="s">
        <v>283</v>
      </c>
      <c r="C184" s="5">
        <v>2774</v>
      </c>
      <c r="D184" s="303">
        <v>42945</v>
      </c>
      <c r="E184" s="7">
        <v>3138.8</v>
      </c>
      <c r="F184" s="5" t="s">
        <v>14</v>
      </c>
      <c r="G184" s="5" t="s">
        <v>11</v>
      </c>
      <c r="H184" s="5" t="s">
        <v>12</v>
      </c>
      <c r="I184" s="14">
        <v>18</v>
      </c>
      <c r="J184" s="12">
        <v>2660</v>
      </c>
      <c r="K184" s="5">
        <v>0</v>
      </c>
      <c r="L184" s="5">
        <v>239.4</v>
      </c>
      <c r="M184" s="5">
        <v>239.4</v>
      </c>
      <c r="N184" s="5">
        <v>0</v>
      </c>
      <c r="O184" s="5" t="s">
        <v>646</v>
      </c>
      <c r="P184" s="5" t="s">
        <v>636</v>
      </c>
      <c r="Q184" s="5">
        <v>40151100</v>
      </c>
      <c r="R184" s="17" t="s">
        <v>553</v>
      </c>
      <c r="S184" s="5" t="s">
        <v>13</v>
      </c>
      <c r="T184" s="7">
        <v>0</v>
      </c>
      <c r="U184" s="7">
        <v>0</v>
      </c>
      <c r="V184" s="7">
        <f t="shared" si="2"/>
        <v>0</v>
      </c>
      <c r="W184" s="7">
        <v>901</v>
      </c>
    </row>
    <row r="185" spans="1:23" x14ac:dyDescent="0.3">
      <c r="A185" s="5" t="s">
        <v>253</v>
      </c>
      <c r="B185" s="5" t="s">
        <v>252</v>
      </c>
      <c r="C185" s="5">
        <v>1758</v>
      </c>
      <c r="D185" s="303">
        <v>42946</v>
      </c>
      <c r="E185" s="7">
        <v>17984</v>
      </c>
      <c r="F185" s="5" t="s">
        <v>14</v>
      </c>
      <c r="G185" s="5" t="s">
        <v>11</v>
      </c>
      <c r="H185" s="5" t="s">
        <v>12</v>
      </c>
      <c r="I185" s="14">
        <v>28</v>
      </c>
      <c r="J185" s="12">
        <v>14050</v>
      </c>
      <c r="K185" s="5">
        <v>0</v>
      </c>
      <c r="L185" s="5">
        <v>1967</v>
      </c>
      <c r="M185" s="5">
        <v>1967</v>
      </c>
      <c r="N185" s="5">
        <v>0</v>
      </c>
      <c r="O185" s="5" t="s">
        <v>646</v>
      </c>
      <c r="P185" s="5" t="s">
        <v>636</v>
      </c>
      <c r="Q185" s="5">
        <v>85129000</v>
      </c>
      <c r="R185" s="5" t="s">
        <v>254</v>
      </c>
      <c r="S185" s="5" t="s">
        <v>13</v>
      </c>
      <c r="T185" s="7">
        <v>0</v>
      </c>
      <c r="U185" s="7">
        <v>0</v>
      </c>
      <c r="V185" s="7">
        <f t="shared" si="2"/>
        <v>0</v>
      </c>
      <c r="W185" s="7">
        <v>500</v>
      </c>
    </row>
    <row r="186" spans="1:23" x14ac:dyDescent="0.3">
      <c r="A186" s="5" t="s">
        <v>261</v>
      </c>
      <c r="B186" s="5" t="s">
        <v>260</v>
      </c>
      <c r="C186" s="5">
        <v>10570</v>
      </c>
      <c r="D186" s="303">
        <v>42945</v>
      </c>
      <c r="E186" s="7">
        <v>67688.75</v>
      </c>
      <c r="F186" s="5" t="s">
        <v>14</v>
      </c>
      <c r="G186" s="5" t="s">
        <v>11</v>
      </c>
      <c r="H186" s="5" t="s">
        <v>12</v>
      </c>
      <c r="I186" s="14">
        <v>28</v>
      </c>
      <c r="J186" s="12">
        <f>52858.75+105.15</f>
        <v>52963.9</v>
      </c>
      <c r="K186" s="5">
        <v>0</v>
      </c>
      <c r="L186" s="5">
        <v>7414.9960000000001</v>
      </c>
      <c r="M186" s="5">
        <v>7414.9960000000001</v>
      </c>
      <c r="N186" s="5">
        <v>0</v>
      </c>
      <c r="O186" s="5" t="s">
        <v>646</v>
      </c>
      <c r="P186" s="5" t="s">
        <v>636</v>
      </c>
      <c r="Q186" s="5">
        <v>87141900</v>
      </c>
      <c r="R186" s="17" t="s">
        <v>22</v>
      </c>
      <c r="S186" s="5" t="s">
        <v>13</v>
      </c>
      <c r="T186" s="7">
        <v>0</v>
      </c>
      <c r="U186" s="7">
        <v>0</v>
      </c>
      <c r="V186" s="7">
        <f t="shared" si="2"/>
        <v>0</v>
      </c>
      <c r="W186" s="7">
        <v>1000</v>
      </c>
    </row>
    <row r="187" spans="1:23" x14ac:dyDescent="0.3">
      <c r="A187" s="5" t="s">
        <v>261</v>
      </c>
      <c r="B187" s="5" t="s">
        <v>260</v>
      </c>
      <c r="C187" s="5">
        <v>10555</v>
      </c>
      <c r="D187" s="303">
        <v>42945</v>
      </c>
      <c r="E187" s="7">
        <v>47378.5</v>
      </c>
      <c r="F187" s="5" t="s">
        <v>14</v>
      </c>
      <c r="G187" s="5" t="s">
        <v>11</v>
      </c>
      <c r="H187" s="5" t="s">
        <v>12</v>
      </c>
      <c r="I187" s="14">
        <v>28</v>
      </c>
      <c r="J187" s="12">
        <f>36998.5+73.5</f>
        <v>37072</v>
      </c>
      <c r="K187" s="5">
        <v>0</v>
      </c>
      <c r="L187" s="5">
        <v>5190</v>
      </c>
      <c r="M187" s="5">
        <v>5190</v>
      </c>
      <c r="N187" s="5">
        <v>0</v>
      </c>
      <c r="O187" s="5" t="s">
        <v>646</v>
      </c>
      <c r="P187" s="5" t="s">
        <v>636</v>
      </c>
      <c r="Q187" s="5">
        <v>87141900</v>
      </c>
      <c r="R187" s="17" t="s">
        <v>22</v>
      </c>
      <c r="S187" s="5" t="s">
        <v>13</v>
      </c>
      <c r="T187" s="7">
        <v>0</v>
      </c>
      <c r="U187" s="7">
        <v>0</v>
      </c>
      <c r="V187" s="7">
        <f t="shared" si="2"/>
        <v>0</v>
      </c>
      <c r="W187" s="7">
        <v>700</v>
      </c>
    </row>
    <row r="188" spans="1:23" x14ac:dyDescent="0.3">
      <c r="A188" s="5" t="s">
        <v>395</v>
      </c>
      <c r="B188" s="5" t="s">
        <v>394</v>
      </c>
      <c r="C188" s="5">
        <v>1235</v>
      </c>
      <c r="D188" s="303">
        <v>42945</v>
      </c>
      <c r="E188" s="7">
        <v>52310.02</v>
      </c>
      <c r="F188" s="5" t="s">
        <v>14</v>
      </c>
      <c r="G188" s="5" t="s">
        <v>11</v>
      </c>
      <c r="H188" s="5" t="s">
        <v>12</v>
      </c>
      <c r="I188" s="14">
        <v>28</v>
      </c>
      <c r="J188" s="12">
        <v>40867.199999999997</v>
      </c>
      <c r="K188" s="5">
        <v>0</v>
      </c>
      <c r="L188" s="5">
        <v>5721.4079999999994</v>
      </c>
      <c r="M188" s="5">
        <v>5721.4079999999994</v>
      </c>
      <c r="N188" s="5">
        <v>0</v>
      </c>
      <c r="O188" s="5" t="s">
        <v>646</v>
      </c>
      <c r="P188" s="5" t="s">
        <v>636</v>
      </c>
      <c r="Q188" s="5">
        <v>87082900</v>
      </c>
      <c r="R188" s="17" t="s">
        <v>22</v>
      </c>
      <c r="S188" s="5" t="s">
        <v>13</v>
      </c>
      <c r="T188" s="7">
        <v>0</v>
      </c>
      <c r="U188" s="7">
        <v>0</v>
      </c>
      <c r="V188" s="7">
        <f t="shared" si="2"/>
        <v>0</v>
      </c>
      <c r="W188" s="7">
        <v>960</v>
      </c>
    </row>
    <row r="189" spans="1:23" x14ac:dyDescent="0.3">
      <c r="A189" s="5" t="s">
        <v>187</v>
      </c>
      <c r="B189" s="5" t="s">
        <v>699</v>
      </c>
      <c r="C189" s="5">
        <v>967769550</v>
      </c>
      <c r="D189" s="303">
        <v>42945</v>
      </c>
      <c r="E189" s="7">
        <v>11205.92</v>
      </c>
      <c r="F189" s="5" t="s">
        <v>14</v>
      </c>
      <c r="G189" s="5" t="s">
        <v>11</v>
      </c>
      <c r="H189" s="5" t="s">
        <v>12</v>
      </c>
      <c r="I189" s="14">
        <v>28</v>
      </c>
      <c r="J189" s="12">
        <v>8753.92</v>
      </c>
      <c r="K189" s="5">
        <v>0</v>
      </c>
      <c r="L189" s="5">
        <v>1225.9988000000001</v>
      </c>
      <c r="M189" s="5">
        <v>1225.9988000000001</v>
      </c>
      <c r="N189" s="5">
        <v>0</v>
      </c>
      <c r="O189" s="5" t="s">
        <v>646</v>
      </c>
      <c r="P189" s="5" t="s">
        <v>636</v>
      </c>
      <c r="Q189" s="5">
        <v>87082900</v>
      </c>
      <c r="R189" s="17" t="s">
        <v>22</v>
      </c>
      <c r="S189" s="5" t="s">
        <v>13</v>
      </c>
      <c r="T189" s="7">
        <v>0</v>
      </c>
      <c r="U189" s="7">
        <v>0</v>
      </c>
      <c r="V189" s="7">
        <f t="shared" si="2"/>
        <v>0</v>
      </c>
      <c r="W189" s="7">
        <v>56</v>
      </c>
    </row>
    <row r="190" spans="1:23" x14ac:dyDescent="0.3">
      <c r="A190" s="5" t="s">
        <v>555</v>
      </c>
      <c r="B190" s="5" t="s">
        <v>554</v>
      </c>
      <c r="C190" s="5">
        <v>76</v>
      </c>
      <c r="D190" s="303">
        <v>42945</v>
      </c>
      <c r="E190" s="7">
        <v>25960</v>
      </c>
      <c r="F190" s="5" t="s">
        <v>14</v>
      </c>
      <c r="G190" s="5" t="s">
        <v>11</v>
      </c>
      <c r="H190" s="5" t="s">
        <v>12</v>
      </c>
      <c r="I190" s="14">
        <v>18</v>
      </c>
      <c r="J190" s="12">
        <v>22000</v>
      </c>
      <c r="K190" s="5">
        <v>0</v>
      </c>
      <c r="L190" s="5">
        <v>1980</v>
      </c>
      <c r="M190" s="5">
        <v>1980</v>
      </c>
      <c r="N190" s="5">
        <v>0</v>
      </c>
      <c r="O190" s="5" t="s">
        <v>646</v>
      </c>
      <c r="P190" s="5" t="s">
        <v>636</v>
      </c>
      <c r="Q190" s="5">
        <v>84242000</v>
      </c>
      <c r="R190" s="17" t="s">
        <v>22</v>
      </c>
      <c r="S190" s="5" t="s">
        <v>13</v>
      </c>
      <c r="T190" s="7">
        <v>0</v>
      </c>
      <c r="U190" s="7">
        <v>0</v>
      </c>
      <c r="V190" s="7">
        <f t="shared" si="2"/>
        <v>0</v>
      </c>
      <c r="W190" s="7">
        <v>2</v>
      </c>
    </row>
    <row r="191" spans="1:23" x14ac:dyDescent="0.3">
      <c r="A191" s="5" t="s">
        <v>557</v>
      </c>
      <c r="B191" s="5" t="s">
        <v>556</v>
      </c>
      <c r="C191" s="5">
        <v>25</v>
      </c>
      <c r="D191" s="303">
        <v>42917</v>
      </c>
      <c r="E191" s="7">
        <v>482489.59999999998</v>
      </c>
      <c r="F191" s="5" t="s">
        <v>14</v>
      </c>
      <c r="G191" s="5" t="s">
        <v>11</v>
      </c>
      <c r="H191" s="5" t="s">
        <v>12</v>
      </c>
      <c r="I191" s="14">
        <v>28</v>
      </c>
      <c r="J191" s="12">
        <v>376945</v>
      </c>
      <c r="K191" s="5">
        <v>0</v>
      </c>
      <c r="L191" s="5">
        <v>52772.299999999996</v>
      </c>
      <c r="M191" s="5">
        <v>52772.299999999996</v>
      </c>
      <c r="N191" s="5">
        <v>0</v>
      </c>
      <c r="O191" s="5" t="s">
        <v>646</v>
      </c>
      <c r="P191" s="5" t="s">
        <v>636</v>
      </c>
      <c r="Q191" s="5">
        <v>441480</v>
      </c>
      <c r="R191" s="17" t="s">
        <v>558</v>
      </c>
      <c r="S191" s="5" t="s">
        <v>13</v>
      </c>
      <c r="T191" s="7">
        <v>0</v>
      </c>
      <c r="U191" s="7">
        <v>0</v>
      </c>
      <c r="V191" s="7">
        <f t="shared" si="2"/>
        <v>0</v>
      </c>
      <c r="W191" s="7">
        <v>0</v>
      </c>
    </row>
    <row r="192" spans="1:23" x14ac:dyDescent="0.3">
      <c r="A192" s="5" t="s">
        <v>397</v>
      </c>
      <c r="B192" s="5" t="s">
        <v>396</v>
      </c>
      <c r="C192" s="5">
        <v>1218</v>
      </c>
      <c r="D192" s="303">
        <v>42944</v>
      </c>
      <c r="E192" s="7">
        <v>1829</v>
      </c>
      <c r="F192" s="5" t="s">
        <v>14</v>
      </c>
      <c r="G192" s="5" t="s">
        <v>11</v>
      </c>
      <c r="H192" s="5" t="s">
        <v>12</v>
      </c>
      <c r="I192" s="14">
        <v>18</v>
      </c>
      <c r="J192" s="12">
        <v>1550</v>
      </c>
      <c r="K192" s="5">
        <v>0</v>
      </c>
      <c r="L192" s="5">
        <v>139.5</v>
      </c>
      <c r="M192" s="5">
        <v>139.5</v>
      </c>
      <c r="N192" s="5">
        <v>0</v>
      </c>
      <c r="O192" s="5" t="s">
        <v>646</v>
      </c>
      <c r="P192" s="5" t="s">
        <v>636</v>
      </c>
      <c r="Q192" s="5">
        <v>998933</v>
      </c>
      <c r="R192" s="17" t="s">
        <v>22</v>
      </c>
      <c r="S192" s="5" t="s">
        <v>13</v>
      </c>
      <c r="T192" s="7">
        <v>0</v>
      </c>
      <c r="U192" s="7">
        <v>0</v>
      </c>
      <c r="V192" s="7">
        <f t="shared" si="2"/>
        <v>0</v>
      </c>
      <c r="W192" s="7">
        <v>200</v>
      </c>
    </row>
    <row r="193" spans="1:23" x14ac:dyDescent="0.3">
      <c r="A193" s="5" t="s">
        <v>187</v>
      </c>
      <c r="B193" s="5" t="s">
        <v>699</v>
      </c>
      <c r="C193" s="5">
        <v>967769707</v>
      </c>
      <c r="D193" s="303">
        <v>42947</v>
      </c>
      <c r="E193" s="7">
        <v>9931.52</v>
      </c>
      <c r="F193" s="5" t="s">
        <v>14</v>
      </c>
      <c r="G193" s="5" t="s">
        <v>11</v>
      </c>
      <c r="H193" s="5" t="s">
        <v>12</v>
      </c>
      <c r="I193" s="14">
        <v>28</v>
      </c>
      <c r="J193" s="12">
        <f>5411.52+1174+1174</f>
        <v>7759.52</v>
      </c>
      <c r="K193" s="5">
        <v>0</v>
      </c>
      <c r="L193" s="5">
        <v>1086.0028000000002</v>
      </c>
      <c r="M193" s="5">
        <v>1086.0028000000002</v>
      </c>
      <c r="N193" s="5">
        <v>0</v>
      </c>
      <c r="O193" s="5" t="s">
        <v>646</v>
      </c>
      <c r="P193" s="5" t="s">
        <v>636</v>
      </c>
      <c r="Q193" s="5">
        <v>87089900</v>
      </c>
      <c r="R193" s="17" t="s">
        <v>22</v>
      </c>
      <c r="S193" s="5" t="s">
        <v>13</v>
      </c>
      <c r="T193" s="7">
        <v>0</v>
      </c>
      <c r="U193" s="7">
        <v>0</v>
      </c>
      <c r="V193" s="7">
        <f t="shared" si="2"/>
        <v>0</v>
      </c>
      <c r="W193" s="7">
        <f>36+200+200</f>
        <v>436</v>
      </c>
    </row>
    <row r="194" spans="1:23" x14ac:dyDescent="0.3">
      <c r="A194" s="5" t="s">
        <v>187</v>
      </c>
      <c r="B194" s="5" t="s">
        <v>699</v>
      </c>
      <c r="C194" s="5">
        <v>967769707</v>
      </c>
      <c r="D194" s="303">
        <v>42947</v>
      </c>
      <c r="E194" s="7">
        <v>8002.8</v>
      </c>
      <c r="F194" s="5" t="s">
        <v>14</v>
      </c>
      <c r="G194" s="5" t="s">
        <v>11</v>
      </c>
      <c r="H194" s="5" t="s">
        <v>12</v>
      </c>
      <c r="I194" s="14">
        <v>28</v>
      </c>
      <c r="J194" s="12">
        <v>6252.8</v>
      </c>
      <c r="K194" s="5">
        <v>0</v>
      </c>
      <c r="L194" s="5">
        <v>875.00199999999995</v>
      </c>
      <c r="M194" s="5">
        <v>875.00199999999995</v>
      </c>
      <c r="N194" s="5">
        <v>0</v>
      </c>
      <c r="O194" s="5" t="s">
        <v>646</v>
      </c>
      <c r="P194" s="5" t="s">
        <v>636</v>
      </c>
      <c r="Q194" s="5">
        <v>87082900</v>
      </c>
      <c r="R194" s="17" t="s">
        <v>22</v>
      </c>
      <c r="S194" s="5" t="s">
        <v>13</v>
      </c>
      <c r="T194" s="7">
        <v>0</v>
      </c>
      <c r="U194" s="7">
        <v>0</v>
      </c>
      <c r="V194" s="7">
        <f t="shared" si="2"/>
        <v>0</v>
      </c>
      <c r="W194" s="7">
        <v>40</v>
      </c>
    </row>
    <row r="195" spans="1:23" x14ac:dyDescent="0.3">
      <c r="A195" s="5" t="s">
        <v>261</v>
      </c>
      <c r="B195" s="5" t="s">
        <v>260</v>
      </c>
      <c r="C195" s="5">
        <v>10616</v>
      </c>
      <c r="D195" s="303">
        <v>42947</v>
      </c>
      <c r="E195" s="7">
        <v>64312.25</v>
      </c>
      <c r="F195" s="5" t="s">
        <v>14</v>
      </c>
      <c r="G195" s="5" t="s">
        <v>11</v>
      </c>
      <c r="H195" s="5" t="s">
        <v>12</v>
      </c>
      <c r="I195" s="14">
        <v>28</v>
      </c>
      <c r="J195" s="12">
        <f>50222.25+100.15</f>
        <v>50322.400000000001</v>
      </c>
      <c r="K195" s="5">
        <v>0</v>
      </c>
      <c r="L195" s="5">
        <v>7044.9959999999992</v>
      </c>
      <c r="M195" s="5">
        <v>7044.9959999999992</v>
      </c>
      <c r="N195" s="5">
        <v>0</v>
      </c>
      <c r="O195" s="5" t="s">
        <v>646</v>
      </c>
      <c r="P195" s="5" t="s">
        <v>636</v>
      </c>
      <c r="Q195" s="5">
        <v>87141900</v>
      </c>
      <c r="R195" s="17" t="s">
        <v>22</v>
      </c>
      <c r="S195" s="5" t="s">
        <v>13</v>
      </c>
      <c r="T195" s="7">
        <v>0</v>
      </c>
      <c r="U195" s="7">
        <v>0</v>
      </c>
      <c r="V195" s="7">
        <f t="shared" si="2"/>
        <v>0</v>
      </c>
      <c r="W195" s="7">
        <v>950</v>
      </c>
    </row>
    <row r="196" spans="1:23" x14ac:dyDescent="0.3">
      <c r="A196" s="5" t="s">
        <v>261</v>
      </c>
      <c r="B196" s="5" t="s">
        <v>260</v>
      </c>
      <c r="C196" s="5">
        <v>10584</v>
      </c>
      <c r="D196" s="303">
        <v>42946</v>
      </c>
      <c r="E196" s="7">
        <v>92059.05</v>
      </c>
      <c r="F196" s="5" t="s">
        <v>14</v>
      </c>
      <c r="G196" s="5" t="s">
        <v>11</v>
      </c>
      <c r="H196" s="5" t="s">
        <v>12</v>
      </c>
      <c r="I196" s="14">
        <v>28</v>
      </c>
      <c r="J196" s="12">
        <f>71889.05+143.05</f>
        <v>72032.100000000006</v>
      </c>
      <c r="K196" s="5">
        <v>0</v>
      </c>
      <c r="L196" s="5">
        <v>10085.004000000001</v>
      </c>
      <c r="M196" s="5">
        <v>10085.004000000001</v>
      </c>
      <c r="N196" s="5">
        <v>0</v>
      </c>
      <c r="O196" s="5" t="s">
        <v>646</v>
      </c>
      <c r="P196" s="5" t="s">
        <v>636</v>
      </c>
      <c r="Q196" s="5">
        <v>87141900</v>
      </c>
      <c r="R196" s="17" t="s">
        <v>22</v>
      </c>
      <c r="S196" s="5" t="s">
        <v>13</v>
      </c>
      <c r="T196" s="7">
        <v>0</v>
      </c>
      <c r="U196" s="7">
        <v>0</v>
      </c>
      <c r="V196" s="7">
        <f t="shared" si="2"/>
        <v>0</v>
      </c>
      <c r="W196" s="7">
        <v>1360</v>
      </c>
    </row>
    <row r="197" spans="1:23" x14ac:dyDescent="0.3">
      <c r="A197" s="5" t="s">
        <v>560</v>
      </c>
      <c r="B197" s="5" t="s">
        <v>559</v>
      </c>
      <c r="C197" s="5">
        <v>1110</v>
      </c>
      <c r="D197" s="303">
        <v>42947</v>
      </c>
      <c r="E197" s="7">
        <v>3066.88</v>
      </c>
      <c r="F197" s="5" t="s">
        <v>14</v>
      </c>
      <c r="G197" s="5" t="s">
        <v>11</v>
      </c>
      <c r="H197" s="5" t="s">
        <v>12</v>
      </c>
      <c r="I197" s="14">
        <v>28</v>
      </c>
      <c r="J197" s="12">
        <v>2396</v>
      </c>
      <c r="K197" s="5">
        <v>0</v>
      </c>
      <c r="L197" s="5">
        <v>335.44</v>
      </c>
      <c r="M197" s="5">
        <v>335.44</v>
      </c>
      <c r="N197" s="5">
        <v>0</v>
      </c>
      <c r="O197" s="5" t="s">
        <v>646</v>
      </c>
      <c r="P197" s="5" t="s">
        <v>636</v>
      </c>
      <c r="Q197" s="5">
        <v>87089900</v>
      </c>
      <c r="R197" s="17" t="s">
        <v>22</v>
      </c>
      <c r="S197" s="5" t="s">
        <v>13</v>
      </c>
      <c r="T197" s="7">
        <v>0</v>
      </c>
      <c r="U197" s="7">
        <v>0</v>
      </c>
      <c r="V197" s="7">
        <f t="shared" si="2"/>
        <v>0</v>
      </c>
      <c r="W197" s="7">
        <v>100</v>
      </c>
    </row>
    <row r="198" spans="1:23" x14ac:dyDescent="0.3">
      <c r="A198" s="5" t="s">
        <v>274</v>
      </c>
      <c r="B198" s="5" t="s">
        <v>273</v>
      </c>
      <c r="C198" s="5">
        <v>1761004289</v>
      </c>
      <c r="D198" s="303">
        <v>42947</v>
      </c>
      <c r="E198" s="7">
        <v>261120</v>
      </c>
      <c r="F198" s="5" t="s">
        <v>14</v>
      </c>
      <c r="G198" s="5" t="s">
        <v>11</v>
      </c>
      <c r="H198" s="5" t="s">
        <v>12</v>
      </c>
      <c r="I198" s="14">
        <v>28</v>
      </c>
      <c r="J198" s="12">
        <f>136000+68000</f>
        <v>204000</v>
      </c>
      <c r="K198" s="5">
        <v>0</v>
      </c>
      <c r="L198" s="5">
        <v>28560</v>
      </c>
      <c r="M198" s="5">
        <v>28560</v>
      </c>
      <c r="N198" s="5">
        <v>0</v>
      </c>
      <c r="O198" s="5" t="s">
        <v>646</v>
      </c>
      <c r="P198" s="5" t="s">
        <v>636</v>
      </c>
      <c r="Q198" s="5">
        <v>3208</v>
      </c>
      <c r="R198" s="17" t="s">
        <v>251</v>
      </c>
      <c r="S198" s="5"/>
      <c r="T198" s="7">
        <v>0</v>
      </c>
      <c r="U198" s="7">
        <v>0</v>
      </c>
      <c r="V198" s="7">
        <f t="shared" si="2"/>
        <v>0</v>
      </c>
      <c r="W198" s="7">
        <f>40+10</f>
        <v>50</v>
      </c>
    </row>
    <row r="199" spans="1:23" x14ac:dyDescent="0.3">
      <c r="A199" s="5" t="s">
        <v>397</v>
      </c>
      <c r="B199" s="5" t="s">
        <v>396</v>
      </c>
      <c r="C199" s="5">
        <v>1253</v>
      </c>
      <c r="D199" s="303">
        <v>42947</v>
      </c>
      <c r="E199" s="7">
        <v>3658</v>
      </c>
      <c r="F199" s="5" t="s">
        <v>14</v>
      </c>
      <c r="G199" s="5" t="s">
        <v>11</v>
      </c>
      <c r="H199" s="5" t="s">
        <v>12</v>
      </c>
      <c r="I199" s="14">
        <v>18</v>
      </c>
      <c r="J199" s="12">
        <v>3100</v>
      </c>
      <c r="K199" s="5">
        <v>0</v>
      </c>
      <c r="L199" s="5">
        <v>279</v>
      </c>
      <c r="M199" s="5">
        <v>279</v>
      </c>
      <c r="N199" s="5">
        <v>0</v>
      </c>
      <c r="O199" s="5" t="s">
        <v>646</v>
      </c>
      <c r="P199" s="5" t="s">
        <v>636</v>
      </c>
      <c r="Q199" s="5">
        <v>998933</v>
      </c>
      <c r="R199" s="17" t="s">
        <v>22</v>
      </c>
      <c r="S199" s="5" t="s">
        <v>13</v>
      </c>
      <c r="T199" s="7">
        <v>0</v>
      </c>
      <c r="U199" s="7">
        <v>0</v>
      </c>
      <c r="V199" s="7">
        <f t="shared" ref="V199:V210" si="3">+T199-U199</f>
        <v>0</v>
      </c>
      <c r="W199" s="7">
        <v>400</v>
      </c>
    </row>
    <row r="200" spans="1:23" x14ac:dyDescent="0.3">
      <c r="A200" s="5" t="s">
        <v>586</v>
      </c>
      <c r="B200" s="5" t="s">
        <v>587</v>
      </c>
      <c r="C200" s="5">
        <v>104</v>
      </c>
      <c r="D200" s="303">
        <v>42920</v>
      </c>
      <c r="E200" s="7">
        <v>11130.95</v>
      </c>
      <c r="F200" s="5" t="s">
        <v>14</v>
      </c>
      <c r="G200" s="5" t="s">
        <v>11</v>
      </c>
      <c r="H200" s="5" t="s">
        <v>12</v>
      </c>
      <c r="I200" s="14">
        <v>28</v>
      </c>
      <c r="J200" s="12">
        <v>9433.01</v>
      </c>
      <c r="K200" s="5">
        <v>0</v>
      </c>
      <c r="L200" s="5">
        <v>848.97</v>
      </c>
      <c r="M200" s="5">
        <v>848.97</v>
      </c>
      <c r="N200" s="5">
        <v>0</v>
      </c>
      <c r="O200" s="5" t="s">
        <v>646</v>
      </c>
      <c r="P200" s="5" t="s">
        <v>636</v>
      </c>
      <c r="Q200" s="5">
        <v>27111900</v>
      </c>
      <c r="R200" s="17" t="s">
        <v>588</v>
      </c>
      <c r="S200" s="5" t="s">
        <v>13</v>
      </c>
      <c r="T200" s="7">
        <v>0</v>
      </c>
      <c r="U200" s="7">
        <v>0</v>
      </c>
      <c r="V200" s="7">
        <f t="shared" si="3"/>
        <v>0</v>
      </c>
      <c r="W200" s="7">
        <v>10</v>
      </c>
    </row>
    <row r="201" spans="1:23" x14ac:dyDescent="0.3">
      <c r="A201" s="5" t="s">
        <v>586</v>
      </c>
      <c r="B201" s="5" t="s">
        <v>587</v>
      </c>
      <c r="C201" s="5">
        <v>40</v>
      </c>
      <c r="D201" s="303">
        <v>42923</v>
      </c>
      <c r="E201" s="7">
        <v>21189.91</v>
      </c>
      <c r="F201" s="5" t="s">
        <v>14</v>
      </c>
      <c r="G201" s="5" t="s">
        <v>11</v>
      </c>
      <c r="H201" s="5" t="s">
        <v>12</v>
      </c>
      <c r="I201" s="14">
        <v>28</v>
      </c>
      <c r="J201" s="12">
        <v>17957.55</v>
      </c>
      <c r="K201" s="5">
        <v>0</v>
      </c>
      <c r="L201" s="5">
        <v>1616.18</v>
      </c>
      <c r="M201" s="5">
        <v>1616.18</v>
      </c>
      <c r="N201" s="5">
        <v>0</v>
      </c>
      <c r="O201" s="5" t="s">
        <v>646</v>
      </c>
      <c r="P201" s="5" t="s">
        <v>636</v>
      </c>
      <c r="Q201" s="5">
        <v>27111900</v>
      </c>
      <c r="R201" s="17" t="s">
        <v>588</v>
      </c>
      <c r="S201" s="5" t="s">
        <v>13</v>
      </c>
      <c r="T201" s="7">
        <v>0</v>
      </c>
      <c r="U201" s="7">
        <v>0</v>
      </c>
      <c r="V201" s="7">
        <f t="shared" si="3"/>
        <v>0</v>
      </c>
      <c r="W201" s="7">
        <v>15</v>
      </c>
    </row>
    <row r="202" spans="1:23" x14ac:dyDescent="0.3">
      <c r="A202" s="5" t="s">
        <v>586</v>
      </c>
      <c r="B202" s="5" t="s">
        <v>587</v>
      </c>
      <c r="C202" s="5">
        <v>142</v>
      </c>
      <c r="D202" s="303">
        <v>42934</v>
      </c>
      <c r="E202" s="7">
        <v>15368.92</v>
      </c>
      <c r="F202" s="5" t="s">
        <v>14</v>
      </c>
      <c r="G202" s="5" t="s">
        <v>11</v>
      </c>
      <c r="H202" s="5" t="s">
        <v>12</v>
      </c>
      <c r="I202" s="14">
        <v>28</v>
      </c>
      <c r="J202" s="12">
        <v>13024.52</v>
      </c>
      <c r="K202" s="5">
        <v>0</v>
      </c>
      <c r="L202" s="5">
        <v>1172.2</v>
      </c>
      <c r="M202" s="5">
        <v>1172.2</v>
      </c>
      <c r="N202" s="5">
        <v>0</v>
      </c>
      <c r="O202" s="5" t="s">
        <v>646</v>
      </c>
      <c r="P202" s="5" t="s">
        <v>636</v>
      </c>
      <c r="Q202" s="5">
        <v>27111900</v>
      </c>
      <c r="R202" s="17" t="s">
        <v>588</v>
      </c>
      <c r="S202" s="5" t="s">
        <v>13</v>
      </c>
      <c r="T202" s="7">
        <v>0</v>
      </c>
      <c r="U202" s="7">
        <v>0</v>
      </c>
      <c r="V202" s="7">
        <f t="shared" si="3"/>
        <v>0</v>
      </c>
      <c r="W202" s="7">
        <v>13</v>
      </c>
    </row>
    <row r="203" spans="1:23" x14ac:dyDescent="0.3">
      <c r="A203" s="5" t="s">
        <v>586</v>
      </c>
      <c r="B203" s="5" t="s">
        <v>587</v>
      </c>
      <c r="C203" s="5">
        <v>190</v>
      </c>
      <c r="D203" s="303">
        <v>42941</v>
      </c>
      <c r="E203" s="7">
        <v>14500.93</v>
      </c>
      <c r="F203" s="5" t="s">
        <v>14</v>
      </c>
      <c r="G203" s="5" t="s">
        <v>11</v>
      </c>
      <c r="H203" s="5" t="s">
        <v>12</v>
      </c>
      <c r="I203" s="14">
        <v>28</v>
      </c>
      <c r="J203" s="12">
        <v>12288.93</v>
      </c>
      <c r="K203" s="5">
        <v>0</v>
      </c>
      <c r="L203" s="5">
        <v>1106</v>
      </c>
      <c r="M203" s="5">
        <v>1106</v>
      </c>
      <c r="N203" s="5">
        <v>0</v>
      </c>
      <c r="O203" s="5" t="s">
        <v>646</v>
      </c>
      <c r="P203" s="5" t="s">
        <v>636</v>
      </c>
      <c r="Q203" s="5">
        <v>27111900</v>
      </c>
      <c r="R203" s="17" t="s">
        <v>588</v>
      </c>
      <c r="S203" s="5" t="s">
        <v>13</v>
      </c>
      <c r="T203" s="7">
        <v>0</v>
      </c>
      <c r="U203" s="7">
        <v>0</v>
      </c>
      <c r="V203" s="7">
        <f t="shared" si="3"/>
        <v>0</v>
      </c>
      <c r="W203" s="7">
        <v>12</v>
      </c>
    </row>
    <row r="204" spans="1:23" x14ac:dyDescent="0.3">
      <c r="A204" s="5" t="s">
        <v>586</v>
      </c>
      <c r="B204" s="5" t="s">
        <v>587</v>
      </c>
      <c r="C204" s="5">
        <v>217</v>
      </c>
      <c r="D204" s="303">
        <v>42946</v>
      </c>
      <c r="E204" s="7">
        <v>14500.93</v>
      </c>
      <c r="F204" s="5" t="s">
        <v>14</v>
      </c>
      <c r="G204" s="5" t="s">
        <v>11</v>
      </c>
      <c r="H204" s="5" t="s">
        <v>12</v>
      </c>
      <c r="I204" s="14">
        <v>28</v>
      </c>
      <c r="J204" s="12">
        <v>12288.93</v>
      </c>
      <c r="K204" s="5">
        <v>0</v>
      </c>
      <c r="L204" s="5">
        <v>1106</v>
      </c>
      <c r="M204" s="5">
        <v>1106</v>
      </c>
      <c r="N204" s="5">
        <v>0</v>
      </c>
      <c r="O204" s="5" t="s">
        <v>646</v>
      </c>
      <c r="P204" s="5" t="s">
        <v>636</v>
      </c>
      <c r="Q204" s="5">
        <v>27111900</v>
      </c>
      <c r="R204" s="17" t="s">
        <v>588</v>
      </c>
      <c r="S204" s="5" t="s">
        <v>13</v>
      </c>
      <c r="T204" s="7">
        <v>0</v>
      </c>
      <c r="U204" s="7">
        <v>0</v>
      </c>
      <c r="V204" s="7">
        <f t="shared" si="3"/>
        <v>0</v>
      </c>
      <c r="W204" s="7">
        <v>12</v>
      </c>
    </row>
    <row r="205" spans="1:23" x14ac:dyDescent="0.3">
      <c r="A205" s="5" t="s">
        <v>590</v>
      </c>
      <c r="B205" s="5" t="s">
        <v>591</v>
      </c>
      <c r="C205" s="5">
        <v>3127</v>
      </c>
      <c r="D205" s="303">
        <v>42937</v>
      </c>
      <c r="E205" s="7">
        <v>1526.88</v>
      </c>
      <c r="F205" s="5" t="s">
        <v>14</v>
      </c>
      <c r="G205" s="5" t="s">
        <v>11</v>
      </c>
      <c r="H205" s="5" t="s">
        <v>12</v>
      </c>
      <c r="I205" s="14">
        <v>28</v>
      </c>
      <c r="J205" s="12">
        <v>1192.8800000000001</v>
      </c>
      <c r="K205" s="5">
        <v>0</v>
      </c>
      <c r="L205" s="5">
        <v>167</v>
      </c>
      <c r="M205" s="5">
        <v>167</v>
      </c>
      <c r="N205" s="5">
        <v>0</v>
      </c>
      <c r="O205" s="5" t="s">
        <v>646</v>
      </c>
      <c r="P205" s="5" t="s">
        <v>636</v>
      </c>
      <c r="Q205" s="5"/>
      <c r="R205" s="17"/>
      <c r="S205" s="5" t="s">
        <v>13</v>
      </c>
      <c r="T205" s="7">
        <v>0</v>
      </c>
      <c r="U205" s="7">
        <v>0</v>
      </c>
      <c r="V205" s="7">
        <f t="shared" si="3"/>
        <v>0</v>
      </c>
      <c r="W205" s="7"/>
    </row>
    <row r="206" spans="1:23" x14ac:dyDescent="0.3">
      <c r="A206" s="5" t="s">
        <v>590</v>
      </c>
      <c r="B206" s="5" t="s">
        <v>591</v>
      </c>
      <c r="C206" s="5">
        <v>3127</v>
      </c>
      <c r="D206" s="303">
        <v>42937</v>
      </c>
      <c r="E206" s="7">
        <v>5309.18</v>
      </c>
      <c r="F206" s="5" t="s">
        <v>14</v>
      </c>
      <c r="G206" s="5" t="s">
        <v>11</v>
      </c>
      <c r="H206" s="5" t="s">
        <v>12</v>
      </c>
      <c r="I206" s="14">
        <v>18</v>
      </c>
      <c r="J206" s="12">
        <v>4499.3</v>
      </c>
      <c r="K206" s="5">
        <v>0</v>
      </c>
      <c r="L206" s="5">
        <v>404.94</v>
      </c>
      <c r="M206" s="5">
        <v>404.94</v>
      </c>
      <c r="N206" s="5">
        <v>0</v>
      </c>
      <c r="O206" s="5" t="s">
        <v>646</v>
      </c>
      <c r="P206" s="5" t="s">
        <v>636</v>
      </c>
      <c r="Q206" s="5"/>
      <c r="R206" s="17"/>
      <c r="S206" s="5" t="s">
        <v>13</v>
      </c>
      <c r="T206" s="7">
        <v>0</v>
      </c>
      <c r="U206" s="7">
        <v>0</v>
      </c>
      <c r="V206" s="7">
        <f t="shared" si="3"/>
        <v>0</v>
      </c>
      <c r="W206" s="7"/>
    </row>
    <row r="207" spans="1:23" x14ac:dyDescent="0.3">
      <c r="A207" s="5" t="s">
        <v>592</v>
      </c>
      <c r="B207" s="5" t="s">
        <v>593</v>
      </c>
      <c r="C207" s="5" t="s">
        <v>595</v>
      </c>
      <c r="D207" s="303">
        <v>42947</v>
      </c>
      <c r="E207" s="7">
        <v>0</v>
      </c>
      <c r="F207" s="5" t="s">
        <v>14</v>
      </c>
      <c r="G207" s="5" t="s">
        <v>11</v>
      </c>
      <c r="H207" s="5" t="s">
        <v>12</v>
      </c>
      <c r="I207" s="14">
        <v>18</v>
      </c>
      <c r="J207" s="12">
        <v>0</v>
      </c>
      <c r="K207" s="5">
        <v>0</v>
      </c>
      <c r="L207" s="5">
        <v>0</v>
      </c>
      <c r="M207" s="5">
        <v>0</v>
      </c>
      <c r="N207" s="5">
        <v>0</v>
      </c>
      <c r="O207" s="5" t="s">
        <v>646</v>
      </c>
      <c r="P207" s="5" t="s">
        <v>637</v>
      </c>
      <c r="Q207" s="5"/>
      <c r="R207" s="17"/>
      <c r="S207" s="5" t="s">
        <v>13</v>
      </c>
      <c r="T207" s="7">
        <v>0</v>
      </c>
      <c r="U207" s="7">
        <v>0</v>
      </c>
      <c r="V207" s="7">
        <f t="shared" si="3"/>
        <v>0</v>
      </c>
      <c r="W207" s="7">
        <v>0</v>
      </c>
    </row>
    <row r="208" spans="1:23" x14ac:dyDescent="0.3">
      <c r="A208" s="5" t="s">
        <v>592</v>
      </c>
      <c r="B208" s="5" t="s">
        <v>593</v>
      </c>
      <c r="C208" s="5" t="s">
        <v>594</v>
      </c>
      <c r="D208" s="303">
        <v>42947</v>
      </c>
      <c r="E208" s="7">
        <v>0</v>
      </c>
      <c r="F208" s="5" t="s">
        <v>14</v>
      </c>
      <c r="G208" s="5" t="s">
        <v>11</v>
      </c>
      <c r="H208" s="5" t="s">
        <v>12</v>
      </c>
      <c r="I208" s="14">
        <v>18</v>
      </c>
      <c r="J208" s="12">
        <v>0</v>
      </c>
      <c r="K208" s="5">
        <v>0</v>
      </c>
      <c r="L208" s="5">
        <v>0</v>
      </c>
      <c r="M208" s="5">
        <v>0</v>
      </c>
      <c r="N208" s="5">
        <v>0</v>
      </c>
      <c r="O208" s="5" t="s">
        <v>646</v>
      </c>
      <c r="P208" s="5" t="s">
        <v>637</v>
      </c>
      <c r="Q208" s="5"/>
      <c r="R208" s="17"/>
      <c r="S208" s="5" t="s">
        <v>13</v>
      </c>
      <c r="T208" s="7">
        <v>0</v>
      </c>
      <c r="U208" s="7">
        <v>0</v>
      </c>
      <c r="V208" s="7">
        <f t="shared" si="3"/>
        <v>0</v>
      </c>
      <c r="W208" s="7">
        <v>0</v>
      </c>
    </row>
    <row r="209" spans="1:23" x14ac:dyDescent="0.3">
      <c r="A209" s="5" t="s">
        <v>596</v>
      </c>
      <c r="B209" s="5" t="s">
        <v>597</v>
      </c>
      <c r="C209" s="5" t="s">
        <v>598</v>
      </c>
      <c r="D209" s="303">
        <v>42919</v>
      </c>
      <c r="E209" s="7">
        <v>4130</v>
      </c>
      <c r="F209" s="5" t="s">
        <v>14</v>
      </c>
      <c r="G209" s="5" t="s">
        <v>11</v>
      </c>
      <c r="H209" s="5" t="s">
        <v>12</v>
      </c>
      <c r="I209" s="14">
        <v>18</v>
      </c>
      <c r="J209" s="12">
        <v>3500</v>
      </c>
      <c r="K209" s="5">
        <v>0</v>
      </c>
      <c r="L209" s="5">
        <v>315</v>
      </c>
      <c r="M209" s="5">
        <v>315</v>
      </c>
      <c r="N209" s="5">
        <v>0</v>
      </c>
      <c r="O209" s="5" t="s">
        <v>646</v>
      </c>
      <c r="P209" s="5" t="s">
        <v>637</v>
      </c>
      <c r="Q209" s="5"/>
      <c r="R209" s="17"/>
      <c r="S209" s="5" t="s">
        <v>13</v>
      </c>
      <c r="T209" s="7">
        <v>0</v>
      </c>
      <c r="U209" s="7">
        <v>0</v>
      </c>
      <c r="V209" s="7">
        <f t="shared" si="3"/>
        <v>0</v>
      </c>
      <c r="W209" s="7"/>
    </row>
    <row r="210" spans="1:23" x14ac:dyDescent="0.3">
      <c r="A210" s="5" t="s">
        <v>599</v>
      </c>
      <c r="B210" s="5" t="s">
        <v>600</v>
      </c>
      <c r="C210" s="5" t="s">
        <v>601</v>
      </c>
      <c r="D210" s="303">
        <v>42930</v>
      </c>
      <c r="E210" s="7">
        <v>42387</v>
      </c>
      <c r="F210" s="5" t="s">
        <v>14</v>
      </c>
      <c r="G210" s="5" t="s">
        <v>11</v>
      </c>
      <c r="H210" s="5" t="s">
        <v>12</v>
      </c>
      <c r="I210" s="14">
        <v>18</v>
      </c>
      <c r="J210" s="12">
        <v>35921</v>
      </c>
      <c r="K210" s="5">
        <v>0</v>
      </c>
      <c r="L210" s="5">
        <v>3233</v>
      </c>
      <c r="M210" s="5">
        <v>3233</v>
      </c>
      <c r="N210" s="5">
        <v>0</v>
      </c>
      <c r="O210" s="5" t="s">
        <v>646</v>
      </c>
      <c r="P210" s="5" t="s">
        <v>637</v>
      </c>
      <c r="Q210" s="5"/>
      <c r="R210" s="17"/>
      <c r="S210" s="5" t="s">
        <v>13</v>
      </c>
      <c r="T210" s="7">
        <v>0</v>
      </c>
      <c r="U210" s="7">
        <v>0</v>
      </c>
      <c r="V210" s="7">
        <f t="shared" si="3"/>
        <v>0</v>
      </c>
      <c r="W210" s="7"/>
    </row>
    <row r="211" spans="1:23" x14ac:dyDescent="0.3">
      <c r="A211" s="5" t="s">
        <v>633</v>
      </c>
      <c r="B211" s="5" t="s">
        <v>634</v>
      </c>
      <c r="C211" s="5">
        <v>1322171012607</v>
      </c>
      <c r="D211" s="303">
        <v>42927</v>
      </c>
      <c r="E211" s="7">
        <v>4090.69</v>
      </c>
      <c r="F211" s="5" t="s">
        <v>635</v>
      </c>
      <c r="G211" s="5" t="s">
        <v>11</v>
      </c>
      <c r="H211" s="5" t="s">
        <v>12</v>
      </c>
      <c r="I211" s="14">
        <v>18</v>
      </c>
      <c r="J211" s="12">
        <v>3466.69</v>
      </c>
      <c r="K211" s="5">
        <v>624</v>
      </c>
      <c r="L211" s="5">
        <v>0</v>
      </c>
      <c r="M211" s="5">
        <v>0</v>
      </c>
      <c r="N211" s="5">
        <v>0</v>
      </c>
      <c r="O211" s="5" t="s">
        <v>646</v>
      </c>
      <c r="P211" s="5" t="s">
        <v>637</v>
      </c>
      <c r="Q211" s="5"/>
      <c r="R211" s="17"/>
      <c r="S211" s="5" t="s">
        <v>13</v>
      </c>
      <c r="T211" s="7">
        <v>0</v>
      </c>
      <c r="U211" s="7">
        <v>0</v>
      </c>
      <c r="V211" s="7">
        <f t="shared" ref="V211" si="4">+T211-U211</f>
        <v>0</v>
      </c>
      <c r="W211" s="7"/>
    </row>
    <row r="212" spans="1:23" x14ac:dyDescent="0.3">
      <c r="A212" s="5" t="s">
        <v>641</v>
      </c>
      <c r="B212" s="5" t="s">
        <v>639</v>
      </c>
      <c r="C212" s="5" t="s">
        <v>640</v>
      </c>
      <c r="D212" s="303">
        <v>42943</v>
      </c>
      <c r="E212" s="7">
        <v>37000</v>
      </c>
      <c r="F212" s="5" t="s">
        <v>14</v>
      </c>
      <c r="G212" s="5" t="s">
        <v>11</v>
      </c>
      <c r="H212" s="5" t="s">
        <v>12</v>
      </c>
      <c r="I212" s="14">
        <v>28</v>
      </c>
      <c r="J212" s="12">
        <v>28906.25</v>
      </c>
      <c r="K212" s="5">
        <v>0</v>
      </c>
      <c r="L212" s="5">
        <v>4046.88</v>
      </c>
      <c r="M212" s="5">
        <v>4046.88</v>
      </c>
      <c r="N212" s="5">
        <v>0</v>
      </c>
      <c r="O212" s="5" t="s">
        <v>646</v>
      </c>
      <c r="P212" s="5" t="s">
        <v>637</v>
      </c>
      <c r="Q212" s="5"/>
      <c r="R212" s="17"/>
      <c r="S212" s="5" t="s">
        <v>13</v>
      </c>
      <c r="T212" s="7">
        <v>0</v>
      </c>
      <c r="U212" s="7">
        <v>0</v>
      </c>
      <c r="V212" s="7">
        <f t="shared" ref="V212" si="5">+T212-U212</f>
        <v>0</v>
      </c>
      <c r="W212" s="7"/>
    </row>
    <row r="213" spans="1:23" x14ac:dyDescent="0.3">
      <c r="A213" s="5" t="s">
        <v>638</v>
      </c>
      <c r="B213" s="5"/>
      <c r="C213" s="5"/>
      <c r="D213" s="303"/>
      <c r="E213" s="7">
        <v>156130</v>
      </c>
      <c r="F213" s="5"/>
      <c r="G213" s="5"/>
      <c r="H213" s="5"/>
      <c r="I213" s="14"/>
      <c r="J213" s="7">
        <f>+E213</f>
        <v>156130</v>
      </c>
      <c r="K213" s="5"/>
      <c r="L213" s="5"/>
      <c r="M213" s="5"/>
      <c r="N213" s="5"/>
      <c r="O213" s="5" t="s">
        <v>643</v>
      </c>
      <c r="P213" s="5" t="s">
        <v>637</v>
      </c>
      <c r="Q213" s="5"/>
      <c r="R213" s="17"/>
      <c r="S213" s="5"/>
      <c r="T213" s="7"/>
      <c r="U213" s="7"/>
      <c r="V213" s="7"/>
      <c r="W213" s="7"/>
    </row>
    <row r="214" spans="1:23" x14ac:dyDescent="0.3">
      <c r="A214" s="5" t="s">
        <v>642</v>
      </c>
      <c r="B214" s="5"/>
      <c r="C214" s="5"/>
      <c r="D214" s="303"/>
      <c r="E214" s="7">
        <v>0</v>
      </c>
      <c r="F214" s="5"/>
      <c r="G214" s="5"/>
      <c r="H214" s="5"/>
      <c r="I214" s="14"/>
      <c r="J214" s="7">
        <f>+E214</f>
        <v>0</v>
      </c>
      <c r="K214" s="5"/>
      <c r="L214" s="5"/>
      <c r="M214" s="5"/>
      <c r="N214" s="5"/>
      <c r="O214" s="5" t="s">
        <v>643</v>
      </c>
      <c r="P214" s="5" t="s">
        <v>637</v>
      </c>
      <c r="Q214" s="5"/>
      <c r="R214" s="17"/>
      <c r="S214" s="5"/>
      <c r="T214" s="7"/>
      <c r="U214" s="7"/>
      <c r="V214" s="7"/>
      <c r="W214" s="7"/>
    </row>
    <row r="215" spans="1:23" x14ac:dyDescent="0.3">
      <c r="A215" s="5" t="s">
        <v>638</v>
      </c>
      <c r="B215" s="5"/>
      <c r="C215" s="5"/>
      <c r="D215" s="303"/>
      <c r="E215" s="7">
        <v>3160</v>
      </c>
      <c r="F215" s="5"/>
      <c r="G215" s="5"/>
      <c r="H215" s="5"/>
      <c r="I215" s="14"/>
      <c r="J215" s="7">
        <f>+E215</f>
        <v>3160</v>
      </c>
      <c r="K215" s="5"/>
      <c r="L215" s="5"/>
      <c r="M215" s="5"/>
      <c r="N215" s="5"/>
      <c r="O215" s="5" t="s">
        <v>643</v>
      </c>
      <c r="P215" s="5" t="s">
        <v>637</v>
      </c>
      <c r="Q215" s="5"/>
      <c r="R215" s="17"/>
      <c r="S215" s="5"/>
      <c r="T215" s="7"/>
      <c r="U215" s="7"/>
      <c r="V215" s="7"/>
      <c r="W215" s="7"/>
    </row>
    <row r="216" spans="1:23" x14ac:dyDescent="0.3">
      <c r="A216" s="5" t="s">
        <v>209</v>
      </c>
      <c r="B216" s="5" t="s">
        <v>208</v>
      </c>
      <c r="C216" s="5"/>
      <c r="D216" s="303"/>
      <c r="E216" s="7">
        <f>+J216+K216</f>
        <v>2501.4499999999998</v>
      </c>
      <c r="F216" s="5"/>
      <c r="G216" s="5"/>
      <c r="H216" s="5"/>
      <c r="I216" s="14">
        <v>28</v>
      </c>
      <c r="J216" s="7">
        <v>1954.26</v>
      </c>
      <c r="K216" s="5">
        <v>547.19000000000005</v>
      </c>
      <c r="L216" s="5"/>
      <c r="M216" s="5"/>
      <c r="N216" s="5"/>
      <c r="O216" s="5"/>
      <c r="P216" s="5"/>
      <c r="Q216" s="5"/>
      <c r="R216" s="17"/>
      <c r="S216" s="5"/>
      <c r="T216" s="7"/>
      <c r="U216" s="7"/>
      <c r="V216" s="7"/>
      <c r="W216" s="7"/>
    </row>
    <row r="217" spans="1:23" x14ac:dyDescent="0.3">
      <c r="A217" s="5" t="s">
        <v>209</v>
      </c>
      <c r="B217" s="5" t="s">
        <v>208</v>
      </c>
      <c r="C217" s="5"/>
      <c r="D217" s="303"/>
      <c r="E217" s="7">
        <f t="shared" ref="E217:E218" si="6">+J217+K217</f>
        <v>416.90999999999997</v>
      </c>
      <c r="F217" s="5"/>
      <c r="G217" s="5"/>
      <c r="H217" s="5"/>
      <c r="I217" s="14">
        <v>28</v>
      </c>
      <c r="J217" s="7">
        <v>325.70999999999998</v>
      </c>
      <c r="K217" s="5">
        <v>91.2</v>
      </c>
      <c r="L217" s="5"/>
      <c r="M217" s="5"/>
      <c r="N217" s="5"/>
      <c r="O217" s="5"/>
      <c r="P217" s="5"/>
      <c r="Q217" s="5"/>
      <c r="R217" s="17"/>
      <c r="S217" s="5"/>
      <c r="T217" s="7"/>
      <c r="U217" s="7"/>
      <c r="V217" s="7"/>
      <c r="W217" s="7"/>
    </row>
    <row r="218" spans="1:23" ht="15" thickBot="1" x14ac:dyDescent="0.35">
      <c r="A218" s="5" t="s">
        <v>209</v>
      </c>
      <c r="B218" s="5" t="s">
        <v>208</v>
      </c>
      <c r="C218" s="5"/>
      <c r="D218" s="303"/>
      <c r="E218" s="7">
        <f t="shared" si="6"/>
        <v>2519.54</v>
      </c>
      <c r="F218" s="5"/>
      <c r="G218" s="5"/>
      <c r="H218" s="5"/>
      <c r="I218" s="14">
        <v>28</v>
      </c>
      <c r="J218" s="7">
        <v>1968.39</v>
      </c>
      <c r="K218" s="5">
        <v>551.15</v>
      </c>
      <c r="L218" s="5"/>
      <c r="M218" s="5"/>
      <c r="N218" s="5"/>
      <c r="O218" s="5"/>
      <c r="P218" s="5"/>
      <c r="Q218" s="5"/>
      <c r="R218" s="17"/>
      <c r="S218" s="5"/>
      <c r="T218" s="7"/>
      <c r="U218" s="7"/>
      <c r="V218" s="7"/>
      <c r="W218" s="7"/>
    </row>
    <row r="219" spans="1:23" ht="15" thickBot="1" x14ac:dyDescent="0.35">
      <c r="A219" s="200" t="s">
        <v>47</v>
      </c>
      <c r="B219" s="3"/>
      <c r="C219" s="3"/>
      <c r="D219" s="309"/>
      <c r="E219" s="128">
        <f>SUM(E7:E218)</f>
        <v>6520966.6099999966</v>
      </c>
      <c r="F219" s="201" t="s">
        <v>589</v>
      </c>
      <c r="G219" s="3">
        <v>6254256.4800000004</v>
      </c>
      <c r="H219" s="3"/>
      <c r="I219" s="3"/>
      <c r="J219" s="128">
        <f t="shared" ref="J219" si="7">SUM(J7:J218)</f>
        <v>5164936.7399999965</v>
      </c>
      <c r="K219" s="128">
        <f>SUM(K7:K218)</f>
        <v>46874.529199999997</v>
      </c>
      <c r="L219" s="128">
        <f t="shared" ref="L219:N219" si="8">SUM(L7:L218)</f>
        <v>656037.78520000004</v>
      </c>
      <c r="M219" s="128">
        <f t="shared" si="8"/>
        <v>656037.78520000004</v>
      </c>
      <c r="N219" s="128">
        <f t="shared" si="8"/>
        <v>0</v>
      </c>
      <c r="O219" s="128"/>
      <c r="P219" s="128"/>
      <c r="Q219" s="3"/>
      <c r="R219" s="3"/>
      <c r="S219" s="3"/>
      <c r="T219" s="3"/>
      <c r="U219" s="3"/>
      <c r="V219" s="3"/>
      <c r="W219" s="3"/>
    </row>
    <row r="220" spans="1:23" x14ac:dyDescent="0.3">
      <c r="E220" s="254">
        <v>6513430.9900000002</v>
      </c>
      <c r="J220" s="254">
        <v>6224221.25</v>
      </c>
      <c r="K220">
        <v>45684.99</v>
      </c>
      <c r="L220">
        <v>748872.02</v>
      </c>
      <c r="M220">
        <v>748871.51</v>
      </c>
    </row>
    <row r="221" spans="1:23" x14ac:dyDescent="0.3">
      <c r="E221" s="202">
        <f>+E220-E219</f>
        <v>-7535.6199999963865</v>
      </c>
      <c r="F221">
        <v>7538.48</v>
      </c>
      <c r="H221" s="202">
        <f>+SUM(J219:M219)</f>
        <v>6523886.8395999959</v>
      </c>
      <c r="J221" s="202">
        <f>+J219-J220</f>
        <v>-1059284.5100000035</v>
      </c>
      <c r="K221" s="202">
        <f>+K219-K220</f>
        <v>1189.5391999999993</v>
      </c>
      <c r="L221" s="202">
        <f t="shared" ref="L221:M221" si="9">+L219-L220</f>
        <v>-92834.234799999977</v>
      </c>
      <c r="M221" s="202">
        <f t="shared" si="9"/>
        <v>-92833.724799999967</v>
      </c>
    </row>
    <row r="222" spans="1:23" x14ac:dyDescent="0.3">
      <c r="F222" s="202">
        <f>+F221+E221</f>
        <v>2.860000003613095</v>
      </c>
      <c r="H222">
        <v>7704523.1699999999</v>
      </c>
      <c r="J222" s="202">
        <f>+J220+J221</f>
        <v>5164936.7399999965</v>
      </c>
    </row>
    <row r="223" spans="1:23" x14ac:dyDescent="0.3">
      <c r="H223" s="202">
        <f>+H221-H222</f>
        <v>-1180636.3304000041</v>
      </c>
      <c r="J223" s="202">
        <f>+J219-J222</f>
        <v>0</v>
      </c>
    </row>
    <row r="224" spans="1:23" x14ac:dyDescent="0.3">
      <c r="E224" t="s">
        <v>643</v>
      </c>
      <c r="F224">
        <v>1</v>
      </c>
      <c r="H224" s="202">
        <f>+E213+E214+E215</f>
        <v>159290</v>
      </c>
    </row>
    <row r="225" spans="5:10" x14ac:dyDescent="0.3">
      <c r="E225" t="s">
        <v>644</v>
      </c>
      <c r="F225">
        <v>2</v>
      </c>
      <c r="H225">
        <v>-28169</v>
      </c>
      <c r="J225">
        <f>6189264.4-159290</f>
        <v>6029974.4000000004</v>
      </c>
    </row>
    <row r="226" spans="5:10" x14ac:dyDescent="0.3">
      <c r="J226" s="202">
        <f>+J219-J213-J214-J215-2921.17</f>
        <v>5002725.5699999966</v>
      </c>
    </row>
    <row r="227" spans="5:10" x14ac:dyDescent="0.3">
      <c r="J227" s="202">
        <f>+J225-J226</f>
        <v>1027248.8300000038</v>
      </c>
    </row>
    <row r="228" spans="5:10" x14ac:dyDescent="0.3">
      <c r="J228">
        <v>1.99</v>
      </c>
    </row>
    <row r="229" spans="5:10" x14ac:dyDescent="0.3">
      <c r="J229" s="202"/>
    </row>
  </sheetData>
  <autoFilter ref="A1:W22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opLeftCell="A22" workbookViewId="0">
      <selection activeCell="D5" sqref="D5"/>
    </sheetView>
  </sheetViews>
  <sheetFormatPr defaultRowHeight="14.4" x14ac:dyDescent="0.3"/>
  <cols>
    <col min="1" max="1" width="5" bestFit="1" customWidth="1"/>
    <col min="2" max="2" width="33.44140625" customWidth="1"/>
    <col min="3" max="3" width="18.88671875" customWidth="1"/>
    <col min="4" max="4" width="13" customWidth="1"/>
    <col min="5" max="5" width="10.21875" customWidth="1"/>
    <col min="6" max="6" width="10.44140625" customWidth="1"/>
    <col min="7" max="7" width="8.5546875" bestFit="1" customWidth="1"/>
    <col min="8" max="8" width="9.6640625" customWidth="1"/>
    <col min="9" max="9" width="10.109375" customWidth="1"/>
    <col min="10" max="10" width="7.44140625" bestFit="1" customWidth="1"/>
  </cols>
  <sheetData>
    <row r="1" spans="1:10" ht="15.6" thickTop="1" thickBot="1" x14ac:dyDescent="0.35">
      <c r="A1" s="144" t="s">
        <v>700</v>
      </c>
      <c r="B1" s="144"/>
      <c r="C1" s="145" t="s">
        <v>573</v>
      </c>
      <c r="D1" s="145"/>
      <c r="E1" s="145"/>
      <c r="F1" s="145"/>
      <c r="G1" s="145"/>
      <c r="H1" s="151" t="s">
        <v>574</v>
      </c>
      <c r="I1" s="153" t="s">
        <v>575</v>
      </c>
      <c r="J1" s="152">
        <v>2017</v>
      </c>
    </row>
    <row r="2" spans="1:10" ht="15" thickBot="1" x14ac:dyDescent="0.35">
      <c r="A2" s="146" t="s">
        <v>585</v>
      </c>
      <c r="B2" s="146" t="s">
        <v>15</v>
      </c>
      <c r="C2" s="147" t="s">
        <v>0</v>
      </c>
      <c r="D2" s="147" t="s">
        <v>19</v>
      </c>
      <c r="E2" s="147" t="s">
        <v>31</v>
      </c>
      <c r="F2" s="148" t="s">
        <v>25</v>
      </c>
      <c r="G2" s="149" t="s">
        <v>1</v>
      </c>
      <c r="H2" s="149" t="s">
        <v>2</v>
      </c>
      <c r="I2" s="149" t="s">
        <v>3</v>
      </c>
      <c r="J2" s="150" t="s">
        <v>4</v>
      </c>
    </row>
    <row r="3" spans="1:10" ht="15.6" thickTop="1" thickBot="1" x14ac:dyDescent="0.35">
      <c r="A3" s="155"/>
      <c r="B3" s="155"/>
      <c r="C3" s="2"/>
      <c r="D3" s="2" t="s">
        <v>18</v>
      </c>
      <c r="E3" s="2" t="s">
        <v>32</v>
      </c>
      <c r="F3" s="10" t="s">
        <v>18</v>
      </c>
      <c r="G3" s="2" t="s">
        <v>18</v>
      </c>
      <c r="H3" s="2" t="s">
        <v>18</v>
      </c>
      <c r="I3" s="2" t="s">
        <v>18</v>
      </c>
      <c r="J3" s="156" t="s">
        <v>18</v>
      </c>
    </row>
    <row r="4" spans="1:10" x14ac:dyDescent="0.3">
      <c r="A4" s="165">
        <v>1</v>
      </c>
      <c r="B4" s="5" t="s">
        <v>214</v>
      </c>
      <c r="C4" s="259" t="s">
        <v>215</v>
      </c>
      <c r="D4" s="255">
        <f>SUMIF(PURCHASE!$B$7:$B$508,$C$4:$C$197,PURCHASE!$E$7:$E$508)</f>
        <v>336365.64</v>
      </c>
      <c r="E4" s="126">
        <f>SUMIF(PURCHASE!$B$7:$B$508,$C$4:$C$197,PURCHASE!$W$7:$W$508)</f>
        <v>23760</v>
      </c>
      <c r="F4" s="255">
        <f>SUMIF(PURCHASE!$B$7:$B$508,$C$4:$C$197,PURCHASE!$J$7:$J$508)</f>
        <v>262784.8</v>
      </c>
      <c r="G4" s="126">
        <f>SUMIF(PURCHASE!$B$7:$B$508,$C$4:$C$197,PURCHASE!$K$7:$K$508)</f>
        <v>0</v>
      </c>
      <c r="H4" s="126">
        <f>SUMIF(PURCHASE!$B$7:$B$508,$C$4:$C$197,PURCHASE!$L$7:$L$508)</f>
        <v>36790.022000000004</v>
      </c>
      <c r="I4" s="126">
        <f>SUMIF(PURCHASE!$B$7:$B$508,$C$4:$C$197,PURCHASE!$M$7:$M$508)</f>
        <v>36790.022000000004</v>
      </c>
      <c r="J4" s="190">
        <f>SUMIF(PURCHASE!$B$7:$B$508,$C$4:$C$197,PURCHASE!$N$7:$N$508)</f>
        <v>0</v>
      </c>
    </row>
    <row r="5" spans="1:10" x14ac:dyDescent="0.3">
      <c r="A5" s="165">
        <v>2</v>
      </c>
      <c r="B5" s="5" t="s">
        <v>253</v>
      </c>
      <c r="C5" s="259" t="s">
        <v>252</v>
      </c>
      <c r="D5" s="255">
        <f>SUMIF(PURCHASE!$B$7:$B$508,$C$4:$C$197,PURCHASE!$E$7:$E$508)</f>
        <v>369967</v>
      </c>
      <c r="E5" s="126">
        <f>SUMIF(PURCHASE!$B$7:$B$508,$C$4:$C$197,PURCHASE!$W$7:$W$508)</f>
        <v>10286</v>
      </c>
      <c r="F5" s="255">
        <f>SUMIF(PURCHASE!$B$7:$B$508,$C$4:$C$197,PURCHASE!$J$7:$J$508)</f>
        <v>289036.59999999998</v>
      </c>
      <c r="G5" s="126">
        <f>SUMIF(PURCHASE!$B$7:$B$508,$C$4:$C$197,PURCHASE!$K$7:$K$508)</f>
        <v>0</v>
      </c>
      <c r="H5" s="126">
        <f>SUMIF(PURCHASE!$B$7:$B$508,$C$4:$C$197,PURCHASE!$L$7:$L$508)</f>
        <v>40465.124000000003</v>
      </c>
      <c r="I5" s="126">
        <f>SUMIF(PURCHASE!$B$7:$B$508,$C$4:$C$197,PURCHASE!$M$7:$M$508)</f>
        <v>40465.124000000003</v>
      </c>
      <c r="J5" s="190">
        <f>SUMIF(PURCHASE!$B$7:$B$508,$C$4:$C$197,PURCHASE!$N$7:$N$508)</f>
        <v>0</v>
      </c>
    </row>
    <row r="6" spans="1:10" x14ac:dyDescent="0.3">
      <c r="A6" s="165">
        <v>3</v>
      </c>
      <c r="B6" s="5" t="s">
        <v>256</v>
      </c>
      <c r="C6" s="5" t="s">
        <v>255</v>
      </c>
      <c r="D6" s="255">
        <f>SUMIF(PURCHASE!$B$7:$B$508,$C$4:$C$197,PURCHASE!$E$7:$E$508)</f>
        <v>115932.71</v>
      </c>
      <c r="E6" s="126">
        <f>SUMIF(PURCHASE!$B$7:$B$508,$C$4:$C$197,PURCHASE!$W$7:$W$508)</f>
        <v>197</v>
      </c>
      <c r="F6" s="126">
        <f>SUMIF(PURCHASE!$B$7:$B$508,$C$4:$C$197,PURCHASE!$J$7:$J$508)</f>
        <v>90574.64</v>
      </c>
      <c r="G6" s="126">
        <f>SUMIF(PURCHASE!$B$7:$B$508,$C$4:$C$197,PURCHASE!$K$7:$K$508)</f>
        <v>25358.789199999999</v>
      </c>
      <c r="H6" s="126">
        <f>SUMIF(PURCHASE!$B$7:$B$508,$C$4:$C$197,PURCHASE!$L$7:$L$508)</f>
        <v>0</v>
      </c>
      <c r="I6" s="126">
        <f>SUMIF(PURCHASE!$B$7:$B$508,$C$4:$C$197,PURCHASE!$M$7:$M$508)</f>
        <v>0</v>
      </c>
      <c r="J6" s="190">
        <f>SUMIF(PURCHASE!$B$7:$B$508,$C$4:$C$197,PURCHASE!$N$7:$N$508)</f>
        <v>0</v>
      </c>
    </row>
    <row r="7" spans="1:10" x14ac:dyDescent="0.3">
      <c r="A7" s="165">
        <v>4</v>
      </c>
      <c r="B7" s="5" t="s">
        <v>258</v>
      </c>
      <c r="C7" s="259" t="s">
        <v>257</v>
      </c>
      <c r="D7" s="255">
        <f>SUMIF(PURCHASE!$B$7:$B$508,$C$4:$C$197,PURCHASE!$E$7:$E$508)</f>
        <v>67264</v>
      </c>
      <c r="E7" s="126">
        <f>SUMIF(PURCHASE!$B$7:$B$508,$C$4:$C$197,PURCHASE!$W$7:$W$508)</f>
        <v>300</v>
      </c>
      <c r="F7" s="255">
        <f>SUMIF(PURCHASE!$B$7:$B$508,$C$4:$C$197,PURCHASE!$J$7:$J$508)</f>
        <v>52550</v>
      </c>
      <c r="G7" s="126">
        <f>SUMIF(PURCHASE!$B$7:$B$508,$C$4:$C$197,PURCHASE!$K$7:$K$508)</f>
        <v>0</v>
      </c>
      <c r="H7" s="126">
        <f>SUMIF(PURCHASE!$B$7:$B$508,$C$4:$C$197,PURCHASE!$L$7:$L$508)</f>
        <v>7357</v>
      </c>
      <c r="I7" s="126">
        <f>SUMIF(PURCHASE!$B$7:$B$508,$C$4:$C$197,PURCHASE!$M$7:$M$508)</f>
        <v>7357</v>
      </c>
      <c r="J7" s="190">
        <f>SUMIF(PURCHASE!$B$7:$B$508,$C$4:$C$197,PURCHASE!$N$7:$N$508)</f>
        <v>0</v>
      </c>
    </row>
    <row r="8" spans="1:10" x14ac:dyDescent="0.3">
      <c r="A8" s="165">
        <v>5</v>
      </c>
      <c r="B8" s="5" t="s">
        <v>261</v>
      </c>
      <c r="C8" s="259" t="s">
        <v>260</v>
      </c>
      <c r="D8" s="255">
        <f>SUMIF(PURCHASE!$B$7:$B$508,$C$4:$C$197,PURCHASE!$E$7:$E$508)</f>
        <v>1881681.25</v>
      </c>
      <c r="E8" s="126">
        <f>SUMIF(PURCHASE!$B$7:$B$508,$C$4:$C$197,PURCHASE!$W$7:$W$508)</f>
        <v>27800</v>
      </c>
      <c r="F8" s="255">
        <f>SUMIF(PURCHASE!$B$7:$B$508,$C$4:$C$197,PURCHASE!$J$7:$J$508)</f>
        <v>1472344.42</v>
      </c>
      <c r="G8" s="126">
        <f>SUMIF(PURCHASE!$B$7:$B$508,$C$4:$C$197,PURCHASE!$K$7:$K$508)</f>
        <v>0</v>
      </c>
      <c r="H8" s="126">
        <f>SUMIF(PURCHASE!$B$7:$B$508,$C$4:$C$197,PURCHASE!$L$7:$L$508)</f>
        <v>206128.9988</v>
      </c>
      <c r="I8" s="126">
        <f>SUMIF(PURCHASE!$B$7:$B$508,$C$4:$C$197,PURCHASE!$M$7:$M$508)</f>
        <v>206128.9988</v>
      </c>
      <c r="J8" s="190">
        <f>SUMIF(PURCHASE!$B$7:$B$508,$C$4:$C$197,PURCHASE!$N$7:$N$508)</f>
        <v>0</v>
      </c>
    </row>
    <row r="9" spans="1:10" x14ac:dyDescent="0.3">
      <c r="A9" s="165">
        <v>6</v>
      </c>
      <c r="B9" s="5" t="s">
        <v>263</v>
      </c>
      <c r="C9" s="259" t="s">
        <v>262</v>
      </c>
      <c r="D9" s="255">
        <f>SUMIF(PURCHASE!$B$7:$B$508,$C$4:$C$197,PURCHASE!$E$7:$E$508)</f>
        <v>19028</v>
      </c>
      <c r="E9" s="126">
        <f>SUMIF(PURCHASE!$B$7:$B$508,$C$4:$C$197,PURCHASE!$W$7:$W$508)</f>
        <v>1500</v>
      </c>
      <c r="F9" s="255">
        <f>SUMIF(PURCHASE!$B$7:$B$508,$C$4:$C$197,PURCHASE!$J$7:$J$508)</f>
        <v>16125</v>
      </c>
      <c r="G9" s="126">
        <f>SUMIF(PURCHASE!$B$7:$B$508,$C$4:$C$197,PURCHASE!$K$7:$K$508)</f>
        <v>0</v>
      </c>
      <c r="H9" s="126">
        <f>SUMIF(PURCHASE!$B$7:$B$508,$C$4:$C$197,PURCHASE!$L$7:$L$508)</f>
        <v>1451.25</v>
      </c>
      <c r="I9" s="126">
        <f>SUMIF(PURCHASE!$B$7:$B$508,$C$4:$C$197,PURCHASE!$M$7:$M$508)</f>
        <v>1451.25</v>
      </c>
      <c r="J9" s="190">
        <f>SUMIF(PURCHASE!$B$7:$B$508,$C$4:$C$197,PURCHASE!$N$7:$N$508)</f>
        <v>0</v>
      </c>
    </row>
    <row r="10" spans="1:10" x14ac:dyDescent="0.3">
      <c r="A10" s="165">
        <v>7</v>
      </c>
      <c r="B10" s="5" t="s">
        <v>243</v>
      </c>
      <c r="C10" s="259" t="s">
        <v>242</v>
      </c>
      <c r="D10" s="255">
        <f>SUMIF(PURCHASE!$B$7:$B$508,$C$4:$C$197,PURCHASE!$E$7:$E$508)</f>
        <v>363444</v>
      </c>
      <c r="E10" s="126">
        <f>SUMIF(PURCHASE!$B$7:$B$508,$C$4:$C$197,PURCHASE!$W$7:$W$508)</f>
        <v>29920</v>
      </c>
      <c r="F10" s="255">
        <f>SUMIF(PURCHASE!$B$7:$B$508,$C$4:$C$197,PURCHASE!$J$7:$J$508)</f>
        <v>283940.8</v>
      </c>
      <c r="G10" s="126">
        <f>SUMIF(PURCHASE!$B$7:$B$508,$C$4:$C$197,PURCHASE!$K$7:$K$508)</f>
        <v>0</v>
      </c>
      <c r="H10" s="126">
        <f>SUMIF(PURCHASE!$B$7:$B$508,$C$4:$C$197,PURCHASE!$L$7:$L$508)</f>
        <v>39751.712</v>
      </c>
      <c r="I10" s="126">
        <f>SUMIF(PURCHASE!$B$7:$B$508,$C$4:$C$197,PURCHASE!$M$7:$M$508)</f>
        <v>39751.712</v>
      </c>
      <c r="J10" s="190">
        <f>SUMIF(PURCHASE!$B$7:$B$508,$C$4:$C$197,PURCHASE!$N$7:$N$508)</f>
        <v>0</v>
      </c>
    </row>
    <row r="11" spans="1:10" x14ac:dyDescent="0.3">
      <c r="A11" s="165">
        <v>8</v>
      </c>
      <c r="B11" s="5" t="s">
        <v>245</v>
      </c>
      <c r="C11" s="259" t="s">
        <v>244</v>
      </c>
      <c r="D11" s="255">
        <f>SUMIF(PURCHASE!$B$7:$B$508,$C$4:$C$197,PURCHASE!$E$7:$E$508)</f>
        <v>33470.699999999997</v>
      </c>
      <c r="E11" s="126">
        <f>SUMIF(PURCHASE!$B$7:$B$508,$C$4:$C$197,PURCHASE!$W$7:$W$508)</f>
        <v>2350</v>
      </c>
      <c r="F11" s="255">
        <f>SUMIF(PURCHASE!$B$7:$B$508,$C$4:$C$197,PURCHASE!$J$7:$J$508)</f>
        <v>28365</v>
      </c>
      <c r="G11" s="126">
        <f>SUMIF(PURCHASE!$B$7:$B$508,$C$4:$C$197,PURCHASE!$K$7:$K$508)</f>
        <v>0</v>
      </c>
      <c r="H11" s="126">
        <f>SUMIF(PURCHASE!$B$7:$B$508,$C$4:$C$197,PURCHASE!$L$7:$L$508)</f>
        <v>2552.8500000000004</v>
      </c>
      <c r="I11" s="126">
        <f>SUMIF(PURCHASE!$B$7:$B$508,$C$4:$C$197,PURCHASE!$M$7:$M$508)</f>
        <v>2552.8500000000004</v>
      </c>
      <c r="J11" s="190">
        <f>SUMIF(PURCHASE!$B$7:$B$508,$C$4:$C$197,PURCHASE!$N$7:$N$508)</f>
        <v>0</v>
      </c>
    </row>
    <row r="12" spans="1:10" x14ac:dyDescent="0.3">
      <c r="A12" s="165">
        <v>9</v>
      </c>
      <c r="B12" s="5" t="s">
        <v>248</v>
      </c>
      <c r="C12" s="259" t="s">
        <v>247</v>
      </c>
      <c r="D12" s="255">
        <f>SUMIF(PURCHASE!$B$7:$B$508,$C$4:$C$197,PURCHASE!$E$7:$E$508)</f>
        <v>277978.86</v>
      </c>
      <c r="E12" s="126">
        <f>SUMIF(PURCHASE!$B$7:$B$508,$C$4:$C$197,PURCHASE!$W$7:$W$508)</f>
        <v>611</v>
      </c>
      <c r="F12" s="255">
        <f>SUMIF(PURCHASE!$B$7:$B$508,$C$4:$C$197,PURCHASE!$J$7:$J$508)</f>
        <v>220287</v>
      </c>
      <c r="G12" s="126">
        <f>SUMIF(PURCHASE!$B$7:$B$508,$C$4:$C$197,PURCHASE!$K$7:$K$508)</f>
        <v>0</v>
      </c>
      <c r="H12" s="126">
        <f>SUMIF(PURCHASE!$B$7:$B$508,$C$4:$C$197,PURCHASE!$L$7:$L$508)</f>
        <v>28845.929999999997</v>
      </c>
      <c r="I12" s="126">
        <f>SUMIF(PURCHASE!$B$7:$B$508,$C$4:$C$197,PURCHASE!$M$7:$M$508)</f>
        <v>28845.929999999997</v>
      </c>
      <c r="J12" s="190">
        <f>SUMIF(PURCHASE!$B$7:$B$508,$C$4:$C$197,PURCHASE!$N$7:$N$508)</f>
        <v>0</v>
      </c>
    </row>
    <row r="13" spans="1:10" x14ac:dyDescent="0.3">
      <c r="A13" s="165">
        <v>10</v>
      </c>
      <c r="B13" s="203" t="s">
        <v>270</v>
      </c>
      <c r="C13" s="260" t="s">
        <v>269</v>
      </c>
      <c r="D13" s="255">
        <f>SUMIF(PURCHASE!$B$7:$B$508,$C$4:$C$197,PURCHASE!$E$7:$E$508)</f>
        <v>8690</v>
      </c>
      <c r="E13" s="126">
        <f>SUMIF(PURCHASE!$B$7:$B$508,$C$4:$C$197,PURCHASE!$W$7:$W$508)</f>
        <v>35</v>
      </c>
      <c r="F13" s="126">
        <f>SUMIF(PURCHASE!$B$7:$B$508,$C$4:$C$197,PURCHASE!$J$7:$J$508)</f>
        <v>7112</v>
      </c>
      <c r="G13" s="126">
        <f>SUMIF(PURCHASE!$B$7:$B$508,$C$4:$C$197,PURCHASE!$K$7:$K$508)</f>
        <v>0</v>
      </c>
      <c r="H13" s="126">
        <f>SUMIF(PURCHASE!$B$7:$B$508,$C$4:$C$197,PURCHASE!$L$7:$L$508)</f>
        <v>788.68</v>
      </c>
      <c r="I13" s="126">
        <f>SUMIF(PURCHASE!$B$7:$B$508,$C$4:$C$197,PURCHASE!$M$7:$M$508)</f>
        <v>788.68</v>
      </c>
      <c r="J13" s="190">
        <f>SUMIF(PURCHASE!$B$7:$B$508,$C$4:$C$197,PURCHASE!$N$7:$N$508)</f>
        <v>0</v>
      </c>
    </row>
    <row r="14" spans="1:10" x14ac:dyDescent="0.3">
      <c r="A14" s="165">
        <v>11</v>
      </c>
      <c r="B14" s="5" t="s">
        <v>274</v>
      </c>
      <c r="C14" s="259" t="s">
        <v>273</v>
      </c>
      <c r="D14" s="255">
        <f>SUMIF(PURCHASE!$B$7:$B$508,$C$4:$C$197,PURCHASE!$E$7:$E$508)</f>
        <v>395238</v>
      </c>
      <c r="E14" s="126">
        <f>SUMIF(PURCHASE!$B$7:$B$508,$C$4:$C$197,PURCHASE!$W$7:$W$508)</f>
        <v>450</v>
      </c>
      <c r="F14" s="255">
        <f>SUMIF(PURCHASE!$B$7:$B$508,$C$4:$C$197,PURCHASE!$J$7:$J$508)</f>
        <v>308779.59999999998</v>
      </c>
      <c r="G14" s="126">
        <f>SUMIF(PURCHASE!$B$7:$B$508,$C$4:$C$197,PURCHASE!$K$7:$K$508)</f>
        <v>0</v>
      </c>
      <c r="H14" s="126">
        <f>SUMIF(PURCHASE!$B$7:$B$508,$C$4:$C$197,PURCHASE!$L$7:$L$508)</f>
        <v>43229.263999999996</v>
      </c>
      <c r="I14" s="126">
        <f>SUMIF(PURCHASE!$B$7:$B$508,$C$4:$C$197,PURCHASE!$M$7:$M$508)</f>
        <v>43229.263999999996</v>
      </c>
      <c r="J14" s="190">
        <f>SUMIF(PURCHASE!$B$7:$B$508,$C$4:$C$197,PURCHASE!$N$7:$N$508)</f>
        <v>0</v>
      </c>
    </row>
    <row r="15" spans="1:10" x14ac:dyDescent="0.3">
      <c r="A15" s="165">
        <v>12</v>
      </c>
      <c r="B15" s="5" t="s">
        <v>187</v>
      </c>
      <c r="C15" s="259" t="s">
        <v>699</v>
      </c>
      <c r="D15" s="255">
        <f>SUMIF(PURCHASE!$B$7:$B$508,$C$4:$C$197,PURCHASE!$E$7:$E$508)</f>
        <v>339053.33999999997</v>
      </c>
      <c r="E15" s="126">
        <f>SUMIF(PURCHASE!$B$7:$B$508,$C$4:$C$197,PURCHASE!$W$7:$W$508)</f>
        <v>2965</v>
      </c>
      <c r="F15" s="255">
        <f>SUMIF(PURCHASE!$B$7:$B$508,$C$4:$C$197,PURCHASE!$J$7:$J$508)</f>
        <v>264883.34000000003</v>
      </c>
      <c r="G15" s="126">
        <f>SUMIF(PURCHASE!$B$7:$B$508,$C$4:$C$197,PURCHASE!$K$7:$K$508)</f>
        <v>0</v>
      </c>
      <c r="H15" s="126">
        <f>SUMIF(PURCHASE!$B$7:$B$508,$C$4:$C$197,PURCHASE!$L$7:$L$508)</f>
        <v>37085.007600000012</v>
      </c>
      <c r="I15" s="126">
        <f>SUMIF(PURCHASE!$B$7:$B$508,$C$4:$C$197,PURCHASE!$M$7:$M$508)</f>
        <v>37085.007600000012</v>
      </c>
      <c r="J15" s="190">
        <f>SUMIF(PURCHASE!$B$7:$B$508,$C$4:$C$197,PURCHASE!$N$7:$N$508)</f>
        <v>0</v>
      </c>
    </row>
    <row r="16" spans="1:10" x14ac:dyDescent="0.3">
      <c r="A16" s="165">
        <v>13</v>
      </c>
      <c r="B16" s="5" t="s">
        <v>308</v>
      </c>
      <c r="C16" s="259" t="s">
        <v>307</v>
      </c>
      <c r="D16" s="255">
        <f>SUMIF(PURCHASE!$B$7:$B$508,$C$4:$C$197,PURCHASE!$E$7:$E$508)</f>
        <v>31079</v>
      </c>
      <c r="E16" s="126">
        <f>SUMIF(PURCHASE!$B$7:$B$508,$C$4:$C$197,PURCHASE!$W$7:$W$508)</f>
        <v>120</v>
      </c>
      <c r="F16" s="255">
        <f>SUMIF(PURCHASE!$B$7:$B$508,$C$4:$C$197,PURCHASE!$J$7:$J$508)</f>
        <v>24280.799999999999</v>
      </c>
      <c r="G16" s="126">
        <f>SUMIF(PURCHASE!$B$7:$B$508,$C$4:$C$197,PURCHASE!$K$7:$K$508)</f>
        <v>0</v>
      </c>
      <c r="H16" s="126">
        <f>SUMIF(PURCHASE!$B$7:$B$508,$C$4:$C$197,PURCHASE!$L$7:$L$508)</f>
        <v>3399.3119999999999</v>
      </c>
      <c r="I16" s="126">
        <f>SUMIF(PURCHASE!$B$7:$B$508,$C$4:$C$197,PURCHASE!$M$7:$M$508)</f>
        <v>3399.3119999999999</v>
      </c>
      <c r="J16" s="190">
        <f>SUMIF(PURCHASE!$B$7:$B$508,$C$4:$C$197,PURCHASE!$N$7:$N$508)</f>
        <v>0</v>
      </c>
    </row>
    <row r="17" spans="1:10" x14ac:dyDescent="0.3">
      <c r="A17" s="165">
        <v>14</v>
      </c>
      <c r="B17" s="5" t="s">
        <v>310</v>
      </c>
      <c r="C17" s="5" t="s">
        <v>309</v>
      </c>
      <c r="D17" s="255">
        <f>SUMIF(PURCHASE!$B$7:$B$508,$C$4:$C$197,PURCHASE!$E$7:$E$508)</f>
        <v>68534</v>
      </c>
      <c r="E17" s="126">
        <f>SUMIF(PURCHASE!$B$7:$B$508,$C$4:$C$197,PURCHASE!$W$7:$W$508)</f>
        <v>880</v>
      </c>
      <c r="F17" s="255">
        <f>SUMIF(PURCHASE!$B$7:$B$508,$C$4:$C$197,PURCHASE!$J$7:$J$508)</f>
        <v>58080</v>
      </c>
      <c r="G17" s="126">
        <f>SUMIF(PURCHASE!$B$7:$B$508,$C$4:$C$197,PURCHASE!$K$7:$K$508)</f>
        <v>0</v>
      </c>
      <c r="H17" s="126">
        <f>SUMIF(PURCHASE!$B$7:$B$508,$C$4:$C$197,PURCHASE!$L$7:$L$508)</f>
        <v>5227</v>
      </c>
      <c r="I17" s="126">
        <f>SUMIF(PURCHASE!$B$7:$B$508,$C$4:$C$197,PURCHASE!$M$7:$M$508)</f>
        <v>5227</v>
      </c>
      <c r="J17" s="190">
        <f>SUMIF(PURCHASE!$B$7:$B$508,$C$4:$C$197,PURCHASE!$N$7:$N$508)</f>
        <v>0</v>
      </c>
    </row>
    <row r="18" spans="1:10" x14ac:dyDescent="0.3">
      <c r="A18" s="165">
        <v>15</v>
      </c>
      <c r="B18" s="259" t="s">
        <v>303</v>
      </c>
      <c r="C18" s="259" t="s">
        <v>302</v>
      </c>
      <c r="D18" s="255">
        <f>SUMIF(PURCHASE!$B$7:$B$508,$C$4:$C$197,PURCHASE!$E$7:$E$508)</f>
        <v>16520</v>
      </c>
      <c r="E18" s="126">
        <f>SUMIF(PURCHASE!$B$7:$B$508,$C$4:$C$197,PURCHASE!$W$7:$W$508)</f>
        <v>24</v>
      </c>
      <c r="F18" s="255">
        <f>SUMIF(PURCHASE!$B$7:$B$508,$C$4:$C$197,PURCHASE!$J$7:$J$508)</f>
        <v>14000</v>
      </c>
      <c r="G18" s="126">
        <f>SUMIF(PURCHASE!$B$7:$B$508,$C$4:$C$197,PURCHASE!$K$7:$K$508)</f>
        <v>0</v>
      </c>
      <c r="H18" s="126">
        <f>SUMIF(PURCHASE!$B$7:$B$508,$C$4:$C$197,PURCHASE!$L$7:$L$508)</f>
        <v>1260</v>
      </c>
      <c r="I18" s="126">
        <f>SUMIF(PURCHASE!$B$7:$B$508,$C$4:$C$197,PURCHASE!$M$7:$M$508)</f>
        <v>1260</v>
      </c>
      <c r="J18" s="190">
        <f>SUMIF(PURCHASE!$B$7:$B$508,$C$4:$C$197,PURCHASE!$N$7:$N$508)</f>
        <v>0</v>
      </c>
    </row>
    <row r="19" spans="1:10" x14ac:dyDescent="0.3">
      <c r="A19" s="165">
        <v>16</v>
      </c>
      <c r="B19" s="5" t="s">
        <v>282</v>
      </c>
      <c r="C19" s="259" t="s">
        <v>5</v>
      </c>
      <c r="D19" s="255">
        <f>SUMIF(PURCHASE!$B$7:$B$508,$C$4:$C$197,PURCHASE!$E$7:$E$508)</f>
        <v>381501.74</v>
      </c>
      <c r="E19" s="126">
        <f>SUMIF(PURCHASE!$B$7:$B$508,$C$4:$C$197,PURCHASE!$W$7:$W$508)</f>
        <v>8399</v>
      </c>
      <c r="F19" s="255">
        <f>SUMIF(PURCHASE!$B$7:$B$508,$C$4:$C$197,PURCHASE!$J$7:$J$508)</f>
        <v>298048.12</v>
      </c>
      <c r="G19" s="126">
        <f>SUMIF(PURCHASE!$B$7:$B$508,$C$4:$C$197,PURCHASE!$K$7:$K$508)</f>
        <v>0</v>
      </c>
      <c r="H19" s="126">
        <f>SUMIF(PURCHASE!$B$7:$B$508,$C$4:$C$197,PURCHASE!$L$7:$L$508)</f>
        <v>41726.816800000001</v>
      </c>
      <c r="I19" s="126">
        <f>SUMIF(PURCHASE!$B$7:$B$508,$C$4:$C$197,PURCHASE!$M$7:$M$508)</f>
        <v>41726.816800000001</v>
      </c>
      <c r="J19" s="190">
        <f>SUMIF(PURCHASE!$B$7:$B$508,$C$4:$C$197,PURCHASE!$N$7:$N$508)</f>
        <v>0</v>
      </c>
    </row>
    <row r="20" spans="1:10" x14ac:dyDescent="0.3">
      <c r="A20" s="165">
        <v>17</v>
      </c>
      <c r="B20" s="5" t="s">
        <v>284</v>
      </c>
      <c r="C20" s="5" t="s">
        <v>283</v>
      </c>
      <c r="D20" s="255">
        <f>SUMIF(PURCHASE!$B$7:$B$508,$C$4:$C$197,PURCHASE!$E$7:$E$508)</f>
        <v>68572.179999999993</v>
      </c>
      <c r="E20" s="126">
        <f>SUMIF(PURCHASE!$B$7:$B$508,$C$4:$C$197,PURCHASE!$W$7:$W$508)</f>
        <v>4895</v>
      </c>
      <c r="F20" s="255">
        <f>SUMIF(PURCHASE!$B$7:$B$508,$C$4:$C$197,PURCHASE!$J$7:$J$508)</f>
        <v>61711</v>
      </c>
      <c r="G20" s="126">
        <f>SUMIF(PURCHASE!$B$7:$B$508,$C$4:$C$197,PURCHASE!$K$7:$K$508)</f>
        <v>0</v>
      </c>
      <c r="H20" s="126">
        <f>SUMIF(PURCHASE!$B$7:$B$508,$C$4:$C$197,PURCHASE!$L$7:$L$508)</f>
        <v>3430.59</v>
      </c>
      <c r="I20" s="126">
        <f>SUMIF(PURCHASE!$B$7:$B$508,$C$4:$C$197,PURCHASE!$M$7:$M$508)</f>
        <v>3430.59</v>
      </c>
      <c r="J20" s="190">
        <f>SUMIF(PURCHASE!$B$7:$B$508,$C$4:$C$197,PURCHASE!$N$7:$N$508)</f>
        <v>0</v>
      </c>
    </row>
    <row r="21" spans="1:10" x14ac:dyDescent="0.3">
      <c r="A21" s="165">
        <v>18</v>
      </c>
      <c r="B21" s="5" t="s">
        <v>397</v>
      </c>
      <c r="C21" s="259" t="s">
        <v>396</v>
      </c>
      <c r="D21" s="255">
        <f>SUMIF(PURCHASE!$B$7:$B$508,$C$4:$C$197,PURCHASE!$E$7:$E$508)</f>
        <v>24874</v>
      </c>
      <c r="E21" s="126">
        <f>SUMIF(PURCHASE!$B$7:$B$508,$C$4:$C$197,PURCHASE!$W$7:$W$508)</f>
        <v>2140</v>
      </c>
      <c r="F21" s="255">
        <f>SUMIF(PURCHASE!$B$7:$B$508,$C$4:$C$197,PURCHASE!$J$7:$J$508)</f>
        <v>21078.6</v>
      </c>
      <c r="G21" s="126">
        <f>SUMIF(PURCHASE!$B$7:$B$508,$C$4:$C$197,PURCHASE!$K$7:$K$508)</f>
        <v>0</v>
      </c>
      <c r="H21" s="126">
        <f>SUMIF(PURCHASE!$B$7:$B$508,$C$4:$C$197,PURCHASE!$L$7:$L$508)</f>
        <v>1897.0740000000001</v>
      </c>
      <c r="I21" s="126">
        <f>SUMIF(PURCHASE!$B$7:$B$508,$C$4:$C$197,PURCHASE!$M$7:$M$508)</f>
        <v>1897.0740000000001</v>
      </c>
      <c r="J21" s="190">
        <f>SUMIF(PURCHASE!$B$7:$B$508,$C$4:$C$197,PURCHASE!$N$7:$N$508)</f>
        <v>0</v>
      </c>
    </row>
    <row r="22" spans="1:10" x14ac:dyDescent="0.3">
      <c r="A22" s="165">
        <v>19</v>
      </c>
      <c r="B22" s="5" t="s">
        <v>435</v>
      </c>
      <c r="C22" s="5" t="s">
        <v>434</v>
      </c>
      <c r="D22" s="255">
        <f>SUMIF(PURCHASE!$B$7:$B$508,$C$4:$C$197,PURCHASE!$E$7:$E$508)</f>
        <v>1760</v>
      </c>
      <c r="E22" s="126">
        <f>SUMIF(PURCHASE!$B$7:$B$508,$C$4:$C$197,PURCHASE!$W$7:$W$508)</f>
        <v>8</v>
      </c>
      <c r="F22" s="255">
        <f>SUMIF(PURCHASE!$B$7:$B$508,$C$4:$C$197,PURCHASE!$J$7:$J$508)</f>
        <v>1375</v>
      </c>
      <c r="G22" s="126">
        <f>SUMIF(PURCHASE!$B$7:$B$508,$C$4:$C$197,PURCHASE!$K$7:$K$508)</f>
        <v>0</v>
      </c>
      <c r="H22" s="126">
        <f>SUMIF(PURCHASE!$B$7:$B$508,$C$4:$C$197,PURCHASE!$L$7:$L$508)</f>
        <v>192.5</v>
      </c>
      <c r="I22" s="126">
        <f>SUMIF(PURCHASE!$B$7:$B$508,$C$4:$C$197,PURCHASE!$M$7:$M$508)</f>
        <v>192.5</v>
      </c>
      <c r="J22" s="190">
        <f>SUMIF(PURCHASE!$B$7:$B$508,$C$4:$C$197,PURCHASE!$N$7:$N$508)</f>
        <v>0</v>
      </c>
    </row>
    <row r="23" spans="1:10" x14ac:dyDescent="0.3">
      <c r="A23" s="165">
        <v>20</v>
      </c>
      <c r="B23" s="5" t="s">
        <v>586</v>
      </c>
      <c r="C23" s="5" t="s">
        <v>587</v>
      </c>
      <c r="D23" s="255">
        <f>SUMIF(PURCHASE!$B$7:$B$508,$C$4:$C$197,PURCHASE!$E$7:$E$508)</f>
        <v>76691.64</v>
      </c>
      <c r="E23" s="126">
        <f>SUMIF(PURCHASE!$B$7:$B$508,$C$4:$C$197,PURCHASE!$W$7:$W$508)</f>
        <v>62</v>
      </c>
      <c r="F23" s="255">
        <f>SUMIF(PURCHASE!$B$7:$B$508,$C$4:$C$197,PURCHASE!$J$7:$J$508)</f>
        <v>64992.94</v>
      </c>
      <c r="G23" s="126">
        <f>SUMIF(PURCHASE!$B$7:$B$508,$C$4:$C$197,PURCHASE!$K$7:$K$508)</f>
        <v>0</v>
      </c>
      <c r="H23" s="126">
        <f>SUMIF(PURCHASE!$B$7:$B$508,$C$4:$C$197,PURCHASE!$L$7:$L$508)</f>
        <v>5849.35</v>
      </c>
      <c r="I23" s="126">
        <f>SUMIF(PURCHASE!$B$7:$B$508,$C$4:$C$197,PURCHASE!$M$7:$M$508)</f>
        <v>5849.35</v>
      </c>
      <c r="J23" s="190">
        <f>SUMIF(PURCHASE!$B$7:$B$508,$C$4:$C$197,PURCHASE!$N$7:$N$508)</f>
        <v>0</v>
      </c>
    </row>
    <row r="24" spans="1:10" x14ac:dyDescent="0.3">
      <c r="A24" s="165">
        <v>21</v>
      </c>
      <c r="B24" s="5" t="s">
        <v>555</v>
      </c>
      <c r="C24" s="5" t="s">
        <v>554</v>
      </c>
      <c r="D24" s="255">
        <f>SUMIF(PURCHASE!$B$7:$B$508,$C$4:$C$197,PURCHASE!$E$7:$E$508)</f>
        <v>25960</v>
      </c>
      <c r="E24" s="126">
        <f>SUMIF(PURCHASE!$B$7:$B$508,$C$4:$C$197,PURCHASE!$W$7:$W$508)</f>
        <v>2</v>
      </c>
      <c r="F24" s="255">
        <f>SUMIF(PURCHASE!$B$7:$B$508,$C$4:$C$197,PURCHASE!$J$7:$J$508)</f>
        <v>22000</v>
      </c>
      <c r="G24" s="126">
        <f>SUMIF(PURCHASE!$B$7:$B$508,$C$4:$C$197,PURCHASE!$K$7:$K$508)</f>
        <v>0</v>
      </c>
      <c r="H24" s="126">
        <f>SUMIF(PURCHASE!$B$7:$B$508,$C$4:$C$197,PURCHASE!$L$7:$L$508)</f>
        <v>1980</v>
      </c>
      <c r="I24" s="126">
        <f>SUMIF(PURCHASE!$B$7:$B$508,$C$4:$C$197,PURCHASE!$M$7:$M$508)</f>
        <v>1980</v>
      </c>
      <c r="J24" s="190">
        <f>SUMIF(PURCHASE!$B$7:$B$508,$C$4:$C$197,PURCHASE!$N$7:$N$508)</f>
        <v>0</v>
      </c>
    </row>
    <row r="25" spans="1:10" x14ac:dyDescent="0.3">
      <c r="A25" s="165">
        <v>22</v>
      </c>
      <c r="B25" s="5" t="s">
        <v>395</v>
      </c>
      <c r="C25" s="259" t="s">
        <v>394</v>
      </c>
      <c r="D25" s="255">
        <f>SUMIF(PURCHASE!$B$7:$B$508,$C$4:$C$197,PURCHASE!$E$7:$E$508)</f>
        <v>304051.02</v>
      </c>
      <c r="E25" s="126">
        <f>SUMIF(PURCHASE!$B$7:$B$508,$C$4:$C$197,PURCHASE!$W$7:$W$508)</f>
        <v>5580</v>
      </c>
      <c r="F25" s="255">
        <f>SUMIF(PURCHASE!$B$7:$B$508,$C$4:$C$197,PURCHASE!$J$7:$J$508)</f>
        <v>237540.60000000003</v>
      </c>
      <c r="G25" s="126">
        <f>SUMIF(PURCHASE!$B$7:$B$508,$C$4:$C$197,PURCHASE!$K$7:$K$508)</f>
        <v>0</v>
      </c>
      <c r="H25" s="126">
        <f>SUMIF(PURCHASE!$B$7:$B$508,$C$4:$C$197,PURCHASE!$L$7:$L$508)</f>
        <v>33255.403999999995</v>
      </c>
      <c r="I25" s="126">
        <f>SUMIF(PURCHASE!$B$7:$B$508,$C$4:$C$197,PURCHASE!$M$7:$M$508)</f>
        <v>33255.403999999995</v>
      </c>
      <c r="J25" s="190">
        <f>SUMIF(PURCHASE!$B$7:$B$508,$C$4:$C$197,PURCHASE!$N$7:$N$508)</f>
        <v>0</v>
      </c>
    </row>
    <row r="26" spans="1:10" x14ac:dyDescent="0.3">
      <c r="A26" s="165">
        <v>23</v>
      </c>
      <c r="B26" s="5" t="s">
        <v>560</v>
      </c>
      <c r="C26" s="259" t="s">
        <v>559</v>
      </c>
      <c r="D26" s="255">
        <f>SUMIF(PURCHASE!$B$7:$B$508,$C$4:$C$197,PURCHASE!$E$7:$E$508)</f>
        <v>3066.88</v>
      </c>
      <c r="E26" s="126">
        <f>SUMIF(PURCHASE!$B$7:$B$508,$C$4:$C$197,PURCHASE!$W$7:$W$508)</f>
        <v>100</v>
      </c>
      <c r="F26" s="255">
        <f>SUMIF(PURCHASE!$B$7:$B$508,$C$4:$C$197,PURCHASE!$J$7:$J$508)</f>
        <v>2396</v>
      </c>
      <c r="G26" s="126">
        <f>SUMIF(PURCHASE!$B$7:$B$508,$C$4:$C$197,PURCHASE!$K$7:$K$508)</f>
        <v>0</v>
      </c>
      <c r="H26" s="126">
        <f>SUMIF(PURCHASE!$B$7:$B$508,$C$4:$C$197,PURCHASE!$L$7:$L$508)</f>
        <v>335.44</v>
      </c>
      <c r="I26" s="126">
        <f>SUMIF(PURCHASE!$B$7:$B$508,$C$4:$C$197,PURCHASE!$M$7:$M$508)</f>
        <v>335.44</v>
      </c>
      <c r="J26" s="190">
        <f>SUMIF(PURCHASE!$B$7:$B$508,$C$4:$C$197,PURCHASE!$N$7:$N$508)</f>
        <v>0</v>
      </c>
    </row>
    <row r="27" spans="1:10" x14ac:dyDescent="0.3">
      <c r="A27" s="165">
        <v>24</v>
      </c>
      <c r="B27" s="259" t="s">
        <v>519</v>
      </c>
      <c r="C27" s="259" t="s">
        <v>518</v>
      </c>
      <c r="D27" s="255">
        <f>SUMIF(PURCHASE!$B$7:$B$508,$C$4:$C$197,PURCHASE!$E$7:$E$508)</f>
        <v>3788</v>
      </c>
      <c r="E27" s="126">
        <f>SUMIF(PURCHASE!$B$7:$B$508,$C$4:$C$197,PURCHASE!$W$7:$W$508)</f>
        <v>4</v>
      </c>
      <c r="F27" s="255">
        <f>SUMIF(PURCHASE!$B$7:$B$508,$C$4:$C$197,PURCHASE!$J$7:$J$508)</f>
        <v>2960</v>
      </c>
      <c r="G27" s="126">
        <f>SUMIF(PURCHASE!$B$7:$B$508,$C$4:$C$197,PURCHASE!$K$7:$K$508)</f>
        <v>0</v>
      </c>
      <c r="H27" s="126">
        <f>SUMIF(PURCHASE!$B$7:$B$508,$C$4:$C$197,PURCHASE!$L$7:$L$508)</f>
        <v>414.00000000000006</v>
      </c>
      <c r="I27" s="126">
        <f>SUMIF(PURCHASE!$B$7:$B$508,$C$4:$C$197,PURCHASE!$M$7:$M$508)</f>
        <v>414.00000000000006</v>
      </c>
      <c r="J27" s="190">
        <f>SUMIF(PURCHASE!$B$7:$B$508,$C$4:$C$197,PURCHASE!$N$7:$N$508)</f>
        <v>0</v>
      </c>
    </row>
    <row r="28" spans="1:10" x14ac:dyDescent="0.3">
      <c r="A28" s="165">
        <v>25</v>
      </c>
      <c r="B28" s="259" t="s">
        <v>391</v>
      </c>
      <c r="C28" s="259" t="s">
        <v>390</v>
      </c>
      <c r="D28" s="255">
        <f>SUMIF(PURCHASE!$B$7:$B$508,$C$4:$C$197,PURCHASE!$E$7:$E$508)</f>
        <v>6667</v>
      </c>
      <c r="E28" s="126">
        <f>SUMIF(PURCHASE!$B$7:$B$508,$C$4:$C$197,PURCHASE!$W$7:$W$508)</f>
        <v>4</v>
      </c>
      <c r="F28" s="255">
        <f>SUMIF(PURCHASE!$B$7:$B$508,$C$4:$C$197,PURCHASE!$J$7:$J$508)</f>
        <v>5650</v>
      </c>
      <c r="G28" s="126">
        <f>SUMIF(PURCHASE!$B$7:$B$508,$C$4:$C$197,PURCHASE!$K$7:$K$508)</f>
        <v>0</v>
      </c>
      <c r="H28" s="126">
        <f>SUMIF(PURCHASE!$B$7:$B$508,$C$4:$C$197,PURCHASE!$L$7:$L$508)</f>
        <v>508.5</v>
      </c>
      <c r="I28" s="126">
        <f>SUMIF(PURCHASE!$B$7:$B$508,$C$4:$C$197,PURCHASE!$M$7:$M$508)</f>
        <v>508.5</v>
      </c>
      <c r="J28" s="190">
        <f>SUMIF(PURCHASE!$B$7:$B$508,$C$4:$C$197,PURCHASE!$N$7:$N$508)</f>
        <v>0</v>
      </c>
    </row>
    <row r="29" spans="1:10" x14ac:dyDescent="0.3">
      <c r="A29" s="165">
        <v>26</v>
      </c>
      <c r="B29" s="5" t="s">
        <v>399</v>
      </c>
      <c r="C29" s="5" t="s">
        <v>398</v>
      </c>
      <c r="D29" s="255">
        <f>SUMIF(PURCHASE!$B$7:$B$508,$C$4:$C$197,PURCHASE!$E$7:$E$508)</f>
        <v>467540</v>
      </c>
      <c r="E29" s="126">
        <f>SUMIF(PURCHASE!$B$7:$B$508,$C$4:$C$197,PURCHASE!$W$7:$W$508)</f>
        <v>1100</v>
      </c>
      <c r="F29" s="255">
        <f>SUMIF(PURCHASE!$B$7:$B$508,$C$4:$C$197,PURCHASE!$J$7:$J$508)</f>
        <v>365266</v>
      </c>
      <c r="G29" s="126">
        <f>SUMIF(PURCHASE!$B$7:$B$508,$C$4:$C$197,PURCHASE!$K$7:$K$508)</f>
        <v>0</v>
      </c>
      <c r="H29" s="126">
        <f>SUMIF(PURCHASE!$B$7:$B$508,$C$4:$C$197,PURCHASE!$L$7:$L$508)</f>
        <v>51137.24</v>
      </c>
      <c r="I29" s="126">
        <f>SUMIF(PURCHASE!$B$7:$B$508,$C$4:$C$197,PURCHASE!$M$7:$M$508)</f>
        <v>51137.24</v>
      </c>
      <c r="J29" s="190">
        <f>SUMIF(PURCHASE!$B$7:$B$508,$C$4:$C$197,PURCHASE!$N$7:$N$508)</f>
        <v>0</v>
      </c>
    </row>
    <row r="30" spans="1:10" x14ac:dyDescent="0.3">
      <c r="A30" s="165">
        <v>27</v>
      </c>
      <c r="B30" s="259" t="s">
        <v>227</v>
      </c>
      <c r="C30" s="259" t="s">
        <v>226</v>
      </c>
      <c r="D30" s="255">
        <f>SUMIF(PURCHASE!$B$7:$B$508,$C$4:$C$197,PURCHASE!$E$7:$E$508)</f>
        <v>61120</v>
      </c>
      <c r="E30" s="126">
        <f>SUMIF(PURCHASE!$B$7:$B$508,$C$4:$C$197,PURCHASE!$W$7:$W$508)</f>
        <v>955</v>
      </c>
      <c r="F30" s="126">
        <f>SUMIF(PURCHASE!$B$7:$B$508,$C$4:$C$197,PURCHASE!$J$7:$J$508)</f>
        <v>47750</v>
      </c>
      <c r="G30" s="126">
        <f>SUMIF(PURCHASE!$B$7:$B$508,$C$4:$C$197,PURCHASE!$K$7:$K$508)</f>
        <v>13370</v>
      </c>
      <c r="H30" s="126">
        <f>SUMIF(PURCHASE!$B$7:$B$508,$C$4:$C$197,PURCHASE!$L$7:$L$508)</f>
        <v>0</v>
      </c>
      <c r="I30" s="126">
        <f>SUMIF(PURCHASE!$B$7:$B$508,$C$4:$C$197,PURCHASE!$M$7:$M$508)</f>
        <v>0</v>
      </c>
      <c r="J30" s="190">
        <f>SUMIF(PURCHASE!$B$7:$B$508,$C$4:$C$197,PURCHASE!$N$7:$N$508)</f>
        <v>0</v>
      </c>
    </row>
    <row r="31" spans="1:10" x14ac:dyDescent="0.3">
      <c r="A31" s="165">
        <v>28</v>
      </c>
      <c r="B31" s="5" t="s">
        <v>389</v>
      </c>
      <c r="C31" s="264" t="s">
        <v>388</v>
      </c>
      <c r="D31" s="255">
        <f>SUMIF(PURCHASE!$B$7:$B$508,$C$4:$C$197,PURCHASE!$E$7:$E$508)</f>
        <v>28947.200000000001</v>
      </c>
      <c r="E31" s="126">
        <f>SUMIF(PURCHASE!$B$7:$B$508,$C$4:$C$197,PURCHASE!$W$7:$W$508)</f>
        <v>500</v>
      </c>
      <c r="F31" s="126">
        <f>SUMIF(PURCHASE!$B$7:$B$508,$C$4:$C$197,PURCHASE!$J$7:$J$508)</f>
        <v>22615</v>
      </c>
      <c r="G31" s="126">
        <f>SUMIF(PURCHASE!$B$7:$B$508,$C$4:$C$197,PURCHASE!$K$7:$K$508)</f>
        <v>6332.2</v>
      </c>
      <c r="H31" s="126">
        <f>SUMIF(PURCHASE!$B$7:$B$508,$C$4:$C$197,PURCHASE!$L$7:$L$508)</f>
        <v>0</v>
      </c>
      <c r="I31" s="126">
        <f>SUMIF(PURCHASE!$B$7:$B$508,$C$4:$C$197,PURCHASE!$M$7:$M$508)</f>
        <v>0</v>
      </c>
      <c r="J31" s="190">
        <f>SUMIF(PURCHASE!$B$7:$B$508,$C$4:$C$197,PURCHASE!$N$7:$N$508)</f>
        <v>0</v>
      </c>
    </row>
    <row r="32" spans="1:10" x14ac:dyDescent="0.3">
      <c r="A32" s="165">
        <v>29</v>
      </c>
      <c r="B32" s="5" t="s">
        <v>557</v>
      </c>
      <c r="C32" s="259" t="s">
        <v>556</v>
      </c>
      <c r="D32" s="255">
        <f>SUMIF(PURCHASE!$B$7:$B$508,$C$4:$C$197,PURCHASE!$E$7:$E$508)</f>
        <v>482489.59999999998</v>
      </c>
      <c r="E32" s="126">
        <f>SUMIF(PURCHASE!$B$7:$B$508,$C$4:$C$197,PURCHASE!$W$7:$W$508)</f>
        <v>0</v>
      </c>
      <c r="F32" s="255">
        <f>SUMIF(PURCHASE!$B$7:$B$508,$C$4:$C$197,PURCHASE!$J$7:$J$508)</f>
        <v>376945</v>
      </c>
      <c r="G32" s="126">
        <f>SUMIF(PURCHASE!$B$7:$B$508,$C$4:$C$197,PURCHASE!$K$7:$K$508)</f>
        <v>0</v>
      </c>
      <c r="H32" s="126">
        <f>SUMIF(PURCHASE!$B$7:$B$508,$C$4:$C$197,PURCHASE!$L$7:$L$508)</f>
        <v>52772.299999999996</v>
      </c>
      <c r="I32" s="126">
        <f>SUMIF(PURCHASE!$B$7:$B$508,$C$4:$C$197,PURCHASE!$M$7:$M$508)</f>
        <v>52772.299999999996</v>
      </c>
      <c r="J32" s="190">
        <f>SUMIF(PURCHASE!$B$7:$B$508,$C$4:$C$197,PURCHASE!$N$7:$N$508)</f>
        <v>0</v>
      </c>
    </row>
    <row r="33" spans="1:10" x14ac:dyDescent="0.3">
      <c r="A33" s="165">
        <v>30</v>
      </c>
      <c r="B33" s="5" t="s">
        <v>437</v>
      </c>
      <c r="C33" s="259" t="s">
        <v>436</v>
      </c>
      <c r="D33" s="255">
        <f>SUMIF(PURCHASE!$B$7:$B$508,$C$4:$C$197,PURCHASE!$E$7:$E$508)</f>
        <v>519.20000000000005</v>
      </c>
      <c r="E33" s="126">
        <f>SUMIF(PURCHASE!$B$7:$B$508,$C$4:$C$197,PURCHASE!$W$7:$W$508)</f>
        <v>200</v>
      </c>
      <c r="F33" s="255">
        <f>SUMIF(PURCHASE!$B$7:$B$508,$C$4:$C$197,PURCHASE!$J$7:$J$508)</f>
        <v>440</v>
      </c>
      <c r="G33" s="126">
        <f>SUMIF(PURCHASE!$B$7:$B$508,$C$4:$C$197,PURCHASE!$K$7:$K$508)</f>
        <v>0</v>
      </c>
      <c r="H33" s="126">
        <f>SUMIF(PURCHASE!$B$7:$B$508,$C$4:$C$197,PURCHASE!$L$7:$L$508)</f>
        <v>39.6</v>
      </c>
      <c r="I33" s="126">
        <f>SUMIF(PURCHASE!$B$7:$B$508,$C$4:$C$197,PURCHASE!$M$7:$M$508)</f>
        <v>39.6</v>
      </c>
      <c r="J33" s="190">
        <f>SUMIF(PURCHASE!$B$7:$B$508,$C$4:$C$197,PURCHASE!$N$7:$N$508)</f>
        <v>0</v>
      </c>
    </row>
    <row r="34" spans="1:10" x14ac:dyDescent="0.3">
      <c r="A34" s="165">
        <v>31</v>
      </c>
      <c r="B34" s="5" t="s">
        <v>590</v>
      </c>
      <c r="C34" s="259" t="s">
        <v>591</v>
      </c>
      <c r="D34" s="126">
        <f>SUMIF(PURCHASE!$B$7:$B$508,$C$4:$C$197,PURCHASE!$E$7:$E$508)</f>
        <v>6836.06</v>
      </c>
      <c r="E34" s="126">
        <f>SUMIF(PURCHASE!$B$7:$B$508,$C$4:$C$197,PURCHASE!$W$7:$W$508)</f>
        <v>0</v>
      </c>
      <c r="F34" s="255">
        <f>SUMIF(PURCHASE!$B$7:$B$508,$C$4:$C$197,PURCHASE!$J$7:$J$508)</f>
        <v>5692.18</v>
      </c>
      <c r="G34" s="126">
        <f>SUMIF(PURCHASE!$B$7:$B$508,$C$4:$C$197,PURCHASE!$K$7:$K$508)</f>
        <v>0</v>
      </c>
      <c r="H34" s="126">
        <f>SUMIF(PURCHASE!$B$7:$B$508,$C$4:$C$197,PURCHASE!$L$7:$L$508)</f>
        <v>571.94000000000005</v>
      </c>
      <c r="I34" s="126">
        <f>SUMIF(PURCHASE!$B$7:$B$508,$C$4:$C$197,PURCHASE!$M$7:$M$508)</f>
        <v>571.94000000000005</v>
      </c>
      <c r="J34" s="190">
        <f>SUMIF(PURCHASE!$B$7:$B$508,$C$4:$C$197,PURCHASE!$N$7:$N$508)</f>
        <v>0</v>
      </c>
    </row>
    <row r="35" spans="1:10" x14ac:dyDescent="0.3">
      <c r="A35" s="165">
        <v>32</v>
      </c>
      <c r="B35" s="5" t="s">
        <v>592</v>
      </c>
      <c r="C35" s="5" t="s">
        <v>593</v>
      </c>
      <c r="D35" s="126">
        <f>SUMIF(PURCHASE!$B$7:$B$508,$C$4:$C$197,PURCHASE!$E$7:$E$508)</f>
        <v>0</v>
      </c>
      <c r="E35" s="126">
        <f>SUMIF(PURCHASE!$B$7:$B$508,$C$4:$C$197,PURCHASE!$W$7:$W$508)</f>
        <v>0</v>
      </c>
      <c r="F35" s="255">
        <f>SUMIF(PURCHASE!$B$7:$B$508,$C$4:$C$197,PURCHASE!$J$7:$J$508)</f>
        <v>0</v>
      </c>
      <c r="G35" s="126">
        <f>SUMIF(PURCHASE!$B$7:$B$508,$C$4:$C$197,PURCHASE!$K$7:$K$508)</f>
        <v>0</v>
      </c>
      <c r="H35" s="126">
        <f>SUMIF(PURCHASE!$B$7:$B$508,$C$4:$C$197,PURCHASE!$L$7:$L$508)</f>
        <v>0</v>
      </c>
      <c r="I35" s="126">
        <f>SUMIF(PURCHASE!$B$7:$B$508,$C$4:$C$197,PURCHASE!$M$7:$M$508)</f>
        <v>0</v>
      </c>
      <c r="J35" s="190">
        <f>SUMIF(PURCHASE!$B$7:$B$508,$C$4:$C$197,PURCHASE!$N$7:$N$508)</f>
        <v>0</v>
      </c>
    </row>
    <row r="36" spans="1:10" x14ac:dyDescent="0.3">
      <c r="A36" s="165">
        <v>33</v>
      </c>
      <c r="B36" s="5" t="s">
        <v>596</v>
      </c>
      <c r="C36" s="259" t="s">
        <v>597</v>
      </c>
      <c r="D36" s="255">
        <f>SUMIF(PURCHASE!$B$7:$B$508,$C$4:$C$197,PURCHASE!$E$7:$E$508)</f>
        <v>4130</v>
      </c>
      <c r="E36" s="126">
        <f>SUMIF(PURCHASE!$B$7:$B$508,$C$4:$C$197,PURCHASE!$W$7:$W$508)</f>
        <v>0</v>
      </c>
      <c r="F36" s="255">
        <f>SUMIF(PURCHASE!$B$7:$B$508,$C$4:$C$197,PURCHASE!$J$7:$J$508)</f>
        <v>3500</v>
      </c>
      <c r="G36" s="126">
        <f>SUMIF(PURCHASE!$B$7:$B$508,$C$4:$C$197,PURCHASE!$K$7:$K$508)</f>
        <v>0</v>
      </c>
      <c r="H36" s="126">
        <f>SUMIF(PURCHASE!$B$7:$B$508,$C$4:$C$197,PURCHASE!$L$7:$L$508)</f>
        <v>315</v>
      </c>
      <c r="I36" s="126">
        <f>SUMIF(PURCHASE!$B$7:$B$508,$C$4:$C$197,PURCHASE!$M$7:$M$508)</f>
        <v>315</v>
      </c>
      <c r="J36" s="190">
        <f>SUMIF(PURCHASE!$B$7:$B$508,$C$4:$C$197,PURCHASE!$N$7:$N$508)</f>
        <v>0</v>
      </c>
    </row>
    <row r="37" spans="1:10" x14ac:dyDescent="0.3">
      <c r="A37" s="165">
        <v>34</v>
      </c>
      <c r="B37" s="5" t="s">
        <v>599</v>
      </c>
      <c r="C37" s="5" t="s">
        <v>600</v>
      </c>
      <c r="D37" s="255">
        <f>SUMIF(PURCHASE!$B$7:$B$508,$C$4:$C$197,PURCHASE!$E$7:$E$508)</f>
        <v>42387</v>
      </c>
      <c r="E37" s="126">
        <f>SUMIF(PURCHASE!$B$7:$B$508,$C$4:$C$197,PURCHASE!$W$7:$W$508)</f>
        <v>0</v>
      </c>
      <c r="F37" s="255">
        <f>SUMIF(PURCHASE!$B$7:$B$508,$C$4:$C$197,PURCHASE!$J$7:$J$508)</f>
        <v>35921</v>
      </c>
      <c r="G37" s="126">
        <f>SUMIF(PURCHASE!$B$7:$B$508,$C$4:$C$197,PURCHASE!$K$7:$K$508)</f>
        <v>0</v>
      </c>
      <c r="H37" s="126">
        <f>SUMIF(PURCHASE!$B$7:$B$508,$C$4:$C$197,PURCHASE!$L$7:$L$508)</f>
        <v>3233</v>
      </c>
      <c r="I37" s="126">
        <f>SUMIF(PURCHASE!$B$7:$B$508,$C$4:$C$197,PURCHASE!$M$7:$M$508)</f>
        <v>3233</v>
      </c>
      <c r="J37" s="190">
        <f>SUMIF(PURCHASE!$B$7:$B$508,$C$4:$C$197,PURCHASE!$N$7:$N$508)</f>
        <v>0</v>
      </c>
    </row>
    <row r="38" spans="1:10" x14ac:dyDescent="0.3">
      <c r="A38" s="165">
        <v>35</v>
      </c>
      <c r="B38" s="203" t="s">
        <v>633</v>
      </c>
      <c r="C38" s="260" t="s">
        <v>634</v>
      </c>
      <c r="D38" s="263">
        <f>SUMIF(PURCHASE!$B$7:$B$508,$C$4:$C$197,PURCHASE!$E$7:$E$508)</f>
        <v>4090.69</v>
      </c>
      <c r="E38" s="256">
        <f>SUMIF(PURCHASE!$B$7:$B$508,$C$4:$C$197,PURCHASE!$W$7:$W$508)</f>
        <v>0</v>
      </c>
      <c r="F38" s="256">
        <f>SUMIF(PURCHASE!$B$7:$B$508,$C$4:$C$197,PURCHASE!$J$7:$J$508)</f>
        <v>3466.69</v>
      </c>
      <c r="G38" s="126">
        <f>SUMIF(PURCHASE!$B$7:$B$508,$C$4:$C$197,PURCHASE!$K$7:$K$508)</f>
        <v>624</v>
      </c>
      <c r="H38" s="126">
        <f>SUMIF(PURCHASE!$B$7:$B$508,$C$4:$C$197,PURCHASE!$L$7:$L$508)</f>
        <v>0</v>
      </c>
      <c r="I38" s="126">
        <f>SUMIF(PURCHASE!$B$7:$B$508,$C$4:$C$197,PURCHASE!$M$7:$M$508)</f>
        <v>0</v>
      </c>
      <c r="J38" s="190">
        <f>SUMIF(PURCHASE!$B$7:$B$508,$C$4:$C$197,PURCHASE!$N$7:$N$508)</f>
        <v>0</v>
      </c>
    </row>
    <row r="39" spans="1:10" x14ac:dyDescent="0.3">
      <c r="A39" s="165">
        <v>36</v>
      </c>
      <c r="B39" s="5" t="s">
        <v>641</v>
      </c>
      <c r="C39" s="259" t="s">
        <v>639</v>
      </c>
      <c r="D39" s="255">
        <f>SUMIF(PURCHASE!$B$7:$B$508,$C$4:$C$197,PURCHASE!$E$7:$E$508)</f>
        <v>37000</v>
      </c>
      <c r="E39" s="126">
        <f>SUMIF(PURCHASE!$B$7:$B$508,$C$4:$C$197,PURCHASE!$W$7:$W$508)</f>
        <v>0</v>
      </c>
      <c r="F39" s="255">
        <f>SUMIF(PURCHASE!$B$7:$B$508,$C$4:$C$197,PURCHASE!$J$7:$J$508)</f>
        <v>28906.25</v>
      </c>
      <c r="G39" s="126">
        <f>SUMIF(PURCHASE!$B$7:$B$508,$C$4:$C$197,PURCHASE!$K$7:$K$508)</f>
        <v>0</v>
      </c>
      <c r="H39" s="126">
        <f>SUMIF(PURCHASE!$B$7:$B$508,$C$4:$C$197,PURCHASE!$L$7:$L$508)</f>
        <v>4046.88</v>
      </c>
      <c r="I39" s="126">
        <f>SUMIF(PURCHASE!$B$7:$B$508,$C$4:$C$197,PURCHASE!$M$7:$M$508)</f>
        <v>4046.88</v>
      </c>
      <c r="J39" s="190">
        <f>SUMIF(PURCHASE!$B$7:$B$508,$C$4:$C$197,PURCHASE!$N$7:$N$508)</f>
        <v>0</v>
      </c>
    </row>
    <row r="40" spans="1:10" x14ac:dyDescent="0.3">
      <c r="A40" s="165">
        <v>37</v>
      </c>
      <c r="B40" s="159" t="s">
        <v>209</v>
      </c>
      <c r="C40" s="259" t="s">
        <v>208</v>
      </c>
      <c r="D40" s="255">
        <f>SUMIF(PURCHASE!$B$7:$B$508,$C$4:$C$197,PURCHASE!$E$7:$E$508)</f>
        <v>5437.9</v>
      </c>
      <c r="E40" s="126">
        <f>SUMIF(PURCHASE!$B$7:$B$508,$C$4:$C$197,PURCHASE!$W$7:$W$508)</f>
        <v>0</v>
      </c>
      <c r="F40" s="255">
        <f>SUMIF(PURCHASE!$B$7:$B$508,$C$4:$C$197,PURCHASE!$J$7:$J$508)</f>
        <v>4248.3599999999997</v>
      </c>
      <c r="G40" s="126">
        <f>SUMIF(PURCHASE!$B$7:$B$508,$C$4:$C$197,PURCHASE!$K$7:$K$508)</f>
        <v>1189.54</v>
      </c>
      <c r="H40" s="126">
        <f>SUMIF(PURCHASE!$B$7:$B$508,$C$4:$C$197,PURCHASE!$L$7:$L$508)</f>
        <v>0</v>
      </c>
      <c r="I40" s="126">
        <f>SUMIF(PURCHASE!$B$7:$B$508,$C$4:$C$197,PURCHASE!$M$7:$M$508)</f>
        <v>0</v>
      </c>
      <c r="J40" s="190">
        <f>SUMIF(PURCHASE!$B$7:$B$508,$C$4:$C$197,PURCHASE!$N$7:$N$508)</f>
        <v>0</v>
      </c>
    </row>
    <row r="41" spans="1:10" x14ac:dyDescent="0.3">
      <c r="A41" s="165">
        <v>38</v>
      </c>
      <c r="B41" s="5"/>
      <c r="C41" s="5"/>
      <c r="D41" s="126"/>
      <c r="E41" s="126"/>
      <c r="F41" s="126"/>
      <c r="G41" s="126"/>
      <c r="H41" s="126"/>
      <c r="I41" s="126"/>
      <c r="J41" s="190"/>
    </row>
    <row r="42" spans="1:10" ht="15" thickBot="1" x14ac:dyDescent="0.35">
      <c r="A42" s="165"/>
      <c r="B42" s="5"/>
      <c r="C42" s="5"/>
      <c r="D42" s="126"/>
      <c r="E42" s="126"/>
      <c r="F42" s="126"/>
      <c r="G42" s="126"/>
      <c r="H42" s="126"/>
      <c r="I42" s="126"/>
      <c r="J42" s="190"/>
    </row>
    <row r="43" spans="1:10" ht="15" thickBot="1" x14ac:dyDescent="0.35">
      <c r="A43" s="183"/>
      <c r="B43" s="147" t="s">
        <v>31</v>
      </c>
      <c r="C43" s="147"/>
      <c r="D43" s="191">
        <f t="shared" ref="D43:J43" si="0">SUM(D4:D42)</f>
        <v>6361676.6100000003</v>
      </c>
      <c r="E43" s="191">
        <f t="shared" si="0"/>
        <v>125147</v>
      </c>
      <c r="F43" s="191">
        <f t="shared" si="0"/>
        <v>5005646.74</v>
      </c>
      <c r="G43" s="191">
        <f t="shared" si="0"/>
        <v>46874.529199999997</v>
      </c>
      <c r="H43" s="191">
        <f t="shared" si="0"/>
        <v>656037.78519999993</v>
      </c>
      <c r="I43" s="191">
        <f t="shared" si="0"/>
        <v>656037.78519999993</v>
      </c>
      <c r="J43" s="192">
        <f t="shared" si="0"/>
        <v>0</v>
      </c>
    </row>
    <row r="44" spans="1:10" ht="15" thickTop="1" x14ac:dyDescent="0.3"/>
    <row r="45" spans="1:10" x14ac:dyDescent="0.3">
      <c r="B45" t="s">
        <v>698</v>
      </c>
      <c r="H45" s="129"/>
    </row>
    <row r="47" spans="1:10" x14ac:dyDescent="0.3">
      <c r="G47" s="129"/>
    </row>
  </sheetData>
  <sortState ref="A4:J37">
    <sortCondition ref="A4"/>
  </sortState>
  <pageMargins left="0.7" right="0.7" top="0.75" bottom="0.75" header="0.3" footer="0.3"/>
  <pageSetup paperSize="9" scale="7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D4" sqref="D4"/>
    </sheetView>
  </sheetViews>
  <sheetFormatPr defaultRowHeight="14.4" x14ac:dyDescent="0.3"/>
  <cols>
    <col min="2" max="2" width="34.21875" bestFit="1" customWidth="1"/>
    <col min="4" max="4" width="9.5546875" bestFit="1" customWidth="1"/>
    <col min="6" max="6" width="9.5546875" bestFit="1" customWidth="1"/>
  </cols>
  <sheetData>
    <row r="1" spans="1:10" ht="15.6" thickTop="1" thickBot="1" x14ac:dyDescent="0.35">
      <c r="A1" s="144"/>
      <c r="B1" s="144"/>
      <c r="C1" s="145" t="s">
        <v>701</v>
      </c>
      <c r="D1" s="145"/>
      <c r="E1" s="145"/>
      <c r="F1" s="145"/>
      <c r="G1" s="145"/>
      <c r="H1" s="151" t="s">
        <v>574</v>
      </c>
      <c r="I1" s="153" t="s">
        <v>575</v>
      </c>
      <c r="J1" s="152">
        <v>2017</v>
      </c>
    </row>
    <row r="2" spans="1:10" ht="15" thickBot="1" x14ac:dyDescent="0.35">
      <c r="A2" s="146" t="s">
        <v>585</v>
      </c>
      <c r="B2" s="146" t="s">
        <v>15</v>
      </c>
      <c r="C2" s="147" t="s">
        <v>0</v>
      </c>
      <c r="D2" s="147" t="s">
        <v>19</v>
      </c>
      <c r="E2" s="147" t="s">
        <v>31</v>
      </c>
      <c r="F2" s="148" t="s">
        <v>25</v>
      </c>
      <c r="G2" s="149" t="s">
        <v>1</v>
      </c>
      <c r="H2" s="149" t="s">
        <v>2</v>
      </c>
      <c r="I2" s="149" t="s">
        <v>3</v>
      </c>
      <c r="J2" s="150" t="s">
        <v>4</v>
      </c>
    </row>
    <row r="3" spans="1:10" ht="15.6" thickTop="1" thickBot="1" x14ac:dyDescent="0.35">
      <c r="A3" s="155"/>
      <c r="B3" s="155"/>
      <c r="C3" s="2"/>
      <c r="D3" s="2" t="s">
        <v>18</v>
      </c>
      <c r="E3" s="2" t="s">
        <v>32</v>
      </c>
      <c r="F3" s="10" t="s">
        <v>18</v>
      </c>
      <c r="G3" s="2" t="s">
        <v>18</v>
      </c>
      <c r="H3" s="2" t="s">
        <v>18</v>
      </c>
      <c r="I3" s="2" t="s">
        <v>18</v>
      </c>
      <c r="J3" s="156" t="s">
        <v>18</v>
      </c>
    </row>
    <row r="4" spans="1:10" x14ac:dyDescent="0.3">
      <c r="A4" s="165">
        <v>1</v>
      </c>
      <c r="B4" s="5" t="s">
        <v>256</v>
      </c>
      <c r="C4" s="5" t="s">
        <v>255</v>
      </c>
      <c r="D4" s="255">
        <f>SUMIF(PURCHASE!$B$7:$B$508,$C$4:$C$197,PURCHASE!$E$7:$E$508)</f>
        <v>115932.71</v>
      </c>
      <c r="E4" s="126">
        <f>SUMIF(PURCHASE!$B$7:$B$508,$C$4:$C$197,PURCHASE!$W$7:$W$508)</f>
        <v>197</v>
      </c>
      <c r="F4" s="126">
        <f>SUMIF(PURCHASE!$B$7:$B$508,$C$4:$C$197,PURCHASE!$J$7:$J$508)</f>
        <v>90574.64</v>
      </c>
      <c r="G4" s="126">
        <f>SUMIF(PURCHASE!$B$7:$B$508,$C$4:$C$197,PURCHASE!$K$7:$K$508)</f>
        <v>25358.789199999999</v>
      </c>
      <c r="H4" s="126">
        <f>SUMIF(PURCHASE!$B$7:$B$508,$C$4:$C$197,PURCHASE!$L$7:$L$508)</f>
        <v>0</v>
      </c>
      <c r="I4" s="126">
        <f>SUMIF(PURCHASE!$B$7:$B$508,$C$4:$C$197,PURCHASE!$M$7:$M$508)</f>
        <v>0</v>
      </c>
      <c r="J4" s="190">
        <f>SUMIF(PURCHASE!$B$7:$B$508,$C$4:$C$197,PURCHASE!$N$7:$N$508)</f>
        <v>0</v>
      </c>
    </row>
    <row r="5" spans="1:10" x14ac:dyDescent="0.3">
      <c r="A5" s="165">
        <v>2</v>
      </c>
      <c r="B5" s="5" t="s">
        <v>310</v>
      </c>
      <c r="C5" s="5" t="s">
        <v>309</v>
      </c>
      <c r="D5" s="255">
        <f>SUMIF(PURCHASE!$B$7:$B$508,$C$4:$C$197,PURCHASE!$E$7:$E$508)</f>
        <v>68534</v>
      </c>
      <c r="E5" s="126">
        <f>SUMIF(PURCHASE!$B$7:$B$508,$C$4:$C$197,PURCHASE!$W$7:$W$508)</f>
        <v>880</v>
      </c>
      <c r="F5" s="255">
        <f>SUMIF(PURCHASE!$B$7:$B$508,$C$4:$C$197,PURCHASE!$J$7:$J$508)</f>
        <v>58080</v>
      </c>
      <c r="G5" s="126">
        <f>SUMIF(PURCHASE!$B$7:$B$508,$C$4:$C$197,PURCHASE!$K$7:$K$508)</f>
        <v>0</v>
      </c>
      <c r="H5" s="126">
        <f>SUMIF(PURCHASE!$B$7:$B$508,$C$4:$C$197,PURCHASE!$L$7:$L$508)</f>
        <v>5227</v>
      </c>
      <c r="I5" s="126">
        <f>SUMIF(PURCHASE!$B$7:$B$508,$C$4:$C$197,PURCHASE!$M$7:$M$508)</f>
        <v>5227</v>
      </c>
      <c r="J5" s="190">
        <f>SUMIF(PURCHASE!$B$7:$B$508,$C$4:$C$197,PURCHASE!$N$7:$N$508)</f>
        <v>0</v>
      </c>
    </row>
    <row r="6" spans="1:10" x14ac:dyDescent="0.3">
      <c r="A6" s="165">
        <v>3</v>
      </c>
      <c r="B6" s="5" t="s">
        <v>284</v>
      </c>
      <c r="C6" s="5" t="s">
        <v>283</v>
      </c>
      <c r="D6" s="255">
        <f>SUMIF(PURCHASE!$B$7:$B$508,$C$4:$C$197,PURCHASE!$E$7:$E$508)</f>
        <v>68572.179999999993</v>
      </c>
      <c r="E6" s="126">
        <f>SUMIF(PURCHASE!$B$7:$B$508,$C$4:$C$197,PURCHASE!$W$7:$W$508)</f>
        <v>4895</v>
      </c>
      <c r="F6" s="255">
        <f>SUMIF(PURCHASE!$B$7:$B$508,$C$4:$C$197,PURCHASE!$J$7:$J$508)</f>
        <v>61711</v>
      </c>
      <c r="G6" s="126">
        <f>SUMIF(PURCHASE!$B$7:$B$508,$C$4:$C$197,PURCHASE!$K$7:$K$508)</f>
        <v>0</v>
      </c>
      <c r="H6" s="126">
        <f>SUMIF(PURCHASE!$B$7:$B$508,$C$4:$C$197,PURCHASE!$L$7:$L$508)</f>
        <v>3430.59</v>
      </c>
      <c r="I6" s="126">
        <f>SUMIF(PURCHASE!$B$7:$B$508,$C$4:$C$197,PURCHASE!$M$7:$M$508)</f>
        <v>3430.59</v>
      </c>
      <c r="J6" s="190">
        <f>SUMIF(PURCHASE!$B$7:$B$508,$C$4:$C$197,PURCHASE!$N$7:$N$508)</f>
        <v>0</v>
      </c>
    </row>
    <row r="7" spans="1:10" x14ac:dyDescent="0.3">
      <c r="A7" s="165">
        <v>4</v>
      </c>
      <c r="B7" s="5" t="s">
        <v>435</v>
      </c>
      <c r="C7" s="5" t="s">
        <v>434</v>
      </c>
      <c r="D7" s="255">
        <f>SUMIF(PURCHASE!$B$7:$B$508,$C$4:$C$197,PURCHASE!$E$7:$E$508)</f>
        <v>1760</v>
      </c>
      <c r="E7" s="126">
        <f>SUMIF(PURCHASE!$B$7:$B$508,$C$4:$C$197,PURCHASE!$W$7:$W$508)</f>
        <v>8</v>
      </c>
      <c r="F7" s="255">
        <f>SUMIF(PURCHASE!$B$7:$B$508,$C$4:$C$197,PURCHASE!$J$7:$J$508)</f>
        <v>1375</v>
      </c>
      <c r="G7" s="126">
        <f>SUMIF(PURCHASE!$B$7:$B$508,$C$4:$C$197,PURCHASE!$K$7:$K$508)</f>
        <v>0</v>
      </c>
      <c r="H7" s="126">
        <f>SUMIF(PURCHASE!$B$7:$B$508,$C$4:$C$197,PURCHASE!$L$7:$L$508)</f>
        <v>192.5</v>
      </c>
      <c r="I7" s="126">
        <f>SUMIF(PURCHASE!$B$7:$B$508,$C$4:$C$197,PURCHASE!$M$7:$M$508)</f>
        <v>192.5</v>
      </c>
      <c r="J7" s="190">
        <f>SUMIF(PURCHASE!$B$7:$B$508,$C$4:$C$197,PURCHASE!$N$7:$N$508)</f>
        <v>0</v>
      </c>
    </row>
    <row r="8" spans="1:10" x14ac:dyDescent="0.3">
      <c r="A8" s="165">
        <v>5</v>
      </c>
      <c r="B8" s="5" t="s">
        <v>586</v>
      </c>
      <c r="C8" s="5" t="s">
        <v>587</v>
      </c>
      <c r="D8" s="255">
        <f>SUMIF(PURCHASE!$B$7:$B$508,$C$4:$C$197,PURCHASE!$E$7:$E$508)</f>
        <v>76691.64</v>
      </c>
      <c r="E8" s="126">
        <f>SUMIF(PURCHASE!$B$7:$B$508,$C$4:$C$197,PURCHASE!$W$7:$W$508)</f>
        <v>62</v>
      </c>
      <c r="F8" s="255">
        <f>SUMIF(PURCHASE!$B$7:$B$508,$C$4:$C$197,PURCHASE!$J$7:$J$508)</f>
        <v>64992.94</v>
      </c>
      <c r="G8" s="126">
        <f>SUMIF(PURCHASE!$B$7:$B$508,$C$4:$C$197,PURCHASE!$K$7:$K$508)</f>
        <v>0</v>
      </c>
      <c r="H8" s="126">
        <f>SUMIF(PURCHASE!$B$7:$B$508,$C$4:$C$197,PURCHASE!$L$7:$L$508)</f>
        <v>5849.35</v>
      </c>
      <c r="I8" s="126">
        <f>SUMIF(PURCHASE!$B$7:$B$508,$C$4:$C$197,PURCHASE!$M$7:$M$508)</f>
        <v>5849.35</v>
      </c>
      <c r="J8" s="190">
        <f>SUMIF(PURCHASE!$B$7:$B$508,$C$4:$C$197,PURCHASE!$N$7:$N$508)</f>
        <v>0</v>
      </c>
    </row>
    <row r="9" spans="1:10" x14ac:dyDescent="0.3">
      <c r="A9" s="165">
        <v>6</v>
      </c>
      <c r="B9" s="5" t="s">
        <v>555</v>
      </c>
      <c r="C9" s="5" t="s">
        <v>554</v>
      </c>
      <c r="D9" s="255">
        <f>SUMIF(PURCHASE!$B$7:$B$508,$C$4:$C$197,PURCHASE!$E$7:$E$508)</f>
        <v>25960</v>
      </c>
      <c r="E9" s="126">
        <f>SUMIF(PURCHASE!$B$7:$B$508,$C$4:$C$197,PURCHASE!$W$7:$W$508)</f>
        <v>2</v>
      </c>
      <c r="F9" s="255">
        <f>SUMIF(PURCHASE!$B$7:$B$508,$C$4:$C$197,PURCHASE!$J$7:$J$508)</f>
        <v>22000</v>
      </c>
      <c r="G9" s="126">
        <f>SUMIF(PURCHASE!$B$7:$B$508,$C$4:$C$197,PURCHASE!$K$7:$K$508)</f>
        <v>0</v>
      </c>
      <c r="H9" s="126">
        <f>SUMIF(PURCHASE!$B$7:$B$508,$C$4:$C$197,PURCHASE!$L$7:$L$508)</f>
        <v>1980</v>
      </c>
      <c r="I9" s="126">
        <f>SUMIF(PURCHASE!$B$7:$B$508,$C$4:$C$197,PURCHASE!$M$7:$M$508)</f>
        <v>1980</v>
      </c>
      <c r="J9" s="190">
        <f>SUMIF(PURCHASE!$B$7:$B$508,$C$4:$C$197,PURCHASE!$N$7:$N$508)</f>
        <v>0</v>
      </c>
    </row>
    <row r="10" spans="1:10" x14ac:dyDescent="0.3">
      <c r="A10" s="165">
        <v>7</v>
      </c>
      <c r="B10" s="5" t="s">
        <v>399</v>
      </c>
      <c r="C10" s="5" t="s">
        <v>398</v>
      </c>
      <c r="D10" s="255">
        <f>SUMIF(PURCHASE!$B$7:$B$508,$C$4:$C$197,PURCHASE!$E$7:$E$508)</f>
        <v>467540</v>
      </c>
      <c r="E10" s="126">
        <f>SUMIF(PURCHASE!$B$7:$B$508,$C$4:$C$197,PURCHASE!$W$7:$W$508)</f>
        <v>1100</v>
      </c>
      <c r="F10" s="255">
        <f>SUMIF(PURCHASE!$B$7:$B$508,$C$4:$C$197,PURCHASE!$J$7:$J$508)</f>
        <v>365266</v>
      </c>
      <c r="G10" s="126">
        <f>SUMIF(PURCHASE!$B$7:$B$508,$C$4:$C$197,PURCHASE!$K$7:$K$508)</f>
        <v>0</v>
      </c>
      <c r="H10" s="126">
        <f>SUMIF(PURCHASE!$B$7:$B$508,$C$4:$C$197,PURCHASE!$L$7:$L$508)</f>
        <v>51137.24</v>
      </c>
      <c r="I10" s="126">
        <f>SUMIF(PURCHASE!$B$7:$B$508,$C$4:$C$197,PURCHASE!$M$7:$M$508)</f>
        <v>51137.24</v>
      </c>
      <c r="J10" s="190">
        <f>SUMIF(PURCHASE!$B$7:$B$508,$C$4:$C$197,PURCHASE!$N$7:$N$508)</f>
        <v>0</v>
      </c>
    </row>
    <row r="11" spans="1:10" ht="15" thickBot="1" x14ac:dyDescent="0.35">
      <c r="A11" s="165">
        <v>8</v>
      </c>
      <c r="B11" s="5" t="s">
        <v>599</v>
      </c>
      <c r="C11" s="5" t="s">
        <v>600</v>
      </c>
      <c r="D11" s="255">
        <f>SUMIF(PURCHASE!$B$7:$B$508,$C$4:$C$197,PURCHASE!$E$7:$E$508)</f>
        <v>42387</v>
      </c>
      <c r="E11" s="126">
        <f>SUMIF(PURCHASE!$B$7:$B$508,$C$4:$C$197,PURCHASE!$W$7:$W$508)</f>
        <v>0</v>
      </c>
      <c r="F11" s="255">
        <f>SUMIF(PURCHASE!$B$7:$B$508,$C$4:$C$197,PURCHASE!$J$7:$J$508)</f>
        <v>35921</v>
      </c>
      <c r="G11" s="126">
        <f>SUMIF(PURCHASE!$B$7:$B$508,$C$4:$C$197,PURCHASE!$K$7:$K$508)</f>
        <v>0</v>
      </c>
      <c r="H11" s="126">
        <f>SUMIF(PURCHASE!$B$7:$B$508,$C$4:$C$197,PURCHASE!$L$7:$L$508)</f>
        <v>3233</v>
      </c>
      <c r="I11" s="126">
        <f>SUMIF(PURCHASE!$B$7:$B$508,$C$4:$C$197,PURCHASE!$M$7:$M$508)</f>
        <v>3233</v>
      </c>
      <c r="J11" s="190">
        <f>SUMIF(PURCHASE!$B$7:$B$508,$C$4:$C$197,PURCHASE!$N$7:$N$508)</f>
        <v>0</v>
      </c>
    </row>
    <row r="12" spans="1:10" ht="15" thickBot="1" x14ac:dyDescent="0.35">
      <c r="A12" s="265"/>
      <c r="B12" s="265" t="s">
        <v>47</v>
      </c>
      <c r="C12" s="265"/>
      <c r="D12" s="266">
        <f>SUM(D4:D11)</f>
        <v>867377.53</v>
      </c>
      <c r="E12" s="266">
        <f t="shared" ref="E12:J12" si="0">SUM(E4:E11)</f>
        <v>7144</v>
      </c>
      <c r="F12" s="266">
        <f t="shared" si="0"/>
        <v>699920.58000000007</v>
      </c>
      <c r="G12" s="266">
        <f t="shared" si="0"/>
        <v>25358.789199999999</v>
      </c>
      <c r="H12" s="266">
        <f t="shared" si="0"/>
        <v>71049.679999999993</v>
      </c>
      <c r="I12" s="266">
        <f t="shared" si="0"/>
        <v>71049.679999999993</v>
      </c>
      <c r="J12" s="266">
        <f t="shared" si="0"/>
        <v>0</v>
      </c>
    </row>
    <row r="13" spans="1:10" ht="15" thickTop="1" x14ac:dyDescent="0.3"/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opLeftCell="A13" workbookViewId="0">
      <selection activeCell="F65" sqref="F65"/>
    </sheetView>
  </sheetViews>
  <sheetFormatPr defaultRowHeight="14.4" x14ac:dyDescent="0.3"/>
  <cols>
    <col min="2" max="2" width="35" bestFit="1" customWidth="1"/>
    <col min="3" max="3" width="5.6640625" bestFit="1" customWidth="1"/>
    <col min="4" max="4" width="9.88671875" customWidth="1"/>
    <col min="5" max="5" width="11.109375" bestFit="1" customWidth="1"/>
    <col min="6" max="6" width="11.5546875" customWidth="1"/>
    <col min="7" max="7" width="9.5546875" customWidth="1"/>
    <col min="8" max="8" width="9.88671875" customWidth="1"/>
    <col min="9" max="9" width="10.109375" customWidth="1"/>
    <col min="10" max="10" width="7.109375" customWidth="1"/>
  </cols>
  <sheetData>
    <row r="1" spans="1:10" ht="15.6" thickTop="1" thickBot="1" x14ac:dyDescent="0.35">
      <c r="A1" s="144"/>
      <c r="B1" s="145" t="s">
        <v>583</v>
      </c>
      <c r="C1" s="145"/>
      <c r="D1" s="145"/>
      <c r="E1" s="145"/>
      <c r="F1" s="145"/>
      <c r="G1" s="151"/>
      <c r="H1" s="151" t="s">
        <v>574</v>
      </c>
      <c r="I1" s="153" t="s">
        <v>575</v>
      </c>
      <c r="J1" s="152">
        <v>2017</v>
      </c>
    </row>
    <row r="2" spans="1:10" ht="15" thickBot="1" x14ac:dyDescent="0.35">
      <c r="A2" s="1" t="s">
        <v>7</v>
      </c>
      <c r="B2" s="1" t="s">
        <v>20</v>
      </c>
      <c r="C2" s="1" t="s">
        <v>23</v>
      </c>
      <c r="D2" s="1" t="s">
        <v>31</v>
      </c>
      <c r="E2" s="1" t="s">
        <v>31</v>
      </c>
      <c r="F2" s="9" t="s">
        <v>25</v>
      </c>
      <c r="G2" s="189" t="s">
        <v>1</v>
      </c>
      <c r="H2" s="188" t="s">
        <v>2</v>
      </c>
      <c r="I2" s="188" t="s">
        <v>3</v>
      </c>
      <c r="J2" s="188" t="s">
        <v>4</v>
      </c>
    </row>
    <row r="3" spans="1:10" ht="15" thickBot="1" x14ac:dyDescent="0.35">
      <c r="A3" s="2" t="s">
        <v>33</v>
      </c>
      <c r="B3" s="2" t="s">
        <v>21</v>
      </c>
      <c r="C3" s="5"/>
      <c r="D3" s="5" t="s">
        <v>32</v>
      </c>
      <c r="E3" s="5" t="s">
        <v>572</v>
      </c>
      <c r="F3" s="19" t="s">
        <v>18</v>
      </c>
      <c r="G3" s="1" t="s">
        <v>18</v>
      </c>
      <c r="H3" s="1" t="s">
        <v>18</v>
      </c>
      <c r="I3" s="1" t="s">
        <v>18</v>
      </c>
      <c r="J3" s="1" t="s">
        <v>18</v>
      </c>
    </row>
    <row r="4" spans="1:10" x14ac:dyDescent="0.3">
      <c r="A4" s="1">
        <v>39269099</v>
      </c>
      <c r="B4" s="4" t="s">
        <v>22</v>
      </c>
      <c r="C4" s="125"/>
      <c r="D4" s="125">
        <f ca="1">SUMIF(PURCHASE!$Q$7:$Q$598,$A$4:$A$333,PURCHASE!$W$7:$W$508)</f>
        <v>29920</v>
      </c>
      <c r="E4" s="125">
        <f ca="1">SUMIF(PURCHASE!$Q$7:$Q$598,$A$4:$A$333,PURCHASE!$E$7:$E$508)</f>
        <v>363444</v>
      </c>
      <c r="F4" s="125">
        <f ca="1">SUMIF(PURCHASE!$Q$7:$Q$598,$A$4:$A$333,PURCHASE!$J$7:$J$508)</f>
        <v>283940.8</v>
      </c>
      <c r="G4" s="125">
        <f ca="1">SUMIF(PURCHASE!$Q$7:$Q$598,$A$4:$A$333,PURCHASE!$K$7:$K$508)</f>
        <v>0</v>
      </c>
      <c r="H4" s="125">
        <f ca="1">SUMIF(PURCHASE!$Q$7:$Q$598,$A$4:$A$333,PURCHASE!$L$7:$L$508)</f>
        <v>39751.712</v>
      </c>
      <c r="I4" s="125">
        <f ca="1">SUMIF(PURCHASE!$Q$7:$Q$598,$A$4:$A$333,PURCHASE!$M$7:$M$508)</f>
        <v>39751.712</v>
      </c>
      <c r="J4" s="125">
        <f ca="1">SUMIF(PURCHASE!$Q$7:$Q$598,$A$4:$A$333,PURCHASE!$N$7:$N$508)</f>
        <v>0</v>
      </c>
    </row>
    <row r="5" spans="1:10" x14ac:dyDescent="0.3">
      <c r="A5" s="5">
        <v>87089900</v>
      </c>
      <c r="B5" s="17" t="s">
        <v>22</v>
      </c>
      <c r="C5" s="126"/>
      <c r="D5" s="126">
        <f ca="1">SUMIF(PURCHASE!$Q$7:$Q$598,$A$4:$A$333,PURCHASE!$W$7:$W$508)</f>
        <v>2600</v>
      </c>
      <c r="E5" s="126">
        <f ca="1">SUMIF(PURCHASE!$Q$7:$Q$598,$A$4:$A$333,PURCHASE!$E$7:$E$508)</f>
        <v>149472.25999999998</v>
      </c>
      <c r="F5" s="126">
        <f ca="1">SUMIF(PURCHASE!$Q$7:$Q$598,$A$4:$A$333,PURCHASE!$J$7:$J$508)</f>
        <v>116777.37999999999</v>
      </c>
      <c r="G5" s="126">
        <f ca="1">SUMIF(PURCHASE!$Q$7:$Q$598,$A$4:$A$333,PURCHASE!$K$7:$K$508)</f>
        <v>13370</v>
      </c>
      <c r="H5" s="126">
        <f ca="1">SUMIF(PURCHASE!$Q$7:$Q$598,$A$4:$A$333,PURCHASE!$L$7:$L$508)</f>
        <v>9662.4332000000013</v>
      </c>
      <c r="I5" s="126">
        <f ca="1">SUMIF(PURCHASE!$Q$7:$Q$598,$A$4:$A$333,PURCHASE!$M$7:$M$508)</f>
        <v>9662.4332000000013</v>
      </c>
      <c r="J5" s="126">
        <f ca="1">SUMIF(PURCHASE!$Q$7:$Q$598,$A$4:$A$333,PURCHASE!$N$7:$N$508)</f>
        <v>0</v>
      </c>
    </row>
    <row r="6" spans="1:10" x14ac:dyDescent="0.3">
      <c r="A6" s="5">
        <v>32082090</v>
      </c>
      <c r="B6" s="17" t="s">
        <v>250</v>
      </c>
      <c r="C6" s="126"/>
      <c r="D6" s="126">
        <f ca="1">SUMIF(PURCHASE!$Q$7:$Q$598,$A$4:$A$333,PURCHASE!$W$7:$W$508)</f>
        <v>1536</v>
      </c>
      <c r="E6" s="126">
        <f ca="1">SUMIF(PURCHASE!$Q$7:$Q$598,$A$4:$A$333,PURCHASE!$E$7:$E$508)</f>
        <v>641064.76</v>
      </c>
      <c r="F6" s="126">
        <f ca="1">SUMIF(PURCHASE!$Q$7:$Q$598,$A$4:$A$333,PURCHASE!$J$7:$J$508)</f>
        <v>500832</v>
      </c>
      <c r="G6" s="126">
        <f ca="1">SUMIF(PURCHASE!$Q$7:$Q$598,$A$4:$A$333,PURCHASE!$K$7:$K$508)</f>
        <v>0</v>
      </c>
      <c r="H6" s="126">
        <f ca="1">SUMIF(PURCHASE!$Q$7:$Q$598,$A$4:$A$333,PURCHASE!$L$7:$L$508)</f>
        <v>70116.479999999996</v>
      </c>
      <c r="I6" s="126">
        <f ca="1">SUMIF(PURCHASE!$Q$7:$Q$598,$A$4:$A$333,PURCHASE!$M$7:$M$508)</f>
        <v>70116.479999999996</v>
      </c>
      <c r="J6" s="126">
        <f ca="1">SUMIF(PURCHASE!$Q$7:$Q$598,$A$4:$A$333,PURCHASE!$N$7:$N$508)</f>
        <v>0</v>
      </c>
    </row>
    <row r="7" spans="1:10" x14ac:dyDescent="0.3">
      <c r="A7" s="5">
        <v>38140010</v>
      </c>
      <c r="B7" s="17" t="s">
        <v>251</v>
      </c>
      <c r="C7" s="126"/>
      <c r="D7" s="126">
        <f ca="1">SUMIF(PURCHASE!$Q$7:$Q$598,$A$4:$A$333,PURCHASE!$W$7:$W$508)</f>
        <v>260</v>
      </c>
      <c r="E7" s="126">
        <f ca="1">SUMIF(PURCHASE!$Q$7:$Q$598,$A$4:$A$333,PURCHASE!$E$7:$E$508)</f>
        <v>52961</v>
      </c>
      <c r="F7" s="126">
        <f ca="1">SUMIF(PURCHASE!$Q$7:$Q$598,$A$4:$A$333,PURCHASE!$J$7:$J$508)</f>
        <v>41376</v>
      </c>
      <c r="G7" s="126">
        <f ca="1">SUMIF(PURCHASE!$Q$7:$Q$598,$A$4:$A$333,PURCHASE!$K$7:$K$508)</f>
        <v>0</v>
      </c>
      <c r="H7" s="126">
        <f ca="1">SUMIF(PURCHASE!$Q$7:$Q$598,$A$4:$A$333,PURCHASE!$L$7:$L$508)</f>
        <v>5792.6399999999994</v>
      </c>
      <c r="I7" s="126">
        <f ca="1">SUMIF(PURCHASE!$Q$7:$Q$598,$A$4:$A$333,PURCHASE!$M$7:$M$508)</f>
        <v>5792.6399999999994</v>
      </c>
      <c r="J7" s="126">
        <f ca="1">SUMIF(PURCHASE!$Q$7:$Q$598,$A$4:$A$333,PURCHASE!$N$7:$N$508)</f>
        <v>0</v>
      </c>
    </row>
    <row r="8" spans="1:10" x14ac:dyDescent="0.3">
      <c r="A8" s="5">
        <v>32089090</v>
      </c>
      <c r="B8" s="17" t="s">
        <v>250</v>
      </c>
      <c r="C8" s="126"/>
      <c r="D8" s="126">
        <f ca="1">SUMIF(PURCHASE!$Q$7:$Q$598,$A$4:$A$333,PURCHASE!$W$7:$W$508)</f>
        <v>86</v>
      </c>
      <c r="E8" s="126">
        <f ca="1">SUMIF(PURCHASE!$Q$7:$Q$598,$A$4:$A$333,PURCHASE!$E$7:$E$508)</f>
        <v>40436.199999999997</v>
      </c>
      <c r="F8" s="126">
        <f ca="1">SUMIF(PURCHASE!$Q$7:$Q$598,$A$4:$A$333,PURCHASE!$J$7:$J$508)</f>
        <v>31590.799999999999</v>
      </c>
      <c r="G8" s="126">
        <f ca="1">SUMIF(PURCHASE!$Q$7:$Q$598,$A$4:$A$333,PURCHASE!$K$7:$K$508)</f>
        <v>0</v>
      </c>
      <c r="H8" s="126">
        <f ca="1">SUMIF(PURCHASE!$Q$7:$Q$598,$A$4:$A$333,PURCHASE!$L$7:$L$508)</f>
        <v>4422.7119999999995</v>
      </c>
      <c r="I8" s="126">
        <f ca="1">SUMIF(PURCHASE!$Q$7:$Q$598,$A$4:$A$333,PURCHASE!$M$7:$M$508)</f>
        <v>4422.7119999999995</v>
      </c>
      <c r="J8" s="126">
        <f ca="1">SUMIF(PURCHASE!$Q$7:$Q$598,$A$4:$A$333,PURCHASE!$N$7:$N$508)</f>
        <v>0</v>
      </c>
    </row>
    <row r="9" spans="1:10" x14ac:dyDescent="0.3">
      <c r="A9" s="5">
        <v>85129000</v>
      </c>
      <c r="B9" s="5" t="s">
        <v>254</v>
      </c>
      <c r="C9" s="126"/>
      <c r="D9" s="126">
        <f ca="1">SUMIF(PURCHASE!$Q$7:$Q$598,$A$4:$A$333,PURCHASE!$W$7:$W$508)</f>
        <v>10286</v>
      </c>
      <c r="E9" s="126">
        <f ca="1">SUMIF(PURCHASE!$Q$7:$Q$598,$A$4:$A$333,PURCHASE!$E$7:$E$508)</f>
        <v>369967</v>
      </c>
      <c r="F9" s="126">
        <f ca="1">SUMIF(PURCHASE!$Q$7:$Q$598,$A$4:$A$333,PURCHASE!$J$7:$J$508)</f>
        <v>289036.59999999998</v>
      </c>
      <c r="G9" s="126">
        <f ca="1">SUMIF(PURCHASE!$Q$7:$Q$598,$A$4:$A$333,PURCHASE!$K$7:$K$508)</f>
        <v>0</v>
      </c>
      <c r="H9" s="126">
        <f ca="1">SUMIF(PURCHASE!$Q$7:$Q$598,$A$4:$A$333,PURCHASE!$L$7:$L$508)</f>
        <v>40465.124000000003</v>
      </c>
      <c r="I9" s="126">
        <f ca="1">SUMIF(PURCHASE!$Q$7:$Q$598,$A$4:$A$333,PURCHASE!$M$7:$M$508)</f>
        <v>40465.124000000003</v>
      </c>
      <c r="J9" s="126">
        <f ca="1">SUMIF(PURCHASE!$Q$7:$Q$598,$A$4:$A$333,PURCHASE!$N$7:$N$508)</f>
        <v>0</v>
      </c>
    </row>
    <row r="10" spans="1:10" x14ac:dyDescent="0.3">
      <c r="A10" s="5">
        <v>87081090</v>
      </c>
      <c r="B10" s="17" t="s">
        <v>22</v>
      </c>
      <c r="C10" s="126"/>
      <c r="D10" s="126">
        <f ca="1">SUMIF(PURCHASE!$Q$7:$Q$598,$A$4:$A$333,PURCHASE!$W$7:$W$508)</f>
        <v>1608</v>
      </c>
      <c r="E10" s="126">
        <f ca="1">SUMIF(PURCHASE!$Q$7:$Q$598,$A$4:$A$333,PURCHASE!$E$7:$E$508)</f>
        <v>296798.99</v>
      </c>
      <c r="F10" s="126">
        <f ca="1">SUMIF(PURCHASE!$Q$7:$Q$598,$A$4:$A$333,PURCHASE!$J$7:$J$508)</f>
        <v>231874.71999999994</v>
      </c>
      <c r="G10" s="126">
        <f ca="1">SUMIF(PURCHASE!$Q$7:$Q$598,$A$4:$A$333,PURCHASE!$K$7:$K$508)</f>
        <v>31690.9892</v>
      </c>
      <c r="H10" s="126">
        <f ca="1">SUMIF(PURCHASE!$Q$7:$Q$598,$A$4:$A$333,PURCHASE!$L$7:$L$508)</f>
        <v>16616.9912</v>
      </c>
      <c r="I10" s="126">
        <f ca="1">SUMIF(PURCHASE!$Q$7:$Q$598,$A$4:$A$333,PURCHASE!$M$7:$M$508)</f>
        <v>16616.9912</v>
      </c>
      <c r="J10" s="126">
        <f ca="1">SUMIF(PURCHASE!$Q$7:$Q$598,$A$4:$A$333,PURCHASE!$N$7:$N$508)</f>
        <v>0</v>
      </c>
    </row>
    <row r="11" spans="1:10" x14ac:dyDescent="0.3">
      <c r="A11" s="5">
        <v>87082900</v>
      </c>
      <c r="B11" s="17" t="s">
        <v>22</v>
      </c>
      <c r="C11" s="126"/>
      <c r="D11" s="126">
        <f ca="1">SUMIF(PURCHASE!$Q$7:$Q$598,$A$4:$A$333,PURCHASE!$W$7:$W$508)</f>
        <v>6089</v>
      </c>
      <c r="E11" s="126">
        <f ca="1">SUMIF(PURCHASE!$Q$7:$Q$598,$A$4:$A$333,PURCHASE!$E$7:$E$508)</f>
        <v>405899.89999999991</v>
      </c>
      <c r="F11" s="126">
        <f ca="1">SUMIF(PURCHASE!$Q$7:$Q$598,$A$4:$A$333,PURCHASE!$J$7:$J$508)</f>
        <v>317107.48</v>
      </c>
      <c r="G11" s="126">
        <f ca="1">SUMIF(PURCHASE!$Q$7:$Q$598,$A$4:$A$333,PURCHASE!$K$7:$K$508)</f>
        <v>0</v>
      </c>
      <c r="H11" s="126">
        <f ca="1">SUMIF(PURCHASE!$Q$7:$Q$598,$A$4:$A$333,PURCHASE!$L$7:$L$508)</f>
        <v>44396.427199999998</v>
      </c>
      <c r="I11" s="126">
        <f ca="1">SUMIF(PURCHASE!$Q$7:$Q$598,$A$4:$A$333,PURCHASE!$M$7:$M$508)</f>
        <v>44396.427199999998</v>
      </c>
      <c r="J11" s="126">
        <f ca="1">SUMIF(PURCHASE!$Q$7:$Q$598,$A$4:$A$333,PURCHASE!$N$7:$N$508)</f>
        <v>0</v>
      </c>
    </row>
    <row r="12" spans="1:10" x14ac:dyDescent="0.3">
      <c r="A12" s="5">
        <v>87142090</v>
      </c>
      <c r="B12" s="17" t="s">
        <v>22</v>
      </c>
      <c r="C12" s="126"/>
      <c r="D12" s="126">
        <f ca="1">SUMIF(PURCHASE!$Q$7:$Q$598,$A$4:$A$333,PURCHASE!$W$7:$W$508)</f>
        <v>23760</v>
      </c>
      <c r="E12" s="126">
        <f ca="1">SUMIF(PURCHASE!$Q$7:$Q$598,$A$4:$A$333,PURCHASE!$E$7:$E$508)</f>
        <v>336365.64</v>
      </c>
      <c r="F12" s="126">
        <f ca="1">SUMIF(PURCHASE!$Q$7:$Q$598,$A$4:$A$333,PURCHASE!$J$7:$J$508)</f>
        <v>262784.8</v>
      </c>
      <c r="G12" s="126">
        <f ca="1">SUMIF(PURCHASE!$Q$7:$Q$598,$A$4:$A$333,PURCHASE!$K$7:$K$508)</f>
        <v>0</v>
      </c>
      <c r="H12" s="126">
        <f ca="1">SUMIF(PURCHASE!$Q$7:$Q$598,$A$4:$A$333,PURCHASE!$L$7:$L$508)</f>
        <v>36790.022000000004</v>
      </c>
      <c r="I12" s="126">
        <f ca="1">SUMIF(PURCHASE!$Q$7:$Q$598,$A$4:$A$333,PURCHASE!$M$7:$M$508)</f>
        <v>36790.022000000004</v>
      </c>
      <c r="J12" s="126">
        <f ca="1">SUMIF(PURCHASE!$Q$7:$Q$598,$A$4:$A$333,PURCHASE!$N$7:$N$508)</f>
        <v>0</v>
      </c>
    </row>
    <row r="13" spans="1:10" x14ac:dyDescent="0.3">
      <c r="A13" s="5">
        <v>39119090</v>
      </c>
      <c r="B13" s="17" t="s">
        <v>250</v>
      </c>
      <c r="C13" s="126"/>
      <c r="D13" s="126">
        <f ca="1">SUMIF(PURCHASE!$Q$7:$Q$598,$A$4:$A$333,PURCHASE!$W$7:$W$508)</f>
        <v>51</v>
      </c>
      <c r="E13" s="126">
        <f ca="1">SUMIF(PURCHASE!$Q$7:$Q$598,$A$4:$A$333,PURCHASE!$E$7:$E$508)</f>
        <v>31435.200000000001</v>
      </c>
      <c r="F13" s="126">
        <f ca="1">SUMIF(PURCHASE!$Q$7:$Q$598,$A$4:$A$333,PURCHASE!$J$7:$J$508)</f>
        <v>26640</v>
      </c>
      <c r="G13" s="126">
        <f ca="1">SUMIF(PURCHASE!$Q$7:$Q$598,$A$4:$A$333,PURCHASE!$K$7:$K$508)</f>
        <v>0</v>
      </c>
      <c r="H13" s="126">
        <f ca="1">SUMIF(PURCHASE!$Q$7:$Q$598,$A$4:$A$333,PURCHASE!$L$7:$L$508)</f>
        <v>2397.6</v>
      </c>
      <c r="I13" s="126">
        <f ca="1">SUMIF(PURCHASE!$Q$7:$Q$598,$A$4:$A$333,PURCHASE!$M$7:$M$508)</f>
        <v>2397.6</v>
      </c>
      <c r="J13" s="126">
        <f ca="1">SUMIF(PURCHASE!$Q$7:$Q$598,$A$4:$A$333,PURCHASE!$N$7:$N$508)</f>
        <v>0</v>
      </c>
    </row>
    <row r="14" spans="1:10" x14ac:dyDescent="0.3">
      <c r="A14" s="5">
        <v>87141900</v>
      </c>
      <c r="B14" s="17" t="s">
        <v>22</v>
      </c>
      <c r="C14" s="126"/>
      <c r="D14" s="126">
        <f ca="1">SUMIF(PURCHASE!$Q$7:$Q$598,$A$4:$A$333,PURCHASE!$W$7:$W$508)</f>
        <v>27800</v>
      </c>
      <c r="E14" s="126">
        <f ca="1">SUMIF(PURCHASE!$Q$7:$Q$598,$A$4:$A$333,PURCHASE!$E$7:$E$508)</f>
        <v>1881681.25</v>
      </c>
      <c r="F14" s="126">
        <f ca="1">SUMIF(PURCHASE!$Q$7:$Q$598,$A$4:$A$333,PURCHASE!$J$7:$J$508)</f>
        <v>1472344.42</v>
      </c>
      <c r="G14" s="126">
        <f ca="1">SUMIF(PURCHASE!$Q$7:$Q$598,$A$4:$A$333,PURCHASE!$K$7:$K$508)</f>
        <v>0</v>
      </c>
      <c r="H14" s="126">
        <f ca="1">SUMIF(PURCHASE!$Q$7:$Q$598,$A$4:$A$333,PURCHASE!$L$7:$L$508)</f>
        <v>206128.9988</v>
      </c>
      <c r="I14" s="126">
        <f ca="1">SUMIF(PURCHASE!$Q$7:$Q$598,$A$4:$A$333,PURCHASE!$M$7:$M$508)</f>
        <v>206128.9988</v>
      </c>
      <c r="J14" s="126">
        <f ca="1">SUMIF(PURCHASE!$Q$7:$Q$598,$A$4:$A$333,PURCHASE!$N$7:$N$508)</f>
        <v>0</v>
      </c>
    </row>
    <row r="15" spans="1:10" x14ac:dyDescent="0.3">
      <c r="A15" s="5">
        <v>68052090</v>
      </c>
      <c r="B15" s="17" t="s">
        <v>264</v>
      </c>
      <c r="C15" s="126"/>
      <c r="D15" s="126">
        <f ca="1">SUMIF(PURCHASE!$Q$7:$Q$598,$A$4:$A$333,PURCHASE!$W$7:$W$508)</f>
        <v>1500</v>
      </c>
      <c r="E15" s="126">
        <f ca="1">SUMIF(PURCHASE!$Q$7:$Q$598,$A$4:$A$333,PURCHASE!$E$7:$E$508)</f>
        <v>19028</v>
      </c>
      <c r="F15" s="126">
        <f ca="1">SUMIF(PURCHASE!$Q$7:$Q$598,$A$4:$A$333,PURCHASE!$J$7:$J$508)</f>
        <v>16125</v>
      </c>
      <c r="G15" s="126">
        <f ca="1">SUMIF(PURCHASE!$Q$7:$Q$598,$A$4:$A$333,PURCHASE!$K$7:$K$508)</f>
        <v>0</v>
      </c>
      <c r="H15" s="126">
        <f ca="1">SUMIF(PURCHASE!$Q$7:$Q$598,$A$4:$A$333,PURCHASE!$L$7:$L$508)</f>
        <v>1451.25</v>
      </c>
      <c r="I15" s="126">
        <f ca="1">SUMIF(PURCHASE!$Q$7:$Q$598,$A$4:$A$333,PURCHASE!$M$7:$M$508)</f>
        <v>1451.25</v>
      </c>
      <c r="J15" s="126">
        <f ca="1">SUMIF(PURCHASE!$Q$7:$Q$598,$A$4:$A$333,PURCHASE!$N$7:$N$508)</f>
        <v>0</v>
      </c>
    </row>
    <row r="16" spans="1:10" x14ac:dyDescent="0.3">
      <c r="A16" s="5">
        <v>25202090</v>
      </c>
      <c r="B16" s="17" t="s">
        <v>271</v>
      </c>
      <c r="C16" s="126"/>
      <c r="D16" s="126">
        <f ca="1">SUMIF(PURCHASE!$Q$7:$Q$598,$A$4:$A$333,PURCHASE!$W$7:$W$508)</f>
        <v>15</v>
      </c>
      <c r="E16" s="126">
        <f ca="1">SUMIF(PURCHASE!$Q$7:$Q$598,$A$4:$A$333,PURCHASE!$E$7:$E$508)</f>
        <v>1890</v>
      </c>
      <c r="F16" s="126">
        <f ca="1">SUMIF(PURCHASE!$Q$7:$Q$598,$A$4:$A$333,PURCHASE!$J$7:$J$508)</f>
        <v>1800</v>
      </c>
      <c r="G16" s="126">
        <f ca="1">SUMIF(PURCHASE!$Q$7:$Q$598,$A$4:$A$333,PURCHASE!$K$7:$K$508)</f>
        <v>0</v>
      </c>
      <c r="H16" s="126">
        <f ca="1">SUMIF(PURCHASE!$Q$7:$Q$598,$A$4:$A$333,PURCHASE!$L$7:$L$508)</f>
        <v>45</v>
      </c>
      <c r="I16" s="126">
        <f ca="1">SUMIF(PURCHASE!$Q$7:$Q$598,$A$4:$A$333,PURCHASE!$M$7:$M$508)</f>
        <v>45</v>
      </c>
      <c r="J16" s="126">
        <f ca="1">SUMIF(PURCHASE!$Q$7:$Q$598,$A$4:$A$333,PURCHASE!$N$7:$N$508)</f>
        <v>0</v>
      </c>
    </row>
    <row r="17" spans="1:10" x14ac:dyDescent="0.3">
      <c r="A17" s="5">
        <v>3814</v>
      </c>
      <c r="B17" s="17" t="s">
        <v>251</v>
      </c>
      <c r="C17" s="126"/>
      <c r="D17" s="126">
        <f ca="1">SUMIF(PURCHASE!$Q$7:$Q$598,$A$4:$A$333,PURCHASE!$W$7:$W$508)</f>
        <v>40</v>
      </c>
      <c r="E17" s="126">
        <f ca="1">SUMIF(PURCHASE!$Q$7:$Q$598,$A$4:$A$333,PURCHASE!$E$7:$E$508)</f>
        <v>5990</v>
      </c>
      <c r="F17" s="126">
        <f ca="1">SUMIF(PURCHASE!$Q$7:$Q$598,$A$4:$A$333,PURCHASE!$J$7:$J$508)</f>
        <v>4679.6000000000004</v>
      </c>
      <c r="G17" s="126">
        <f ca="1">SUMIF(PURCHASE!$Q$7:$Q$598,$A$4:$A$333,PURCHASE!$K$7:$K$508)</f>
        <v>0</v>
      </c>
      <c r="H17" s="126">
        <f ca="1">SUMIF(PURCHASE!$Q$7:$Q$598,$A$4:$A$333,PURCHASE!$L$7:$L$508)</f>
        <v>655.20400000000006</v>
      </c>
      <c r="I17" s="126">
        <f ca="1">SUMIF(PURCHASE!$Q$7:$Q$598,$A$4:$A$333,PURCHASE!$M$7:$M$508)</f>
        <v>655.20400000000006</v>
      </c>
      <c r="J17" s="126">
        <f ca="1">SUMIF(PURCHASE!$Q$7:$Q$598,$A$4:$A$333,PURCHASE!$N$7:$N$508)</f>
        <v>0</v>
      </c>
    </row>
    <row r="18" spans="1:10" x14ac:dyDescent="0.3">
      <c r="A18" s="5">
        <v>87141090</v>
      </c>
      <c r="B18" s="17" t="s">
        <v>22</v>
      </c>
      <c r="C18" s="126"/>
      <c r="D18" s="126">
        <f ca="1">SUMIF(PURCHASE!$Q$7:$Q$598,$A$4:$A$333,PURCHASE!$W$7:$W$508)</f>
        <v>7599</v>
      </c>
      <c r="E18" s="126">
        <f ca="1">SUMIF(PURCHASE!$Q$7:$Q$598,$A$4:$A$333,PURCHASE!$E$7:$E$508)</f>
        <v>338534.69999999995</v>
      </c>
      <c r="F18" s="126">
        <f ca="1">SUMIF(PURCHASE!$Q$7:$Q$598,$A$4:$A$333,PURCHASE!$J$7:$J$508)</f>
        <v>264480.12</v>
      </c>
      <c r="G18" s="126">
        <f ca="1">SUMIF(PURCHASE!$Q$7:$Q$598,$A$4:$A$333,PURCHASE!$K$7:$K$508)</f>
        <v>0</v>
      </c>
      <c r="H18" s="126">
        <f ca="1">SUMIF(PURCHASE!$Q$7:$Q$598,$A$4:$A$333,PURCHASE!$L$7:$L$508)</f>
        <v>37027.296800000004</v>
      </c>
      <c r="I18" s="126">
        <f ca="1">SUMIF(PURCHASE!$Q$7:$Q$598,$A$4:$A$333,PURCHASE!$M$7:$M$508)</f>
        <v>37027.296800000004</v>
      </c>
      <c r="J18" s="126">
        <f ca="1">SUMIF(PURCHASE!$Q$7:$Q$598,$A$4:$A$333,PURCHASE!$N$7:$N$508)</f>
        <v>0</v>
      </c>
    </row>
    <row r="19" spans="1:10" x14ac:dyDescent="0.3">
      <c r="A19" s="5">
        <v>96031000</v>
      </c>
      <c r="B19" s="17" t="s">
        <v>286</v>
      </c>
      <c r="C19" s="126"/>
      <c r="D19" s="126">
        <f ca="1">SUMIF(PURCHASE!$Q$7:$Q$598,$A$4:$A$333,PURCHASE!$W$7:$W$508)</f>
        <v>10</v>
      </c>
      <c r="E19" s="126">
        <f ca="1">SUMIF(PURCHASE!$Q$7:$Q$598,$A$4:$A$333,PURCHASE!$E$7:$E$508)</f>
        <v>236</v>
      </c>
      <c r="F19" s="126">
        <f ca="1">SUMIF(PURCHASE!$Q$7:$Q$598,$A$4:$A$333,PURCHASE!$J$7:$J$508)</f>
        <v>200</v>
      </c>
      <c r="G19" s="126">
        <f ca="1">SUMIF(PURCHASE!$Q$7:$Q$598,$A$4:$A$333,PURCHASE!$K$7:$K$508)</f>
        <v>0</v>
      </c>
      <c r="H19" s="126">
        <f ca="1">SUMIF(PURCHASE!$Q$7:$Q$598,$A$4:$A$333,PURCHASE!$L$7:$L$508)</f>
        <v>18</v>
      </c>
      <c r="I19" s="126">
        <f ca="1">SUMIF(PURCHASE!$Q$7:$Q$598,$A$4:$A$333,PURCHASE!$M$7:$M$508)</f>
        <v>18</v>
      </c>
      <c r="J19" s="126">
        <f ca="1">SUMIF(PURCHASE!$Q$7:$Q$598,$A$4:$A$333,PURCHASE!$N$7:$N$508)</f>
        <v>0</v>
      </c>
    </row>
    <row r="20" spans="1:10" x14ac:dyDescent="0.3">
      <c r="A20" s="5">
        <v>59114000</v>
      </c>
      <c r="B20" s="17" t="s">
        <v>287</v>
      </c>
      <c r="C20" s="126"/>
      <c r="D20" s="126">
        <f ca="1">SUMIF(PURCHASE!$Q$7:$Q$598,$A$4:$A$333,PURCHASE!$W$7:$W$508)</f>
        <v>150</v>
      </c>
      <c r="E20" s="126">
        <f ca="1">SUMIF(PURCHASE!$Q$7:$Q$598,$A$4:$A$333,PURCHASE!$E$7:$E$508)</f>
        <v>2301</v>
      </c>
      <c r="F20" s="126">
        <f ca="1">SUMIF(PURCHASE!$Q$7:$Q$598,$A$4:$A$333,PURCHASE!$J$7:$J$508)</f>
        <v>1950</v>
      </c>
      <c r="G20" s="126">
        <f ca="1">SUMIF(PURCHASE!$Q$7:$Q$598,$A$4:$A$333,PURCHASE!$K$7:$K$508)</f>
        <v>0</v>
      </c>
      <c r="H20" s="126">
        <f ca="1">SUMIF(PURCHASE!$Q$7:$Q$598,$A$4:$A$333,PURCHASE!$L$7:$L$508)</f>
        <v>175.5</v>
      </c>
      <c r="I20" s="126">
        <f ca="1">SUMIF(PURCHASE!$Q$7:$Q$598,$A$4:$A$333,PURCHASE!$M$7:$M$508)</f>
        <v>175.5</v>
      </c>
      <c r="J20" s="126">
        <f ca="1">SUMIF(PURCHASE!$Q$7:$Q$598,$A$4:$A$333,PURCHASE!$N$7:$N$508)</f>
        <v>0</v>
      </c>
    </row>
    <row r="21" spans="1:10" x14ac:dyDescent="0.3">
      <c r="A21" s="5">
        <v>61169200</v>
      </c>
      <c r="B21" s="17" t="s">
        <v>288</v>
      </c>
      <c r="C21" s="126"/>
      <c r="D21" s="126">
        <f ca="1">SUMIF(PURCHASE!$Q$7:$Q$598,$A$4:$A$333,PURCHASE!$W$7:$W$508)</f>
        <v>100</v>
      </c>
      <c r="E21" s="126">
        <f ca="1">SUMIF(PURCHASE!$Q$7:$Q$598,$A$4:$A$333,PURCHASE!$E$7:$E$508)</f>
        <v>1260</v>
      </c>
      <c r="F21" s="126">
        <f ca="1">SUMIF(PURCHASE!$Q$7:$Q$598,$A$4:$A$333,PURCHASE!$J$7:$J$508)</f>
        <v>1200</v>
      </c>
      <c r="G21" s="126">
        <f ca="1">SUMIF(PURCHASE!$Q$7:$Q$598,$A$4:$A$333,PURCHASE!$K$7:$K$508)</f>
        <v>0</v>
      </c>
      <c r="H21" s="126">
        <f ca="1">SUMIF(PURCHASE!$Q$7:$Q$598,$A$4:$A$333,PURCHASE!$L$7:$L$508)</f>
        <v>30</v>
      </c>
      <c r="I21" s="126">
        <f ca="1">SUMIF(PURCHASE!$Q$7:$Q$598,$A$4:$A$333,PURCHASE!$M$7:$M$508)</f>
        <v>30</v>
      </c>
      <c r="J21" s="126">
        <f ca="1">SUMIF(PURCHASE!$Q$7:$Q$598,$A$4:$A$333,PURCHASE!$N$7:$N$508)</f>
        <v>0</v>
      </c>
    </row>
    <row r="22" spans="1:10" x14ac:dyDescent="0.3">
      <c r="A22" s="5">
        <v>60060000</v>
      </c>
      <c r="B22" s="17" t="s">
        <v>289</v>
      </c>
      <c r="C22" s="126"/>
      <c r="D22" s="126">
        <f ca="1">SUMIF(PURCHASE!$Q$7:$Q$598,$A$4:$A$333,PURCHASE!$W$7:$W$508)</f>
        <v>100</v>
      </c>
      <c r="E22" s="126">
        <f ca="1">SUMIF(PURCHASE!$Q$7:$Q$598,$A$4:$A$333,PURCHASE!$E$7:$E$508)</f>
        <v>3465</v>
      </c>
      <c r="F22" s="126">
        <f ca="1">SUMIF(PURCHASE!$Q$7:$Q$598,$A$4:$A$333,PURCHASE!$J$7:$J$508)</f>
        <v>3300</v>
      </c>
      <c r="G22" s="126">
        <f ca="1">SUMIF(PURCHASE!$Q$7:$Q$598,$A$4:$A$333,PURCHASE!$K$7:$K$508)</f>
        <v>0</v>
      </c>
      <c r="H22" s="126">
        <f ca="1">SUMIF(PURCHASE!$Q$7:$Q$598,$A$4:$A$333,PURCHASE!$L$7:$L$508)</f>
        <v>82.5</v>
      </c>
      <c r="I22" s="126">
        <f ca="1">SUMIF(PURCHASE!$Q$7:$Q$598,$A$4:$A$333,PURCHASE!$M$7:$M$508)</f>
        <v>82.5</v>
      </c>
      <c r="J22" s="126">
        <f ca="1">SUMIF(PURCHASE!$Q$7:$Q$598,$A$4:$A$333,PURCHASE!$N$7:$N$508)</f>
        <v>0</v>
      </c>
    </row>
    <row r="23" spans="1:10" x14ac:dyDescent="0.3">
      <c r="A23" s="5">
        <v>5407</v>
      </c>
      <c r="B23" s="17" t="s">
        <v>291</v>
      </c>
      <c r="C23" s="126"/>
      <c r="D23" s="126">
        <f ca="1">SUMIF(PURCHASE!$Q$7:$Q$598,$A$4:$A$333,PURCHASE!$W$7:$W$508)</f>
        <v>103</v>
      </c>
      <c r="E23" s="126">
        <f ca="1">SUMIF(PURCHASE!$Q$7:$Q$598,$A$4:$A$333,PURCHASE!$E$7:$E$508)</f>
        <v>29200.5</v>
      </c>
      <c r="F23" s="126">
        <f ca="1">SUMIF(PURCHASE!$Q$7:$Q$598,$A$4:$A$333,PURCHASE!$J$7:$J$508)</f>
        <v>27810</v>
      </c>
      <c r="G23" s="126">
        <f ca="1">SUMIF(PURCHASE!$Q$7:$Q$598,$A$4:$A$333,PURCHASE!$K$7:$K$508)</f>
        <v>0</v>
      </c>
      <c r="H23" s="126">
        <f ca="1">SUMIF(PURCHASE!$Q$7:$Q$598,$A$4:$A$333,PURCHASE!$L$7:$L$508)</f>
        <v>695.25</v>
      </c>
      <c r="I23" s="126">
        <f ca="1">SUMIF(PURCHASE!$Q$7:$Q$598,$A$4:$A$333,PURCHASE!$M$7:$M$508)</f>
        <v>695.25</v>
      </c>
      <c r="J23" s="126">
        <f ca="1">SUMIF(PURCHASE!$Q$7:$Q$598,$A$4:$A$333,PURCHASE!$N$7:$N$508)</f>
        <v>0</v>
      </c>
    </row>
    <row r="24" spans="1:10" x14ac:dyDescent="0.3">
      <c r="A24" s="5">
        <v>96082000</v>
      </c>
      <c r="B24" s="17" t="s">
        <v>292</v>
      </c>
      <c r="C24" s="5"/>
      <c r="D24" s="126">
        <f ca="1">SUMIF(PURCHASE!$Q$7:$Q$598,$A$4:$A$333,PURCHASE!$W$7:$W$508)</f>
        <v>100</v>
      </c>
      <c r="E24" s="126">
        <f ca="1">SUMIF(PURCHASE!$Q$7:$Q$598,$A$4:$A$333,PURCHASE!$E$7:$E$508)</f>
        <v>442.5</v>
      </c>
      <c r="F24" s="126">
        <f ca="1">SUMIF(PURCHASE!$Q$7:$Q$598,$A$4:$A$333,PURCHASE!$J$7:$J$508)</f>
        <v>375</v>
      </c>
      <c r="G24" s="126">
        <f ca="1">SUMIF(PURCHASE!$Q$7:$Q$598,$A$4:$A$333,PURCHASE!$K$7:$K$508)</f>
        <v>0</v>
      </c>
      <c r="H24" s="126">
        <f ca="1">SUMIF(PURCHASE!$Q$7:$Q$598,$A$4:$A$333,PURCHASE!$L$7:$L$508)</f>
        <v>33.75</v>
      </c>
      <c r="I24" s="126">
        <f ca="1">SUMIF(PURCHASE!$Q$7:$Q$598,$A$4:$A$333,PURCHASE!$M$7:$M$508)</f>
        <v>33.75</v>
      </c>
      <c r="J24" s="126">
        <f ca="1">SUMIF(PURCHASE!$Q$7:$Q$598,$A$4:$A$333,PURCHASE!$N$7:$N$508)</f>
        <v>0</v>
      </c>
    </row>
    <row r="25" spans="1:10" x14ac:dyDescent="0.3">
      <c r="A25" s="5">
        <v>40151900</v>
      </c>
      <c r="B25" s="17" t="s">
        <v>293</v>
      </c>
      <c r="C25" s="5"/>
      <c r="D25" s="126">
        <f ca="1">SUMIF(PURCHASE!$Q$7:$Q$598,$A$4:$A$333,PURCHASE!$W$7:$W$508)</f>
        <v>12</v>
      </c>
      <c r="E25" s="126">
        <f ca="1">SUMIF(PURCHASE!$Q$7:$Q$598,$A$4:$A$333,PURCHASE!$E$7:$E$508)</f>
        <v>679.68</v>
      </c>
      <c r="F25" s="126">
        <f ca="1">SUMIF(PURCHASE!$Q$7:$Q$598,$A$4:$A$333,PURCHASE!$J$7:$J$508)</f>
        <v>576</v>
      </c>
      <c r="G25" s="126">
        <f ca="1">SUMIF(PURCHASE!$Q$7:$Q$598,$A$4:$A$333,PURCHASE!$K$7:$K$508)</f>
        <v>0</v>
      </c>
      <c r="H25" s="126">
        <f ca="1">SUMIF(PURCHASE!$Q$7:$Q$598,$A$4:$A$333,PURCHASE!$L$7:$L$508)</f>
        <v>51.839999999999996</v>
      </c>
      <c r="I25" s="126">
        <f ca="1">SUMIF(PURCHASE!$Q$7:$Q$598,$A$4:$A$333,PURCHASE!$M$7:$M$508)</f>
        <v>51.839999999999996</v>
      </c>
      <c r="J25" s="126">
        <f ca="1">SUMIF(PURCHASE!$Q$7:$Q$598,$A$4:$A$333,PURCHASE!$N$7:$N$508)</f>
        <v>0</v>
      </c>
    </row>
    <row r="26" spans="1:10" x14ac:dyDescent="0.3">
      <c r="A26" s="5">
        <v>40159030</v>
      </c>
      <c r="B26" s="17" t="s">
        <v>295</v>
      </c>
      <c r="C26" s="5"/>
      <c r="D26" s="126">
        <f ca="1">SUMIF(PURCHASE!$Q$7:$Q$598,$A$4:$A$333,PURCHASE!$W$7:$W$508)</f>
        <v>12</v>
      </c>
      <c r="E26" s="126">
        <f ca="1">SUMIF(PURCHASE!$Q$7:$Q$598,$A$4:$A$333,PURCHASE!$E$7:$E$508)</f>
        <v>283.2</v>
      </c>
      <c r="F26" s="126">
        <f ca="1">SUMIF(PURCHASE!$Q$7:$Q$598,$A$4:$A$333,PURCHASE!$J$7:$J$508)</f>
        <v>240</v>
      </c>
      <c r="G26" s="126">
        <f ca="1">SUMIF(PURCHASE!$Q$7:$Q$598,$A$4:$A$333,PURCHASE!$K$7:$K$508)</f>
        <v>0</v>
      </c>
      <c r="H26" s="126">
        <f ca="1">SUMIF(PURCHASE!$Q$7:$Q$598,$A$4:$A$333,PURCHASE!$L$7:$L$508)</f>
        <v>21.599999999999998</v>
      </c>
      <c r="I26" s="126">
        <f ca="1">SUMIF(PURCHASE!$Q$7:$Q$598,$A$4:$A$333,PURCHASE!$M$7:$M$508)</f>
        <v>21.599999999999998</v>
      </c>
      <c r="J26" s="126">
        <f ca="1">SUMIF(PURCHASE!$Q$7:$Q$598,$A$4:$A$333,PURCHASE!$N$7:$N$508)</f>
        <v>0</v>
      </c>
    </row>
    <row r="27" spans="1:10" x14ac:dyDescent="0.3">
      <c r="A27" s="5">
        <v>85061000</v>
      </c>
      <c r="B27" s="17" t="s">
        <v>297</v>
      </c>
      <c r="C27" s="5"/>
      <c r="D27" s="126">
        <f ca="1">SUMIF(PURCHASE!$Q$7:$Q$598,$A$4:$A$333,PURCHASE!$W$7:$W$508)</f>
        <v>12</v>
      </c>
      <c r="E27" s="126">
        <f ca="1">SUMIF(PURCHASE!$Q$7:$Q$598,$A$4:$A$333,PURCHASE!$E$7:$E$508)</f>
        <v>474.36</v>
      </c>
      <c r="F27" s="126">
        <f ca="1">SUMIF(PURCHASE!$Q$7:$Q$598,$A$4:$A$333,PURCHASE!$J$7:$J$508)</f>
        <v>402</v>
      </c>
      <c r="G27" s="126">
        <f ca="1">SUMIF(PURCHASE!$Q$7:$Q$598,$A$4:$A$333,PURCHASE!$K$7:$K$508)</f>
        <v>0</v>
      </c>
      <c r="H27" s="126">
        <f ca="1">SUMIF(PURCHASE!$Q$7:$Q$598,$A$4:$A$333,PURCHASE!$L$7:$L$508)</f>
        <v>36.179999999999993</v>
      </c>
      <c r="I27" s="126">
        <f ca="1">SUMIF(PURCHASE!$Q$7:$Q$598,$A$4:$A$333,PURCHASE!$M$7:$M$508)</f>
        <v>36.179999999999993</v>
      </c>
      <c r="J27" s="126">
        <f ca="1">SUMIF(PURCHASE!$Q$7:$Q$598,$A$4:$A$333,PURCHASE!$N$7:$N$508)</f>
        <v>0</v>
      </c>
    </row>
    <row r="28" spans="1:10" x14ac:dyDescent="0.3">
      <c r="A28" s="5">
        <v>38089199</v>
      </c>
      <c r="B28" s="17" t="s">
        <v>298</v>
      </c>
      <c r="C28" s="5"/>
      <c r="D28" s="126">
        <f ca="1">SUMIF(PURCHASE!$Q$7:$Q$598,$A$4:$A$333,PURCHASE!$W$7:$W$508)</f>
        <v>10</v>
      </c>
      <c r="E28" s="126">
        <f ca="1">SUMIF(PURCHASE!$Q$7:$Q$598,$A$4:$A$333,PURCHASE!$E$7:$E$508)</f>
        <v>637.20000000000005</v>
      </c>
      <c r="F28" s="126">
        <f ca="1">SUMIF(PURCHASE!$Q$7:$Q$598,$A$4:$A$333,PURCHASE!$J$7:$J$508)</f>
        <v>540</v>
      </c>
      <c r="G28" s="126">
        <f ca="1">SUMIF(PURCHASE!$Q$7:$Q$598,$A$4:$A$333,PURCHASE!$K$7:$K$508)</f>
        <v>0</v>
      </c>
      <c r="H28" s="126">
        <f ca="1">SUMIF(PURCHASE!$Q$7:$Q$598,$A$4:$A$333,PURCHASE!$L$7:$L$508)</f>
        <v>48.6</v>
      </c>
      <c r="I28" s="126">
        <f ca="1">SUMIF(PURCHASE!$Q$7:$Q$598,$A$4:$A$333,PURCHASE!$M$7:$M$508)</f>
        <v>48.6</v>
      </c>
      <c r="J28" s="126">
        <f ca="1">SUMIF(PURCHASE!$Q$7:$Q$598,$A$4:$A$333,PURCHASE!$N$7:$N$508)</f>
        <v>0</v>
      </c>
    </row>
    <row r="29" spans="1:10" x14ac:dyDescent="0.3">
      <c r="A29" s="5">
        <v>68053050</v>
      </c>
      <c r="B29" s="17" t="s">
        <v>299</v>
      </c>
      <c r="C29" s="5"/>
      <c r="D29" s="126">
        <f ca="1">SUMIF(PURCHASE!$Q$7:$Q$598,$A$4:$A$333,PURCHASE!$W$7:$W$508)</f>
        <v>105</v>
      </c>
      <c r="E29" s="126">
        <f ca="1">SUMIF(PURCHASE!$Q$7:$Q$598,$A$4:$A$333,PURCHASE!$E$7:$E$508)</f>
        <v>3097.5</v>
      </c>
      <c r="F29" s="126">
        <f ca="1">SUMIF(PURCHASE!$Q$7:$Q$598,$A$4:$A$333,PURCHASE!$J$7:$J$508)</f>
        <v>2625</v>
      </c>
      <c r="G29" s="126">
        <f ca="1">SUMIF(PURCHASE!$Q$7:$Q$598,$A$4:$A$333,PURCHASE!$K$7:$K$508)</f>
        <v>0</v>
      </c>
      <c r="H29" s="126">
        <f ca="1">SUMIF(PURCHASE!$Q$7:$Q$598,$A$4:$A$333,PURCHASE!$L$7:$L$508)</f>
        <v>236.25</v>
      </c>
      <c r="I29" s="126">
        <f ca="1">SUMIF(PURCHASE!$Q$7:$Q$598,$A$4:$A$333,PURCHASE!$M$7:$M$508)</f>
        <v>236.25</v>
      </c>
      <c r="J29" s="126">
        <f ca="1">SUMIF(PURCHASE!$Q$7:$Q$598,$A$4:$A$333,PURCHASE!$N$7:$N$508)</f>
        <v>0</v>
      </c>
    </row>
    <row r="30" spans="1:10" x14ac:dyDescent="0.3">
      <c r="A30" s="5">
        <v>28530010</v>
      </c>
      <c r="B30" s="17" t="s">
        <v>300</v>
      </c>
      <c r="C30" s="5"/>
      <c r="D30" s="126">
        <f ca="1">SUMIF(PURCHASE!$Q$7:$Q$598,$A$4:$A$333,PURCHASE!$W$7:$W$508)</f>
        <v>20</v>
      </c>
      <c r="E30" s="126">
        <f ca="1">SUMIF(PURCHASE!$Q$7:$Q$598,$A$4:$A$333,PURCHASE!$E$7:$E$508)</f>
        <v>283.2</v>
      </c>
      <c r="F30" s="126">
        <f ca="1">SUMIF(PURCHASE!$Q$7:$Q$598,$A$4:$A$333,PURCHASE!$J$7:$J$508)</f>
        <v>240</v>
      </c>
      <c r="G30" s="126">
        <f ca="1">SUMIF(PURCHASE!$Q$7:$Q$598,$A$4:$A$333,PURCHASE!$K$7:$K$508)</f>
        <v>0</v>
      </c>
      <c r="H30" s="126">
        <f ca="1">SUMIF(PURCHASE!$Q$7:$Q$598,$A$4:$A$333,PURCHASE!$L$7:$L$508)</f>
        <v>21.599999999999998</v>
      </c>
      <c r="I30" s="126">
        <f ca="1">SUMIF(PURCHASE!$Q$7:$Q$598,$A$4:$A$333,PURCHASE!$M$7:$M$508)</f>
        <v>21.599999999999998</v>
      </c>
      <c r="J30" s="126">
        <f ca="1">SUMIF(PURCHASE!$Q$7:$Q$598,$A$4:$A$333,PURCHASE!$N$7:$N$508)</f>
        <v>0</v>
      </c>
    </row>
    <row r="31" spans="1:10" x14ac:dyDescent="0.3">
      <c r="A31" s="5">
        <v>82055990</v>
      </c>
      <c r="B31" s="17" t="s">
        <v>301</v>
      </c>
      <c r="C31" s="5"/>
      <c r="D31" s="126">
        <f ca="1">SUMIF(PURCHASE!$Q$7:$Q$598,$A$4:$A$333,PURCHASE!$W$7:$W$508)</f>
        <v>12</v>
      </c>
      <c r="E31" s="126">
        <f ca="1">SUMIF(PURCHASE!$Q$7:$Q$598,$A$4:$A$333,PURCHASE!$E$7:$E$508)</f>
        <v>56.64</v>
      </c>
      <c r="F31" s="126">
        <f ca="1">SUMIF(PURCHASE!$Q$7:$Q$598,$A$4:$A$333,PURCHASE!$J$7:$J$508)</f>
        <v>48</v>
      </c>
      <c r="G31" s="126">
        <f ca="1">SUMIF(PURCHASE!$Q$7:$Q$598,$A$4:$A$333,PURCHASE!$K$7:$K$508)</f>
        <v>0</v>
      </c>
      <c r="H31" s="126">
        <f ca="1">SUMIF(PURCHASE!$Q$7:$Q$598,$A$4:$A$333,PURCHASE!$L$7:$L$508)</f>
        <v>4.32</v>
      </c>
      <c r="I31" s="126">
        <f ca="1">SUMIF(PURCHASE!$Q$7:$Q$598,$A$4:$A$333,PURCHASE!$M$7:$M$508)</f>
        <v>4.32</v>
      </c>
      <c r="J31" s="126">
        <f ca="1">SUMIF(PURCHASE!$Q$7:$Q$598,$A$4:$A$333,PURCHASE!$N$7:$N$508)</f>
        <v>0</v>
      </c>
    </row>
    <row r="32" spans="1:10" x14ac:dyDescent="0.3">
      <c r="A32" s="5">
        <v>39232100</v>
      </c>
      <c r="B32" s="17" t="s">
        <v>246</v>
      </c>
      <c r="C32" s="5"/>
      <c r="D32" s="126">
        <f ca="1">SUMIF(PURCHASE!$Q$7:$Q$598,$A$4:$A$333,PURCHASE!$W$7:$W$508)</f>
        <v>24</v>
      </c>
      <c r="E32" s="126">
        <f ca="1">SUMIF(PURCHASE!$Q$7:$Q$598,$A$4:$A$333,PURCHASE!$E$7:$E$508)</f>
        <v>16520</v>
      </c>
      <c r="F32" s="126">
        <f ca="1">SUMIF(PURCHASE!$Q$7:$Q$598,$A$4:$A$333,PURCHASE!$J$7:$J$508)</f>
        <v>14000</v>
      </c>
      <c r="G32" s="126">
        <f ca="1">SUMIF(PURCHASE!$Q$7:$Q$598,$A$4:$A$333,PURCHASE!$K$7:$K$508)</f>
        <v>0</v>
      </c>
      <c r="H32" s="126">
        <f ca="1">SUMIF(PURCHASE!$Q$7:$Q$598,$A$4:$A$333,PURCHASE!$L$7:$L$508)</f>
        <v>1260</v>
      </c>
      <c r="I32" s="126">
        <f ca="1">SUMIF(PURCHASE!$Q$7:$Q$598,$A$4:$A$333,PURCHASE!$M$7:$M$508)</f>
        <v>1260</v>
      </c>
      <c r="J32" s="126">
        <f ca="1">SUMIF(PURCHASE!$Q$7:$Q$598,$A$4:$A$333,PURCHASE!$N$7:$N$508)</f>
        <v>0</v>
      </c>
    </row>
    <row r="33" spans="1:10" x14ac:dyDescent="0.3">
      <c r="A33" s="5">
        <v>48114100</v>
      </c>
      <c r="B33" s="17" t="s">
        <v>246</v>
      </c>
      <c r="C33" s="5"/>
      <c r="D33" s="126">
        <f ca="1">SUMIF(PURCHASE!$Q$7:$Q$598,$A$4:$A$333,PURCHASE!$W$7:$W$508)</f>
        <v>144</v>
      </c>
      <c r="E33" s="126">
        <f ca="1">SUMIF(PURCHASE!$Q$7:$Q$598,$A$4:$A$333,PURCHASE!$E$7:$E$508)</f>
        <v>6117.12</v>
      </c>
      <c r="F33" s="126">
        <f ca="1">SUMIF(PURCHASE!$Q$7:$Q$598,$A$4:$A$333,PURCHASE!$J$7:$J$508)</f>
        <v>5184</v>
      </c>
      <c r="G33" s="126">
        <f ca="1">SUMIF(PURCHASE!$Q$7:$Q$598,$A$4:$A$333,PURCHASE!$K$7:$K$508)</f>
        <v>0</v>
      </c>
      <c r="H33" s="126">
        <f ca="1">SUMIF(PURCHASE!$Q$7:$Q$598,$A$4:$A$333,PURCHASE!$L$7:$L$508)</f>
        <v>466.56000000000006</v>
      </c>
      <c r="I33" s="126">
        <f ca="1">SUMIF(PURCHASE!$Q$7:$Q$598,$A$4:$A$333,PURCHASE!$M$7:$M$508)</f>
        <v>466.56000000000006</v>
      </c>
      <c r="J33" s="126">
        <f ca="1">SUMIF(PURCHASE!$Q$7:$Q$598,$A$4:$A$333,PURCHASE!$N$7:$N$508)</f>
        <v>0</v>
      </c>
    </row>
    <row r="34" spans="1:10" x14ac:dyDescent="0.3">
      <c r="A34" s="5">
        <v>39199099</v>
      </c>
      <c r="B34" s="17" t="s">
        <v>304</v>
      </c>
      <c r="C34" s="5"/>
      <c r="D34" s="126">
        <f ca="1">SUMIF(PURCHASE!$Q$7:$Q$598,$A$4:$A$333,PURCHASE!$W$7:$W$508)</f>
        <v>72</v>
      </c>
      <c r="E34" s="126">
        <f ca="1">SUMIF(PURCHASE!$Q$7:$Q$598,$A$4:$A$333,PURCHASE!$E$7:$E$508)</f>
        <v>1699.2</v>
      </c>
      <c r="F34" s="126">
        <f ca="1">SUMIF(PURCHASE!$Q$7:$Q$598,$A$4:$A$333,PURCHASE!$J$7:$J$508)</f>
        <v>1440</v>
      </c>
      <c r="G34" s="126">
        <f ca="1">SUMIF(PURCHASE!$Q$7:$Q$598,$A$4:$A$333,PURCHASE!$K$7:$K$508)</f>
        <v>0</v>
      </c>
      <c r="H34" s="126">
        <f ca="1">SUMIF(PURCHASE!$Q$7:$Q$598,$A$4:$A$333,PURCHASE!$L$7:$L$508)</f>
        <v>129.6</v>
      </c>
      <c r="I34" s="126">
        <f ca="1">SUMIF(PURCHASE!$Q$7:$Q$598,$A$4:$A$333,PURCHASE!$M$7:$M$508)</f>
        <v>129.6</v>
      </c>
      <c r="J34" s="126">
        <f ca="1">SUMIF(PURCHASE!$Q$7:$Q$598,$A$4:$A$333,PURCHASE!$N$7:$N$508)</f>
        <v>0</v>
      </c>
    </row>
    <row r="35" spans="1:10" x14ac:dyDescent="0.3">
      <c r="A35" s="5">
        <v>84411090</v>
      </c>
      <c r="B35" s="17" t="s">
        <v>305</v>
      </c>
      <c r="C35" s="5"/>
      <c r="D35" s="126">
        <f ca="1">SUMIF(PURCHASE!$Q$7:$Q$598,$A$4:$A$333,PURCHASE!$W$7:$W$508)</f>
        <v>144</v>
      </c>
      <c r="E35" s="126">
        <f ca="1">SUMIF(PURCHASE!$Q$7:$Q$598,$A$4:$A$333,PURCHASE!$E$7:$E$508)</f>
        <v>467.28</v>
      </c>
      <c r="F35" s="126">
        <f ca="1">SUMIF(PURCHASE!$Q$7:$Q$598,$A$4:$A$333,PURCHASE!$J$7:$J$508)</f>
        <v>396</v>
      </c>
      <c r="G35" s="126">
        <f ca="1">SUMIF(PURCHASE!$Q$7:$Q$598,$A$4:$A$333,PURCHASE!$K$7:$K$508)</f>
        <v>0</v>
      </c>
      <c r="H35" s="126">
        <f ca="1">SUMIF(PURCHASE!$Q$7:$Q$598,$A$4:$A$333,PURCHASE!$L$7:$L$508)</f>
        <v>35.64</v>
      </c>
      <c r="I35" s="126">
        <f ca="1">SUMIF(PURCHASE!$Q$7:$Q$598,$A$4:$A$333,PURCHASE!$M$7:$M$508)</f>
        <v>35.64</v>
      </c>
      <c r="J35" s="126">
        <f ca="1">SUMIF(PURCHASE!$Q$7:$Q$598,$A$4:$A$333,PURCHASE!$N$7:$N$508)</f>
        <v>0</v>
      </c>
    </row>
    <row r="36" spans="1:10" x14ac:dyDescent="0.3">
      <c r="A36" s="5">
        <v>84701000</v>
      </c>
      <c r="B36" s="17" t="s">
        <v>306</v>
      </c>
      <c r="C36" s="5"/>
      <c r="D36" s="126">
        <f ca="1">SUMIF(PURCHASE!$Q$7:$Q$598,$A$4:$A$333,PURCHASE!$W$7:$W$508)</f>
        <v>1</v>
      </c>
      <c r="E36" s="126">
        <f ca="1">SUMIF(PURCHASE!$Q$7:$Q$598,$A$4:$A$333,PURCHASE!$E$7:$E$508)</f>
        <v>377.6</v>
      </c>
      <c r="F36" s="126">
        <f ca="1">SUMIF(PURCHASE!$Q$7:$Q$598,$A$4:$A$333,PURCHASE!$J$7:$J$508)</f>
        <v>320</v>
      </c>
      <c r="G36" s="126">
        <f ca="1">SUMIF(PURCHASE!$Q$7:$Q$598,$A$4:$A$333,PURCHASE!$K$7:$K$508)</f>
        <v>0</v>
      </c>
      <c r="H36" s="126">
        <f ca="1">SUMIF(PURCHASE!$Q$7:$Q$598,$A$4:$A$333,PURCHASE!$L$7:$L$508)</f>
        <v>28.8</v>
      </c>
      <c r="I36" s="126">
        <f ca="1">SUMIF(PURCHASE!$Q$7:$Q$598,$A$4:$A$333,PURCHASE!$M$7:$M$508)</f>
        <v>28.8</v>
      </c>
      <c r="J36" s="126">
        <f ca="1">SUMIF(PURCHASE!$Q$7:$Q$598,$A$4:$A$333,PURCHASE!$N$7:$N$508)</f>
        <v>0</v>
      </c>
    </row>
    <row r="37" spans="1:10" x14ac:dyDescent="0.3">
      <c r="A37" s="5">
        <v>29023000</v>
      </c>
      <c r="B37" s="17" t="s">
        <v>311</v>
      </c>
      <c r="C37" s="5"/>
      <c r="D37" s="126">
        <f ca="1">SUMIF(PURCHASE!$Q$7:$Q$598,$A$4:$A$333,PURCHASE!$W$7:$W$508)</f>
        <v>440</v>
      </c>
      <c r="E37" s="126">
        <f ca="1">SUMIF(PURCHASE!$Q$7:$Q$598,$A$4:$A$333,PURCHASE!$E$7:$E$508)</f>
        <v>34707</v>
      </c>
      <c r="F37" s="126">
        <f ca="1">SUMIF(PURCHASE!$Q$7:$Q$598,$A$4:$A$333,PURCHASE!$J$7:$J$508)</f>
        <v>29480</v>
      </c>
      <c r="G37" s="126">
        <f ca="1">SUMIF(PURCHASE!$Q$7:$Q$598,$A$4:$A$333,PURCHASE!$K$7:$K$508)</f>
        <v>0</v>
      </c>
      <c r="H37" s="126">
        <f ca="1">SUMIF(PURCHASE!$Q$7:$Q$598,$A$4:$A$333,PURCHASE!$L$7:$L$508)</f>
        <v>2653.2000000000003</v>
      </c>
      <c r="I37" s="126">
        <f ca="1">SUMIF(PURCHASE!$Q$7:$Q$598,$A$4:$A$333,PURCHASE!$M$7:$M$508)</f>
        <v>2653.2000000000003</v>
      </c>
      <c r="J37" s="126">
        <f ca="1">SUMIF(PURCHASE!$Q$7:$Q$598,$A$4:$A$333,PURCHASE!$N$7:$N$508)</f>
        <v>0</v>
      </c>
    </row>
    <row r="38" spans="1:10" x14ac:dyDescent="0.3">
      <c r="A38" s="5">
        <v>29051220</v>
      </c>
      <c r="B38" s="17" t="s">
        <v>312</v>
      </c>
      <c r="C38" s="5"/>
      <c r="D38" s="126">
        <f ca="1">SUMIF(PURCHASE!$Q$7:$Q$598,$A$4:$A$333,PURCHASE!$W$7:$W$508)</f>
        <v>440</v>
      </c>
      <c r="E38" s="126">
        <f ca="1">SUMIF(PURCHASE!$Q$7:$Q$598,$A$4:$A$333,PURCHASE!$E$7:$E$508)</f>
        <v>33827</v>
      </c>
      <c r="F38" s="126">
        <f ca="1">SUMIF(PURCHASE!$Q$7:$Q$598,$A$4:$A$333,PURCHASE!$J$7:$J$508)</f>
        <v>28600</v>
      </c>
      <c r="G38" s="126">
        <f ca="1">SUMIF(PURCHASE!$Q$7:$Q$598,$A$4:$A$333,PURCHASE!$K$7:$K$508)</f>
        <v>0</v>
      </c>
      <c r="H38" s="126">
        <f ca="1">SUMIF(PURCHASE!$Q$7:$Q$598,$A$4:$A$333,PURCHASE!$L$7:$L$508)</f>
        <v>2573.8000000000002</v>
      </c>
      <c r="I38" s="126">
        <f ca="1">SUMIF(PURCHASE!$Q$7:$Q$598,$A$4:$A$333,PURCHASE!$M$7:$M$508)</f>
        <v>2573.8000000000002</v>
      </c>
      <c r="J38" s="126">
        <f ca="1">SUMIF(PURCHASE!$Q$7:$Q$598,$A$4:$A$333,PURCHASE!$N$7:$N$508)</f>
        <v>0</v>
      </c>
    </row>
    <row r="39" spans="1:10" x14ac:dyDescent="0.3">
      <c r="A39" s="5">
        <v>63079090</v>
      </c>
      <c r="B39" s="17" t="s">
        <v>338</v>
      </c>
      <c r="C39" s="5"/>
      <c r="D39" s="126">
        <f ca="1">SUMIF(PURCHASE!$Q$7:$Q$598,$A$4:$A$333,PURCHASE!$W$7:$W$508)</f>
        <v>100</v>
      </c>
      <c r="E39" s="126">
        <f ca="1">SUMIF(PURCHASE!$Q$7:$Q$598,$A$4:$A$333,PURCHASE!$E$7:$E$508)</f>
        <v>868</v>
      </c>
      <c r="F39" s="126">
        <f ca="1">SUMIF(PURCHASE!$Q$7:$Q$598,$A$4:$A$333,PURCHASE!$J$7:$J$508)</f>
        <v>775</v>
      </c>
      <c r="G39" s="126">
        <f ca="1">SUMIF(PURCHASE!$Q$7:$Q$598,$A$4:$A$333,PURCHASE!$K$7:$K$508)</f>
        <v>0</v>
      </c>
      <c r="H39" s="126">
        <f ca="1">SUMIF(PURCHASE!$Q$7:$Q$598,$A$4:$A$333,PURCHASE!$L$7:$L$508)</f>
        <v>46.5</v>
      </c>
      <c r="I39" s="126">
        <f ca="1">SUMIF(PURCHASE!$Q$7:$Q$598,$A$4:$A$333,PURCHASE!$M$7:$M$508)</f>
        <v>46.5</v>
      </c>
      <c r="J39" s="126">
        <f ca="1">SUMIF(PURCHASE!$Q$7:$Q$598,$A$4:$A$333,PURCHASE!$N$7:$N$508)</f>
        <v>0</v>
      </c>
    </row>
    <row r="40" spans="1:10" x14ac:dyDescent="0.3">
      <c r="A40" s="5">
        <v>29029090</v>
      </c>
      <c r="B40" s="17" t="s">
        <v>339</v>
      </c>
      <c r="C40" s="5"/>
      <c r="D40" s="126">
        <f ca="1">SUMIF(PURCHASE!$Q$7:$Q$598,$A$4:$A$333,PURCHASE!$W$7:$W$508)</f>
        <v>3</v>
      </c>
      <c r="E40" s="126">
        <f ca="1">SUMIF(PURCHASE!$Q$7:$Q$598,$A$4:$A$333,PURCHASE!$E$7:$E$508)</f>
        <v>233.64</v>
      </c>
      <c r="F40" s="126">
        <f ca="1">SUMIF(PURCHASE!$Q$7:$Q$598,$A$4:$A$333,PURCHASE!$J$7:$J$508)</f>
        <v>198</v>
      </c>
      <c r="G40" s="126">
        <f ca="1">SUMIF(PURCHASE!$Q$7:$Q$598,$A$4:$A$333,PURCHASE!$K$7:$K$508)</f>
        <v>0</v>
      </c>
      <c r="H40" s="126">
        <f ca="1">SUMIF(PURCHASE!$Q$7:$Q$598,$A$4:$A$333,PURCHASE!$L$7:$L$508)</f>
        <v>17.82</v>
      </c>
      <c r="I40" s="126">
        <f ca="1">SUMIF(PURCHASE!$Q$7:$Q$598,$A$4:$A$333,PURCHASE!$M$7:$M$508)</f>
        <v>17.82</v>
      </c>
      <c r="J40" s="126">
        <f ca="1">SUMIF(PURCHASE!$Q$7:$Q$598,$A$4:$A$333,PURCHASE!$N$7:$N$508)</f>
        <v>0</v>
      </c>
    </row>
    <row r="41" spans="1:10" x14ac:dyDescent="0.3">
      <c r="A41" s="5">
        <v>25232910</v>
      </c>
      <c r="B41" s="17" t="s">
        <v>340</v>
      </c>
      <c r="C41" s="5"/>
      <c r="D41" s="126">
        <f ca="1">SUMIF(PURCHASE!$Q$7:$Q$598,$A$4:$A$333,PURCHASE!$W$7:$W$508)</f>
        <v>20</v>
      </c>
      <c r="E41" s="126">
        <f ca="1">SUMIF(PURCHASE!$Q$7:$Q$598,$A$4:$A$333,PURCHASE!$E$7:$E$508)</f>
        <v>6800</v>
      </c>
      <c r="F41" s="126">
        <f ca="1">SUMIF(PURCHASE!$Q$7:$Q$598,$A$4:$A$333,PURCHASE!$J$7:$J$508)</f>
        <v>5312</v>
      </c>
      <c r="G41" s="126">
        <f ca="1">SUMIF(PURCHASE!$Q$7:$Q$598,$A$4:$A$333,PURCHASE!$K$7:$K$508)</f>
        <v>0</v>
      </c>
      <c r="H41" s="126">
        <f ca="1">SUMIF(PURCHASE!$Q$7:$Q$598,$A$4:$A$333,PURCHASE!$L$7:$L$508)</f>
        <v>743.68</v>
      </c>
      <c r="I41" s="126">
        <f ca="1">SUMIF(PURCHASE!$Q$7:$Q$598,$A$4:$A$333,PURCHASE!$M$7:$M$508)</f>
        <v>743.68</v>
      </c>
      <c r="J41" s="126">
        <f ca="1">SUMIF(PURCHASE!$Q$7:$Q$598,$A$4:$A$333,PURCHASE!$N$7:$N$508)</f>
        <v>0</v>
      </c>
    </row>
    <row r="42" spans="1:10" x14ac:dyDescent="0.3">
      <c r="A42" s="5">
        <v>14976</v>
      </c>
      <c r="B42" s="17" t="s">
        <v>251</v>
      </c>
      <c r="C42" s="5"/>
      <c r="D42" s="126">
        <f ca="1">SUMIF(PURCHASE!$Q$7:$Q$598,$A$4:$A$333,PURCHASE!$W$7:$W$508)</f>
        <v>100</v>
      </c>
      <c r="E42" s="126">
        <f ca="1">SUMIF(PURCHASE!$Q$7:$Q$598,$A$4:$A$333,PURCHASE!$E$7:$E$508)</f>
        <v>14976</v>
      </c>
      <c r="F42" s="126">
        <f ca="1">SUMIF(PURCHASE!$Q$7:$Q$598,$A$4:$A$333,PURCHASE!$J$7:$J$508)</f>
        <v>11700</v>
      </c>
      <c r="G42" s="126">
        <f ca="1">SUMIF(PURCHASE!$Q$7:$Q$598,$A$4:$A$333,PURCHASE!$K$7:$K$508)</f>
        <v>0</v>
      </c>
      <c r="H42" s="126">
        <f ca="1">SUMIF(PURCHASE!$Q$7:$Q$598,$A$4:$A$333,PURCHASE!$L$7:$L$508)</f>
        <v>1638.06</v>
      </c>
      <c r="I42" s="126">
        <f ca="1">SUMIF(PURCHASE!$Q$7:$Q$598,$A$4:$A$333,PURCHASE!$M$7:$M$508)</f>
        <v>1638.06</v>
      </c>
      <c r="J42" s="126">
        <f ca="1">SUMIF(PURCHASE!$Q$7:$Q$598,$A$4:$A$333,PURCHASE!$N$7:$N$508)</f>
        <v>0</v>
      </c>
    </row>
    <row r="43" spans="1:10" x14ac:dyDescent="0.3">
      <c r="A43" s="5">
        <v>84717020</v>
      </c>
      <c r="B43" s="17" t="s">
        <v>392</v>
      </c>
      <c r="C43" s="5"/>
      <c r="D43" s="126">
        <f ca="1">SUMIF(PURCHASE!$Q$7:$Q$598,$A$4:$A$333,PURCHASE!$W$7:$W$508)</f>
        <v>1</v>
      </c>
      <c r="E43" s="126">
        <f ca="1">SUMIF(PURCHASE!$Q$7:$Q$598,$A$4:$A$333,PURCHASE!$E$7:$E$508)</f>
        <v>3658</v>
      </c>
      <c r="F43" s="126">
        <f ca="1">SUMIF(PURCHASE!$Q$7:$Q$598,$A$4:$A$333,PURCHASE!$J$7:$J$508)</f>
        <v>3100</v>
      </c>
      <c r="G43" s="126">
        <f ca="1">SUMIF(PURCHASE!$Q$7:$Q$598,$A$4:$A$333,PURCHASE!$K$7:$K$508)</f>
        <v>0</v>
      </c>
      <c r="H43" s="126">
        <f ca="1">SUMIF(PURCHASE!$Q$7:$Q$598,$A$4:$A$333,PURCHASE!$L$7:$L$508)</f>
        <v>279</v>
      </c>
      <c r="I43" s="126">
        <f ca="1">SUMIF(PURCHASE!$Q$7:$Q$598,$A$4:$A$333,PURCHASE!$M$7:$M$508)</f>
        <v>279</v>
      </c>
      <c r="J43" s="126">
        <f ca="1">SUMIF(PURCHASE!$Q$7:$Q$598,$A$4:$A$333,PURCHASE!$N$7:$N$508)</f>
        <v>0</v>
      </c>
    </row>
    <row r="44" spans="1:10" x14ac:dyDescent="0.3">
      <c r="A44" s="5">
        <v>84733099</v>
      </c>
      <c r="B44" s="17" t="s">
        <v>393</v>
      </c>
      <c r="C44" s="5"/>
      <c r="D44" s="126">
        <f ca="1">SUMIF(PURCHASE!$Q$7:$Q$598,$A$4:$A$333,PURCHASE!$W$7:$W$508)</f>
        <v>1</v>
      </c>
      <c r="E44" s="126">
        <f ca="1">SUMIF(PURCHASE!$Q$7:$Q$598,$A$4:$A$333,PURCHASE!$E$7:$E$508)</f>
        <v>1180</v>
      </c>
      <c r="F44" s="126">
        <f ca="1">SUMIF(PURCHASE!$Q$7:$Q$598,$A$4:$A$333,PURCHASE!$J$7:$J$508)</f>
        <v>1000</v>
      </c>
      <c r="G44" s="126">
        <f ca="1">SUMIF(PURCHASE!$Q$7:$Q$598,$A$4:$A$333,PURCHASE!$K$7:$K$508)</f>
        <v>0</v>
      </c>
      <c r="H44" s="126">
        <f ca="1">SUMIF(PURCHASE!$Q$7:$Q$598,$A$4:$A$333,PURCHASE!$L$7:$L$508)</f>
        <v>90</v>
      </c>
      <c r="I44" s="126">
        <f ca="1">SUMIF(PURCHASE!$Q$7:$Q$598,$A$4:$A$333,PURCHASE!$M$7:$M$508)</f>
        <v>90</v>
      </c>
      <c r="J44" s="126">
        <f ca="1">SUMIF(PURCHASE!$Q$7:$Q$598,$A$4:$A$333,PURCHASE!$N$7:$N$508)</f>
        <v>0</v>
      </c>
    </row>
    <row r="45" spans="1:10" x14ac:dyDescent="0.3">
      <c r="A45" s="5">
        <v>998933</v>
      </c>
      <c r="B45" s="17" t="s">
        <v>22</v>
      </c>
      <c r="C45" s="5"/>
      <c r="D45" s="126">
        <f ca="1">SUMIF(PURCHASE!$Q$7:$Q$598,$A$4:$A$333,PURCHASE!$W$7:$W$508)</f>
        <v>2140</v>
      </c>
      <c r="E45" s="126">
        <f ca="1">SUMIF(PURCHASE!$Q$7:$Q$598,$A$4:$A$333,PURCHASE!$E$7:$E$508)</f>
        <v>24874</v>
      </c>
      <c r="F45" s="126">
        <f ca="1">SUMIF(PURCHASE!$Q$7:$Q$598,$A$4:$A$333,PURCHASE!$J$7:$J$508)</f>
        <v>21078.6</v>
      </c>
      <c r="G45" s="126">
        <f ca="1">SUMIF(PURCHASE!$Q$7:$Q$598,$A$4:$A$333,PURCHASE!$K$7:$K$508)</f>
        <v>0</v>
      </c>
      <c r="H45" s="126">
        <f ca="1">SUMIF(PURCHASE!$Q$7:$Q$598,$A$4:$A$333,PURCHASE!$L$7:$L$508)</f>
        <v>1897.0740000000001</v>
      </c>
      <c r="I45" s="126">
        <f ca="1">SUMIF(PURCHASE!$Q$7:$Q$598,$A$4:$A$333,PURCHASE!$M$7:$M$508)</f>
        <v>1897.0740000000001</v>
      </c>
      <c r="J45" s="126">
        <f ca="1">SUMIF(PURCHASE!$Q$7:$Q$598,$A$4:$A$333,PURCHASE!$N$7:$N$508)</f>
        <v>0</v>
      </c>
    </row>
    <row r="46" spans="1:10" x14ac:dyDescent="0.3">
      <c r="A46" s="5">
        <v>32081090</v>
      </c>
      <c r="B46" s="17" t="s">
        <v>250</v>
      </c>
      <c r="C46" s="5"/>
      <c r="D46" s="126">
        <f ca="1">SUMIF(PURCHASE!$Q$7:$Q$598,$A$4:$A$333,PURCHASE!$W$7:$W$508)</f>
        <v>172</v>
      </c>
      <c r="E46" s="126">
        <f ca="1">SUMIF(PURCHASE!$Q$7:$Q$598,$A$4:$A$333,PURCHASE!$E$7:$E$508)</f>
        <v>62335.6</v>
      </c>
      <c r="F46" s="126">
        <f ca="1">SUMIF(PURCHASE!$Q$7:$Q$598,$A$4:$A$333,PURCHASE!$J$7:$J$508)</f>
        <v>48700</v>
      </c>
      <c r="G46" s="126">
        <f ca="1">SUMIF(PURCHASE!$Q$7:$Q$598,$A$4:$A$333,PURCHASE!$K$7:$K$508)</f>
        <v>0</v>
      </c>
      <c r="H46" s="126">
        <f ca="1">SUMIF(PURCHASE!$Q$7:$Q$598,$A$4:$A$333,PURCHASE!$L$7:$L$508)</f>
        <v>6818</v>
      </c>
      <c r="I46" s="126">
        <f ca="1">SUMIF(PURCHASE!$Q$7:$Q$598,$A$4:$A$333,PURCHASE!$M$7:$M$508)</f>
        <v>6818</v>
      </c>
      <c r="J46" s="126">
        <f ca="1">SUMIF(PURCHASE!$Q$7:$Q$598,$A$4:$A$333,PURCHASE!$N$7:$N$508)</f>
        <v>0</v>
      </c>
    </row>
    <row r="47" spans="1:10" x14ac:dyDescent="0.3">
      <c r="A47" s="5">
        <v>39199090</v>
      </c>
      <c r="B47" s="17" t="s">
        <v>22</v>
      </c>
      <c r="C47" s="5"/>
      <c r="D47" s="126">
        <f ca="1">SUMIF(PURCHASE!$Q$7:$Q$598,$A$4:$A$333,PURCHASE!$W$7:$W$508)</f>
        <v>3534</v>
      </c>
      <c r="E47" s="126">
        <f ca="1">SUMIF(PURCHASE!$Q$7:$Q$598,$A$4:$A$333,PURCHASE!$E$7:$E$508)</f>
        <v>82328.3</v>
      </c>
      <c r="F47" s="126">
        <f ca="1">SUMIF(PURCHASE!$Q$7:$Q$598,$A$4:$A$333,PURCHASE!$J$7:$J$508)</f>
        <v>66925</v>
      </c>
      <c r="G47" s="126">
        <f ca="1">SUMIF(PURCHASE!$Q$7:$Q$598,$A$4:$A$333,PURCHASE!$K$7:$K$508)</f>
        <v>0</v>
      </c>
      <c r="H47" s="126">
        <f ca="1">SUMIF(PURCHASE!$Q$7:$Q$598,$A$4:$A$333,PURCHASE!$L$7:$L$508)</f>
        <v>7701.6500000000005</v>
      </c>
      <c r="I47" s="126">
        <f ca="1">SUMIF(PURCHASE!$Q$7:$Q$598,$A$4:$A$333,PURCHASE!$M$7:$M$508)</f>
        <v>7701.6500000000005</v>
      </c>
      <c r="J47" s="126">
        <f ca="1">SUMIF(PURCHASE!$Q$7:$Q$598,$A$4:$A$333,PURCHASE!$N$7:$N$508)</f>
        <v>0</v>
      </c>
    </row>
    <row r="48" spans="1:10" x14ac:dyDescent="0.3">
      <c r="A48" s="5">
        <v>32089022</v>
      </c>
      <c r="B48" s="17" t="s">
        <v>250</v>
      </c>
      <c r="C48" s="5"/>
      <c r="D48" s="126">
        <f ca="1">SUMIF(PURCHASE!$Q$7:$Q$598,$A$4:$A$333,PURCHASE!$W$7:$W$508)</f>
        <v>8</v>
      </c>
      <c r="E48" s="126">
        <f ca="1">SUMIF(PURCHASE!$Q$7:$Q$598,$A$4:$A$333,PURCHASE!$E$7:$E$508)</f>
        <v>1760</v>
      </c>
      <c r="F48" s="126">
        <f ca="1">SUMIF(PURCHASE!$Q$7:$Q$598,$A$4:$A$333,PURCHASE!$J$7:$J$508)</f>
        <v>1375</v>
      </c>
      <c r="G48" s="126">
        <f ca="1">SUMIF(PURCHASE!$Q$7:$Q$598,$A$4:$A$333,PURCHASE!$K$7:$K$508)</f>
        <v>0</v>
      </c>
      <c r="H48" s="126">
        <f ca="1">SUMIF(PURCHASE!$Q$7:$Q$598,$A$4:$A$333,PURCHASE!$L$7:$L$508)</f>
        <v>192.5</v>
      </c>
      <c r="I48" s="126">
        <f ca="1">SUMIF(PURCHASE!$Q$7:$Q$598,$A$4:$A$333,PURCHASE!$M$7:$M$508)</f>
        <v>192.5</v>
      </c>
      <c r="J48" s="126">
        <f ca="1">SUMIF(PURCHASE!$Q$7:$Q$598,$A$4:$A$333,PURCHASE!$N$7:$N$508)</f>
        <v>0</v>
      </c>
    </row>
    <row r="49" spans="1:10" x14ac:dyDescent="0.3">
      <c r="A49" s="5">
        <v>3208</v>
      </c>
      <c r="B49" s="17" t="s">
        <v>251</v>
      </c>
      <c r="C49" s="5"/>
      <c r="D49" s="126">
        <f ca="1">SUMIF(PURCHASE!$Q$7:$Q$598,$A$4:$A$333,PURCHASE!$W$7:$W$508)</f>
        <v>310</v>
      </c>
      <c r="E49" s="126">
        <f ca="1">SUMIF(PURCHASE!$Q$7:$Q$598,$A$4:$A$333,PURCHASE!$E$7:$E$508)</f>
        <v>374272</v>
      </c>
      <c r="F49" s="126">
        <f ca="1">SUMIF(PURCHASE!$Q$7:$Q$598,$A$4:$A$333,PURCHASE!$J$7:$J$508)</f>
        <v>292400</v>
      </c>
      <c r="G49" s="126">
        <f ca="1">SUMIF(PURCHASE!$Q$7:$Q$598,$A$4:$A$333,PURCHASE!$K$7:$K$508)</f>
        <v>0</v>
      </c>
      <c r="H49" s="126">
        <f ca="1">SUMIF(PURCHASE!$Q$7:$Q$598,$A$4:$A$333,PURCHASE!$L$7:$L$508)</f>
        <v>40936</v>
      </c>
      <c r="I49" s="126">
        <f ca="1">SUMIF(PURCHASE!$Q$7:$Q$598,$A$4:$A$333,PURCHASE!$M$7:$M$508)</f>
        <v>40936</v>
      </c>
      <c r="J49" s="126">
        <f ca="1">SUMIF(PURCHASE!$Q$7:$Q$598,$A$4:$A$333,PURCHASE!$N$7:$N$508)</f>
        <v>0</v>
      </c>
    </row>
    <row r="50" spans="1:10" x14ac:dyDescent="0.3">
      <c r="A50" s="5">
        <v>48171000</v>
      </c>
      <c r="B50" s="5" t="s">
        <v>254</v>
      </c>
      <c r="C50" s="5"/>
      <c r="D50" s="126">
        <f ca="1">SUMIF(PURCHASE!$Q$7:$Q$598,$A$4:$A$333,PURCHASE!$W$7:$W$508)</f>
        <v>200</v>
      </c>
      <c r="E50" s="126">
        <f ca="1">SUMIF(PURCHASE!$Q$7:$Q$598,$A$4:$A$333,PURCHASE!$E$7:$E$508)</f>
        <v>519.20000000000005</v>
      </c>
      <c r="F50" s="126">
        <f ca="1">SUMIF(PURCHASE!$Q$7:$Q$598,$A$4:$A$333,PURCHASE!$J$7:$J$508)</f>
        <v>440</v>
      </c>
      <c r="G50" s="126">
        <f ca="1">SUMIF(PURCHASE!$Q$7:$Q$598,$A$4:$A$333,PURCHASE!$K$7:$K$508)</f>
        <v>0</v>
      </c>
      <c r="H50" s="126">
        <f ca="1">SUMIF(PURCHASE!$Q$7:$Q$598,$A$4:$A$333,PURCHASE!$L$7:$L$508)</f>
        <v>39.6</v>
      </c>
      <c r="I50" s="126">
        <f ca="1">SUMIF(PURCHASE!$Q$7:$Q$598,$A$4:$A$333,PURCHASE!$M$7:$M$508)</f>
        <v>39.6</v>
      </c>
      <c r="J50" s="126">
        <f ca="1">SUMIF(PURCHASE!$Q$7:$Q$598,$A$4:$A$333,PURCHASE!$N$7:$N$508)</f>
        <v>0</v>
      </c>
    </row>
    <row r="51" spans="1:10" x14ac:dyDescent="0.3">
      <c r="A51" s="5">
        <v>37079090</v>
      </c>
      <c r="B51" s="17" t="s">
        <v>393</v>
      </c>
      <c r="C51" s="5"/>
      <c r="D51" s="126">
        <f ca="1">SUMIF(PURCHASE!$Q$7:$Q$598,$A$4:$A$333,PURCHASE!$W$7:$W$508)</f>
        <v>1</v>
      </c>
      <c r="E51" s="126">
        <f ca="1">SUMIF(PURCHASE!$Q$7:$Q$598,$A$4:$A$333,PURCHASE!$E$7:$E$508)</f>
        <v>354</v>
      </c>
      <c r="F51" s="126">
        <f ca="1">SUMIF(PURCHASE!$Q$7:$Q$598,$A$4:$A$333,PURCHASE!$J$7:$J$508)</f>
        <v>300</v>
      </c>
      <c r="G51" s="126">
        <f ca="1">SUMIF(PURCHASE!$Q$7:$Q$598,$A$4:$A$333,PURCHASE!$K$7:$K$508)</f>
        <v>0</v>
      </c>
      <c r="H51" s="126">
        <f ca="1">SUMIF(PURCHASE!$Q$7:$Q$598,$A$4:$A$333,PURCHASE!$L$7:$L$508)</f>
        <v>27</v>
      </c>
      <c r="I51" s="126">
        <f ca="1">SUMIF(PURCHASE!$Q$7:$Q$598,$A$4:$A$333,PURCHASE!$M$7:$M$508)</f>
        <v>27</v>
      </c>
      <c r="J51" s="126">
        <f ca="1">SUMIF(PURCHASE!$Q$7:$Q$598,$A$4:$A$333,PURCHASE!$N$7:$N$508)</f>
        <v>0</v>
      </c>
    </row>
    <row r="52" spans="1:10" x14ac:dyDescent="0.3">
      <c r="A52" s="5">
        <v>84716090</v>
      </c>
      <c r="B52" s="17" t="s">
        <v>393</v>
      </c>
      <c r="C52" s="5"/>
      <c r="D52" s="126">
        <f ca="1">SUMIF(PURCHASE!$Q$7:$Q$598,$A$4:$A$333,PURCHASE!$W$7:$W$508)</f>
        <v>1</v>
      </c>
      <c r="E52" s="126">
        <f ca="1">SUMIF(PURCHASE!$Q$7:$Q$598,$A$4:$A$333,PURCHASE!$E$7:$E$508)</f>
        <v>1475</v>
      </c>
      <c r="F52" s="126">
        <f ca="1">SUMIF(PURCHASE!$Q$7:$Q$598,$A$4:$A$333,PURCHASE!$J$7:$J$508)</f>
        <v>1250</v>
      </c>
      <c r="G52" s="126">
        <f ca="1">SUMIF(PURCHASE!$Q$7:$Q$598,$A$4:$A$333,PURCHASE!$K$7:$K$508)</f>
        <v>0</v>
      </c>
      <c r="H52" s="126">
        <f ca="1">SUMIF(PURCHASE!$Q$7:$Q$598,$A$4:$A$333,PURCHASE!$L$7:$L$508)</f>
        <v>112.5</v>
      </c>
      <c r="I52" s="126">
        <f ca="1">SUMIF(PURCHASE!$Q$7:$Q$598,$A$4:$A$333,PURCHASE!$M$7:$M$508)</f>
        <v>112.5</v>
      </c>
      <c r="J52" s="126">
        <f ca="1">SUMIF(PURCHASE!$Q$7:$Q$598,$A$4:$A$333,PURCHASE!$N$7:$N$508)</f>
        <v>0</v>
      </c>
    </row>
    <row r="53" spans="1:10" x14ac:dyDescent="0.3">
      <c r="A53" s="5">
        <v>38249990</v>
      </c>
      <c r="B53" s="17" t="s">
        <v>250</v>
      </c>
      <c r="C53" s="5"/>
      <c r="D53" s="126">
        <f ca="1">SUMIF(PURCHASE!$Q$7:$Q$598,$A$4:$A$333,PURCHASE!$W$7:$W$508)</f>
        <v>20</v>
      </c>
      <c r="E53" s="126">
        <f ca="1">SUMIF(PURCHASE!$Q$7:$Q$598,$A$4:$A$333,PURCHASE!$E$7:$E$508)</f>
        <v>15037.919999999998</v>
      </c>
      <c r="F53" s="126">
        <f ca="1">SUMIF(PURCHASE!$Q$7:$Q$598,$A$4:$A$333,PURCHASE!$J$7:$J$508)</f>
        <v>12744</v>
      </c>
      <c r="G53" s="126">
        <f ca="1">SUMIF(PURCHASE!$Q$7:$Q$598,$A$4:$A$333,PURCHASE!$K$7:$K$508)</f>
        <v>0</v>
      </c>
      <c r="H53" s="126">
        <f ca="1">SUMIF(PURCHASE!$Q$7:$Q$598,$A$4:$A$333,PURCHASE!$L$7:$L$508)</f>
        <v>1146.96</v>
      </c>
      <c r="I53" s="126">
        <f ca="1">SUMIF(PURCHASE!$Q$7:$Q$598,$A$4:$A$333,PURCHASE!$M$7:$M$508)</f>
        <v>1146.96</v>
      </c>
      <c r="J53" s="126">
        <f ca="1">SUMIF(PURCHASE!$Q$7:$Q$598,$A$4:$A$333,PURCHASE!$N$7:$N$508)</f>
        <v>0</v>
      </c>
    </row>
    <row r="54" spans="1:10" x14ac:dyDescent="0.3">
      <c r="A54" s="5">
        <v>29163200</v>
      </c>
      <c r="B54" s="17" t="s">
        <v>250</v>
      </c>
      <c r="C54" s="5"/>
      <c r="D54" s="126">
        <f ca="1">SUMIF(PURCHASE!$Q$7:$Q$598,$A$4:$A$333,PURCHASE!$W$7:$W$508)</f>
        <v>6</v>
      </c>
      <c r="E54" s="126">
        <f ca="1">SUMIF(PURCHASE!$Q$7:$Q$598,$A$4:$A$333,PURCHASE!$E$7:$E$508)</f>
        <v>591.18000000000006</v>
      </c>
      <c r="F54" s="126">
        <f ca="1">SUMIF(PURCHASE!$Q$7:$Q$598,$A$4:$A$333,PURCHASE!$J$7:$J$508)</f>
        <v>501</v>
      </c>
      <c r="G54" s="126">
        <f ca="1">SUMIF(PURCHASE!$Q$7:$Q$598,$A$4:$A$333,PURCHASE!$K$7:$K$508)</f>
        <v>0</v>
      </c>
      <c r="H54" s="126">
        <f ca="1">SUMIF(PURCHASE!$Q$7:$Q$598,$A$4:$A$333,PURCHASE!$L$7:$L$508)</f>
        <v>45.089999999999996</v>
      </c>
      <c r="I54" s="126">
        <f ca="1">SUMIF(PURCHASE!$Q$7:$Q$598,$A$4:$A$333,PURCHASE!$M$7:$M$508)</f>
        <v>45.089999999999996</v>
      </c>
      <c r="J54" s="126">
        <f ca="1">SUMIF(PURCHASE!$Q$7:$Q$598,$A$4:$A$333,PURCHASE!$N$7:$N$508)</f>
        <v>0</v>
      </c>
    </row>
    <row r="55" spans="1:10" x14ac:dyDescent="0.3">
      <c r="A55" s="5">
        <v>3813</v>
      </c>
      <c r="B55" s="17" t="s">
        <v>520</v>
      </c>
      <c r="C55" s="5"/>
      <c r="D55" s="126">
        <f ca="1">SUMIF(PURCHASE!$Q$7:$Q$598,$A$4:$A$333,PURCHASE!$W$7:$W$508)</f>
        <v>4</v>
      </c>
      <c r="E55" s="126">
        <f ca="1">SUMIF(PURCHASE!$Q$7:$Q$598,$A$4:$A$333,PURCHASE!$E$7:$E$508)</f>
        <v>3788</v>
      </c>
      <c r="F55" s="126">
        <f ca="1">SUMIF(PURCHASE!$Q$7:$Q$598,$A$4:$A$333,PURCHASE!$J$7:$J$508)</f>
        <v>2960</v>
      </c>
      <c r="G55" s="126">
        <f ca="1">SUMIF(PURCHASE!$Q$7:$Q$598,$A$4:$A$333,PURCHASE!$K$7:$K$508)</f>
        <v>0</v>
      </c>
      <c r="H55" s="126">
        <f ca="1">SUMIF(PURCHASE!$Q$7:$Q$598,$A$4:$A$333,PURCHASE!$L$7:$L$508)</f>
        <v>414.00000000000006</v>
      </c>
      <c r="I55" s="126">
        <f ca="1">SUMIF(PURCHASE!$Q$7:$Q$598,$A$4:$A$333,PURCHASE!$M$7:$M$508)</f>
        <v>414.00000000000006</v>
      </c>
      <c r="J55" s="126">
        <f ca="1">SUMIF(PURCHASE!$Q$7:$Q$598,$A$4:$A$333,PURCHASE!$N$7:$N$508)</f>
        <v>0</v>
      </c>
    </row>
    <row r="56" spans="1:10" x14ac:dyDescent="0.3">
      <c r="A56" s="5">
        <v>40151100</v>
      </c>
      <c r="B56" s="17" t="s">
        <v>553</v>
      </c>
      <c r="C56" s="5"/>
      <c r="D56" s="126">
        <f ca="1">SUMIF(PURCHASE!$Q$7:$Q$598,$A$4:$A$333,PURCHASE!$W$7:$W$508)</f>
        <v>3301</v>
      </c>
      <c r="E56" s="126">
        <f ca="1">SUMIF(PURCHASE!$Q$7:$Q$598,$A$4:$A$333,PURCHASE!$E$7:$E$508)</f>
        <v>10502</v>
      </c>
      <c r="F56" s="126">
        <f ca="1">SUMIF(PURCHASE!$Q$7:$Q$598,$A$4:$A$333,PURCHASE!$J$7:$J$508)</f>
        <v>8900</v>
      </c>
      <c r="G56" s="126">
        <f ca="1">SUMIF(PURCHASE!$Q$7:$Q$598,$A$4:$A$333,PURCHASE!$K$7:$K$508)</f>
        <v>0</v>
      </c>
      <c r="H56" s="126">
        <f ca="1">SUMIF(PURCHASE!$Q$7:$Q$598,$A$4:$A$333,PURCHASE!$L$7:$L$508)</f>
        <v>801</v>
      </c>
      <c r="I56" s="126">
        <f ca="1">SUMIF(PURCHASE!$Q$7:$Q$598,$A$4:$A$333,PURCHASE!$M$7:$M$508)</f>
        <v>801</v>
      </c>
      <c r="J56" s="126">
        <f ca="1">SUMIF(PURCHASE!$Q$7:$Q$598,$A$4:$A$333,PURCHASE!$N$7:$N$508)</f>
        <v>0</v>
      </c>
    </row>
    <row r="57" spans="1:10" x14ac:dyDescent="0.3">
      <c r="A57" s="5">
        <v>84242000</v>
      </c>
      <c r="B57" s="17" t="s">
        <v>22</v>
      </c>
      <c r="C57" s="5"/>
      <c r="D57" s="126">
        <f ca="1">SUMIF(PURCHASE!$Q$7:$Q$598,$A$4:$A$333,PURCHASE!$W$7:$W$508)</f>
        <v>2</v>
      </c>
      <c r="E57" s="126">
        <f ca="1">SUMIF(PURCHASE!$Q$7:$Q$598,$A$4:$A$333,PURCHASE!$E$7:$E$508)</f>
        <v>25960</v>
      </c>
      <c r="F57" s="126">
        <f ca="1">SUMIF(PURCHASE!$Q$7:$Q$598,$A$4:$A$333,PURCHASE!$J$7:$J$508)</f>
        <v>22000</v>
      </c>
      <c r="G57" s="126">
        <f ca="1">SUMIF(PURCHASE!$Q$7:$Q$598,$A$4:$A$333,PURCHASE!$K$7:$K$508)</f>
        <v>0</v>
      </c>
      <c r="H57" s="126">
        <f ca="1">SUMIF(PURCHASE!$Q$7:$Q$598,$A$4:$A$333,PURCHASE!$L$7:$L$508)</f>
        <v>1980</v>
      </c>
      <c r="I57" s="126">
        <f ca="1">SUMIF(PURCHASE!$Q$7:$Q$598,$A$4:$A$333,PURCHASE!$M$7:$M$508)</f>
        <v>1980</v>
      </c>
      <c r="J57" s="126">
        <f ca="1">SUMIF(PURCHASE!$Q$7:$Q$598,$A$4:$A$333,PURCHASE!$N$7:$N$508)</f>
        <v>0</v>
      </c>
    </row>
    <row r="58" spans="1:10" x14ac:dyDescent="0.3">
      <c r="A58" s="5">
        <v>441480</v>
      </c>
      <c r="B58" s="17" t="s">
        <v>558</v>
      </c>
      <c r="C58" s="5"/>
      <c r="D58" s="126">
        <f ca="1">SUMIF(PURCHASE!$Q$7:$Q$598,$A$4:$A$333,PURCHASE!$W$7:$W$508)</f>
        <v>0</v>
      </c>
      <c r="E58" s="126">
        <f ca="1">SUMIF(PURCHASE!$Q$7:$Q$598,$A$4:$A$333,PURCHASE!$E$7:$E$508)</f>
        <v>482489.59999999998</v>
      </c>
      <c r="F58" s="126">
        <f ca="1">SUMIF(PURCHASE!$Q$7:$Q$598,$A$4:$A$333,PURCHASE!$J$7:$J$508)</f>
        <v>376945</v>
      </c>
      <c r="G58" s="126">
        <f ca="1">SUMIF(PURCHASE!$Q$7:$Q$598,$A$4:$A$333,PURCHASE!$K$7:$K$508)</f>
        <v>0</v>
      </c>
      <c r="H58" s="126">
        <f ca="1">SUMIF(PURCHASE!$Q$7:$Q$598,$A$4:$A$333,PURCHASE!$L$7:$L$508)</f>
        <v>52772.299999999996</v>
      </c>
      <c r="I58" s="126">
        <f ca="1">SUMIF(PURCHASE!$Q$7:$Q$598,$A$4:$A$333,PURCHASE!$M$7:$M$508)</f>
        <v>52772.299999999996</v>
      </c>
      <c r="J58" s="126">
        <f ca="1">SUMIF(PURCHASE!$Q$7:$Q$598,$A$4:$A$333,PURCHASE!$N$7:$N$508)</f>
        <v>0</v>
      </c>
    </row>
    <row r="59" spans="1:10" x14ac:dyDescent="0.3">
      <c r="A59" s="5">
        <v>27111900</v>
      </c>
      <c r="B59" s="17" t="s">
        <v>588</v>
      </c>
      <c r="C59" s="5"/>
      <c r="D59" s="126">
        <f ca="1">SUMIF(PURCHASE!$Q$7:$Q$598,$A$4:$A$333,PURCHASE!$W$7:$W$508)</f>
        <v>62</v>
      </c>
      <c r="E59" s="126">
        <f ca="1">SUMIF(PURCHASE!$Q$7:$Q$598,$A$4:$A$333,PURCHASE!$E$7:$E$508)</f>
        <v>76691.64</v>
      </c>
      <c r="F59" s="126">
        <f ca="1">SUMIF(PURCHASE!$Q$7:$Q$598,$A$4:$A$333,PURCHASE!$J$7:$J$508)</f>
        <v>64992.94</v>
      </c>
      <c r="G59" s="126">
        <f ca="1">SUMIF(PURCHASE!$Q$7:$Q$598,$A$4:$A$333,PURCHASE!$K$7:$K$508)</f>
        <v>0</v>
      </c>
      <c r="H59" s="126">
        <f ca="1">SUMIF(PURCHASE!$Q$7:$Q$598,$A$4:$A$333,PURCHASE!$L$7:$L$508)</f>
        <v>5849.35</v>
      </c>
      <c r="I59" s="126">
        <f ca="1">SUMIF(PURCHASE!$Q$7:$Q$598,$A$4:$A$333,PURCHASE!$M$7:$M$508)</f>
        <v>5849.35</v>
      </c>
      <c r="J59" s="126">
        <f ca="1">SUMIF(PURCHASE!$Q$7:$Q$598,$A$4:$A$333,PURCHASE!$N$7:$N$508)</f>
        <v>0</v>
      </c>
    </row>
    <row r="60" spans="1:10" x14ac:dyDescent="0.3">
      <c r="A60" s="5"/>
      <c r="B60" s="17"/>
      <c r="C60" s="5"/>
      <c r="D60" s="126">
        <f ca="1">SUMIF(PURCHASE!$Q$7:$Q$598,$A$4:$A$333,PURCHASE!$W$7:$W$508)</f>
        <v>0</v>
      </c>
      <c r="E60" s="126">
        <f ca="1">SUMIF(PURCHASE!$Q$7:$Q$598,$A$4:$A$333,PURCHASE!$E$7:$E$508)</f>
        <v>0</v>
      </c>
      <c r="F60" s="126">
        <f ca="1">SUMIF(PURCHASE!$Q$7:$Q$598,$A$4:$A$333,PURCHASE!$J$7:$J$508)</f>
        <v>0</v>
      </c>
      <c r="G60" s="126">
        <f ca="1">SUMIF(PURCHASE!$Q$7:$Q$598,$A$4:$A$333,PURCHASE!$K$7:$K$508)</f>
        <v>0</v>
      </c>
      <c r="H60" s="126">
        <f ca="1">SUMIF(PURCHASE!$Q$7:$Q$598,$A$4:$A$333,PURCHASE!$L$7:$L$508)</f>
        <v>0</v>
      </c>
      <c r="I60" s="126">
        <f ca="1">SUMIF(PURCHASE!$Q$7:$Q$598,$A$4:$A$333,PURCHASE!$M$7:$M$508)</f>
        <v>0</v>
      </c>
      <c r="J60" s="126">
        <f ca="1">SUMIF(PURCHASE!$Q$7:$Q$598,$A$4:$A$333,PURCHASE!$N$7:$N$508)</f>
        <v>0</v>
      </c>
    </row>
    <row r="61" spans="1:10" x14ac:dyDescent="0.3">
      <c r="A61" s="5"/>
      <c r="B61" s="17"/>
      <c r="C61" s="5"/>
      <c r="D61" s="126"/>
      <c r="E61" s="126"/>
      <c r="F61" s="126"/>
      <c r="G61" s="126"/>
      <c r="H61" s="126"/>
      <c r="I61" s="126"/>
      <c r="J61" s="126"/>
    </row>
    <row r="62" spans="1:10" x14ac:dyDescent="0.3">
      <c r="A62" s="5"/>
      <c r="B62" s="17"/>
      <c r="C62" s="5"/>
      <c r="D62" s="126"/>
      <c r="E62" s="126"/>
      <c r="F62" s="126"/>
      <c r="G62" s="126"/>
      <c r="H62" s="126"/>
      <c r="I62" s="126"/>
      <c r="J62" s="126"/>
    </row>
    <row r="63" spans="1:10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5" thickBot="1" x14ac:dyDescent="0.35">
      <c r="A64" s="3"/>
      <c r="B64" s="20"/>
      <c r="C64" s="3"/>
      <c r="D64" s="18">
        <f t="shared" ref="D64:J64" ca="1" si="0">SUM(D4:D63)</f>
        <v>125147</v>
      </c>
      <c r="E64" s="18">
        <f t="shared" ca="1" si="0"/>
        <v>6261794.959999999</v>
      </c>
      <c r="F64" s="18">
        <f t="shared" ca="1" si="0"/>
        <v>4923912.2600000007</v>
      </c>
      <c r="G64" s="18">
        <f t="shared" ca="1" si="0"/>
        <v>45060.989199999996</v>
      </c>
      <c r="H64" s="18">
        <f t="shared" ca="1" si="0"/>
        <v>647870.96519999998</v>
      </c>
      <c r="I64" s="18">
        <f t="shared" ca="1" si="0"/>
        <v>647870.96519999998</v>
      </c>
      <c r="J64" s="18">
        <f t="shared" ca="1" si="0"/>
        <v>0</v>
      </c>
    </row>
    <row r="65" spans="5:5" x14ac:dyDescent="0.3">
      <c r="E65" s="202">
        <f ca="1">+E64-PURCHASE!E219</f>
        <v>-259171.64999999758</v>
      </c>
    </row>
  </sheetData>
  <autoFilter ref="A1:A64"/>
  <conditionalFormatting sqref="E4:E62"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53"/>
  <sheetViews>
    <sheetView topLeftCell="A37" workbookViewId="0">
      <selection activeCell="K30" sqref="K9:K30"/>
    </sheetView>
  </sheetViews>
  <sheetFormatPr defaultRowHeight="14.4" x14ac:dyDescent="0.3"/>
  <cols>
    <col min="1" max="1" width="17.77734375" bestFit="1" customWidth="1"/>
    <col min="5" max="5" width="11.109375" bestFit="1" customWidth="1"/>
    <col min="6" max="6" width="15.21875" bestFit="1" customWidth="1"/>
    <col min="11" max="11" width="11.77734375" bestFit="1" customWidth="1"/>
    <col min="13" max="13" width="10.109375" bestFit="1" customWidth="1"/>
    <col min="14" max="14" width="9.77734375" bestFit="1" customWidth="1"/>
  </cols>
  <sheetData>
    <row r="6" spans="1:16" ht="15" thickBot="1" x14ac:dyDescent="0.35"/>
    <row r="7" spans="1:16" ht="15.6" thickTop="1" thickBot="1" x14ac:dyDescent="0.35">
      <c r="A7" s="193" t="s">
        <v>15</v>
      </c>
      <c r="B7" s="193" t="s">
        <v>0</v>
      </c>
      <c r="C7" s="193" t="s">
        <v>16</v>
      </c>
      <c r="D7" s="193" t="s">
        <v>17</v>
      </c>
      <c r="E7" s="193" t="s">
        <v>19</v>
      </c>
      <c r="F7" s="193" t="s">
        <v>26</v>
      </c>
      <c r="G7" s="193" t="s">
        <v>29</v>
      </c>
      <c r="H7" s="193" t="s">
        <v>19</v>
      </c>
      <c r="I7" s="194" t="s">
        <v>58</v>
      </c>
      <c r="J7" s="195" t="s">
        <v>35</v>
      </c>
      <c r="K7" s="196" t="s">
        <v>25</v>
      </c>
      <c r="L7" s="197" t="s">
        <v>1</v>
      </c>
      <c r="M7" s="198" t="s">
        <v>2</v>
      </c>
      <c r="N7" s="198" t="s">
        <v>3</v>
      </c>
      <c r="O7" s="198" t="s">
        <v>4</v>
      </c>
    </row>
    <row r="8" spans="1:16" ht="15" thickBot="1" x14ac:dyDescent="0.35">
      <c r="A8" s="127"/>
      <c r="B8" s="127"/>
      <c r="C8" s="127"/>
      <c r="D8" s="127"/>
      <c r="E8" s="127" t="s">
        <v>18</v>
      </c>
      <c r="F8" s="127" t="s">
        <v>27</v>
      </c>
      <c r="G8" s="127" t="s">
        <v>30</v>
      </c>
      <c r="H8" s="127" t="s">
        <v>28</v>
      </c>
      <c r="I8" s="23"/>
      <c r="J8" s="135" t="s">
        <v>24</v>
      </c>
      <c r="K8" s="134" t="s">
        <v>18</v>
      </c>
      <c r="L8" s="18" t="s">
        <v>18</v>
      </c>
      <c r="M8" s="18" t="s">
        <v>18</v>
      </c>
      <c r="N8" s="18" t="s">
        <v>18</v>
      </c>
      <c r="O8" s="18" t="s">
        <v>18</v>
      </c>
    </row>
    <row r="9" spans="1:16" x14ac:dyDescent="0.3">
      <c r="A9" s="5" t="s">
        <v>652</v>
      </c>
      <c r="B9" s="5"/>
      <c r="C9" s="5" t="s">
        <v>691</v>
      </c>
      <c r="D9" s="5"/>
      <c r="E9" s="7">
        <v>46000</v>
      </c>
      <c r="F9" s="5" t="s">
        <v>14</v>
      </c>
      <c r="G9" s="5"/>
      <c r="H9" s="5"/>
      <c r="I9" s="5"/>
      <c r="J9" s="14">
        <v>18</v>
      </c>
      <c r="K9" s="12">
        <f t="shared" ref="K9:K52" si="0">+E9</f>
        <v>46000</v>
      </c>
      <c r="L9" s="5"/>
      <c r="M9" s="7">
        <v>4140</v>
      </c>
      <c r="N9" s="7">
        <v>4140</v>
      </c>
      <c r="O9" s="5"/>
      <c r="P9" s="202">
        <f>+(M9/K9*100)-J9/2</f>
        <v>0</v>
      </c>
    </row>
    <row r="10" spans="1:16" x14ac:dyDescent="0.3">
      <c r="A10" s="5" t="s">
        <v>647</v>
      </c>
      <c r="B10" s="5"/>
      <c r="C10" s="5" t="s">
        <v>657</v>
      </c>
      <c r="D10" s="5"/>
      <c r="E10" s="7">
        <v>20000</v>
      </c>
      <c r="F10" s="5" t="s">
        <v>14</v>
      </c>
      <c r="G10" s="5"/>
      <c r="H10" s="5"/>
      <c r="I10" s="5"/>
      <c r="J10" s="14">
        <v>18</v>
      </c>
      <c r="K10" s="12">
        <f t="shared" si="0"/>
        <v>20000</v>
      </c>
      <c r="L10" s="5"/>
      <c r="M10" s="7">
        <v>1800</v>
      </c>
      <c r="N10" s="7">
        <v>1800</v>
      </c>
      <c r="O10" s="5"/>
      <c r="P10" s="202">
        <f t="shared" ref="P10:P30" si="1">+(M10/K10*100)-J10/2</f>
        <v>0</v>
      </c>
    </row>
    <row r="11" spans="1:16" x14ac:dyDescent="0.3">
      <c r="A11" s="5" t="s">
        <v>649</v>
      </c>
      <c r="B11" s="5"/>
      <c r="C11" s="5" t="s">
        <v>677</v>
      </c>
      <c r="D11" s="5"/>
      <c r="E11" s="7">
        <v>10000</v>
      </c>
      <c r="F11" s="5" t="s">
        <v>14</v>
      </c>
      <c r="G11" s="5"/>
      <c r="H11" s="5"/>
      <c r="I11" s="5"/>
      <c r="J11" s="14">
        <v>18</v>
      </c>
      <c r="K11" s="12">
        <f t="shared" si="0"/>
        <v>10000</v>
      </c>
      <c r="L11" s="5"/>
      <c r="M11" s="7">
        <v>900</v>
      </c>
      <c r="N11" s="7">
        <v>900</v>
      </c>
      <c r="O11" s="5"/>
      <c r="P11" s="202">
        <f t="shared" si="1"/>
        <v>0</v>
      </c>
    </row>
    <row r="12" spans="1:16" x14ac:dyDescent="0.3">
      <c r="A12" s="5" t="s">
        <v>650</v>
      </c>
      <c r="B12" s="5"/>
      <c r="C12" s="5" t="s">
        <v>682</v>
      </c>
      <c r="D12" s="5"/>
      <c r="E12" s="7">
        <v>2130</v>
      </c>
      <c r="F12" s="5" t="s">
        <v>14</v>
      </c>
      <c r="G12" s="5"/>
      <c r="H12" s="5"/>
      <c r="I12" s="5"/>
      <c r="J12" s="14">
        <v>18</v>
      </c>
      <c r="K12" s="12">
        <f t="shared" si="0"/>
        <v>2130</v>
      </c>
      <c r="L12" s="5"/>
      <c r="M12" s="5">
        <v>191.7</v>
      </c>
      <c r="N12" s="5">
        <v>191.7</v>
      </c>
      <c r="O12" s="5"/>
      <c r="P12" s="202">
        <f t="shared" si="1"/>
        <v>0</v>
      </c>
    </row>
    <row r="13" spans="1:16" x14ac:dyDescent="0.3">
      <c r="A13" s="5" t="s">
        <v>650</v>
      </c>
      <c r="B13" s="5"/>
      <c r="C13" s="5" t="s">
        <v>681</v>
      </c>
      <c r="D13" s="5"/>
      <c r="E13" s="7">
        <v>1870</v>
      </c>
      <c r="F13" s="5" t="s">
        <v>14</v>
      </c>
      <c r="G13" s="5"/>
      <c r="H13" s="5"/>
      <c r="I13" s="5"/>
      <c r="J13" s="14">
        <v>18</v>
      </c>
      <c r="K13" s="12">
        <f t="shared" si="0"/>
        <v>1870</v>
      </c>
      <c r="L13" s="5"/>
      <c r="M13" s="7">
        <v>168.3</v>
      </c>
      <c r="N13" s="7">
        <v>168.3</v>
      </c>
      <c r="O13" s="5"/>
      <c r="P13" s="202">
        <f t="shared" si="1"/>
        <v>0</v>
      </c>
    </row>
    <row r="14" spans="1:16" x14ac:dyDescent="0.3">
      <c r="A14" s="5" t="s">
        <v>604</v>
      </c>
      <c r="B14" s="5"/>
      <c r="C14" s="5" t="s">
        <v>659</v>
      </c>
      <c r="D14" s="5"/>
      <c r="E14" s="7">
        <v>4850</v>
      </c>
      <c r="F14" s="5" t="s">
        <v>14</v>
      </c>
      <c r="G14" s="5"/>
      <c r="H14" s="5"/>
      <c r="I14" s="5"/>
      <c r="J14" s="14">
        <v>5</v>
      </c>
      <c r="K14" s="12">
        <f t="shared" si="0"/>
        <v>4850</v>
      </c>
      <c r="L14" s="5"/>
      <c r="M14" s="7">
        <v>121.25</v>
      </c>
      <c r="N14" s="7">
        <v>121.25</v>
      </c>
      <c r="O14" s="5"/>
      <c r="P14" s="202">
        <f t="shared" si="1"/>
        <v>0</v>
      </c>
    </row>
    <row r="15" spans="1:16" x14ac:dyDescent="0.3">
      <c r="A15" s="5" t="s">
        <v>604</v>
      </c>
      <c r="B15" s="5"/>
      <c r="C15" s="5" t="s">
        <v>664</v>
      </c>
      <c r="D15" s="5"/>
      <c r="E15" s="7">
        <v>4850</v>
      </c>
      <c r="F15" s="5" t="s">
        <v>14</v>
      </c>
      <c r="G15" s="5"/>
      <c r="H15" s="5"/>
      <c r="I15" s="5"/>
      <c r="J15" s="14">
        <v>5</v>
      </c>
      <c r="K15" s="12">
        <f t="shared" si="0"/>
        <v>4850</v>
      </c>
      <c r="L15" s="5"/>
      <c r="M15" s="7">
        <v>121.25</v>
      </c>
      <c r="N15" s="7">
        <v>121.25</v>
      </c>
      <c r="O15" s="5"/>
      <c r="P15" s="202">
        <f t="shared" si="1"/>
        <v>0</v>
      </c>
    </row>
    <row r="16" spans="1:16" x14ac:dyDescent="0.3">
      <c r="A16" s="5" t="s">
        <v>604</v>
      </c>
      <c r="B16" s="5"/>
      <c r="C16" s="5" t="s">
        <v>672</v>
      </c>
      <c r="D16" s="5"/>
      <c r="E16" s="7">
        <v>4700</v>
      </c>
      <c r="F16" s="5" t="s">
        <v>14</v>
      </c>
      <c r="G16" s="5"/>
      <c r="H16" s="5"/>
      <c r="I16" s="5"/>
      <c r="J16" s="14">
        <v>5</v>
      </c>
      <c r="K16" s="12">
        <f t="shared" si="0"/>
        <v>4700</v>
      </c>
      <c r="L16" s="5"/>
      <c r="M16" s="7">
        <v>117.5</v>
      </c>
      <c r="N16" s="7">
        <v>117.5</v>
      </c>
      <c r="O16" s="5"/>
      <c r="P16" s="202">
        <f t="shared" si="1"/>
        <v>0</v>
      </c>
    </row>
    <row r="17" spans="1:16" x14ac:dyDescent="0.3">
      <c r="A17" s="5" t="s">
        <v>604</v>
      </c>
      <c r="B17" s="5"/>
      <c r="C17" s="5" t="s">
        <v>670</v>
      </c>
      <c r="D17" s="5"/>
      <c r="E17" s="7">
        <v>4650</v>
      </c>
      <c r="F17" s="5" t="s">
        <v>14</v>
      </c>
      <c r="G17" s="5"/>
      <c r="H17" s="5"/>
      <c r="I17" s="5"/>
      <c r="J17" s="14">
        <v>5</v>
      </c>
      <c r="K17" s="12">
        <f t="shared" si="0"/>
        <v>4650</v>
      </c>
      <c r="L17" s="5"/>
      <c r="M17" s="7">
        <v>116.25</v>
      </c>
      <c r="N17" s="7">
        <v>116.25</v>
      </c>
      <c r="O17" s="5"/>
      <c r="P17" s="202">
        <f t="shared" si="1"/>
        <v>0</v>
      </c>
    </row>
    <row r="18" spans="1:16" x14ac:dyDescent="0.3">
      <c r="A18" s="5" t="s">
        <v>604</v>
      </c>
      <c r="B18" s="5"/>
      <c r="C18" s="5" t="s">
        <v>665</v>
      </c>
      <c r="D18" s="5"/>
      <c r="E18" s="7">
        <v>4200</v>
      </c>
      <c r="F18" s="5" t="s">
        <v>14</v>
      </c>
      <c r="G18" s="5"/>
      <c r="H18" s="5"/>
      <c r="I18" s="5"/>
      <c r="J18" s="14">
        <v>5</v>
      </c>
      <c r="K18" s="12">
        <f t="shared" si="0"/>
        <v>4200</v>
      </c>
      <c r="L18" s="5"/>
      <c r="M18" s="7">
        <v>105</v>
      </c>
      <c r="N18" s="7">
        <v>105</v>
      </c>
      <c r="O18" s="5"/>
      <c r="P18" s="202">
        <f t="shared" si="1"/>
        <v>0</v>
      </c>
    </row>
    <row r="19" spans="1:16" x14ac:dyDescent="0.3">
      <c r="A19" s="5" t="s">
        <v>651</v>
      </c>
      <c r="B19" s="5"/>
      <c r="C19" s="5" t="s">
        <v>690</v>
      </c>
      <c r="D19" s="5"/>
      <c r="E19" s="7">
        <v>3800</v>
      </c>
      <c r="F19" s="5" t="s">
        <v>14</v>
      </c>
      <c r="G19" s="5"/>
      <c r="H19" s="5"/>
      <c r="I19" s="5"/>
      <c r="J19" s="14">
        <v>5</v>
      </c>
      <c r="K19" s="12">
        <f t="shared" si="0"/>
        <v>3800</v>
      </c>
      <c r="L19" s="5">
        <f>SUM(L1:L18)</f>
        <v>0</v>
      </c>
      <c r="M19" s="5">
        <v>95</v>
      </c>
      <c r="N19" s="5">
        <v>95</v>
      </c>
      <c r="O19" s="5">
        <f>SUM(O1:O18)</f>
        <v>0</v>
      </c>
      <c r="P19" s="202">
        <f t="shared" si="1"/>
        <v>0</v>
      </c>
    </row>
    <row r="20" spans="1:16" x14ac:dyDescent="0.3">
      <c r="A20" s="5" t="s">
        <v>604</v>
      </c>
      <c r="B20" s="5"/>
      <c r="C20" s="5" t="s">
        <v>675</v>
      </c>
      <c r="D20" s="5"/>
      <c r="E20" s="7">
        <v>3650</v>
      </c>
      <c r="F20" s="5" t="s">
        <v>14</v>
      </c>
      <c r="G20" s="5"/>
      <c r="H20" s="5"/>
      <c r="I20" s="5"/>
      <c r="J20" s="14">
        <v>5</v>
      </c>
      <c r="K20" s="12">
        <f t="shared" si="0"/>
        <v>3650</v>
      </c>
      <c r="L20" s="5"/>
      <c r="M20" s="7">
        <v>91.25</v>
      </c>
      <c r="N20" s="7">
        <v>91.25</v>
      </c>
      <c r="O20" s="5"/>
      <c r="P20" s="202">
        <f t="shared" si="1"/>
        <v>0</v>
      </c>
    </row>
    <row r="21" spans="1:16" x14ac:dyDescent="0.3">
      <c r="A21" s="5" t="s">
        <v>604</v>
      </c>
      <c r="B21" s="5"/>
      <c r="C21" s="5" t="s">
        <v>668</v>
      </c>
      <c r="D21" s="5"/>
      <c r="E21" s="7">
        <v>3100</v>
      </c>
      <c r="F21" s="5" t="s">
        <v>14</v>
      </c>
      <c r="G21" s="5"/>
      <c r="H21" s="5"/>
      <c r="I21" s="5"/>
      <c r="J21" s="14">
        <v>5</v>
      </c>
      <c r="K21" s="12">
        <f t="shared" si="0"/>
        <v>3100</v>
      </c>
      <c r="L21" s="5"/>
      <c r="M21" s="7">
        <v>77.5</v>
      </c>
      <c r="N21" s="7">
        <v>77.5</v>
      </c>
      <c r="O21" s="5"/>
      <c r="P21" s="202">
        <f t="shared" si="1"/>
        <v>0</v>
      </c>
    </row>
    <row r="22" spans="1:16" x14ac:dyDescent="0.3">
      <c r="A22" s="5" t="s">
        <v>604</v>
      </c>
      <c r="B22" s="5"/>
      <c r="C22" s="5" t="s">
        <v>683</v>
      </c>
      <c r="D22" s="5"/>
      <c r="E22" s="7">
        <v>3000</v>
      </c>
      <c r="F22" s="5" t="s">
        <v>14</v>
      </c>
      <c r="G22" s="5"/>
      <c r="H22" s="5"/>
      <c r="I22" s="5"/>
      <c r="J22" s="14">
        <v>5</v>
      </c>
      <c r="K22" s="12">
        <f t="shared" si="0"/>
        <v>3000</v>
      </c>
      <c r="L22" s="5"/>
      <c r="M22" s="5">
        <v>75</v>
      </c>
      <c r="N22" s="5">
        <v>75</v>
      </c>
      <c r="O22" s="5"/>
      <c r="P22" s="202">
        <f t="shared" si="1"/>
        <v>0</v>
      </c>
    </row>
    <row r="23" spans="1:16" x14ac:dyDescent="0.3">
      <c r="A23" s="5" t="s">
        <v>604</v>
      </c>
      <c r="B23" s="5"/>
      <c r="C23" s="5" t="s">
        <v>692</v>
      </c>
      <c r="D23" s="5"/>
      <c r="E23" s="7">
        <v>3000</v>
      </c>
      <c r="F23" s="5" t="s">
        <v>14</v>
      </c>
      <c r="G23" s="5"/>
      <c r="H23" s="5"/>
      <c r="I23" s="5"/>
      <c r="J23" s="14">
        <v>5</v>
      </c>
      <c r="K23" s="12">
        <f t="shared" si="0"/>
        <v>3000</v>
      </c>
      <c r="L23" s="5"/>
      <c r="M23" s="5">
        <v>75</v>
      </c>
      <c r="N23" s="5">
        <v>75</v>
      </c>
      <c r="O23" s="5"/>
      <c r="P23" s="202">
        <f t="shared" si="1"/>
        <v>0</v>
      </c>
    </row>
    <row r="24" spans="1:16" x14ac:dyDescent="0.3">
      <c r="A24" s="5" t="s">
        <v>651</v>
      </c>
      <c r="B24" s="5"/>
      <c r="C24" s="5" t="s">
        <v>686</v>
      </c>
      <c r="D24" s="5"/>
      <c r="E24" s="7">
        <v>2200</v>
      </c>
      <c r="F24" s="5" t="s">
        <v>14</v>
      </c>
      <c r="G24" s="5"/>
      <c r="H24" s="5"/>
      <c r="I24" s="5"/>
      <c r="J24" s="14">
        <v>5</v>
      </c>
      <c r="K24" s="12">
        <f t="shared" si="0"/>
        <v>2200</v>
      </c>
      <c r="L24" s="5"/>
      <c r="M24" s="5">
        <v>55</v>
      </c>
      <c r="N24" s="5">
        <v>55</v>
      </c>
      <c r="O24" s="5"/>
      <c r="P24" s="202">
        <f t="shared" si="1"/>
        <v>0</v>
      </c>
    </row>
    <row r="25" spans="1:16" x14ac:dyDescent="0.3">
      <c r="A25" s="5" t="s">
        <v>651</v>
      </c>
      <c r="B25" s="5"/>
      <c r="C25" s="5" t="s">
        <v>685</v>
      </c>
      <c r="D25" s="5"/>
      <c r="E25" s="7">
        <v>2000</v>
      </c>
      <c r="F25" s="5" t="s">
        <v>14</v>
      </c>
      <c r="G25" s="5"/>
      <c r="H25" s="5"/>
      <c r="I25" s="5"/>
      <c r="J25" s="14">
        <v>5</v>
      </c>
      <c r="K25" s="12">
        <f t="shared" si="0"/>
        <v>2000</v>
      </c>
      <c r="L25" s="5"/>
      <c r="M25" s="5">
        <v>50</v>
      </c>
      <c r="N25" s="5">
        <v>50</v>
      </c>
      <c r="O25" s="5"/>
      <c r="P25" s="202">
        <f t="shared" si="1"/>
        <v>0</v>
      </c>
    </row>
    <row r="26" spans="1:16" x14ac:dyDescent="0.3">
      <c r="A26" s="5" t="s">
        <v>651</v>
      </c>
      <c r="B26" s="5"/>
      <c r="C26" s="5" t="s">
        <v>688</v>
      </c>
      <c r="D26" s="5"/>
      <c r="E26" s="7">
        <v>2000</v>
      </c>
      <c r="F26" s="5" t="s">
        <v>14</v>
      </c>
      <c r="G26" s="5"/>
      <c r="H26" s="5"/>
      <c r="I26" s="5"/>
      <c r="J26" s="14">
        <v>5</v>
      </c>
      <c r="K26" s="12">
        <f t="shared" si="0"/>
        <v>2000</v>
      </c>
      <c r="L26" s="5"/>
      <c r="M26" s="5">
        <v>50</v>
      </c>
      <c r="N26" s="5">
        <v>50</v>
      </c>
      <c r="O26" s="5"/>
      <c r="P26" s="202">
        <f t="shared" si="1"/>
        <v>0</v>
      </c>
    </row>
    <row r="27" spans="1:16" x14ac:dyDescent="0.3">
      <c r="A27" s="5" t="s">
        <v>651</v>
      </c>
      <c r="B27" s="5"/>
      <c r="C27" s="5" t="s">
        <v>687</v>
      </c>
      <c r="D27" s="5"/>
      <c r="E27" s="7">
        <v>1800</v>
      </c>
      <c r="F27" s="5" t="s">
        <v>14</v>
      </c>
      <c r="G27" s="5"/>
      <c r="H27" s="5"/>
      <c r="I27" s="5"/>
      <c r="J27" s="14">
        <v>5</v>
      </c>
      <c r="K27" s="12">
        <f t="shared" si="0"/>
        <v>1800</v>
      </c>
      <c r="L27" s="5"/>
      <c r="M27" s="7">
        <v>45</v>
      </c>
      <c r="N27" s="7">
        <v>45</v>
      </c>
      <c r="O27" s="5"/>
      <c r="P27" s="202">
        <f t="shared" si="1"/>
        <v>0</v>
      </c>
    </row>
    <row r="28" spans="1:16" x14ac:dyDescent="0.3">
      <c r="A28" s="5" t="s">
        <v>651</v>
      </c>
      <c r="B28" s="5"/>
      <c r="C28" s="5" t="s">
        <v>689</v>
      </c>
      <c r="D28" s="5"/>
      <c r="E28" s="7">
        <v>1800</v>
      </c>
      <c r="F28" s="5" t="s">
        <v>14</v>
      </c>
      <c r="G28" s="5"/>
      <c r="H28" s="5"/>
      <c r="I28" s="5"/>
      <c r="J28" s="14">
        <v>5</v>
      </c>
      <c r="K28" s="12">
        <f t="shared" si="0"/>
        <v>1800</v>
      </c>
      <c r="L28" s="5"/>
      <c r="M28" s="5">
        <v>45</v>
      </c>
      <c r="N28" s="5">
        <v>45</v>
      </c>
      <c r="O28" s="5"/>
      <c r="P28" s="202">
        <f t="shared" si="1"/>
        <v>0</v>
      </c>
    </row>
    <row r="29" spans="1:16" x14ac:dyDescent="0.3">
      <c r="A29" s="5" t="s">
        <v>648</v>
      </c>
      <c r="B29" s="5"/>
      <c r="C29" s="5" t="s">
        <v>658</v>
      </c>
      <c r="D29" s="5"/>
      <c r="E29" s="7">
        <v>1600</v>
      </c>
      <c r="F29" s="5" t="s">
        <v>14</v>
      </c>
      <c r="G29" s="5"/>
      <c r="H29" s="5"/>
      <c r="I29" s="5"/>
      <c r="J29" s="14">
        <v>5</v>
      </c>
      <c r="K29" s="12">
        <f t="shared" si="0"/>
        <v>1600</v>
      </c>
      <c r="L29" s="5"/>
      <c r="M29" s="7">
        <v>40</v>
      </c>
      <c r="N29" s="7">
        <v>40</v>
      </c>
      <c r="O29" s="5"/>
      <c r="P29" s="202">
        <f t="shared" si="1"/>
        <v>0</v>
      </c>
    </row>
    <row r="30" spans="1:16" x14ac:dyDescent="0.3">
      <c r="A30" s="5" t="s">
        <v>602</v>
      </c>
      <c r="B30" s="5"/>
      <c r="C30" s="5" t="s">
        <v>676</v>
      </c>
      <c r="D30" s="5"/>
      <c r="E30" s="7">
        <v>140</v>
      </c>
      <c r="F30" s="5" t="s">
        <v>14</v>
      </c>
      <c r="G30" s="5"/>
      <c r="H30" s="5"/>
      <c r="I30" s="5"/>
      <c r="J30" s="14">
        <v>12</v>
      </c>
      <c r="K30" s="12">
        <f t="shared" si="0"/>
        <v>140</v>
      </c>
      <c r="L30" s="5"/>
      <c r="M30" s="5">
        <v>8.4</v>
      </c>
      <c r="N30" s="5">
        <v>8.4</v>
      </c>
      <c r="O30" s="5"/>
      <c r="P30" s="202">
        <f t="shared" si="1"/>
        <v>0</v>
      </c>
    </row>
    <row r="31" spans="1:16" x14ac:dyDescent="0.3">
      <c r="A31" s="5" t="s">
        <v>603</v>
      </c>
      <c r="B31" s="5"/>
      <c r="C31" s="5" t="s">
        <v>653</v>
      </c>
      <c r="D31" s="5"/>
      <c r="E31" s="7">
        <v>4817</v>
      </c>
      <c r="F31" s="5" t="s">
        <v>14</v>
      </c>
      <c r="G31" s="5"/>
      <c r="H31" s="5"/>
      <c r="I31" s="5"/>
      <c r="J31" s="14">
        <v>0</v>
      </c>
      <c r="K31" s="12">
        <f t="shared" si="0"/>
        <v>4817</v>
      </c>
      <c r="L31" s="5"/>
      <c r="M31" s="7">
        <v>0</v>
      </c>
      <c r="N31" s="5">
        <v>0</v>
      </c>
      <c r="O31" s="5"/>
    </row>
    <row r="32" spans="1:16" x14ac:dyDescent="0.3">
      <c r="A32" s="5" t="s">
        <v>602</v>
      </c>
      <c r="B32" s="5"/>
      <c r="C32" s="5" t="s">
        <v>654</v>
      </c>
      <c r="D32" s="5"/>
      <c r="E32" s="7">
        <v>1925</v>
      </c>
      <c r="F32" s="5" t="s">
        <v>14</v>
      </c>
      <c r="G32" s="5"/>
      <c r="H32" s="5"/>
      <c r="I32" s="5"/>
      <c r="J32" s="14">
        <v>0</v>
      </c>
      <c r="K32" s="12">
        <f t="shared" si="0"/>
        <v>1925</v>
      </c>
      <c r="L32" s="5"/>
      <c r="M32" s="5">
        <v>0</v>
      </c>
      <c r="N32" s="7">
        <v>0</v>
      </c>
      <c r="O32" s="5"/>
    </row>
    <row r="33" spans="1:15" x14ac:dyDescent="0.3">
      <c r="A33" s="5" t="s">
        <v>602</v>
      </c>
      <c r="B33" s="5"/>
      <c r="C33" s="5" t="s">
        <v>654</v>
      </c>
      <c r="D33" s="5"/>
      <c r="E33" s="7">
        <v>300</v>
      </c>
      <c r="F33" s="5" t="s">
        <v>14</v>
      </c>
      <c r="G33" s="5"/>
      <c r="H33" s="5"/>
      <c r="I33" s="5"/>
      <c r="J33" s="14">
        <v>0</v>
      </c>
      <c r="K33" s="12">
        <f t="shared" si="0"/>
        <v>300</v>
      </c>
      <c r="L33" s="5"/>
      <c r="M33" s="7">
        <v>0</v>
      </c>
      <c r="N33" s="7">
        <v>0</v>
      </c>
      <c r="O33" s="5"/>
    </row>
    <row r="34" spans="1:15" x14ac:dyDescent="0.3">
      <c r="A34" s="5" t="s">
        <v>602</v>
      </c>
      <c r="B34" s="5"/>
      <c r="C34" s="5" t="s">
        <v>655</v>
      </c>
      <c r="D34" s="5"/>
      <c r="E34" s="7">
        <v>80</v>
      </c>
      <c r="F34" s="5" t="s">
        <v>14</v>
      </c>
      <c r="G34" s="5"/>
      <c r="H34" s="5"/>
      <c r="I34" s="5"/>
      <c r="J34" s="14">
        <v>0</v>
      </c>
      <c r="K34" s="12">
        <f t="shared" si="0"/>
        <v>80</v>
      </c>
      <c r="L34" s="5"/>
      <c r="M34" s="5">
        <v>0</v>
      </c>
      <c r="N34" s="5">
        <v>0</v>
      </c>
      <c r="O34" s="5"/>
    </row>
    <row r="35" spans="1:15" x14ac:dyDescent="0.3">
      <c r="A35" s="5" t="s">
        <v>603</v>
      </c>
      <c r="B35" s="5"/>
      <c r="C35" s="5" t="s">
        <v>656</v>
      </c>
      <c r="D35" s="5"/>
      <c r="E35" s="7">
        <v>3844</v>
      </c>
      <c r="F35" s="5" t="s">
        <v>14</v>
      </c>
      <c r="G35" s="5"/>
      <c r="H35" s="5"/>
      <c r="I35" s="5"/>
      <c r="J35" s="14">
        <v>0</v>
      </c>
      <c r="K35" s="12">
        <f t="shared" si="0"/>
        <v>3844</v>
      </c>
      <c r="L35" s="5"/>
      <c r="M35" s="5">
        <v>0</v>
      </c>
      <c r="N35" s="5">
        <v>0</v>
      </c>
      <c r="O35" s="5"/>
    </row>
    <row r="36" spans="1:15" x14ac:dyDescent="0.3">
      <c r="A36" s="5" t="s">
        <v>602</v>
      </c>
      <c r="B36" s="5"/>
      <c r="C36" s="5" t="s">
        <v>660</v>
      </c>
      <c r="D36" s="5"/>
      <c r="E36" s="7">
        <v>1620</v>
      </c>
      <c r="F36" s="5" t="s">
        <v>14</v>
      </c>
      <c r="G36" s="5"/>
      <c r="H36" s="5"/>
      <c r="I36" s="5"/>
      <c r="J36" s="14">
        <v>0</v>
      </c>
      <c r="K36" s="12">
        <f t="shared" si="0"/>
        <v>1620</v>
      </c>
      <c r="L36" s="5"/>
      <c r="M36" s="7">
        <v>0</v>
      </c>
      <c r="N36" s="7">
        <v>0</v>
      </c>
      <c r="O36" s="5"/>
    </row>
    <row r="37" spans="1:15" x14ac:dyDescent="0.3">
      <c r="A37" s="5" t="s">
        <v>602</v>
      </c>
      <c r="B37" s="5"/>
      <c r="C37" s="5" t="s">
        <v>661</v>
      </c>
      <c r="D37" s="5"/>
      <c r="E37" s="7">
        <v>1000</v>
      </c>
      <c r="F37" s="5" t="s">
        <v>14</v>
      </c>
      <c r="G37" s="5"/>
      <c r="H37" s="5"/>
      <c r="I37" s="5"/>
      <c r="J37" s="14">
        <v>0</v>
      </c>
      <c r="K37" s="12">
        <f t="shared" si="0"/>
        <v>1000</v>
      </c>
      <c r="L37" s="5"/>
      <c r="M37" s="7">
        <v>0</v>
      </c>
      <c r="N37" s="7">
        <v>0</v>
      </c>
      <c r="O37" s="5"/>
    </row>
    <row r="38" spans="1:15" x14ac:dyDescent="0.3">
      <c r="A38" s="5" t="s">
        <v>602</v>
      </c>
      <c r="B38" s="5"/>
      <c r="C38" s="5" t="s">
        <v>662</v>
      </c>
      <c r="D38" s="5"/>
      <c r="E38" s="7">
        <v>220</v>
      </c>
      <c r="F38" s="5" t="s">
        <v>14</v>
      </c>
      <c r="G38" s="5"/>
      <c r="H38" s="5"/>
      <c r="I38" s="5"/>
      <c r="J38" s="14">
        <v>0</v>
      </c>
      <c r="K38" s="12">
        <f t="shared" si="0"/>
        <v>220</v>
      </c>
      <c r="L38" s="5"/>
      <c r="M38" s="7">
        <v>0</v>
      </c>
      <c r="N38" s="7">
        <v>0</v>
      </c>
      <c r="O38" s="5"/>
    </row>
    <row r="39" spans="1:15" x14ac:dyDescent="0.3">
      <c r="A39" s="5" t="s">
        <v>603</v>
      </c>
      <c r="B39" s="5"/>
      <c r="C39" s="5" t="s">
        <v>663</v>
      </c>
      <c r="D39" s="5"/>
      <c r="E39" s="7">
        <v>4201</v>
      </c>
      <c r="F39" s="5" t="s">
        <v>14</v>
      </c>
      <c r="G39" s="5"/>
      <c r="H39" s="5"/>
      <c r="I39" s="5"/>
      <c r="J39" s="14">
        <v>0</v>
      </c>
      <c r="K39" s="12">
        <f t="shared" si="0"/>
        <v>4201</v>
      </c>
      <c r="L39" s="5"/>
      <c r="M39" s="7">
        <v>0</v>
      </c>
      <c r="N39" s="7">
        <v>0</v>
      </c>
      <c r="O39" s="5"/>
    </row>
    <row r="40" spans="1:15" x14ac:dyDescent="0.3">
      <c r="A40" s="5" t="s">
        <v>602</v>
      </c>
      <c r="B40" s="5"/>
      <c r="C40" s="5" t="s">
        <v>666</v>
      </c>
      <c r="D40" s="5"/>
      <c r="E40" s="7">
        <v>50</v>
      </c>
      <c r="F40" s="5" t="s">
        <v>14</v>
      </c>
      <c r="G40" s="5"/>
      <c r="H40" s="5"/>
      <c r="I40" s="5"/>
      <c r="J40" s="14">
        <v>0</v>
      </c>
      <c r="K40" s="12">
        <f t="shared" si="0"/>
        <v>50</v>
      </c>
      <c r="L40" s="5"/>
      <c r="M40" s="7">
        <v>0</v>
      </c>
      <c r="N40" s="7">
        <v>0</v>
      </c>
      <c r="O40" s="5"/>
    </row>
    <row r="41" spans="1:15" x14ac:dyDescent="0.3">
      <c r="A41" s="5" t="s">
        <v>603</v>
      </c>
      <c r="B41" s="5"/>
      <c r="C41" s="5" t="s">
        <v>667</v>
      </c>
      <c r="D41" s="5"/>
      <c r="E41" s="7">
        <v>4319</v>
      </c>
      <c r="F41" s="5" t="s">
        <v>14</v>
      </c>
      <c r="G41" s="5"/>
      <c r="H41" s="5"/>
      <c r="I41" s="5"/>
      <c r="J41" s="14">
        <v>0</v>
      </c>
      <c r="K41" s="12">
        <f t="shared" si="0"/>
        <v>4319</v>
      </c>
      <c r="L41" s="5"/>
      <c r="M41" s="7">
        <v>0</v>
      </c>
      <c r="N41" s="7">
        <v>0</v>
      </c>
      <c r="O41" s="5"/>
    </row>
    <row r="42" spans="1:15" x14ac:dyDescent="0.3">
      <c r="A42" s="5" t="s">
        <v>603</v>
      </c>
      <c r="B42" s="5"/>
      <c r="C42" s="5" t="s">
        <v>669</v>
      </c>
      <c r="D42" s="5"/>
      <c r="E42" s="7">
        <v>3414</v>
      </c>
      <c r="F42" s="5" t="s">
        <v>14</v>
      </c>
      <c r="G42" s="5"/>
      <c r="H42" s="5"/>
      <c r="I42" s="5"/>
      <c r="J42" s="14">
        <v>0</v>
      </c>
      <c r="K42" s="12">
        <f t="shared" si="0"/>
        <v>3414</v>
      </c>
      <c r="L42" s="5"/>
      <c r="M42" s="7">
        <v>0</v>
      </c>
      <c r="N42" s="7">
        <v>0</v>
      </c>
      <c r="O42" s="5"/>
    </row>
    <row r="43" spans="1:15" x14ac:dyDescent="0.3">
      <c r="A43" s="5" t="s">
        <v>603</v>
      </c>
      <c r="B43" s="5"/>
      <c r="C43" s="5" t="s">
        <v>671</v>
      </c>
      <c r="D43" s="5"/>
      <c r="E43" s="7">
        <v>3959</v>
      </c>
      <c r="F43" s="5" t="s">
        <v>14</v>
      </c>
      <c r="G43" s="5"/>
      <c r="H43" s="5"/>
      <c r="I43" s="5"/>
      <c r="J43" s="14">
        <v>0</v>
      </c>
      <c r="K43" s="12">
        <f t="shared" si="0"/>
        <v>3959</v>
      </c>
      <c r="L43" s="5"/>
      <c r="M43" s="7">
        <v>0</v>
      </c>
      <c r="N43" s="7">
        <v>0</v>
      </c>
      <c r="O43" s="5"/>
    </row>
    <row r="44" spans="1:15" x14ac:dyDescent="0.3">
      <c r="A44" s="5" t="s">
        <v>602</v>
      </c>
      <c r="B44" s="5"/>
      <c r="C44" s="5" t="s">
        <v>673</v>
      </c>
      <c r="D44" s="5"/>
      <c r="E44" s="7">
        <v>2800</v>
      </c>
      <c r="F44" s="5" t="s">
        <v>14</v>
      </c>
      <c r="G44" s="5"/>
      <c r="H44" s="5"/>
      <c r="I44" s="5"/>
      <c r="J44" s="14">
        <v>0</v>
      </c>
      <c r="K44" s="12">
        <f t="shared" si="0"/>
        <v>2800</v>
      </c>
      <c r="L44" s="5"/>
      <c r="M44" s="7">
        <v>0</v>
      </c>
      <c r="N44" s="7">
        <v>0</v>
      </c>
      <c r="O44" s="5"/>
    </row>
    <row r="45" spans="1:15" x14ac:dyDescent="0.3">
      <c r="A45" s="5" t="s">
        <v>602</v>
      </c>
      <c r="B45" s="5"/>
      <c r="C45" s="5" t="s">
        <v>674</v>
      </c>
      <c r="D45" s="5"/>
      <c r="E45" s="7">
        <v>2135</v>
      </c>
      <c r="F45" s="5" t="s">
        <v>14</v>
      </c>
      <c r="G45" s="5"/>
      <c r="H45" s="5"/>
      <c r="I45" s="5"/>
      <c r="J45" s="14">
        <v>0</v>
      </c>
      <c r="K45" s="12">
        <f t="shared" si="0"/>
        <v>2135</v>
      </c>
      <c r="L45" s="5"/>
      <c r="M45" s="7">
        <v>0</v>
      </c>
      <c r="N45" s="7">
        <v>0</v>
      </c>
      <c r="O45" s="5"/>
    </row>
    <row r="46" spans="1:15" x14ac:dyDescent="0.3">
      <c r="A46" s="5" t="s">
        <v>602</v>
      </c>
      <c r="B46" s="5"/>
      <c r="C46" s="5" t="s">
        <v>674</v>
      </c>
      <c r="D46" s="5"/>
      <c r="E46" s="7">
        <v>100</v>
      </c>
      <c r="F46" s="5" t="s">
        <v>14</v>
      </c>
      <c r="G46" s="5"/>
      <c r="H46" s="5"/>
      <c r="I46" s="5"/>
      <c r="J46" s="14">
        <v>0</v>
      </c>
      <c r="K46" s="12">
        <f t="shared" si="0"/>
        <v>100</v>
      </c>
      <c r="L46" s="5"/>
      <c r="M46" s="7">
        <v>0</v>
      </c>
      <c r="N46" s="7">
        <v>0</v>
      </c>
      <c r="O46" s="5"/>
    </row>
    <row r="47" spans="1:15" x14ac:dyDescent="0.3">
      <c r="A47" s="5" t="s">
        <v>602</v>
      </c>
      <c r="B47" s="5"/>
      <c r="C47" s="5" t="s">
        <v>678</v>
      </c>
      <c r="D47" s="5"/>
      <c r="E47" s="7">
        <v>415</v>
      </c>
      <c r="F47" s="5" t="s">
        <v>14</v>
      </c>
      <c r="G47" s="5"/>
      <c r="H47" s="5"/>
      <c r="I47" s="5"/>
      <c r="J47" s="14">
        <v>0</v>
      </c>
      <c r="K47" s="12">
        <f t="shared" si="0"/>
        <v>415</v>
      </c>
      <c r="L47" s="5"/>
      <c r="M47" s="5">
        <v>0</v>
      </c>
      <c r="N47" s="5">
        <v>0</v>
      </c>
      <c r="O47" s="5"/>
    </row>
    <row r="48" spans="1:15" x14ac:dyDescent="0.3">
      <c r="A48" s="5" t="s">
        <v>602</v>
      </c>
      <c r="B48" s="5"/>
      <c r="C48" s="5" t="s">
        <v>679</v>
      </c>
      <c r="D48" s="5"/>
      <c r="E48" s="7">
        <v>760</v>
      </c>
      <c r="F48" s="5" t="s">
        <v>14</v>
      </c>
      <c r="G48" s="5"/>
      <c r="H48" s="5"/>
      <c r="I48" s="5"/>
      <c r="J48" s="14">
        <v>0</v>
      </c>
      <c r="K48" s="12">
        <f t="shared" si="0"/>
        <v>760</v>
      </c>
      <c r="L48" s="5"/>
      <c r="M48" s="7">
        <v>0</v>
      </c>
      <c r="N48" s="7">
        <v>0</v>
      </c>
      <c r="O48" s="5"/>
    </row>
    <row r="49" spans="1:15" x14ac:dyDescent="0.3">
      <c r="A49" s="5" t="s">
        <v>602</v>
      </c>
      <c r="B49" s="5"/>
      <c r="C49" s="5" t="s">
        <v>679</v>
      </c>
      <c r="D49" s="5"/>
      <c r="E49" s="7">
        <v>80</v>
      </c>
      <c r="F49" s="5" t="s">
        <v>14</v>
      </c>
      <c r="G49" s="5"/>
      <c r="H49" s="5"/>
      <c r="I49" s="5"/>
      <c r="J49" s="14">
        <v>0</v>
      </c>
      <c r="K49" s="12">
        <f t="shared" si="0"/>
        <v>80</v>
      </c>
      <c r="L49" s="5"/>
      <c r="M49" s="5">
        <v>0</v>
      </c>
      <c r="N49" s="5">
        <v>0</v>
      </c>
      <c r="O49" s="5"/>
    </row>
    <row r="50" spans="1:15" x14ac:dyDescent="0.3">
      <c r="A50" s="5" t="s">
        <v>602</v>
      </c>
      <c r="B50" s="5"/>
      <c r="C50" s="5" t="s">
        <v>679</v>
      </c>
      <c r="D50" s="5"/>
      <c r="E50" s="7">
        <v>70</v>
      </c>
      <c r="F50" s="5" t="s">
        <v>14</v>
      </c>
      <c r="G50" s="5"/>
      <c r="H50" s="5"/>
      <c r="I50" s="5"/>
      <c r="J50" s="14">
        <v>0</v>
      </c>
      <c r="K50" s="12">
        <f t="shared" si="0"/>
        <v>70</v>
      </c>
      <c r="L50" s="5"/>
      <c r="M50" s="7">
        <v>0</v>
      </c>
      <c r="N50" s="7">
        <v>0</v>
      </c>
      <c r="O50" s="5"/>
    </row>
    <row r="51" spans="1:15" x14ac:dyDescent="0.3">
      <c r="A51" s="5" t="s">
        <v>603</v>
      </c>
      <c r="B51" s="5"/>
      <c r="C51" s="5" t="s">
        <v>680</v>
      </c>
      <c r="D51" s="5"/>
      <c r="E51" s="7">
        <v>3752</v>
      </c>
      <c r="F51" s="5" t="s">
        <v>14</v>
      </c>
      <c r="G51" s="5"/>
      <c r="H51" s="5"/>
      <c r="I51" s="5"/>
      <c r="J51" s="14">
        <v>0</v>
      </c>
      <c r="K51" s="12">
        <f t="shared" si="0"/>
        <v>3752</v>
      </c>
      <c r="L51" s="5"/>
      <c r="M51" s="5">
        <v>0</v>
      </c>
      <c r="N51" s="5">
        <v>0</v>
      </c>
      <c r="O51" s="5"/>
    </row>
    <row r="52" spans="1:15" ht="15" thickBot="1" x14ac:dyDescent="0.35">
      <c r="A52" s="5" t="s">
        <v>603</v>
      </c>
      <c r="B52" s="5"/>
      <c r="C52" s="5" t="s">
        <v>684</v>
      </c>
      <c r="D52" s="5"/>
      <c r="E52" s="7">
        <v>4806</v>
      </c>
      <c r="F52" s="5" t="s">
        <v>14</v>
      </c>
      <c r="G52" s="5"/>
      <c r="H52" s="5"/>
      <c r="I52" s="5"/>
      <c r="J52" s="14">
        <v>0</v>
      </c>
      <c r="K52" s="12">
        <f t="shared" si="0"/>
        <v>4806</v>
      </c>
      <c r="L52" s="5"/>
      <c r="M52" s="5">
        <v>0</v>
      </c>
      <c r="N52" s="5">
        <v>0</v>
      </c>
      <c r="O52" s="5"/>
    </row>
    <row r="53" spans="1:15" ht="15" thickBot="1" x14ac:dyDescent="0.35">
      <c r="A53" s="3"/>
      <c r="B53" s="3"/>
      <c r="C53" s="3"/>
      <c r="D53" s="3"/>
      <c r="E53" s="128"/>
      <c r="F53" s="3"/>
      <c r="G53" s="3"/>
      <c r="H53" s="3"/>
      <c r="I53" s="3"/>
      <c r="J53" s="257"/>
      <c r="K53" s="258">
        <f>+SUM(K9:K52)</f>
        <v>176007</v>
      </c>
      <c r="L53" s="258">
        <f t="shared" ref="L53:O53" si="2">+SUM(L9:L52)</f>
        <v>0</v>
      </c>
      <c r="M53" s="258">
        <f t="shared" si="2"/>
        <v>8488.4</v>
      </c>
      <c r="N53" s="258">
        <f t="shared" si="2"/>
        <v>8488.4</v>
      </c>
      <c r="O53" s="258">
        <f t="shared" si="2"/>
        <v>0</v>
      </c>
    </row>
  </sheetData>
  <sortState ref="A9:O52">
    <sortCondition descending="1" ref="N9:N5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>
      <selection activeCell="C13" sqref="C13"/>
    </sheetView>
  </sheetViews>
  <sheetFormatPr defaultRowHeight="14.4" x14ac:dyDescent="0.3"/>
  <cols>
    <col min="1" max="1" width="30.33203125" bestFit="1" customWidth="1"/>
    <col min="5" max="5" width="12" customWidth="1"/>
  </cols>
  <sheetData>
    <row r="1" spans="1:23" ht="15" thickTop="1" x14ac:dyDescent="0.3">
      <c r="A1" s="144"/>
      <c r="B1" s="145"/>
      <c r="C1" s="145"/>
      <c r="D1" s="145"/>
      <c r="E1" s="145"/>
      <c r="F1" s="145"/>
      <c r="G1" s="145"/>
      <c r="H1" s="145"/>
      <c r="I1" s="145"/>
      <c r="J1" s="145"/>
      <c r="K1" s="178"/>
      <c r="L1" s="145"/>
      <c r="M1" s="145"/>
      <c r="N1" s="145"/>
      <c r="O1" s="145"/>
      <c r="P1" s="145"/>
      <c r="Q1" s="179"/>
      <c r="R1" s="145"/>
      <c r="S1" s="145"/>
      <c r="T1" s="145"/>
      <c r="U1" s="145"/>
      <c r="V1" s="145"/>
      <c r="W1" s="180"/>
    </row>
    <row r="2" spans="1:23" x14ac:dyDescent="0.3">
      <c r="A2" s="165"/>
      <c r="B2" s="118"/>
      <c r="C2" s="118"/>
      <c r="D2" s="118"/>
      <c r="E2" s="118"/>
      <c r="F2" s="118"/>
      <c r="G2" s="118"/>
      <c r="H2" s="118"/>
      <c r="I2" s="118"/>
      <c r="J2" s="118"/>
      <c r="K2" s="181"/>
      <c r="L2" s="118"/>
      <c r="M2" s="118"/>
      <c r="N2" s="118"/>
      <c r="O2" s="118"/>
      <c r="P2" s="118"/>
      <c r="Q2" s="182"/>
      <c r="R2" s="118"/>
      <c r="S2" s="118"/>
      <c r="T2" s="118"/>
      <c r="U2" s="118"/>
      <c r="V2" s="118"/>
      <c r="W2" s="166"/>
    </row>
    <row r="3" spans="1:23" x14ac:dyDescent="0.3">
      <c r="A3" s="165"/>
      <c r="B3" s="118"/>
      <c r="C3" s="118" t="s">
        <v>584</v>
      </c>
      <c r="D3" s="118"/>
      <c r="E3" s="118"/>
      <c r="F3" s="118"/>
      <c r="G3" s="118"/>
      <c r="H3" s="118"/>
      <c r="I3" s="118"/>
      <c r="J3" s="118"/>
      <c r="K3" s="181"/>
      <c r="L3" s="118"/>
      <c r="M3" s="118"/>
      <c r="N3" s="118"/>
      <c r="O3" s="118"/>
      <c r="P3" s="118"/>
      <c r="Q3" s="182"/>
      <c r="R3" s="118"/>
      <c r="S3" s="118"/>
      <c r="T3" s="118"/>
      <c r="U3" s="118"/>
      <c r="V3" s="118"/>
      <c r="W3" s="166"/>
    </row>
    <row r="4" spans="1:23" ht="15" thickBot="1" x14ac:dyDescent="0.35">
      <c r="A4" s="183"/>
      <c r="B4" s="184"/>
      <c r="C4" s="184"/>
      <c r="D4" s="184"/>
      <c r="E4" s="184"/>
      <c r="F4" s="184"/>
      <c r="G4" s="184"/>
      <c r="H4" s="184"/>
      <c r="I4" s="184"/>
      <c r="J4" s="184"/>
      <c r="K4" s="185"/>
      <c r="L4" s="184"/>
      <c r="M4" s="184"/>
      <c r="N4" s="184"/>
      <c r="O4" s="184"/>
      <c r="P4" s="184"/>
      <c r="Q4" s="186"/>
      <c r="R4" s="184"/>
      <c r="S4" s="184"/>
      <c r="T4" s="184"/>
      <c r="U4" s="184"/>
      <c r="V4" s="184"/>
      <c r="W4" s="187"/>
    </row>
    <row r="5" spans="1:23" ht="15.6" thickTop="1" thickBot="1" x14ac:dyDescent="0.35">
      <c r="A5" s="193" t="s">
        <v>15</v>
      </c>
      <c r="B5" s="193" t="s">
        <v>0</v>
      </c>
      <c r="C5" s="193" t="s">
        <v>16</v>
      </c>
      <c r="D5" s="193" t="s">
        <v>17</v>
      </c>
      <c r="E5" s="193" t="s">
        <v>19</v>
      </c>
      <c r="F5" s="193" t="s">
        <v>26</v>
      </c>
      <c r="G5" s="193" t="s">
        <v>29</v>
      </c>
      <c r="H5" s="193" t="s">
        <v>19</v>
      </c>
      <c r="I5" s="194" t="s">
        <v>58</v>
      </c>
      <c r="J5" s="195" t="s">
        <v>35</v>
      </c>
      <c r="K5" s="196" t="s">
        <v>25</v>
      </c>
      <c r="L5" s="197" t="s">
        <v>1</v>
      </c>
      <c r="M5" s="198" t="s">
        <v>2</v>
      </c>
      <c r="N5" s="198" t="s">
        <v>3</v>
      </c>
      <c r="O5" s="198" t="s">
        <v>4</v>
      </c>
      <c r="P5" s="253" t="s">
        <v>636</v>
      </c>
      <c r="Q5" s="199" t="s">
        <v>7</v>
      </c>
      <c r="R5" s="193" t="s">
        <v>20</v>
      </c>
      <c r="S5" s="193" t="s">
        <v>23</v>
      </c>
      <c r="T5" s="193" t="s">
        <v>8</v>
      </c>
      <c r="U5" s="193" t="s">
        <v>9</v>
      </c>
      <c r="V5" s="193" t="s">
        <v>10</v>
      </c>
      <c r="W5" s="193" t="s">
        <v>31</v>
      </c>
    </row>
    <row r="6" spans="1:23" ht="15" thickBot="1" x14ac:dyDescent="0.35">
      <c r="A6" s="127"/>
      <c r="B6" s="127"/>
      <c r="C6" s="127"/>
      <c r="D6" s="127"/>
      <c r="E6" s="127" t="s">
        <v>18</v>
      </c>
      <c r="F6" s="127" t="s">
        <v>27</v>
      </c>
      <c r="G6" s="127" t="s">
        <v>30</v>
      </c>
      <c r="H6" s="127" t="s">
        <v>28</v>
      </c>
      <c r="I6" s="23"/>
      <c r="J6" s="135" t="s">
        <v>24</v>
      </c>
      <c r="K6" s="134" t="s">
        <v>18</v>
      </c>
      <c r="L6" s="18" t="s">
        <v>18</v>
      </c>
      <c r="M6" s="18" t="s">
        <v>18</v>
      </c>
      <c r="N6" s="18" t="s">
        <v>18</v>
      </c>
      <c r="O6" s="18" t="s">
        <v>18</v>
      </c>
      <c r="P6" s="127" t="s">
        <v>637</v>
      </c>
      <c r="Q6" s="174" t="s">
        <v>33</v>
      </c>
      <c r="R6" s="127" t="s">
        <v>21</v>
      </c>
      <c r="S6" s="127"/>
      <c r="T6" s="127" t="s">
        <v>32</v>
      </c>
      <c r="U6" s="127" t="s">
        <v>32</v>
      </c>
      <c r="V6" s="127" t="s">
        <v>32</v>
      </c>
      <c r="W6" s="127" t="s">
        <v>32</v>
      </c>
    </row>
    <row r="7" spans="1:23" x14ac:dyDescent="0.3">
      <c r="A7" s="5" t="s">
        <v>638</v>
      </c>
      <c r="B7" s="5"/>
      <c r="C7" s="5"/>
      <c r="D7" s="5"/>
      <c r="E7" s="7">
        <v>156130</v>
      </c>
      <c r="F7" s="5"/>
      <c r="G7" s="5"/>
      <c r="H7" s="5"/>
      <c r="I7" s="5"/>
      <c r="J7" s="14"/>
      <c r="K7" s="12"/>
      <c r="L7" s="5"/>
      <c r="M7" s="5"/>
      <c r="N7" s="5"/>
      <c r="O7" s="5"/>
      <c r="P7" s="5"/>
      <c r="Q7" s="5"/>
      <c r="R7" s="17"/>
      <c r="S7" s="5"/>
      <c r="T7" s="7"/>
      <c r="U7" s="7"/>
      <c r="V7" s="7"/>
      <c r="W7" s="7"/>
    </row>
    <row r="8" spans="1:23" x14ac:dyDescent="0.3">
      <c r="A8" s="5" t="s">
        <v>638</v>
      </c>
      <c r="B8" s="5"/>
      <c r="C8" s="5"/>
      <c r="D8" s="5"/>
      <c r="E8" s="7">
        <v>3160</v>
      </c>
      <c r="F8" s="5"/>
      <c r="G8" s="5"/>
      <c r="H8" s="5"/>
      <c r="I8" s="5"/>
      <c r="J8" s="14"/>
      <c r="K8" s="12"/>
      <c r="L8" s="5"/>
      <c r="M8" s="5"/>
      <c r="N8" s="5"/>
      <c r="O8" s="5"/>
      <c r="P8" s="5" t="s">
        <v>637</v>
      </c>
      <c r="Q8" s="5"/>
      <c r="R8" s="17"/>
      <c r="S8" s="5"/>
      <c r="T8" s="7"/>
      <c r="U8" s="7"/>
      <c r="V8" s="7"/>
      <c r="W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SALES</vt:lpstr>
      <vt:lpstr>PARTYWISE SALE</vt:lpstr>
      <vt:lpstr>HSN SALE SUMMERY</vt:lpstr>
      <vt:lpstr>PURCHASE</vt:lpstr>
      <vt:lpstr>PARTYWISE PURCHASE</vt:lpstr>
      <vt:lpstr>RETURN NOT SUBMIT</vt:lpstr>
      <vt:lpstr>HSN PURCHASE SUMMERY</vt:lpstr>
      <vt:lpstr>REVERSE CHARGE MECHANISM </vt:lpstr>
      <vt:lpstr>EXEMPTED NIL NON GST PURCHASE</vt:lpstr>
      <vt:lpstr>RETURN SUMMERY</vt:lpstr>
      <vt:lpstr>B2B</vt:lpstr>
      <vt:lpstr>B2CLARG</vt:lpstr>
      <vt:lpstr>B2CSMALL</vt:lpstr>
      <vt:lpstr>DEBIT CREDIT NOTE</vt:lpstr>
      <vt:lpstr>DEBIT NOTE CREDIT NOTE URD</vt:lpstr>
      <vt:lpstr>EXPORT</vt:lpstr>
      <vt:lpstr>ADVANCE</vt:lpstr>
      <vt:lpstr>ADVANCE ADJ</vt:lpstr>
      <vt:lpstr>EXEMPED NIL RETURN</vt:lpstr>
      <vt:lpstr>HSN SUMMERY</vt:lpstr>
      <vt:lpstr>DOC SUMMERY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2017-10-28T06:05:57Z</dcterms:modified>
</cp:coreProperties>
</file>