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GSTImpact" sheetId="15" r:id="rId1"/>
    <sheet name="MFGExp" sheetId="4" r:id="rId2"/>
    <sheet name="StockTrfr" sheetId="14" r:id="rId3"/>
    <sheet name="GoodsTraded" sheetId="13" r:id="rId4"/>
    <sheet name="Rates-RM" sheetId="1" r:id="rId5"/>
    <sheet name="Audit catalyst cons 09-10" sheetId="6" r:id="rId6"/>
    <sheet name="Bagging" sheetId="7" r:id="rId7"/>
    <sheet name="Packaging" sheetId="8" r:id="rId8"/>
    <sheet name="local" sheetId="2" r:id="rId9"/>
    <sheet name="BScons" sheetId="3" r:id="rId10"/>
    <sheet name="Imported" sheetId="5" r:id="rId11"/>
    <sheet name="salestax" sheetId="9" r:id="rId12"/>
    <sheet name="WCT 09-10" sheetId="10" r:id="rId13"/>
    <sheet name="ENTRY TAX 09-10" sheetId="11" r:id="rId14"/>
    <sheet name="GTA 09-10" sheetId="12" r:id="rId15"/>
  </sheets>
  <externalReferences>
    <externalReference r:id="rId16"/>
  </externalReferences>
  <definedNames>
    <definedName name="_xlnm.Print_Area" localSheetId="5">'Audit catalyst cons 09-10'!$A$1:$F$21</definedName>
    <definedName name="_xlnm.Print_Area" localSheetId="13">'ENTRY TAX 09-10'!$A$2:$F$21</definedName>
    <definedName name="_xlnm.Print_Area" localSheetId="3">GoodsTraded!$A$2:$E$16</definedName>
    <definedName name="_xlnm.Print_Area" localSheetId="0">GSTImpact!$A$2:$H$36</definedName>
    <definedName name="_xlnm.Print_Area" localSheetId="14">'GTA 09-10'!$C$1:$F$19</definedName>
    <definedName name="_xlnm.Print_Area" localSheetId="4">'Rates-RM'!$A$1:$I$17</definedName>
    <definedName name="_xlnm.Print_Area" localSheetId="11">salestax!$A$1:$D$23</definedName>
    <definedName name="_xlnm.Print_Area" localSheetId="12">'WCT 09-10'!$B$3:$D$21</definedName>
  </definedNames>
  <calcPr calcId="124519"/>
</workbook>
</file>

<file path=xl/calcChain.xml><?xml version="1.0" encoding="utf-8"?>
<calcChain xmlns="http://schemas.openxmlformats.org/spreadsheetml/2006/main">
  <c r="H33" i="15"/>
  <c r="H29"/>
  <c r="G29"/>
  <c r="G30"/>
  <c r="G16"/>
  <c r="G17"/>
  <c r="E17"/>
  <c r="E16"/>
  <c r="I13" i="13"/>
  <c r="G13"/>
  <c r="I12"/>
  <c r="I11"/>
  <c r="G8"/>
  <c r="G6"/>
  <c r="G5"/>
  <c r="G10" i="15"/>
  <c r="C6"/>
  <c r="E6"/>
  <c r="G6" s="1"/>
  <c r="E24"/>
  <c r="G24" s="1"/>
  <c r="E23"/>
  <c r="G23" s="1"/>
  <c r="E20"/>
  <c r="G20" s="1"/>
  <c r="E19"/>
  <c r="G19" s="1"/>
  <c r="E18"/>
  <c r="G18" s="1"/>
  <c r="C28"/>
  <c r="F64" i="4"/>
  <c r="C8" i="15" s="1"/>
  <c r="G8" s="1"/>
  <c r="G91" i="14"/>
  <c r="G90"/>
  <c r="G89"/>
  <c r="G88"/>
  <c r="G87"/>
  <c r="G86"/>
  <c r="G85"/>
  <c r="G83"/>
  <c r="G82"/>
  <c r="G81"/>
  <c r="G80"/>
  <c r="G79"/>
  <c r="G78"/>
  <c r="G76"/>
  <c r="G75"/>
  <c r="G74"/>
  <c r="G73"/>
  <c r="G72"/>
  <c r="G71"/>
  <c r="G69"/>
  <c r="G68"/>
  <c r="G67"/>
  <c r="G66"/>
  <c r="G65"/>
  <c r="G64"/>
  <c r="G62"/>
  <c r="G61"/>
  <c r="G60"/>
  <c r="G59"/>
  <c r="G58"/>
  <c r="G57"/>
  <c r="G55"/>
  <c r="G54"/>
  <c r="G53"/>
  <c r="G52"/>
  <c r="G51"/>
  <c r="G50"/>
  <c r="G48"/>
  <c r="G47"/>
  <c r="G46"/>
  <c r="G45"/>
  <c r="G44"/>
  <c r="G43"/>
  <c r="G41"/>
  <c r="G40"/>
  <c r="G39"/>
  <c r="G38"/>
  <c r="G37"/>
  <c r="G36"/>
  <c r="G33"/>
  <c r="G32"/>
  <c r="G31"/>
  <c r="G30"/>
  <c r="G29"/>
  <c r="G28"/>
  <c r="G25"/>
  <c r="G24"/>
  <c r="G23"/>
  <c r="G22"/>
  <c r="G21"/>
  <c r="G20"/>
  <c r="G17"/>
  <c r="G16"/>
  <c r="G15"/>
  <c r="G14"/>
  <c r="G13"/>
  <c r="G12"/>
  <c r="G5"/>
  <c r="G6"/>
  <c r="G7"/>
  <c r="G8"/>
  <c r="G9"/>
  <c r="G4"/>
  <c r="E10" i="13"/>
  <c r="E9"/>
  <c r="E8"/>
  <c r="E7"/>
  <c r="E6"/>
  <c r="E5"/>
  <c r="E4"/>
  <c r="E12"/>
  <c r="E11"/>
  <c r="D13"/>
  <c r="F15" i="4"/>
  <c r="F13"/>
  <c r="F6"/>
  <c r="K12" i="3"/>
  <c r="K11"/>
  <c r="K7"/>
  <c r="K13" s="1"/>
  <c r="K6"/>
  <c r="J8"/>
  <c r="J5"/>
  <c r="J4"/>
  <c r="J6"/>
  <c r="J7"/>
  <c r="J9"/>
  <c r="J10"/>
  <c r="J11"/>
  <c r="J12"/>
  <c r="J3"/>
  <c r="C9" i="15" l="1"/>
  <c r="C11" s="1"/>
  <c r="C14" s="1"/>
  <c r="C29" s="1"/>
  <c r="J13" i="3"/>
  <c r="C58" i="4" l="1"/>
  <c r="F10"/>
  <c r="H20" i="6"/>
  <c r="H17"/>
  <c r="H15"/>
  <c r="H13"/>
  <c r="H11"/>
  <c r="H9"/>
  <c r="H7"/>
  <c r="I17"/>
  <c r="I15"/>
  <c r="I13"/>
  <c r="I11"/>
  <c r="I9"/>
  <c r="I7"/>
  <c r="G48" i="4"/>
  <c r="E22" i="15" s="1"/>
  <c r="G22" s="1"/>
  <c r="F45" i="4"/>
  <c r="F44"/>
  <c r="G43"/>
  <c r="F42" s="1"/>
  <c r="G41"/>
  <c r="F40" s="1"/>
  <c r="E15" i="8"/>
  <c r="D50" i="4"/>
  <c r="F50" s="1"/>
  <c r="D46"/>
  <c r="D39"/>
  <c r="D34"/>
  <c r="F34" s="1"/>
  <c r="D30"/>
  <c r="G32" s="1"/>
  <c r="D25"/>
  <c r="F25" s="1"/>
  <c r="D17"/>
  <c r="D5"/>
  <c r="J20" i="6"/>
  <c r="M17"/>
  <c r="M15"/>
  <c r="M13"/>
  <c r="M11"/>
  <c r="M9"/>
  <c r="M7"/>
  <c r="G17"/>
  <c r="G15"/>
  <c r="G13"/>
  <c r="G11"/>
  <c r="G9"/>
  <c r="G7"/>
  <c r="I20"/>
  <c r="L17"/>
  <c r="K17" s="1"/>
  <c r="L13"/>
  <c r="K13" s="1"/>
  <c r="L9"/>
  <c r="K9" s="1"/>
  <c r="D33" i="7"/>
  <c r="D34" s="1"/>
  <c r="E18" i="12"/>
  <c r="D18"/>
  <c r="C20" i="11"/>
  <c r="D17"/>
  <c r="D20" s="1"/>
  <c r="C20" i="10"/>
  <c r="C21" i="9"/>
  <c r="B21"/>
  <c r="C20"/>
  <c r="B20"/>
  <c r="C19"/>
  <c r="B19"/>
  <c r="C18"/>
  <c r="B18"/>
  <c r="C17"/>
  <c r="B17"/>
  <c r="C16"/>
  <c r="B16"/>
  <c r="C15"/>
  <c r="B15"/>
  <c r="H14"/>
  <c r="C14"/>
  <c r="B14"/>
  <c r="H13"/>
  <c r="C13"/>
  <c r="B13"/>
  <c r="C12"/>
  <c r="B12"/>
  <c r="C11"/>
  <c r="B11"/>
  <c r="C10"/>
  <c r="C23" s="1"/>
  <c r="C25" s="1"/>
  <c r="B10"/>
  <c r="B23" s="1"/>
  <c r="B7"/>
  <c r="D23" s="1"/>
  <c r="D25" s="1"/>
  <c r="E14" i="8"/>
  <c r="C14" i="7"/>
  <c r="C8"/>
  <c r="G24"/>
  <c r="F24"/>
  <c r="E24"/>
  <c r="G19"/>
  <c r="F19"/>
  <c r="E19"/>
  <c r="F14"/>
  <c r="E14"/>
  <c r="F8"/>
  <c r="E8"/>
  <c r="E25" s="1"/>
  <c r="D24"/>
  <c r="D19"/>
  <c r="D13"/>
  <c r="D11"/>
  <c r="G10"/>
  <c r="G14" s="1"/>
  <c r="D5"/>
  <c r="D8" s="1"/>
  <c r="G4"/>
  <c r="G8" s="1"/>
  <c r="J17" i="6"/>
  <c r="J15"/>
  <c r="J13"/>
  <c r="J11"/>
  <c r="J9"/>
  <c r="J7"/>
  <c r="F20"/>
  <c r="D20"/>
  <c r="C18" i="5"/>
  <c r="C12"/>
  <c r="M4" i="1"/>
  <c r="M5"/>
  <c r="M7"/>
  <c r="M8"/>
  <c r="M9"/>
  <c r="M10"/>
  <c r="M11"/>
  <c r="M12"/>
  <c r="M3"/>
  <c r="F8" i="3"/>
  <c r="F5"/>
  <c r="F4"/>
  <c r="F3"/>
  <c r="P10"/>
  <c r="O12"/>
  <c r="O11"/>
  <c r="O9"/>
  <c r="O8"/>
  <c r="O7"/>
  <c r="O6"/>
  <c r="O5"/>
  <c r="O4"/>
  <c r="O3"/>
  <c r="N13"/>
  <c r="E12"/>
  <c r="P12" s="1"/>
  <c r="E11"/>
  <c r="P11" s="1"/>
  <c r="E9"/>
  <c r="P9" s="1"/>
  <c r="E8"/>
  <c r="P8" s="1"/>
  <c r="E7"/>
  <c r="P7" s="1"/>
  <c r="E6"/>
  <c r="P6" s="1"/>
  <c r="E5"/>
  <c r="P5" s="1"/>
  <c r="E4"/>
  <c r="P4" s="1"/>
  <c r="E3"/>
  <c r="P3" s="1"/>
  <c r="D13"/>
  <c r="L4" i="1"/>
  <c r="L5"/>
  <c r="L7"/>
  <c r="L8"/>
  <c r="L9"/>
  <c r="L10"/>
  <c r="L11"/>
  <c r="L12"/>
  <c r="L3"/>
  <c r="F12" i="2"/>
  <c r="F9"/>
  <c r="E9"/>
  <c r="E13" s="1"/>
  <c r="E15" s="1"/>
  <c r="D13"/>
  <c r="C12"/>
  <c r="C9"/>
  <c r="D58" i="4" l="1"/>
  <c r="F47"/>
  <c r="F58"/>
  <c r="G58"/>
  <c r="G66" s="1"/>
  <c r="E21" i="15"/>
  <c r="F31" i="4"/>
  <c r="D30" i="7"/>
  <c r="G25"/>
  <c r="D14"/>
  <c r="D25" s="1"/>
  <c r="D27" s="1"/>
  <c r="F25"/>
  <c r="C25"/>
  <c r="G4" i="3"/>
  <c r="G8"/>
  <c r="G3"/>
  <c r="G5"/>
  <c r="C13" i="5"/>
  <c r="C14" s="1"/>
  <c r="G20" i="6"/>
  <c r="K7"/>
  <c r="K15"/>
  <c r="L7"/>
  <c r="L11"/>
  <c r="K11" s="1"/>
  <c r="L15"/>
  <c r="D10" i="9"/>
  <c r="C13" i="2"/>
  <c r="C15" s="1"/>
  <c r="C17" s="1"/>
  <c r="J14" i="1" s="1"/>
  <c r="D15" i="2"/>
  <c r="F13"/>
  <c r="F15" s="1"/>
  <c r="E17" s="1"/>
  <c r="J13" i="1" s="1"/>
  <c r="G21" i="15" l="1"/>
  <c r="E29"/>
  <c r="D29" i="7"/>
  <c r="D28"/>
  <c r="C16" i="5"/>
  <c r="C20" s="1"/>
  <c r="D11" i="9"/>
  <c r="F10"/>
  <c r="I10"/>
  <c r="I14" i="1"/>
  <c r="F6" i="3" s="1"/>
  <c r="G6" s="1"/>
  <c r="E16" i="2"/>
  <c r="I13" i="1" s="1"/>
  <c r="C23" i="5" l="1"/>
  <c r="J6" i="1" s="1"/>
  <c r="C24" i="5"/>
  <c r="C21"/>
  <c r="I6" i="1" s="1"/>
  <c r="L6" s="1"/>
  <c r="M6" s="1"/>
  <c r="C22" i="5"/>
  <c r="I11" i="9"/>
  <c r="D12"/>
  <c r="F11"/>
  <c r="L14" i="1"/>
  <c r="M14" s="1"/>
  <c r="F7" i="3"/>
  <c r="G7" s="1"/>
  <c r="L13" i="1"/>
  <c r="M13" s="1"/>
  <c r="D13" i="9" l="1"/>
  <c r="F12"/>
  <c r="I12"/>
  <c r="D14" l="1"/>
  <c r="I13"/>
  <c r="F13"/>
  <c r="D15" l="1"/>
  <c r="F14"/>
  <c r="I14"/>
  <c r="I15" l="1"/>
  <c r="D16"/>
  <c r="F15"/>
  <c r="D17" l="1"/>
  <c r="F16"/>
  <c r="I16"/>
  <c r="I17" l="1"/>
  <c r="D18"/>
  <c r="F17"/>
  <c r="D19" l="1"/>
  <c r="F18"/>
  <c r="I18"/>
  <c r="I19" l="1"/>
  <c r="D20"/>
  <c r="F19"/>
  <c r="D21" l="1"/>
  <c r="F20"/>
  <c r="I20"/>
  <c r="I21" l="1"/>
  <c r="F21"/>
</calcChain>
</file>

<file path=xl/sharedStrings.xml><?xml version="1.0" encoding="utf-8"?>
<sst xmlns="http://schemas.openxmlformats.org/spreadsheetml/2006/main" count="571" uniqueCount="327">
  <si>
    <t>Sr.</t>
  </si>
  <si>
    <t>ZIL Name</t>
  </si>
  <si>
    <t>General Name</t>
  </si>
  <si>
    <t>Chemical Name</t>
  </si>
  <si>
    <t>Formula</t>
  </si>
  <si>
    <t>Form</t>
  </si>
  <si>
    <t>Unit</t>
  </si>
  <si>
    <t>Landing Chgs(all incl.) in INR</t>
  </si>
  <si>
    <r>
      <t>Landing Chgs</t>
    </r>
    <r>
      <rPr>
        <b/>
        <sz val="8"/>
        <rFont val="Calibri"/>
        <family val="2"/>
      </rPr>
      <t>(w.o.CD &amp; Other Taxes) in INR</t>
    </r>
  </si>
  <si>
    <t>MOP</t>
  </si>
  <si>
    <t>MOP Total</t>
  </si>
  <si>
    <t>MOP(Plant)</t>
  </si>
  <si>
    <t>MOP(Trading)</t>
  </si>
  <si>
    <t>Muriate of Potash</t>
  </si>
  <si>
    <t>Potassium Oxide</t>
  </si>
  <si>
    <t>K2O</t>
  </si>
  <si>
    <t>PMT</t>
  </si>
  <si>
    <t>P2O5</t>
  </si>
  <si>
    <t>Phosphorous Pentoxide</t>
  </si>
  <si>
    <t>Phosphoric acid</t>
  </si>
  <si>
    <t>Phosphoric Acid</t>
  </si>
  <si>
    <t>H3PO4</t>
  </si>
  <si>
    <t>MAP</t>
  </si>
  <si>
    <t>Mono Ammonium Phosphate</t>
  </si>
  <si>
    <t>AMN</t>
  </si>
  <si>
    <t>Ammonia</t>
  </si>
  <si>
    <t>NH3</t>
  </si>
  <si>
    <t>Gas</t>
  </si>
  <si>
    <t>FO</t>
  </si>
  <si>
    <t>Furnace Oil</t>
  </si>
  <si>
    <t>Liquid</t>
  </si>
  <si>
    <t>Naphtha</t>
  </si>
  <si>
    <t xml:space="preserve">Sulphuric acid </t>
  </si>
  <si>
    <t>H2SO4</t>
  </si>
  <si>
    <t>Filler</t>
  </si>
  <si>
    <t>SOP</t>
  </si>
  <si>
    <t>Sulphate of Potash</t>
  </si>
  <si>
    <t>Avg.Apr-July 2010</t>
  </si>
  <si>
    <t>Remarks</t>
  </si>
  <si>
    <t>Cost Particulars</t>
  </si>
  <si>
    <t>Sr.no.</t>
  </si>
  <si>
    <t>Basic Rate</t>
  </si>
  <si>
    <t>VAT</t>
  </si>
  <si>
    <t>CST</t>
  </si>
  <si>
    <t>Freight</t>
  </si>
  <si>
    <t>Handling</t>
  </si>
  <si>
    <t>GTA</t>
  </si>
  <si>
    <t>UNIT</t>
  </si>
  <si>
    <t>Supplier</t>
  </si>
  <si>
    <t>Place</t>
  </si>
  <si>
    <t>Karnataka</t>
  </si>
  <si>
    <t>Month &amp; Year</t>
  </si>
  <si>
    <t>Totals</t>
  </si>
  <si>
    <t>Sulphuric Acid</t>
  </si>
  <si>
    <t>Sampurna Traders</t>
  </si>
  <si>
    <t>Ideal</t>
  </si>
  <si>
    <t>Mangalore</t>
  </si>
  <si>
    <t>Rate is all inclusive</t>
  </si>
  <si>
    <t>Average(all incl.)</t>
  </si>
  <si>
    <t>Average(excl.taxes)</t>
  </si>
  <si>
    <t>Rate(excl.taxes)</t>
  </si>
  <si>
    <t>Diff</t>
  </si>
  <si>
    <t>Raw Materials</t>
  </si>
  <si>
    <t>Tonnes</t>
  </si>
  <si>
    <t>Rs.in Lacs</t>
  </si>
  <si>
    <t>2009-10</t>
  </si>
  <si>
    <t>2008-09</t>
  </si>
  <si>
    <t>Purchased Urea</t>
  </si>
  <si>
    <t>Pesticides (ltrs)</t>
  </si>
  <si>
    <t>Pesticides (Kgs)</t>
  </si>
  <si>
    <t>diff</t>
  </si>
  <si>
    <t>2010-11</t>
  </si>
  <si>
    <t>% age</t>
  </si>
  <si>
    <t>Imported</t>
  </si>
  <si>
    <t>Imported (No CD)</t>
  </si>
  <si>
    <t>Domestic</t>
  </si>
  <si>
    <t>Particulars</t>
  </si>
  <si>
    <t>Raw Materials Consumed</t>
  </si>
  <si>
    <t>Packing Materials Consumed</t>
  </si>
  <si>
    <t>Job Charges</t>
  </si>
  <si>
    <t>Power,Fuel &amp; Water</t>
  </si>
  <si>
    <t>Stores &amp; Spares Consumed</t>
  </si>
  <si>
    <t>Catalyst Consumed</t>
  </si>
  <si>
    <t>Repairs &amp; Maintenance - Building</t>
  </si>
  <si>
    <t>Repairs &amp; Maintenance - Machinery</t>
  </si>
  <si>
    <t>Repairs &amp; Maintenance - Others</t>
  </si>
  <si>
    <t>Bagging &amp; Other Services</t>
  </si>
  <si>
    <t>Salaries &amp; Wages</t>
  </si>
  <si>
    <t>Contribution to PF &amp; Other Funds</t>
  </si>
  <si>
    <t>Gratuity</t>
  </si>
  <si>
    <t>Staff Welfare Expenses</t>
  </si>
  <si>
    <t>Outward Freight &amp; Handling</t>
  </si>
  <si>
    <t>Rent</t>
  </si>
  <si>
    <t>Lease Rentals</t>
  </si>
  <si>
    <t>Rates &amp; Taxes</t>
  </si>
  <si>
    <t>Insurance</t>
  </si>
  <si>
    <t>Cash Rebate</t>
  </si>
  <si>
    <t>Subsidy Claims Written off</t>
  </si>
  <si>
    <t>Sundry Balances Written off</t>
  </si>
  <si>
    <t>Loss on Fixed Assets Sold (net)</t>
  </si>
  <si>
    <t>Loss on Sale of Current Investments</t>
  </si>
  <si>
    <t>Loss on Sale of Fertliser Bonds</t>
  </si>
  <si>
    <t>Donations</t>
  </si>
  <si>
    <t>Potassium Sulphate</t>
  </si>
  <si>
    <t>RNZ DMCC</t>
  </si>
  <si>
    <t>Dubai</t>
  </si>
  <si>
    <t>Landing Charges</t>
  </si>
  <si>
    <t>Custom Duty</t>
  </si>
  <si>
    <t>B/L Rate</t>
  </si>
  <si>
    <t>Assessable Value</t>
  </si>
  <si>
    <t>Rate of CD</t>
  </si>
  <si>
    <t>CIF Rate</t>
  </si>
  <si>
    <t>C&amp;F charges</t>
  </si>
  <si>
    <t>Bags</t>
  </si>
  <si>
    <t>Qty(MTS)</t>
  </si>
  <si>
    <t>Month/Year</t>
  </si>
  <si>
    <t>CHA Charges</t>
  </si>
  <si>
    <t>PMT(excl.CD)</t>
  </si>
  <si>
    <t>Bags(excl.CD)</t>
  </si>
  <si>
    <t>Basic Value</t>
  </si>
  <si>
    <t>Service Tax</t>
  </si>
  <si>
    <t>PRIMARY REFORMER CATALYST (POTASH BASED)</t>
  </si>
  <si>
    <t>SR.NO:</t>
  </si>
  <si>
    <t>MATERIAL CODE</t>
  </si>
  <si>
    <t>DESCRIPTION</t>
  </si>
  <si>
    <t>QTY</t>
  </si>
  <si>
    <t>GL CODE</t>
  </si>
  <si>
    <t>AMOUNTS</t>
  </si>
  <si>
    <t>PRI REFORMER CATALYST (NON-POTASH BASED)</t>
  </si>
  <si>
    <t>CATALYST HTS COPPER PROMOTED</t>
  </si>
  <si>
    <t>CATALYST Primary Reformer KATALCO 46-3Q</t>
  </si>
  <si>
    <t>CATALYST Primary Reformer KATALCO 46-5Q</t>
  </si>
  <si>
    <t>CATALYST Primary Reformer KATALCO 46-6Q</t>
  </si>
  <si>
    <t>TOTAL</t>
  </si>
  <si>
    <t>Period : 1-4-2009 to 31-3-2010</t>
  </si>
  <si>
    <t>ZIL</t>
  </si>
  <si>
    <t>Rate</t>
  </si>
  <si>
    <t xml:space="preserve">Urea/NPK Bagging </t>
  </si>
  <si>
    <t>Quantity(MT)</t>
  </si>
  <si>
    <t>Filling, weighing &amp; Stiching</t>
  </si>
  <si>
    <t>Amount(Rs.)</t>
  </si>
  <si>
    <t>Handling &amp; Loading</t>
  </si>
  <si>
    <t xml:space="preserve">Service Tax </t>
  </si>
  <si>
    <t>Issues(Shoes,Gloves,Soap,Cloth,etc.)</t>
  </si>
  <si>
    <t>Bagging</t>
  </si>
  <si>
    <t>Additional compensation till sept,09</t>
  </si>
  <si>
    <t>Stacking/Unstacking-shifting Fertilizers within Plant</t>
  </si>
  <si>
    <t>DAP Bagging</t>
  </si>
  <si>
    <t>Potash Feeding</t>
  </si>
  <si>
    <t>Supply of Labour</t>
  </si>
  <si>
    <t>Others(Shovel operator/tipper Hire)</t>
  </si>
  <si>
    <t xml:space="preserve">Off-spec feeding &amp; other expenses </t>
  </si>
  <si>
    <t>Shifting of off-spec material from</t>
  </si>
  <si>
    <t>Shifting of sludge</t>
  </si>
  <si>
    <t>Cleaning of Railway track</t>
  </si>
  <si>
    <t>GL Code</t>
  </si>
  <si>
    <t>Amounts</t>
  </si>
  <si>
    <t>Packing Materials-Pesticides</t>
  </si>
  <si>
    <t>Consumption of Packing Materials-Pesticides</t>
  </si>
  <si>
    <t>Price Variance of Packing Materials-Pesticides</t>
  </si>
  <si>
    <t>Consumption of Packing Materials-Bags</t>
  </si>
  <si>
    <t>Consumption of Packing Materials-Threads</t>
  </si>
  <si>
    <t>Price Variance of Packing Materials-Bags</t>
  </si>
  <si>
    <t>Price Variance of Packing Materials-Threads</t>
  </si>
  <si>
    <t>Scrap Loss</t>
  </si>
  <si>
    <t>Price Variance of Packing Materials-WorksAccounts</t>
  </si>
  <si>
    <t>ZUARI INDUSTRIES LIMITED</t>
  </si>
  <si>
    <t>SALES TAX DETAILS FOR THE YEAR 2009 - 2010</t>
  </si>
  <si>
    <t>SUMMARY</t>
  </si>
  <si>
    <t>Op. Bal :</t>
  </si>
  <si>
    <t>Month</t>
  </si>
  <si>
    <t>Payments(Dr.)</t>
  </si>
  <si>
    <t>Collection(Cr.)</t>
  </si>
  <si>
    <t>Cl. Balance</t>
  </si>
  <si>
    <t>Per Ledger</t>
  </si>
  <si>
    <t>Diff.</t>
  </si>
  <si>
    <t>Per G/L</t>
  </si>
  <si>
    <t xml:space="preserve">ZUARI INDUSTRIES LIMITED </t>
  </si>
  <si>
    <t>WCT 09-10</t>
  </si>
  <si>
    <t xml:space="preserve">MONTH </t>
  </si>
  <si>
    <t>TAX AMT.</t>
  </si>
  <si>
    <t>PAYMENT      DATE</t>
  </si>
  <si>
    <t>APRIL 09</t>
  </si>
  <si>
    <t>MAY 09</t>
  </si>
  <si>
    <t>JUNE 09</t>
  </si>
  <si>
    <t>JULY 09</t>
  </si>
  <si>
    <t>AUG. 09</t>
  </si>
  <si>
    <t>SEPT. 09</t>
  </si>
  <si>
    <t>OCT. 09</t>
  </si>
  <si>
    <t>NOV. 09</t>
  </si>
  <si>
    <t>DEC. 09</t>
  </si>
  <si>
    <t>JAN.10</t>
  </si>
  <si>
    <t>FEB. 10</t>
  </si>
  <si>
    <t>MARCH. 10</t>
  </si>
  <si>
    <t>30.04.10</t>
  </si>
  <si>
    <t>Zuari Industries Limited</t>
  </si>
  <si>
    <t xml:space="preserve">ENTRTY TAX -FY 09-10 </t>
  </si>
  <si>
    <t>MONTH</t>
  </si>
  <si>
    <t>YR 09-10 (Payable)</t>
  </si>
  <si>
    <t>PAID</t>
  </si>
  <si>
    <t>APR.</t>
  </si>
  <si>
    <t>MAY.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</si>
  <si>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</si>
  <si>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</si>
  <si>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</si>
  <si>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</si>
  <si>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</si>
  <si>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</si>
  <si>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</si>
  <si>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</si>
  <si>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</si>
  <si>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</si>
  <si>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30.04.2010</t>
  </si>
  <si>
    <t>YEAR 2009-10</t>
  </si>
  <si>
    <t>GTA PAYMENT</t>
  </si>
  <si>
    <t>GTA LIABILITY</t>
  </si>
  <si>
    <t>Apr. 09</t>
  </si>
  <si>
    <t>May</t>
  </si>
  <si>
    <t>Jun</t>
  </si>
  <si>
    <t>Jul</t>
  </si>
  <si>
    <t>Aug</t>
  </si>
  <si>
    <t>Sep</t>
  </si>
  <si>
    <t>Oct</t>
  </si>
  <si>
    <t>Nov</t>
  </si>
  <si>
    <t>Dec</t>
  </si>
  <si>
    <t>Jan. 10</t>
  </si>
  <si>
    <t>Feb</t>
  </si>
  <si>
    <t>Mar</t>
  </si>
  <si>
    <t>Rate of a Bag (incl.of CST)</t>
  </si>
  <si>
    <t>Rate of a Bag (excl.of CST)</t>
  </si>
  <si>
    <t>Value of Bags</t>
  </si>
  <si>
    <t>Miscellaneous Expenses</t>
  </si>
  <si>
    <t>Excise</t>
  </si>
  <si>
    <t>(all incl.)</t>
  </si>
  <si>
    <t>(excl.taxes)</t>
  </si>
  <si>
    <t>Material Consumption</t>
  </si>
  <si>
    <t>A</t>
  </si>
  <si>
    <t>B</t>
  </si>
  <si>
    <t>Manpower Cost</t>
  </si>
  <si>
    <t>C</t>
  </si>
  <si>
    <t>D</t>
  </si>
  <si>
    <t>Processing Cost</t>
  </si>
  <si>
    <t>E</t>
  </si>
  <si>
    <t>In-Direct Overheads</t>
  </si>
  <si>
    <t>Direct Manufacturing Overheads</t>
  </si>
  <si>
    <t>Selling &amp; Distribution Cost</t>
  </si>
  <si>
    <t>F</t>
  </si>
  <si>
    <t>G</t>
  </si>
  <si>
    <t>Accounting Overheads</t>
  </si>
  <si>
    <t>Sub Totals</t>
  </si>
  <si>
    <t>Value of Goods</t>
  </si>
  <si>
    <t>Value of Services</t>
  </si>
  <si>
    <t>Break-up into Goods; Services &amp; Indirect Tax</t>
  </si>
  <si>
    <t>Misc.Expenses</t>
  </si>
  <si>
    <t>Excise Duty</t>
  </si>
  <si>
    <t>Packing Mat. Consumption</t>
  </si>
  <si>
    <t>Direct Mfg. Overheads</t>
  </si>
  <si>
    <t>Dimunition of Fertiliser Bonds</t>
  </si>
  <si>
    <t>H</t>
  </si>
  <si>
    <t>Works Contract Tax</t>
  </si>
  <si>
    <t>Totals As Per B/S</t>
  </si>
  <si>
    <t>Manufacturing &amp; Other Expenses                                    For the Year 2009-10</t>
  </si>
  <si>
    <t>Entry Tax</t>
  </si>
  <si>
    <t>Customs Duty</t>
  </si>
  <si>
    <t>Cduty(%)</t>
  </si>
  <si>
    <t>CST(%)</t>
  </si>
  <si>
    <t>CD (Amount)</t>
  </si>
  <si>
    <t>CST Amount</t>
  </si>
  <si>
    <t>Customs Duty (exempt)</t>
  </si>
  <si>
    <t>Goods</t>
  </si>
  <si>
    <t>Value</t>
  </si>
  <si>
    <t>Urea</t>
  </si>
  <si>
    <t>DAP</t>
  </si>
  <si>
    <t>SS Phosphate</t>
  </si>
  <si>
    <t>Pesticides (Ltrs.)</t>
  </si>
  <si>
    <t>Pesticides (Kgs.)</t>
  </si>
  <si>
    <t>Seeds</t>
  </si>
  <si>
    <t>Bio-phos</t>
  </si>
  <si>
    <t>VAT Paid in Different States</t>
  </si>
  <si>
    <t>Excise Duty Paid on CO2 (as per B/S)</t>
  </si>
  <si>
    <t xml:space="preserve">Indirect Tax Effect Currently </t>
  </si>
  <si>
    <t>Total Indirect Tax</t>
  </si>
  <si>
    <t>Quantity</t>
  </si>
  <si>
    <t>Samparanna</t>
  </si>
  <si>
    <t>Samrat</t>
  </si>
  <si>
    <t>Samarth</t>
  </si>
  <si>
    <t>Stock Transfer</t>
  </si>
  <si>
    <t>Stock Transfer Details for 2009-10</t>
  </si>
  <si>
    <t>As per B/S</t>
  </si>
  <si>
    <t>Gross Totals (As Per B/S)</t>
  </si>
  <si>
    <t>Totals (As Per B/S)</t>
  </si>
  <si>
    <r>
      <t xml:space="preserve">Rate of a Bag (incl.of CST) - </t>
    </r>
    <r>
      <rPr>
        <b/>
        <sz val="11"/>
        <color theme="1"/>
        <rFont val="Calibri"/>
        <family val="2"/>
        <scheme val="minor"/>
      </rPr>
      <t>As per Invoice</t>
    </r>
  </si>
  <si>
    <t>Profit &amp; Loss A/C for the Year Ended 31st March 2010</t>
  </si>
  <si>
    <t>Rs.In Lacs</t>
  </si>
  <si>
    <t>INCOME</t>
  </si>
  <si>
    <t>EXPENDITURE</t>
  </si>
  <si>
    <t>Sales</t>
  </si>
  <si>
    <t>Less : Excise Duty</t>
  </si>
  <si>
    <t>Sales (net)</t>
  </si>
  <si>
    <t>Intrerest on Fertiliser GOI Bonds</t>
  </si>
  <si>
    <t>Other Income</t>
  </si>
  <si>
    <t>Purchase of Finished Goods for Re-Sale</t>
  </si>
  <si>
    <t>Manufacturing &amp; Other Expenses</t>
  </si>
  <si>
    <t>(increase)/decrease in Stocks</t>
  </si>
  <si>
    <t>Depreciation / Amortisation</t>
  </si>
  <si>
    <t>Interest</t>
  </si>
  <si>
    <t>TOTALS</t>
  </si>
  <si>
    <t>Profit Before Tax</t>
  </si>
  <si>
    <t>Nature of Tax</t>
  </si>
  <si>
    <t>Amount of Tax</t>
  </si>
  <si>
    <t xml:space="preserve">CST </t>
  </si>
  <si>
    <t>Subsidy on Fertiliser</t>
  </si>
  <si>
    <t>Total Taxes</t>
  </si>
  <si>
    <t>GST</t>
  </si>
  <si>
    <t>offset</t>
  </si>
  <si>
    <t>Less:Stock Transfer</t>
  </si>
  <si>
    <t>Total GST</t>
  </si>
  <si>
    <t>Current In-Direct Taxes</t>
  </si>
  <si>
    <t>GST (April 2011 Onwards)</t>
  </si>
  <si>
    <t xml:space="preserve">Amount </t>
  </si>
  <si>
    <t>Tax Savings/ (Excesses)</t>
  </si>
  <si>
    <t>Notes:-</t>
  </si>
  <si>
    <t>Custom Duty will not be offset</t>
  </si>
  <si>
    <t>All types of Indirect Taxes</t>
  </si>
  <si>
    <t>will be merged in GST</t>
  </si>
  <si>
    <t>GST balance will be C/F</t>
  </si>
  <si>
    <t>GST Rate is assumed as 5% so that amount to be offset can be matched to the existing taxes</t>
  </si>
</sst>
</file>

<file path=xl/styles.xml><?xml version="1.0" encoding="utf-8"?>
<styleSheet xmlns="http://schemas.openxmlformats.org/spreadsheetml/2006/main">
  <numFmts count="6">
    <numFmt numFmtId="44" formatCode="_ &quot;Rs.&quot;\ * #,##0.00_ ;_ &quot;Rs.&quot;\ * \-#,##0.00_ ;_ &quot;Rs.&quot;\ * &quot;-&quot;??_ ;_ @_ "/>
    <numFmt numFmtId="43" formatCode="_ * #,##0.00_ ;_ * \-#,##0.00_ ;_ * &quot;-&quot;??_ ;_ @_ "/>
    <numFmt numFmtId="164" formatCode="_(* #,##0.00_);_(* \(#,##0.00\);_(* &quot;-&quot;??_);_(@_)"/>
    <numFmt numFmtId="165" formatCode="&quot;$&quot;#,##0\ ;\(&quot;$&quot;#,##0\)"/>
    <numFmt numFmtId="166" formatCode="&quot;Rs.&quot;#,##0.00\ ;\(&quot;Rs.&quot;#,##0.00\)"/>
    <numFmt numFmtId="167" formatCode="&quot;Rs.&quot;\ #,##0.00"/>
  </numFmts>
  <fonts count="20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u/>
      <sz val="14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9" fontId="2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0" fontId="1" fillId="0" borderId="0"/>
    <xf numFmtId="4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195">
    <xf numFmtId="0" fontId="0" fillId="0" borderId="0" xfId="0"/>
    <xf numFmtId="0" fontId="5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0" borderId="1" xfId="12" applyFont="1" applyBorder="1" applyAlignment="1">
      <alignment vertical="top"/>
    </xf>
    <xf numFmtId="4" fontId="4" fillId="0" borderId="1" xfId="14" applyNumberFormat="1" applyFont="1" applyBorder="1" applyAlignment="1">
      <alignment vertical="top"/>
    </xf>
    <xf numFmtId="0" fontId="4" fillId="0" borderId="1" xfId="14" applyFont="1" applyBorder="1" applyAlignment="1">
      <alignment vertical="top"/>
    </xf>
    <xf numFmtId="0" fontId="4" fillId="0" borderId="1" xfId="22" applyFont="1" applyBorder="1" applyAlignment="1">
      <alignment vertical="top" wrapText="1"/>
    </xf>
    <xf numFmtId="0" fontId="4" fillId="0" borderId="1" xfId="9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4" fillId="0" borderId="1" xfId="16" applyFont="1" applyBorder="1" applyAlignment="1">
      <alignment vertical="top"/>
    </xf>
    <xf numFmtId="4" fontId="4" fillId="0" borderId="1" xfId="16" applyNumberFormat="1" applyFont="1" applyBorder="1" applyAlignment="1">
      <alignment vertical="top"/>
    </xf>
    <xf numFmtId="0" fontId="4" fillId="0" borderId="1" xfId="18" applyFont="1" applyBorder="1" applyAlignment="1">
      <alignment vertical="top"/>
    </xf>
    <xf numFmtId="0" fontId="4" fillId="0" borderId="1" xfId="22" applyFont="1" applyBorder="1" applyAlignment="1">
      <alignment vertical="top"/>
    </xf>
    <xf numFmtId="0" fontId="4" fillId="0" borderId="1" xfId="24" applyFont="1" applyBorder="1" applyAlignment="1">
      <alignment vertical="top"/>
    </xf>
    <xf numFmtId="4" fontId="4" fillId="0" borderId="1" xfId="24" applyNumberFormat="1" applyFont="1" applyBorder="1" applyAlignment="1">
      <alignment vertical="top"/>
    </xf>
    <xf numFmtId="43" fontId="4" fillId="0" borderId="1" xfId="24" applyNumberFormat="1" applyFont="1" applyBorder="1" applyAlignment="1">
      <alignment vertical="top"/>
    </xf>
    <xf numFmtId="0" fontId="4" fillId="0" borderId="1" xfId="26" applyFont="1" applyBorder="1" applyAlignment="1">
      <alignment vertical="top"/>
    </xf>
    <xf numFmtId="0" fontId="4" fillId="0" borderId="1" xfId="28" applyFont="1" applyBorder="1" applyAlignment="1">
      <alignment vertical="top"/>
    </xf>
    <xf numFmtId="43" fontId="0" fillId="0" borderId="0" xfId="0" applyNumberFormat="1"/>
    <xf numFmtId="0" fontId="7" fillId="0" borderId="1" xfId="0" applyFont="1" applyBorder="1"/>
    <xf numFmtId="0" fontId="0" fillId="0" borderId="1" xfId="0" applyBorder="1"/>
    <xf numFmtId="43" fontId="0" fillId="0" borderId="1" xfId="29" applyFont="1" applyBorder="1"/>
    <xf numFmtId="0" fontId="7" fillId="0" borderId="1" xfId="0" applyFont="1" applyBorder="1" applyAlignment="1">
      <alignment horizontal="center"/>
    </xf>
    <xf numFmtId="43" fontId="0" fillId="0" borderId="1" xfId="0" applyNumberFormat="1" applyBorder="1" applyAlignment="1">
      <alignment vertical="top"/>
    </xf>
    <xf numFmtId="43" fontId="0" fillId="0" borderId="1" xfId="0" applyNumberFormat="1" applyBorder="1"/>
    <xf numFmtId="43" fontId="4" fillId="0" borderId="1" xfId="26" applyNumberFormat="1" applyFont="1" applyBorder="1" applyAlignment="1">
      <alignment vertical="top"/>
    </xf>
    <xf numFmtId="4" fontId="0" fillId="0" borderId="1" xfId="0" applyNumberFormat="1" applyBorder="1"/>
    <xf numFmtId="43" fontId="7" fillId="0" borderId="1" xfId="29" applyFont="1" applyBorder="1"/>
    <xf numFmtId="164" fontId="0" fillId="0" borderId="1" xfId="0" applyNumberFormat="1" applyBorder="1"/>
    <xf numFmtId="0" fontId="7" fillId="0" borderId="2" xfId="0" applyFont="1" applyFill="1" applyBorder="1"/>
    <xf numFmtId="10" fontId="4" fillId="0" borderId="1" xfId="14" applyNumberFormat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29" applyFont="1" applyBorder="1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43" fontId="0" fillId="0" borderId="1" xfId="0" applyNumberFormat="1" applyFon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9" fontId="0" fillId="0" borderId="1" xfId="29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0" fontId="8" fillId="0" borderId="1" xfId="0" applyFont="1" applyBorder="1"/>
    <xf numFmtId="0" fontId="7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29" applyFont="1" applyFill="1" applyBorder="1"/>
    <xf numFmtId="43" fontId="9" fillId="0" borderId="1" xfId="29" applyFont="1" applyBorder="1"/>
    <xf numFmtId="43" fontId="8" fillId="0" borderId="1" xfId="29" applyFont="1" applyBorder="1"/>
    <xf numFmtId="43" fontId="8" fillId="0" borderId="1" xfId="29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11" fillId="0" borderId="1" xfId="0" applyNumberFormat="1" applyFont="1" applyBorder="1" applyAlignment="1">
      <alignment horizontal="center" vertical="top" wrapText="1"/>
    </xf>
    <xf numFmtId="0" fontId="12" fillId="0" borderId="1" xfId="0" applyFont="1" applyBorder="1"/>
    <xf numFmtId="0" fontId="10" fillId="0" borderId="1" xfId="0" applyFont="1" applyBorder="1"/>
    <xf numFmtId="43" fontId="7" fillId="0" borderId="1" xfId="0" applyNumberFormat="1" applyFont="1" applyBorder="1"/>
    <xf numFmtId="0" fontId="12" fillId="0" borderId="1" xfId="0" applyFont="1" applyBorder="1" applyAlignment="1">
      <alignment horizontal="left"/>
    </xf>
    <xf numFmtId="164" fontId="0" fillId="0" borderId="1" xfId="30" applyFont="1" applyBorder="1"/>
    <xf numFmtId="164" fontId="7" fillId="0" borderId="1" xfId="0" applyNumberFormat="1" applyFont="1" applyBorder="1" applyAlignment="1">
      <alignment horizontal="center"/>
    </xf>
    <xf numFmtId="0" fontId="2" fillId="0" borderId="0" xfId="31" applyAlignment="1">
      <alignment horizontal="left" vertical="center"/>
    </xf>
    <xf numFmtId="0" fontId="14" fillId="0" borderId="0" xfId="31" applyFont="1" applyAlignment="1">
      <alignment vertical="center"/>
    </xf>
    <xf numFmtId="0" fontId="13" fillId="0" borderId="0" xfId="31" applyFont="1" applyAlignment="1">
      <alignment horizontal="center" vertical="center"/>
    </xf>
    <xf numFmtId="0" fontId="2" fillId="0" borderId="0" xfId="31" applyAlignment="1">
      <alignment vertical="center"/>
    </xf>
    <xf numFmtId="164" fontId="0" fillId="0" borderId="0" xfId="30" applyFont="1" applyAlignment="1">
      <alignment vertical="center"/>
    </xf>
    <xf numFmtId="164" fontId="15" fillId="0" borderId="0" xfId="30" applyFont="1" applyAlignment="1">
      <alignment vertical="center"/>
    </xf>
    <xf numFmtId="164" fontId="16" fillId="0" borderId="0" xfId="30" applyFont="1" applyAlignment="1">
      <alignment vertical="center"/>
    </xf>
    <xf numFmtId="164" fontId="17" fillId="0" borderId="0" xfId="30" applyFont="1" applyAlignment="1">
      <alignment vertical="center"/>
    </xf>
    <xf numFmtId="164" fontId="17" fillId="0" borderId="0" xfId="31" applyNumberFormat="1" applyFont="1" applyAlignment="1">
      <alignment vertical="center"/>
    </xf>
    <xf numFmtId="164" fontId="16" fillId="0" borderId="1" xfId="30" applyFont="1" applyBorder="1" applyAlignment="1">
      <alignment vertical="center"/>
    </xf>
    <xf numFmtId="164" fontId="15" fillId="0" borderId="1" xfId="30" applyFont="1" applyBorder="1" applyAlignment="1">
      <alignment horizontal="center" vertical="center"/>
    </xf>
    <xf numFmtId="164" fontId="15" fillId="0" borderId="0" xfId="30" applyFont="1" applyAlignment="1">
      <alignment horizontal="center" vertical="center"/>
    </xf>
    <xf numFmtId="0" fontId="15" fillId="0" borderId="0" xfId="31" applyFont="1" applyAlignment="1">
      <alignment horizontal="center" vertical="center"/>
    </xf>
    <xf numFmtId="0" fontId="18" fillId="0" borderId="0" xfId="31" applyFont="1" applyAlignment="1">
      <alignment horizontal="center" vertical="center"/>
    </xf>
    <xf numFmtId="17" fontId="17" fillId="0" borderId="1" xfId="30" applyNumberFormat="1" applyFont="1" applyBorder="1" applyAlignment="1">
      <alignment horizontal="left" vertical="center"/>
    </xf>
    <xf numFmtId="164" fontId="17" fillId="0" borderId="1" xfId="30" applyFont="1" applyBorder="1" applyAlignment="1">
      <alignment vertical="center"/>
    </xf>
    <xf numFmtId="164" fontId="2" fillId="0" borderId="0" xfId="31" applyNumberFormat="1" applyAlignment="1">
      <alignment vertical="center"/>
    </xf>
    <xf numFmtId="0" fontId="17" fillId="0" borderId="0" xfId="31" applyFont="1" applyAlignment="1">
      <alignment vertical="center"/>
    </xf>
    <xf numFmtId="0" fontId="17" fillId="0" borderId="1" xfId="31" applyFont="1" applyBorder="1" applyAlignment="1">
      <alignment vertical="center"/>
    </xf>
    <xf numFmtId="164" fontId="16" fillId="0" borderId="1" xfId="31" applyNumberFormat="1" applyFont="1" applyBorder="1" applyAlignment="1">
      <alignment vertical="center"/>
    </xf>
    <xf numFmtId="2" fontId="2" fillId="0" borderId="0" xfId="31" applyNumberFormat="1" applyAlignment="1">
      <alignment vertical="center"/>
    </xf>
    <xf numFmtId="0" fontId="2" fillId="0" borderId="0" xfId="31"/>
    <xf numFmtId="0" fontId="18" fillId="0" borderId="0" xfId="31" applyFont="1"/>
    <xf numFmtId="0" fontId="16" fillId="0" borderId="1" xfId="31" applyFont="1" applyBorder="1" applyAlignment="1">
      <alignment horizontal="center" vertical="center"/>
    </xf>
    <xf numFmtId="0" fontId="16" fillId="0" borderId="1" xfId="31" applyFont="1" applyBorder="1" applyAlignment="1">
      <alignment horizontal="center" vertical="center" wrapText="1"/>
    </xf>
    <xf numFmtId="0" fontId="17" fillId="0" borderId="2" xfId="31" applyFont="1" applyBorder="1"/>
    <xf numFmtId="0" fontId="17" fillId="0" borderId="3" xfId="31" applyFont="1" applyBorder="1"/>
    <xf numFmtId="49" fontId="17" fillId="0" borderId="2" xfId="31" applyNumberFormat="1" applyFont="1" applyBorder="1"/>
    <xf numFmtId="0" fontId="17" fillId="0" borderId="2" xfId="31" applyFont="1" applyBorder="1" applyAlignment="1">
      <alignment horizontal="center"/>
    </xf>
    <xf numFmtId="0" fontId="2" fillId="0" borderId="4" xfId="31" applyBorder="1"/>
    <xf numFmtId="0" fontId="16" fillId="0" borderId="5" xfId="31" applyFont="1" applyBorder="1"/>
    <xf numFmtId="0" fontId="2" fillId="0" borderId="6" xfId="31" applyBorder="1"/>
    <xf numFmtId="0" fontId="2" fillId="0" borderId="7" xfId="31" applyBorder="1"/>
    <xf numFmtId="0" fontId="16" fillId="0" borderId="0" xfId="31" applyFont="1"/>
    <xf numFmtId="0" fontId="19" fillId="0" borderId="0" xfId="31" applyFont="1"/>
    <xf numFmtId="0" fontId="18" fillId="0" borderId="1" xfId="31" applyFont="1" applyBorder="1"/>
    <xf numFmtId="16" fontId="18" fillId="0" borderId="1" xfId="31" applyNumberFormat="1" applyFont="1" applyBorder="1"/>
    <xf numFmtId="0" fontId="18" fillId="0" borderId="1" xfId="31" applyFont="1" applyBorder="1" applyAlignment="1">
      <alignment horizontal="center" vertical="center"/>
    </xf>
    <xf numFmtId="0" fontId="2" fillId="0" borderId="3" xfId="31" applyBorder="1"/>
    <xf numFmtId="0" fontId="18" fillId="0" borderId="0" xfId="31" applyFont="1" applyAlignment="1">
      <alignment horizontal="center"/>
    </xf>
    <xf numFmtId="0" fontId="18" fillId="0" borderId="3" xfId="31" applyFont="1" applyBorder="1" applyAlignment="1">
      <alignment horizontal="center"/>
    </xf>
    <xf numFmtId="0" fontId="2" fillId="0" borderId="2" xfId="31" applyBorder="1"/>
    <xf numFmtId="0" fontId="18" fillId="0" borderId="8" xfId="31" applyFont="1" applyBorder="1"/>
    <xf numFmtId="0" fontId="2" fillId="0" borderId="9" xfId="31" applyBorder="1"/>
    <xf numFmtId="0" fontId="2" fillId="0" borderId="0" xfId="31" applyFont="1"/>
    <xf numFmtId="0" fontId="18" fillId="0" borderId="10" xfId="31" applyFont="1" applyBorder="1"/>
    <xf numFmtId="10" fontId="8" fillId="0" borderId="1" xfId="0" applyNumberFormat="1" applyFont="1" applyBorder="1"/>
    <xf numFmtId="44" fontId="0" fillId="0" borderId="1" xfId="0" applyNumberFormat="1" applyBorder="1"/>
    <xf numFmtId="43" fontId="0" fillId="0" borderId="0" xfId="29" applyFont="1"/>
    <xf numFmtId="44" fontId="7" fillId="0" borderId="1" xfId="0" applyNumberFormat="1" applyFont="1" applyBorder="1"/>
    <xf numFmtId="10" fontId="0" fillId="0" borderId="0" xfId="0" applyNumberFormat="1"/>
    <xf numFmtId="0" fontId="7" fillId="0" borderId="3" xfId="0" applyFont="1" applyBorder="1"/>
    <xf numFmtId="43" fontId="2" fillId="0" borderId="5" xfId="29" applyFont="1" applyBorder="1"/>
    <xf numFmtId="0" fontId="7" fillId="2" borderId="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/>
    </xf>
    <xf numFmtId="0" fontId="0" fillId="2" borderId="1" xfId="0" applyFill="1" applyBorder="1"/>
    <xf numFmtId="0" fontId="7" fillId="2" borderId="1" xfId="0" applyFont="1" applyFill="1" applyBorder="1"/>
    <xf numFmtId="43" fontId="7" fillId="2" borderId="1" xfId="29" applyFont="1" applyFill="1" applyBorder="1"/>
    <xf numFmtId="10" fontId="0" fillId="0" borderId="1" xfId="0" applyNumberFormat="1" applyBorder="1"/>
    <xf numFmtId="0" fontId="7" fillId="0" borderId="0" xfId="0" applyFont="1" applyBorder="1" applyAlignment="1">
      <alignment horizontal="center"/>
    </xf>
    <xf numFmtId="164" fontId="0" fillId="0" borderId="0" xfId="0" applyNumberFormat="1" applyBorder="1"/>
    <xf numFmtId="10" fontId="0" fillId="0" borderId="0" xfId="0" applyNumberFormat="1" applyBorder="1"/>
    <xf numFmtId="0" fontId="0" fillId="0" borderId="0" xfId="0" applyBorder="1"/>
    <xf numFmtId="44" fontId="7" fillId="2" borderId="1" xfId="0" applyNumberFormat="1" applyFont="1" applyFill="1" applyBorder="1"/>
    <xf numFmtId="21" fontId="0" fillId="0" borderId="1" xfId="0" applyNumberFormat="1" applyBorder="1" applyAlignment="1">
      <alignment horizontal="left"/>
    </xf>
    <xf numFmtId="17" fontId="7" fillId="0" borderId="1" xfId="0" applyNumberFormat="1" applyFont="1" applyBorder="1" applyAlignment="1">
      <alignment horizontal="left"/>
    </xf>
    <xf numFmtId="0" fontId="0" fillId="3" borderId="1" xfId="0" applyFill="1" applyBorder="1"/>
    <xf numFmtId="0" fontId="7" fillId="3" borderId="1" xfId="0" applyFont="1" applyFill="1" applyBorder="1"/>
    <xf numFmtId="43" fontId="7" fillId="3" borderId="1" xfId="29" applyFont="1" applyFill="1" applyBorder="1"/>
    <xf numFmtId="44" fontId="7" fillId="3" borderId="1" xfId="0" applyNumberFormat="1" applyFont="1" applyFill="1" applyBorder="1"/>
    <xf numFmtId="0" fontId="7" fillId="0" borderId="1" xfId="0" applyFont="1" applyFill="1" applyBorder="1" applyAlignment="1">
      <alignment horizontal="center"/>
    </xf>
    <xf numFmtId="164" fontId="0" fillId="0" borderId="1" xfId="0" applyNumberFormat="1" applyFont="1" applyBorder="1"/>
    <xf numFmtId="0" fontId="0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43" fontId="0" fillId="0" borderId="1" xfId="29" applyFont="1" applyBorder="1" applyAlignment="1">
      <alignment vertical="top" wrapText="1"/>
    </xf>
    <xf numFmtId="166" fontId="0" fillId="0" borderId="1" xfId="0" applyNumberFormat="1" applyFont="1" applyBorder="1"/>
    <xf numFmtId="0" fontId="0" fillId="2" borderId="1" xfId="0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0" fillId="4" borderId="1" xfId="0" applyFill="1" applyBorder="1"/>
    <xf numFmtId="0" fontId="7" fillId="4" borderId="1" xfId="0" applyFont="1" applyFill="1" applyBorder="1"/>
    <xf numFmtId="43" fontId="7" fillId="4" borderId="1" xfId="29" applyFont="1" applyFill="1" applyBorder="1"/>
    <xf numFmtId="0" fontId="7" fillId="4" borderId="1" xfId="0" applyFont="1" applyFill="1" applyBorder="1" applyAlignment="1">
      <alignment horizontal="center"/>
    </xf>
    <xf numFmtId="44" fontId="7" fillId="4" borderId="1" xfId="0" applyNumberFormat="1" applyFont="1" applyFill="1" applyBorder="1"/>
    <xf numFmtId="166" fontId="7" fillId="4" borderId="1" xfId="0" applyNumberFormat="1" applyFont="1" applyFill="1" applyBorder="1"/>
    <xf numFmtId="167" fontId="7" fillId="4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/>
    <xf numFmtId="9" fontId="0" fillId="0" borderId="1" xfId="0" applyNumberFormat="1" applyBorder="1"/>
    <xf numFmtId="10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vertical="top" wrapText="1"/>
    </xf>
    <xf numFmtId="166" fontId="0" fillId="0" borderId="1" xfId="0" applyNumberFormat="1" applyFont="1" applyBorder="1" applyAlignment="1">
      <alignment vertical="top"/>
    </xf>
    <xf numFmtId="9" fontId="0" fillId="0" borderId="0" xfId="0" applyNumberFormat="1"/>
    <xf numFmtId="44" fontId="0" fillId="0" borderId="0" xfId="0" applyNumberFormat="1"/>
    <xf numFmtId="0" fontId="0" fillId="0" borderId="1" xfId="0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43" fontId="0" fillId="0" borderId="1" xfId="2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vertical="center" wrapText="1"/>
    </xf>
    <xf numFmtId="43" fontId="0" fillId="0" borderId="1" xfId="29" applyFont="1" applyBorder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44" fontId="0" fillId="0" borderId="3" xfId="0" applyNumberForma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43" fontId="6" fillId="0" borderId="3" xfId="29" applyFont="1" applyBorder="1" applyAlignment="1">
      <alignment horizontal="center" vertical="center"/>
    </xf>
    <xf numFmtId="43" fontId="6" fillId="0" borderId="2" xfId="29" applyFont="1" applyBorder="1" applyAlignment="1">
      <alignment horizontal="center" vertical="center"/>
    </xf>
    <xf numFmtId="43" fontId="6" fillId="0" borderId="8" xfId="29" applyFont="1" applyBorder="1" applyAlignment="1">
      <alignment horizontal="center" vertical="center"/>
    </xf>
    <xf numFmtId="43" fontId="7" fillId="0" borderId="3" xfId="29" applyFont="1" applyBorder="1" applyAlignment="1">
      <alignment horizontal="center" vertical="center"/>
    </xf>
    <xf numFmtId="43" fontId="7" fillId="0" borderId="2" xfId="29" applyFont="1" applyBorder="1" applyAlignment="1">
      <alignment horizontal="center" vertical="center"/>
    </xf>
    <xf numFmtId="43" fontId="7" fillId="0" borderId="8" xfId="29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3" fontId="0" fillId="0" borderId="3" xfId="29" applyFont="1" applyBorder="1" applyAlignment="1">
      <alignment horizontal="center" vertical="center"/>
    </xf>
    <xf numFmtId="43" fontId="0" fillId="0" borderId="8" xfId="29" applyFont="1" applyBorder="1" applyAlignment="1">
      <alignment horizontal="center" vertical="center"/>
    </xf>
    <xf numFmtId="43" fontId="0" fillId="0" borderId="2" xfId="29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3" fillId="0" borderId="0" xfId="31" applyFont="1" applyAlignment="1">
      <alignment horizontal="center" vertical="center"/>
    </xf>
    <xf numFmtId="164" fontId="13" fillId="0" borderId="0" xfId="30" applyFont="1" applyAlignment="1">
      <alignment horizontal="center" vertical="center"/>
    </xf>
    <xf numFmtId="0" fontId="16" fillId="0" borderId="0" xfId="31" applyFont="1" applyAlignment="1">
      <alignment horizontal="center"/>
    </xf>
    <xf numFmtId="0" fontId="19" fillId="0" borderId="0" xfId="31" applyFont="1" applyAlignment="1">
      <alignment horizontal="center"/>
    </xf>
  </cellXfs>
  <cellStyles count="32">
    <cellStyle name="Comma" xfId="29" builtinId="3"/>
    <cellStyle name="Comma 2" xfId="30"/>
    <cellStyle name="Comma 2 10" xfId="21"/>
    <cellStyle name="Comma 2 11" xfId="23"/>
    <cellStyle name="Comma 2 12" xfId="25"/>
    <cellStyle name="Comma 2 13" xfId="27"/>
    <cellStyle name="Comma 2 2" xfId="2"/>
    <cellStyle name="Comma 2 3" xfId="10"/>
    <cellStyle name="Comma 2 4" xfId="11"/>
    <cellStyle name="Comma 2 5" xfId="13"/>
    <cellStyle name="Comma 2 6" xfId="15"/>
    <cellStyle name="Comma 2 7" xfId="17"/>
    <cellStyle name="Comma 2 8" xfId="19"/>
    <cellStyle name="Comma 2 9" xfId="20"/>
    <cellStyle name="Comma 3" xfId="3"/>
    <cellStyle name="Comma 4" xfId="4"/>
    <cellStyle name="Comma0" xfId="5"/>
    <cellStyle name="Currency0" xfId="6"/>
    <cellStyle name="Date" xfId="7"/>
    <cellStyle name="Fixed" xfId="8"/>
    <cellStyle name="Normal" xfId="0" builtinId="0"/>
    <cellStyle name="Normal 10" xfId="22"/>
    <cellStyle name="Normal 11" xfId="24"/>
    <cellStyle name="Normal 12" xfId="26"/>
    <cellStyle name="Normal 13" xfId="28"/>
    <cellStyle name="Normal 2" xfId="1"/>
    <cellStyle name="Normal 3" xfId="9"/>
    <cellStyle name="Normal 4" xfId="12"/>
    <cellStyle name="Normal 5" xfId="14"/>
    <cellStyle name="Normal 6" xfId="16"/>
    <cellStyle name="Normal 7" xfId="18"/>
    <cellStyle name="Normal 8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bu/Documents/VAT/regionalstax2009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putcredit"/>
      <sheetName val="SUMMARY"/>
      <sheetName val="MAHARASHTRA"/>
      <sheetName val="KARNATAKA"/>
      <sheetName val="AP"/>
      <sheetName val="GOA"/>
      <sheetName val="GUJ"/>
      <sheetName val="TN"/>
      <sheetName val="MP"/>
      <sheetName val="UP"/>
      <sheetName val="KERALA"/>
      <sheetName val="Sheet10"/>
      <sheetName val="Sheet4"/>
      <sheetName val="Sheet15"/>
      <sheetName val="Sheet1"/>
    </sheetNames>
    <sheetDataSet>
      <sheetData sheetId="0" refreshError="1"/>
      <sheetData sheetId="1"/>
      <sheetData sheetId="2">
        <row r="3">
          <cell r="B3">
            <v>23549902.890000001</v>
          </cell>
        </row>
        <row r="5">
          <cell r="B5">
            <v>23549928</v>
          </cell>
          <cell r="C5">
            <v>22053463.380000003</v>
          </cell>
        </row>
        <row r="6">
          <cell r="B6">
            <v>22203873</v>
          </cell>
          <cell r="C6">
            <v>30042108.099999998</v>
          </cell>
        </row>
        <row r="7">
          <cell r="B7">
            <v>30042107</v>
          </cell>
          <cell r="C7">
            <v>15035474.120000001</v>
          </cell>
        </row>
        <row r="8">
          <cell r="B8">
            <v>14885200</v>
          </cell>
          <cell r="C8">
            <v>9912492.9499999993</v>
          </cell>
        </row>
        <row r="9">
          <cell r="B9">
            <v>10449629</v>
          </cell>
          <cell r="C9">
            <v>19182315</v>
          </cell>
        </row>
        <row r="10">
          <cell r="B10">
            <v>18995804</v>
          </cell>
          <cell r="C10">
            <v>22440611</v>
          </cell>
        </row>
        <row r="11">
          <cell r="B11">
            <v>22089976</v>
          </cell>
          <cell r="C11">
            <v>22964194</v>
          </cell>
        </row>
        <row r="12">
          <cell r="B12">
            <v>22964194</v>
          </cell>
          <cell r="C12">
            <v>29008880</v>
          </cell>
        </row>
        <row r="13">
          <cell r="B13">
            <v>29008880</v>
          </cell>
          <cell r="C13">
            <v>25213954</v>
          </cell>
        </row>
        <row r="14">
          <cell r="B14">
            <v>25213954</v>
          </cell>
          <cell r="C14">
            <v>14734677</v>
          </cell>
        </row>
        <row r="15">
          <cell r="B15">
            <v>9369020</v>
          </cell>
          <cell r="C15">
            <v>24069307</v>
          </cell>
        </row>
        <row r="16">
          <cell r="B16">
            <v>20226380</v>
          </cell>
          <cell r="C16">
            <v>23374212.559999999</v>
          </cell>
        </row>
      </sheetData>
      <sheetData sheetId="3">
        <row r="3">
          <cell r="B3">
            <v>8457564.8800000008</v>
          </cell>
        </row>
        <row r="5">
          <cell r="B5">
            <v>8466784</v>
          </cell>
          <cell r="C5">
            <v>11809396.409999998</v>
          </cell>
        </row>
        <row r="6">
          <cell r="B6">
            <v>11869700</v>
          </cell>
          <cell r="C6">
            <v>22320443.690000001</v>
          </cell>
        </row>
        <row r="7">
          <cell r="B7">
            <v>22320444</v>
          </cell>
          <cell r="C7">
            <v>16270732.140000001</v>
          </cell>
        </row>
        <row r="8">
          <cell r="B8">
            <v>16210428</v>
          </cell>
          <cell r="C8">
            <v>11647013.800000001</v>
          </cell>
        </row>
        <row r="9">
          <cell r="B9">
            <v>12030971</v>
          </cell>
          <cell r="C9">
            <v>13227321</v>
          </cell>
        </row>
        <row r="10">
          <cell r="B10">
            <v>13210209</v>
          </cell>
          <cell r="C10">
            <v>21242787</v>
          </cell>
        </row>
        <row r="11">
          <cell r="B11">
            <v>20562000</v>
          </cell>
          <cell r="C11">
            <v>17349561</v>
          </cell>
        </row>
        <row r="12">
          <cell r="B12">
            <v>16031898</v>
          </cell>
          <cell r="C12">
            <v>19680217</v>
          </cell>
        </row>
        <row r="13">
          <cell r="B13">
            <v>19511340</v>
          </cell>
          <cell r="C13">
            <v>13463942</v>
          </cell>
        </row>
        <row r="14">
          <cell r="B14">
            <v>12589626</v>
          </cell>
          <cell r="C14">
            <v>14305522</v>
          </cell>
        </row>
        <row r="15">
          <cell r="B15">
            <v>14031431</v>
          </cell>
          <cell r="C15">
            <v>22178827</v>
          </cell>
        </row>
        <row r="16">
          <cell r="B16">
            <v>22104919</v>
          </cell>
          <cell r="C16">
            <v>11384425.08</v>
          </cell>
        </row>
      </sheetData>
      <sheetData sheetId="4">
        <row r="3">
          <cell r="B3">
            <v>3830395.8499999996</v>
          </cell>
        </row>
        <row r="5">
          <cell r="B5">
            <v>3871131</v>
          </cell>
          <cell r="C5">
            <v>1236185.81</v>
          </cell>
        </row>
        <row r="6">
          <cell r="B6">
            <v>1267186</v>
          </cell>
          <cell r="C6">
            <v>2681663.6999999997</v>
          </cell>
        </row>
        <row r="7">
          <cell r="B7">
            <v>3514482</v>
          </cell>
          <cell r="C7">
            <v>4577185.8999999994</v>
          </cell>
        </row>
        <row r="8">
          <cell r="B8">
            <v>3661954</v>
          </cell>
          <cell r="C8">
            <v>4798596.93</v>
          </cell>
        </row>
        <row r="9">
          <cell r="B9">
            <v>5001051</v>
          </cell>
          <cell r="C9">
            <v>1344098.2</v>
          </cell>
        </row>
        <row r="10">
          <cell r="B10">
            <v>1343730</v>
          </cell>
          <cell r="C10">
            <v>7977328.2000000002</v>
          </cell>
        </row>
        <row r="11">
          <cell r="B11">
            <v>7932639</v>
          </cell>
          <cell r="C11">
            <v>5954149.3799999999</v>
          </cell>
        </row>
        <row r="12">
          <cell r="B12">
            <v>5955198</v>
          </cell>
          <cell r="C12">
            <v>3771404.8</v>
          </cell>
        </row>
        <row r="13">
          <cell r="B13">
            <v>3775646</v>
          </cell>
          <cell r="C13">
            <v>4982243.03</v>
          </cell>
        </row>
        <row r="14">
          <cell r="B14">
            <v>4986667</v>
          </cell>
          <cell r="C14">
            <v>5349408.16</v>
          </cell>
        </row>
        <row r="15">
          <cell r="B15">
            <v>5355176</v>
          </cell>
          <cell r="C15">
            <v>8429427.7599999998</v>
          </cell>
        </row>
        <row r="16">
          <cell r="B16">
            <v>7930548</v>
          </cell>
          <cell r="C16">
            <v>2771446.2800000003</v>
          </cell>
        </row>
      </sheetData>
      <sheetData sheetId="5">
        <row r="3">
          <cell r="B3">
            <v>0.2</v>
          </cell>
        </row>
        <row r="5">
          <cell r="B5">
            <v>0</v>
          </cell>
          <cell r="C5">
            <v>167921</v>
          </cell>
        </row>
        <row r="6">
          <cell r="B6">
            <v>0</v>
          </cell>
          <cell r="C6">
            <v>292882.2</v>
          </cell>
        </row>
        <row r="7">
          <cell r="B7">
            <v>0</v>
          </cell>
          <cell r="C7">
            <v>953427.2</v>
          </cell>
        </row>
        <row r="8">
          <cell r="B8">
            <v>1414230</v>
          </cell>
          <cell r="C8">
            <v>769785.68</v>
          </cell>
        </row>
        <row r="9">
          <cell r="B9">
            <v>0</v>
          </cell>
          <cell r="C9">
            <v>790271</v>
          </cell>
        </row>
        <row r="10">
          <cell r="B10">
            <v>0</v>
          </cell>
          <cell r="C10">
            <v>366475</v>
          </cell>
        </row>
        <row r="11">
          <cell r="B11">
            <v>282874</v>
          </cell>
          <cell r="C11">
            <v>187819</v>
          </cell>
        </row>
        <row r="12">
          <cell r="B12">
            <v>61032</v>
          </cell>
          <cell r="C12">
            <v>177035.77000000002</v>
          </cell>
        </row>
        <row r="13">
          <cell r="B13">
            <v>98770</v>
          </cell>
          <cell r="C13">
            <v>420247.38</v>
          </cell>
        </row>
        <row r="14">
          <cell r="B14">
            <v>2288294</v>
          </cell>
          <cell r="C14">
            <v>492194.95</v>
          </cell>
        </row>
        <row r="15">
          <cell r="B15">
            <v>341363</v>
          </cell>
          <cell r="C15">
            <v>399364.79</v>
          </cell>
        </row>
        <row r="16">
          <cell r="B16">
            <v>879455.78999999992</v>
          </cell>
          <cell r="C16">
            <v>348594.62</v>
          </cell>
        </row>
      </sheetData>
      <sheetData sheetId="6">
        <row r="5">
          <cell r="C5">
            <v>0</v>
          </cell>
        </row>
        <row r="6">
          <cell r="B6">
            <v>0</v>
          </cell>
          <cell r="C6">
            <v>326257</v>
          </cell>
        </row>
        <row r="7">
          <cell r="B7">
            <v>0</v>
          </cell>
          <cell r="C7">
            <v>76500</v>
          </cell>
        </row>
        <row r="8">
          <cell r="B8">
            <v>805514</v>
          </cell>
        </row>
        <row r="9">
          <cell r="B9">
            <v>0</v>
          </cell>
        </row>
        <row r="10">
          <cell r="B10">
            <v>0</v>
          </cell>
          <cell r="C10">
            <v>456779</v>
          </cell>
        </row>
        <row r="11">
          <cell r="B11">
            <v>54022</v>
          </cell>
          <cell r="C11">
            <v>51485</v>
          </cell>
        </row>
        <row r="12">
          <cell r="B12">
            <v>51485</v>
          </cell>
          <cell r="C12">
            <v>46631</v>
          </cell>
        </row>
        <row r="13">
          <cell r="B13">
            <v>46631</v>
          </cell>
          <cell r="C13">
            <v>0</v>
          </cell>
        </row>
        <row r="14">
          <cell r="B14">
            <v>0</v>
          </cell>
          <cell r="C14">
            <v>0</v>
          </cell>
        </row>
        <row r="15">
          <cell r="B15">
            <v>0</v>
          </cell>
          <cell r="C15">
            <v>122853</v>
          </cell>
        </row>
        <row r="16">
          <cell r="B16">
            <v>122853</v>
          </cell>
          <cell r="C16">
            <v>53548</v>
          </cell>
        </row>
      </sheetData>
      <sheetData sheetId="7">
        <row r="3">
          <cell r="B3">
            <v>2722514.69</v>
          </cell>
        </row>
        <row r="5">
          <cell r="B5">
            <v>2722829</v>
          </cell>
          <cell r="C5">
            <v>998024.21</v>
          </cell>
        </row>
        <row r="6">
          <cell r="B6">
            <v>998025</v>
          </cell>
          <cell r="C6">
            <v>792826.45</v>
          </cell>
        </row>
        <row r="7">
          <cell r="B7">
            <v>792827</v>
          </cell>
          <cell r="C7">
            <v>1285236.83</v>
          </cell>
        </row>
        <row r="8">
          <cell r="B8">
            <v>1285237</v>
          </cell>
          <cell r="C8">
            <v>799001.99</v>
          </cell>
        </row>
        <row r="9">
          <cell r="B9">
            <v>798689</v>
          </cell>
          <cell r="C9">
            <v>357690</v>
          </cell>
        </row>
        <row r="10">
          <cell r="B10">
            <v>357690</v>
          </cell>
          <cell r="C10">
            <v>563411</v>
          </cell>
        </row>
        <row r="11">
          <cell r="B11">
            <v>563411</v>
          </cell>
          <cell r="C11">
            <v>699758</v>
          </cell>
        </row>
        <row r="12">
          <cell r="B12">
            <v>699758</v>
          </cell>
          <cell r="C12">
            <v>1077416</v>
          </cell>
        </row>
        <row r="13">
          <cell r="B13">
            <v>1077416</v>
          </cell>
          <cell r="C13">
            <v>556764</v>
          </cell>
        </row>
        <row r="14">
          <cell r="B14">
            <v>556764</v>
          </cell>
          <cell r="C14">
            <v>943778</v>
          </cell>
        </row>
        <row r="15">
          <cell r="B15">
            <v>943778</v>
          </cell>
          <cell r="C15">
            <v>2722059</v>
          </cell>
        </row>
        <row r="16">
          <cell r="B16">
            <v>2722059</v>
          </cell>
          <cell r="C16">
            <v>1865836.83</v>
          </cell>
        </row>
      </sheetData>
      <sheetData sheetId="8">
        <row r="12">
          <cell r="C12">
            <v>1157569</v>
          </cell>
        </row>
        <row r="13">
          <cell r="B13">
            <v>1157569</v>
          </cell>
        </row>
      </sheetData>
      <sheetData sheetId="9">
        <row r="12">
          <cell r="C12">
            <v>223201</v>
          </cell>
        </row>
        <row r="13">
          <cell r="B13">
            <v>223201</v>
          </cell>
        </row>
      </sheetData>
      <sheetData sheetId="10">
        <row r="3">
          <cell r="B3">
            <v>0</v>
          </cell>
        </row>
        <row r="10">
          <cell r="C10">
            <v>183376</v>
          </cell>
        </row>
        <row r="11">
          <cell r="B11">
            <v>183376</v>
          </cell>
          <cell r="C11">
            <v>728961</v>
          </cell>
        </row>
        <row r="12">
          <cell r="B12">
            <v>728961</v>
          </cell>
          <cell r="C12">
            <v>97960</v>
          </cell>
        </row>
        <row r="13">
          <cell r="B13">
            <v>97960</v>
          </cell>
          <cell r="C13">
            <v>18760</v>
          </cell>
        </row>
        <row r="14">
          <cell r="B14">
            <v>18760</v>
          </cell>
          <cell r="C14">
            <v>2734</v>
          </cell>
        </row>
        <row r="15">
          <cell r="B15">
            <v>2734</v>
          </cell>
          <cell r="C15">
            <v>37215</v>
          </cell>
        </row>
        <row r="16">
          <cell r="B16">
            <v>37215</v>
          </cell>
          <cell r="C16">
            <v>77784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6"/>
  <sheetViews>
    <sheetView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H33" sqref="H33"/>
    </sheetView>
  </sheetViews>
  <sheetFormatPr defaultRowHeight="15"/>
  <cols>
    <col min="1" max="1" width="6.140625" bestFit="1" customWidth="1"/>
    <col min="2" max="2" width="29.42578125" customWidth="1"/>
    <col min="3" max="3" width="11.5703125" bestFit="1" customWidth="1"/>
    <col min="4" max="4" width="18.140625" bestFit="1" customWidth="1"/>
    <col min="5" max="5" width="14" bestFit="1" customWidth="1"/>
    <col min="6" max="6" width="13.28515625" bestFit="1" customWidth="1"/>
    <col min="7" max="7" width="14.42578125" bestFit="1" customWidth="1"/>
    <col min="8" max="8" width="13.140625" bestFit="1" customWidth="1"/>
  </cols>
  <sheetData>
    <row r="2" spans="1:8" ht="30">
      <c r="A2" s="138"/>
      <c r="B2" s="139" t="s">
        <v>292</v>
      </c>
      <c r="C2" s="151" t="s">
        <v>65</v>
      </c>
      <c r="D2" s="161" t="s">
        <v>317</v>
      </c>
      <c r="E2" s="161"/>
      <c r="F2" s="161" t="s">
        <v>318</v>
      </c>
      <c r="G2" s="161"/>
      <c r="H2" s="139" t="s">
        <v>320</v>
      </c>
    </row>
    <row r="3" spans="1:8">
      <c r="A3" s="147"/>
      <c r="B3" s="147"/>
      <c r="C3" s="147"/>
      <c r="D3" s="148" t="s">
        <v>308</v>
      </c>
      <c r="E3" s="148" t="s">
        <v>309</v>
      </c>
      <c r="F3" s="148" t="s">
        <v>308</v>
      </c>
      <c r="G3" s="148" t="s">
        <v>309</v>
      </c>
      <c r="H3" s="148" t="s">
        <v>319</v>
      </c>
    </row>
    <row r="4" spans="1:8">
      <c r="A4" s="149" t="s">
        <v>40</v>
      </c>
      <c r="B4" s="149" t="s">
        <v>76</v>
      </c>
      <c r="C4" s="149" t="s">
        <v>293</v>
      </c>
      <c r="D4" s="150"/>
      <c r="E4" s="149" t="s">
        <v>293</v>
      </c>
      <c r="F4" s="150"/>
      <c r="G4" s="149" t="s">
        <v>293</v>
      </c>
      <c r="H4" s="149" t="s">
        <v>293</v>
      </c>
    </row>
    <row r="5" spans="1:8">
      <c r="A5" s="21"/>
      <c r="B5" s="152" t="s">
        <v>294</v>
      </c>
      <c r="C5" s="21"/>
      <c r="D5" s="21"/>
      <c r="E5" s="21"/>
      <c r="F5" s="21"/>
      <c r="G5" s="21"/>
      <c r="H5" s="21"/>
    </row>
    <row r="6" spans="1:8">
      <c r="A6" s="21">
        <v>1</v>
      </c>
      <c r="B6" s="133" t="s">
        <v>296</v>
      </c>
      <c r="C6" s="22">
        <f>135984.42+17.63</f>
        <v>136002.05000000002</v>
      </c>
      <c r="D6" s="21" t="s">
        <v>42</v>
      </c>
      <c r="E6" s="108">
        <f>+MFGExp!G62</f>
        <v>5284.7444927999995</v>
      </c>
      <c r="F6" s="135" t="s">
        <v>313</v>
      </c>
      <c r="G6" s="137">
        <f>(+C6-E6)*5%</f>
        <v>6535.8652753600009</v>
      </c>
      <c r="H6" s="137"/>
    </row>
    <row r="7" spans="1:8">
      <c r="A7" s="135">
        <v>2</v>
      </c>
      <c r="B7" s="135" t="s">
        <v>311</v>
      </c>
      <c r="C7" s="136">
        <v>291770.13</v>
      </c>
      <c r="D7" s="21"/>
      <c r="E7" s="108"/>
      <c r="F7" s="135"/>
      <c r="G7" s="25"/>
      <c r="H7" s="21"/>
    </row>
    <row r="8" spans="1:8">
      <c r="A8" s="21">
        <v>3</v>
      </c>
      <c r="B8" s="135" t="s">
        <v>286</v>
      </c>
      <c r="C8" s="22">
        <f>+MFGExp!F64</f>
        <v>75694.030138499991</v>
      </c>
      <c r="D8" s="21"/>
      <c r="E8" s="108">
        <v>0</v>
      </c>
      <c r="F8" s="135" t="s">
        <v>313</v>
      </c>
      <c r="G8" s="137">
        <f>-+C8*5%</f>
        <v>-3784.7015069249996</v>
      </c>
      <c r="H8" s="137"/>
    </row>
    <row r="9" spans="1:8">
      <c r="A9" s="135">
        <v>4</v>
      </c>
      <c r="B9" s="135" t="s">
        <v>315</v>
      </c>
      <c r="C9" s="132">
        <f>-C8</f>
        <v>-75694.030138499991</v>
      </c>
      <c r="D9" s="21"/>
      <c r="E9" s="108"/>
      <c r="F9" s="135"/>
      <c r="G9" s="25"/>
      <c r="H9" s="21"/>
    </row>
    <row r="10" spans="1:8">
      <c r="A10" s="21">
        <v>5</v>
      </c>
      <c r="B10" s="21" t="s">
        <v>297</v>
      </c>
      <c r="C10" s="132">
        <v>-17.63</v>
      </c>
      <c r="D10" s="21" t="s">
        <v>254</v>
      </c>
      <c r="E10" s="108">
        <v>17.63</v>
      </c>
      <c r="F10" s="21" t="s">
        <v>314</v>
      </c>
      <c r="G10" s="137">
        <f>-E10</f>
        <v>-17.63</v>
      </c>
      <c r="H10" s="137"/>
    </row>
    <row r="11" spans="1:8">
      <c r="A11" s="135">
        <v>6</v>
      </c>
      <c r="B11" s="21" t="s">
        <v>298</v>
      </c>
      <c r="C11" s="28">
        <f>+SUM(C6:C10)</f>
        <v>427754.55000000005</v>
      </c>
      <c r="D11" s="21"/>
      <c r="E11" s="21"/>
      <c r="F11" s="21"/>
      <c r="G11" s="21"/>
      <c r="H11" s="21"/>
    </row>
    <row r="12" spans="1:8">
      <c r="A12" s="21">
        <v>7</v>
      </c>
      <c r="B12" s="21" t="s">
        <v>299</v>
      </c>
      <c r="C12" s="22">
        <v>2940.02</v>
      </c>
      <c r="D12" s="21"/>
      <c r="E12" s="21"/>
      <c r="F12" s="21"/>
      <c r="G12" s="21"/>
      <c r="H12" s="21"/>
    </row>
    <row r="13" spans="1:8">
      <c r="A13" s="135">
        <v>8</v>
      </c>
      <c r="B13" s="21" t="s">
        <v>300</v>
      </c>
      <c r="C13" s="22">
        <v>7331.19</v>
      </c>
      <c r="D13" s="21"/>
      <c r="E13" s="21"/>
      <c r="F13" s="21"/>
      <c r="G13" s="21"/>
      <c r="H13" s="21"/>
    </row>
    <row r="14" spans="1:8">
      <c r="A14" s="21"/>
      <c r="B14" s="20" t="s">
        <v>306</v>
      </c>
      <c r="C14" s="28">
        <f>+SUM(C11:C13)</f>
        <v>438025.76000000007</v>
      </c>
      <c r="D14" s="21"/>
      <c r="E14" s="21"/>
      <c r="F14" s="21"/>
      <c r="G14" s="21"/>
      <c r="H14" s="21"/>
    </row>
    <row r="15" spans="1:8">
      <c r="A15" s="21"/>
      <c r="B15" s="152" t="s">
        <v>295</v>
      </c>
      <c r="C15" s="22"/>
      <c r="D15" s="21"/>
      <c r="E15" s="21"/>
      <c r="F15" s="21"/>
      <c r="G15" s="21"/>
      <c r="H15" s="21"/>
    </row>
    <row r="16" spans="1:8" ht="30" customHeight="1">
      <c r="A16" s="165">
        <v>9</v>
      </c>
      <c r="B16" s="164" t="s">
        <v>301</v>
      </c>
      <c r="C16" s="166">
        <v>137535.51999999999</v>
      </c>
      <c r="D16" s="135" t="s">
        <v>263</v>
      </c>
      <c r="E16" s="156">
        <f>+GoodsTraded!G13</f>
        <v>6324.4534305847928</v>
      </c>
      <c r="F16" s="135" t="s">
        <v>263</v>
      </c>
      <c r="G16" s="157">
        <f>+E16</f>
        <v>6324.4534305847928</v>
      </c>
      <c r="H16" s="21"/>
    </row>
    <row r="17" spans="1:8">
      <c r="A17" s="165"/>
      <c r="B17" s="164"/>
      <c r="C17" s="166"/>
      <c r="D17" s="21" t="s">
        <v>310</v>
      </c>
      <c r="E17" s="156">
        <f>+GoodsTraded!I13</f>
        <v>6.3009803921568626</v>
      </c>
      <c r="F17" s="21" t="s">
        <v>314</v>
      </c>
      <c r="G17" s="137">
        <f t="shared" ref="G17:G24" si="0">-E17</f>
        <v>-6.3009803921568626</v>
      </c>
      <c r="H17" s="21"/>
    </row>
    <row r="18" spans="1:8">
      <c r="A18" s="160">
        <v>10</v>
      </c>
      <c r="B18" s="163" t="s">
        <v>302</v>
      </c>
      <c r="C18" s="162">
        <v>259321.33</v>
      </c>
      <c r="D18" s="21" t="s">
        <v>263</v>
      </c>
      <c r="E18" s="108">
        <f>+MFGExp!G7</f>
        <v>5360.9859645735669</v>
      </c>
      <c r="F18" s="21" t="s">
        <v>263</v>
      </c>
      <c r="G18" s="137">
        <f>+E18</f>
        <v>5360.9859645735669</v>
      </c>
      <c r="H18" s="137"/>
    </row>
    <row r="19" spans="1:8">
      <c r="A19" s="160"/>
      <c r="B19" s="163"/>
      <c r="C19" s="162"/>
      <c r="D19" s="21" t="s">
        <v>254</v>
      </c>
      <c r="E19" s="108">
        <f>+MFGExp!G11</f>
        <v>28.391113765923222</v>
      </c>
      <c r="F19" s="21" t="s">
        <v>314</v>
      </c>
      <c r="G19" s="137">
        <f t="shared" si="0"/>
        <v>-28.391113765923222</v>
      </c>
      <c r="H19" s="137"/>
    </row>
    <row r="20" spans="1:8">
      <c r="A20" s="160"/>
      <c r="B20" s="163"/>
      <c r="C20" s="162"/>
      <c r="D20" s="21" t="s">
        <v>310</v>
      </c>
      <c r="E20" s="108">
        <f>+MFGExp!G8+MFGExp!G12+MFGExp!G16+MFGExp!G19+MFGExp!G22</f>
        <v>255.85619998286396</v>
      </c>
      <c r="F20" s="21" t="s">
        <v>314</v>
      </c>
      <c r="G20" s="137">
        <f t="shared" si="0"/>
        <v>-255.85619998286396</v>
      </c>
      <c r="H20" s="137"/>
    </row>
    <row r="21" spans="1:8">
      <c r="A21" s="160"/>
      <c r="B21" s="163"/>
      <c r="C21" s="162"/>
      <c r="D21" s="21" t="s">
        <v>120</v>
      </c>
      <c r="E21" s="108">
        <f>+MFGExp!G24+MFGExp!G32+MFGExp!G41+MFGExp!G43</f>
        <v>239.1884781027471</v>
      </c>
      <c r="F21" s="21" t="s">
        <v>314</v>
      </c>
      <c r="G21" s="137">
        <f t="shared" si="0"/>
        <v>-239.1884781027471</v>
      </c>
      <c r="H21" s="137"/>
    </row>
    <row r="22" spans="1:8">
      <c r="A22" s="160"/>
      <c r="B22" s="163"/>
      <c r="C22" s="162"/>
      <c r="D22" s="21" t="s">
        <v>46</v>
      </c>
      <c r="E22" s="108">
        <f>+MFGExp!G48</f>
        <v>138.95416</v>
      </c>
      <c r="F22" s="21" t="s">
        <v>314</v>
      </c>
      <c r="G22" s="137">
        <f t="shared" si="0"/>
        <v>-138.95416</v>
      </c>
      <c r="H22" s="137"/>
    </row>
    <row r="23" spans="1:8">
      <c r="A23" s="160"/>
      <c r="B23" s="163"/>
      <c r="C23" s="162"/>
      <c r="D23" s="21" t="s">
        <v>262</v>
      </c>
      <c r="E23" s="108">
        <f>+MFGExp!G9</f>
        <v>7849.3820999999998</v>
      </c>
      <c r="F23" s="21" t="s">
        <v>314</v>
      </c>
      <c r="G23" s="137">
        <f t="shared" si="0"/>
        <v>-7849.3820999999998</v>
      </c>
      <c r="H23" s="137"/>
    </row>
    <row r="24" spans="1:8">
      <c r="A24" s="160"/>
      <c r="B24" s="163"/>
      <c r="C24" s="162"/>
      <c r="D24" s="21" t="s">
        <v>259</v>
      </c>
      <c r="E24" s="108">
        <f>+MFGExp!G33</f>
        <v>7.5481299999999996</v>
      </c>
      <c r="F24" s="21" t="s">
        <v>314</v>
      </c>
      <c r="G24" s="137">
        <f t="shared" si="0"/>
        <v>-7.5481299999999996</v>
      </c>
      <c r="H24" s="137"/>
    </row>
    <row r="25" spans="1:8">
      <c r="A25" s="21">
        <v>11</v>
      </c>
      <c r="B25" s="21" t="s">
        <v>303</v>
      </c>
      <c r="C25" s="22">
        <v>15533.23</v>
      </c>
      <c r="D25" s="21"/>
      <c r="E25" s="21"/>
      <c r="F25" s="21"/>
      <c r="G25" s="21"/>
      <c r="H25" s="21"/>
    </row>
    <row r="26" spans="1:8">
      <c r="A26" s="21">
        <v>12</v>
      </c>
      <c r="B26" s="21" t="s">
        <v>304</v>
      </c>
      <c r="C26" s="22">
        <v>1950.76</v>
      </c>
      <c r="D26" s="21"/>
      <c r="E26" s="21"/>
      <c r="F26" s="21"/>
      <c r="G26" s="21"/>
      <c r="H26" s="21"/>
    </row>
    <row r="27" spans="1:8">
      <c r="A27" s="21">
        <v>13</v>
      </c>
      <c r="B27" s="21" t="s">
        <v>305</v>
      </c>
      <c r="C27" s="22">
        <v>1721.17</v>
      </c>
      <c r="D27" s="21"/>
      <c r="E27" s="21"/>
      <c r="F27" s="21"/>
      <c r="G27" s="21"/>
      <c r="H27" s="21"/>
    </row>
    <row r="28" spans="1:8">
      <c r="A28" s="21"/>
      <c r="B28" s="20" t="s">
        <v>306</v>
      </c>
      <c r="C28" s="28">
        <f>+SUM(C16:C27)</f>
        <v>416062.00999999995</v>
      </c>
      <c r="D28" s="21"/>
      <c r="E28" s="21"/>
      <c r="F28" s="21"/>
      <c r="G28" s="21"/>
      <c r="H28" s="21"/>
    </row>
    <row r="29" spans="1:8">
      <c r="A29" s="140"/>
      <c r="B29" s="141" t="s">
        <v>307</v>
      </c>
      <c r="C29" s="142">
        <f>+C14-C28</f>
        <v>21963.750000000116</v>
      </c>
      <c r="D29" s="143" t="s">
        <v>312</v>
      </c>
      <c r="E29" s="144">
        <f>+SUM(E6:E28)</f>
        <v>25513.43505020205</v>
      </c>
      <c r="F29" s="141" t="s">
        <v>316</v>
      </c>
      <c r="G29" s="145">
        <f>+G6+G8+G10+G17+G19+G20+G21+G22+G23+G24</f>
        <v>-5792.0873938086897</v>
      </c>
      <c r="H29" s="146">
        <f>+E29+G29-G30</f>
        <v>8035.9082612349994</v>
      </c>
    </row>
    <row r="30" spans="1:8">
      <c r="A30" s="140"/>
      <c r="B30" s="141"/>
      <c r="C30" s="142"/>
      <c r="D30" s="143"/>
      <c r="E30" s="144"/>
      <c r="F30" s="141" t="s">
        <v>263</v>
      </c>
      <c r="G30" s="145">
        <f>+G16+G18</f>
        <v>11685.439395158359</v>
      </c>
      <c r="H30" s="146"/>
    </row>
    <row r="31" spans="1:8">
      <c r="B31" s="44" t="s">
        <v>321</v>
      </c>
    </row>
    <row r="32" spans="1:8">
      <c r="A32">
        <v>1</v>
      </c>
      <c r="B32" t="s">
        <v>326</v>
      </c>
      <c r="C32" s="158"/>
    </row>
    <row r="33" spans="1:8">
      <c r="A33">
        <v>2</v>
      </c>
      <c r="B33" t="s">
        <v>322</v>
      </c>
      <c r="H33" s="159">
        <f>+E29-H29</f>
        <v>17477.52678896705</v>
      </c>
    </row>
    <row r="34" spans="1:8">
      <c r="A34">
        <v>3</v>
      </c>
      <c r="B34" t="s">
        <v>323</v>
      </c>
    </row>
    <row r="35" spans="1:8">
      <c r="B35" t="s">
        <v>324</v>
      </c>
    </row>
    <row r="36" spans="1:8">
      <c r="A36">
        <v>4</v>
      </c>
      <c r="B36" t="s">
        <v>325</v>
      </c>
    </row>
  </sheetData>
  <mergeCells count="8">
    <mergeCell ref="A18:A24"/>
    <mergeCell ref="D2:E2"/>
    <mergeCell ref="C18:C24"/>
    <mergeCell ref="F2:G2"/>
    <mergeCell ref="B18:B24"/>
    <mergeCell ref="B16:B17"/>
    <mergeCell ref="A16:A17"/>
    <mergeCell ref="C16:C17"/>
  </mergeCells>
  <pageMargins left="0.11811023622047245" right="0.11811023622047245" top="0.11811023622047245" bottom="0.11811023622047245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2"/>
  <sheetViews>
    <sheetView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K7" sqref="K7"/>
    </sheetView>
  </sheetViews>
  <sheetFormatPr defaultRowHeight="15"/>
  <cols>
    <col min="1" max="1" width="6.140625" bestFit="1" customWidth="1"/>
    <col min="2" max="2" width="15.28515625" bestFit="1" customWidth="1"/>
    <col min="3" max="3" width="12.5703125" bestFit="1" customWidth="1"/>
    <col min="4" max="4" width="18" bestFit="1" customWidth="1"/>
    <col min="5" max="6" width="10" bestFit="1" customWidth="1"/>
    <col min="7" max="7" width="10.28515625" bestFit="1" customWidth="1"/>
    <col min="8" max="8" width="11.5703125" bestFit="1" customWidth="1"/>
    <col min="10" max="11" width="15.85546875" bestFit="1" customWidth="1"/>
    <col min="13" max="13" width="12.5703125" bestFit="1" customWidth="1"/>
    <col min="14" max="14" width="18" bestFit="1" customWidth="1"/>
    <col min="15" max="15" width="10" bestFit="1" customWidth="1"/>
    <col min="16" max="16" width="11.28515625" bestFit="1" customWidth="1"/>
  </cols>
  <sheetData>
    <row r="1" spans="1:16">
      <c r="A1" s="20"/>
      <c r="B1" s="20"/>
      <c r="C1" s="20" t="s">
        <v>65</v>
      </c>
      <c r="D1" s="20" t="s">
        <v>65</v>
      </c>
      <c r="E1" s="20" t="s">
        <v>65</v>
      </c>
      <c r="F1" s="30" t="s">
        <v>71</v>
      </c>
      <c r="G1" s="23" t="s">
        <v>70</v>
      </c>
      <c r="H1" s="23" t="s">
        <v>264</v>
      </c>
      <c r="I1" s="23" t="s">
        <v>265</v>
      </c>
      <c r="J1" s="23" t="s">
        <v>266</v>
      </c>
      <c r="K1" s="23" t="s">
        <v>267</v>
      </c>
      <c r="L1" s="120"/>
      <c r="M1" s="20" t="s">
        <v>66</v>
      </c>
      <c r="N1" s="20" t="s">
        <v>66</v>
      </c>
      <c r="O1" s="20" t="s">
        <v>66</v>
      </c>
      <c r="P1" s="23" t="s">
        <v>70</v>
      </c>
    </row>
    <row r="2" spans="1:16">
      <c r="A2" s="23" t="s">
        <v>40</v>
      </c>
      <c r="B2" s="23" t="s">
        <v>62</v>
      </c>
      <c r="C2" s="23" t="s">
        <v>63</v>
      </c>
      <c r="D2" s="23" t="s">
        <v>64</v>
      </c>
      <c r="E2" s="23" t="s">
        <v>16</v>
      </c>
      <c r="F2" s="23" t="s">
        <v>16</v>
      </c>
      <c r="G2" s="23" t="s">
        <v>16</v>
      </c>
      <c r="H2" s="23"/>
      <c r="I2" s="23"/>
      <c r="J2" s="23"/>
      <c r="K2" s="23"/>
      <c r="L2" s="120"/>
      <c r="M2" s="23" t="s">
        <v>63</v>
      </c>
      <c r="N2" s="23" t="s">
        <v>64</v>
      </c>
      <c r="O2" s="23" t="s">
        <v>16</v>
      </c>
      <c r="P2" s="23" t="s">
        <v>16</v>
      </c>
    </row>
    <row r="3" spans="1:16">
      <c r="A3" s="21">
        <v>1</v>
      </c>
      <c r="B3" s="21" t="s">
        <v>31</v>
      </c>
      <c r="C3" s="22">
        <v>191274</v>
      </c>
      <c r="D3" s="22">
        <v>6419959000</v>
      </c>
      <c r="E3" s="22">
        <f>+D3/C3</f>
        <v>33564.201093718955</v>
      </c>
      <c r="F3" s="25">
        <f>+'Rates-RM'!I12</f>
        <v>40206.875391233865</v>
      </c>
      <c r="G3" s="29">
        <f t="shared" ref="G3:G8" si="0">+E3-F3</f>
        <v>-6642.67429751491</v>
      </c>
      <c r="H3" s="119">
        <v>0</v>
      </c>
      <c r="I3" s="29"/>
      <c r="J3" s="22">
        <f>+D3*H3/(100+H3)</f>
        <v>0</v>
      </c>
      <c r="K3" s="29"/>
      <c r="L3" s="121"/>
      <c r="M3" s="22">
        <v>200957</v>
      </c>
      <c r="N3" s="22">
        <v>8443982000.000001</v>
      </c>
      <c r="O3" s="22">
        <f>+N3/M3</f>
        <v>42018.849803689351</v>
      </c>
      <c r="P3" s="29">
        <f t="shared" ref="P3:P12" si="1">+E3-O3</f>
        <v>-8454.6487099703954</v>
      </c>
    </row>
    <row r="4" spans="1:16">
      <c r="A4" s="21">
        <v>2</v>
      </c>
      <c r="B4" s="21" t="s">
        <v>20</v>
      </c>
      <c r="C4" s="22">
        <v>265337</v>
      </c>
      <c r="D4" s="22">
        <v>7425028999.999999</v>
      </c>
      <c r="E4" s="22">
        <f t="shared" ref="E4:E12" si="2">+D4/C4</f>
        <v>27983.390933039867</v>
      </c>
      <c r="F4" s="21">
        <f>+'Rates-RM'!I8</f>
        <v>0</v>
      </c>
      <c r="G4" s="29">
        <f t="shared" si="0"/>
        <v>27983.390933039867</v>
      </c>
      <c r="H4" s="119">
        <v>4.1447826652269731E-2</v>
      </c>
      <c r="I4" s="29"/>
      <c r="J4" s="29">
        <f>+D4*(4.14/104.14)</f>
        <v>295175917.61090833</v>
      </c>
      <c r="K4" s="21"/>
      <c r="L4" s="121"/>
      <c r="M4" s="22">
        <v>185407</v>
      </c>
      <c r="N4" s="22">
        <v>16220691000</v>
      </c>
      <c r="O4" s="22">
        <f t="shared" ref="O4:O12" si="3">+N4/M4</f>
        <v>87486.939543814413</v>
      </c>
      <c r="P4" s="29">
        <f t="shared" si="1"/>
        <v>-59503.548610774546</v>
      </c>
    </row>
    <row r="5" spans="1:16">
      <c r="A5" s="21">
        <v>3</v>
      </c>
      <c r="B5" s="21" t="s">
        <v>9</v>
      </c>
      <c r="C5" s="22">
        <v>128508</v>
      </c>
      <c r="D5" s="22">
        <v>2863916000</v>
      </c>
      <c r="E5" s="22">
        <f t="shared" si="2"/>
        <v>22285.896597877174</v>
      </c>
      <c r="F5" s="27">
        <f>+'Rates-RM'!I3</f>
        <v>17686.860459357766</v>
      </c>
      <c r="G5" s="29">
        <f t="shared" si="0"/>
        <v>4599.0361385194083</v>
      </c>
      <c r="H5" s="119">
        <v>5.2608142033296029E-2</v>
      </c>
      <c r="I5" s="29"/>
      <c r="J5" s="29">
        <f>+D5*(5.26/105.26)</f>
        <v>143114175.94527835</v>
      </c>
      <c r="K5" s="29"/>
      <c r="L5" s="121"/>
      <c r="M5" s="22">
        <v>147208</v>
      </c>
      <c r="N5" s="22">
        <v>3362364000</v>
      </c>
      <c r="O5" s="22">
        <f t="shared" si="3"/>
        <v>22840.905385576873</v>
      </c>
      <c r="P5" s="29">
        <f t="shared" si="1"/>
        <v>-555.00878769969859</v>
      </c>
    </row>
    <row r="6" spans="1:16">
      <c r="A6" s="21">
        <v>4</v>
      </c>
      <c r="B6" s="21" t="s">
        <v>34</v>
      </c>
      <c r="C6" s="22">
        <v>42177</v>
      </c>
      <c r="D6" s="22">
        <v>25127000</v>
      </c>
      <c r="E6" s="22">
        <f t="shared" si="2"/>
        <v>595.75123882684875</v>
      </c>
      <c r="F6" s="25">
        <f>+'Rates-RM'!I14</f>
        <v>635.60900000000004</v>
      </c>
      <c r="G6" s="29">
        <f t="shared" si="0"/>
        <v>-39.857761173151289</v>
      </c>
      <c r="H6" s="29">
        <v>0</v>
      </c>
      <c r="I6" s="119">
        <v>0.02</v>
      </c>
      <c r="J6" s="22">
        <f t="shared" ref="J6:J12" si="4">+D6*H6/(100+H6)</f>
        <v>0</v>
      </c>
      <c r="K6" s="29">
        <f>+D6*0.0196078431372549</f>
        <v>492686.27450980392</v>
      </c>
      <c r="L6" s="122"/>
      <c r="M6" s="22">
        <v>32655</v>
      </c>
      <c r="N6" s="22">
        <v>20835000</v>
      </c>
      <c r="O6" s="22">
        <f t="shared" si="3"/>
        <v>638.03399173174091</v>
      </c>
      <c r="P6" s="29">
        <f t="shared" si="1"/>
        <v>-42.282752904892163</v>
      </c>
    </row>
    <row r="7" spans="1:16">
      <c r="A7" s="21">
        <v>5</v>
      </c>
      <c r="B7" s="21" t="s">
        <v>53</v>
      </c>
      <c r="C7" s="22">
        <v>36558</v>
      </c>
      <c r="D7" s="22">
        <v>65354999.999999993</v>
      </c>
      <c r="E7" s="22">
        <f t="shared" si="2"/>
        <v>1787.7072049893318</v>
      </c>
      <c r="F7" s="21">
        <f>+'Rates-RM'!I13</f>
        <v>4840.54</v>
      </c>
      <c r="G7" s="29">
        <f t="shared" si="0"/>
        <v>-3052.8327950106682</v>
      </c>
      <c r="H7" s="29">
        <v>0</v>
      </c>
      <c r="I7" s="119">
        <v>0.02</v>
      </c>
      <c r="J7" s="22">
        <f t="shared" si="4"/>
        <v>0</v>
      </c>
      <c r="K7" s="29">
        <f>+D7*0.0196078431372549</f>
        <v>1281470.588235294</v>
      </c>
      <c r="L7" s="122"/>
      <c r="M7" s="22">
        <v>14450</v>
      </c>
      <c r="N7" s="22">
        <v>126767000</v>
      </c>
      <c r="O7" s="22">
        <f t="shared" si="3"/>
        <v>8772.8027681660897</v>
      </c>
      <c r="P7" s="29">
        <f t="shared" si="1"/>
        <v>-6985.0955631767574</v>
      </c>
    </row>
    <row r="8" spans="1:16">
      <c r="A8" s="21">
        <v>6</v>
      </c>
      <c r="B8" s="21" t="s">
        <v>25</v>
      </c>
      <c r="C8" s="22">
        <v>130000</v>
      </c>
      <c r="D8" s="22">
        <v>2004407000</v>
      </c>
      <c r="E8" s="22">
        <f t="shared" si="2"/>
        <v>15418.515384615384</v>
      </c>
      <c r="F8" s="27">
        <f>+'Rates-RM'!I10</f>
        <v>18385.820202531646</v>
      </c>
      <c r="G8" s="29">
        <f t="shared" si="0"/>
        <v>-2967.3048179162615</v>
      </c>
      <c r="H8" s="119">
        <v>5.1317701502327243E-2</v>
      </c>
      <c r="I8" s="29"/>
      <c r="J8" s="29">
        <f>+D8*(5.13/105.13)</f>
        <v>97808502.901169986</v>
      </c>
      <c r="K8" s="29"/>
      <c r="L8" s="121"/>
      <c r="M8" s="22">
        <v>89237</v>
      </c>
      <c r="N8" s="22">
        <v>2392517000</v>
      </c>
      <c r="O8" s="22">
        <f t="shared" si="3"/>
        <v>26810.818382509497</v>
      </c>
      <c r="P8" s="29">
        <f t="shared" si="1"/>
        <v>-11392.302997894112</v>
      </c>
    </row>
    <row r="9" spans="1:16">
      <c r="A9" s="21">
        <v>7</v>
      </c>
      <c r="B9" s="21" t="s">
        <v>67</v>
      </c>
      <c r="C9" s="22">
        <v>121</v>
      </c>
      <c r="D9" s="22">
        <v>2479000</v>
      </c>
      <c r="E9" s="22">
        <f t="shared" si="2"/>
        <v>20487.603305785124</v>
      </c>
      <c r="F9" s="21"/>
      <c r="G9" s="21"/>
      <c r="H9" s="21"/>
      <c r="I9" s="21"/>
      <c r="J9" s="22">
        <f t="shared" si="4"/>
        <v>0</v>
      </c>
      <c r="K9" s="21"/>
      <c r="L9" s="123"/>
      <c r="M9" s="22">
        <v>10382</v>
      </c>
      <c r="N9" s="22">
        <v>196577000</v>
      </c>
      <c r="O9" s="22">
        <f t="shared" si="3"/>
        <v>18934.405702176846</v>
      </c>
      <c r="P9" s="29">
        <f t="shared" si="1"/>
        <v>1553.1976036082779</v>
      </c>
    </row>
    <row r="10" spans="1:16">
      <c r="A10" s="21">
        <v>8</v>
      </c>
      <c r="B10" s="21" t="s">
        <v>22</v>
      </c>
      <c r="C10" s="22">
        <v>0</v>
      </c>
      <c r="D10" s="22">
        <v>0</v>
      </c>
      <c r="E10" s="22">
        <v>0</v>
      </c>
      <c r="F10" s="21"/>
      <c r="G10" s="21"/>
      <c r="H10" s="22">
        <v>0</v>
      </c>
      <c r="I10" s="21"/>
      <c r="J10" s="22">
        <f t="shared" si="4"/>
        <v>0</v>
      </c>
      <c r="K10" s="21"/>
      <c r="L10" s="123"/>
      <c r="M10" s="22">
        <v>15763</v>
      </c>
      <c r="N10" s="22">
        <v>301247000</v>
      </c>
      <c r="O10" s="22">
        <v>0</v>
      </c>
      <c r="P10" s="29">
        <f t="shared" si="1"/>
        <v>0</v>
      </c>
    </row>
    <row r="11" spans="1:16">
      <c r="A11" s="21">
        <v>9</v>
      </c>
      <c r="B11" s="21" t="s">
        <v>68</v>
      </c>
      <c r="C11" s="22">
        <v>1881620</v>
      </c>
      <c r="D11" s="22">
        <v>394289000</v>
      </c>
      <c r="E11" s="22">
        <f t="shared" si="2"/>
        <v>209.54762385603894</v>
      </c>
      <c r="F11" s="21"/>
      <c r="G11" s="21"/>
      <c r="H11" s="21"/>
      <c r="I11" s="119">
        <v>0.02</v>
      </c>
      <c r="J11" s="22">
        <f t="shared" si="4"/>
        <v>0</v>
      </c>
      <c r="K11" s="29">
        <f t="shared" ref="K11:K12" si="5">+D11*0.0196078431372549</f>
        <v>7731156.8627450978</v>
      </c>
      <c r="L11" s="123"/>
      <c r="M11" s="22">
        <v>1947718</v>
      </c>
      <c r="N11" s="22">
        <v>426396000</v>
      </c>
      <c r="O11" s="22">
        <f t="shared" si="3"/>
        <v>218.92080886452763</v>
      </c>
      <c r="P11" s="29">
        <f t="shared" si="1"/>
        <v>-9.3731850084886901</v>
      </c>
    </row>
    <row r="12" spans="1:16">
      <c r="A12" s="21">
        <v>10</v>
      </c>
      <c r="B12" s="21" t="s">
        <v>69</v>
      </c>
      <c r="C12" s="22">
        <v>3989638</v>
      </c>
      <c r="D12" s="22">
        <v>309703000</v>
      </c>
      <c r="E12" s="22">
        <f t="shared" si="2"/>
        <v>77.626842335069</v>
      </c>
      <c r="F12" s="21"/>
      <c r="G12" s="21"/>
      <c r="H12" s="21"/>
      <c r="I12" s="119">
        <v>0.02</v>
      </c>
      <c r="J12" s="22">
        <f t="shared" si="4"/>
        <v>0</v>
      </c>
      <c r="K12" s="29">
        <f t="shared" si="5"/>
        <v>6072607.8431372549</v>
      </c>
      <c r="L12" s="123"/>
      <c r="M12" s="22">
        <v>3418678</v>
      </c>
      <c r="N12" s="22">
        <v>344248000</v>
      </c>
      <c r="O12" s="22">
        <f t="shared" si="3"/>
        <v>100.6962340413458</v>
      </c>
      <c r="P12" s="29">
        <f t="shared" si="1"/>
        <v>-23.069391706276804</v>
      </c>
    </row>
    <row r="13" spans="1:16">
      <c r="A13" s="21"/>
      <c r="B13" s="20" t="s">
        <v>288</v>
      </c>
      <c r="C13" s="22"/>
      <c r="D13" s="28">
        <f>+SUM(D3:D12)</f>
        <v>19510264000</v>
      </c>
      <c r="E13" s="22"/>
      <c r="F13" s="21"/>
      <c r="G13" s="21"/>
      <c r="H13" s="21"/>
      <c r="I13" s="21"/>
      <c r="J13" s="28">
        <f t="shared" ref="J13:K13" si="6">+SUM(J3:J12)</f>
        <v>536098596.45735669</v>
      </c>
      <c r="K13" s="28">
        <f t="shared" si="6"/>
        <v>15577921.568627451</v>
      </c>
      <c r="L13" s="123"/>
      <c r="M13" s="22"/>
      <c r="N13" s="28">
        <f>+SUM(N3:N12)</f>
        <v>31835624000</v>
      </c>
      <c r="O13" s="22"/>
      <c r="P13" s="21"/>
    </row>
    <row r="14" spans="1:16">
      <c r="A14" s="21"/>
      <c r="B14" s="21"/>
      <c r="C14" s="22"/>
      <c r="D14" s="22"/>
      <c r="E14" s="22"/>
      <c r="F14" s="21"/>
      <c r="G14" s="21"/>
      <c r="H14" s="21"/>
      <c r="I14" s="21"/>
      <c r="J14" s="21"/>
      <c r="K14" s="21"/>
      <c r="L14" s="123"/>
      <c r="M14" s="22"/>
      <c r="N14" s="22"/>
      <c r="O14" s="22"/>
      <c r="P14" s="21"/>
    </row>
    <row r="15" spans="1:16">
      <c r="A15" s="21"/>
      <c r="B15" s="21"/>
      <c r="C15" s="22"/>
      <c r="D15" s="22"/>
      <c r="E15" s="22"/>
      <c r="F15" s="21"/>
      <c r="G15" s="21"/>
      <c r="H15" s="21"/>
      <c r="I15" s="21"/>
      <c r="J15" s="21"/>
      <c r="K15" s="21"/>
      <c r="L15" s="123"/>
      <c r="M15" s="22"/>
      <c r="N15" s="22"/>
      <c r="O15" s="22"/>
      <c r="P15" s="21"/>
    </row>
    <row r="16" spans="1:16">
      <c r="A16" s="21"/>
      <c r="B16" s="21"/>
      <c r="C16" s="22"/>
      <c r="D16" s="22"/>
      <c r="E16" s="22"/>
      <c r="F16" s="21"/>
      <c r="G16" s="21"/>
      <c r="H16" s="21"/>
      <c r="I16" s="21"/>
      <c r="J16" s="21"/>
      <c r="K16" s="21"/>
      <c r="L16" s="123"/>
      <c r="M16" s="22"/>
      <c r="N16" s="22"/>
      <c r="O16" s="22"/>
      <c r="P16" s="21"/>
    </row>
    <row r="17" spans="1:16">
      <c r="A17" s="21"/>
      <c r="B17" s="21"/>
      <c r="C17" s="22"/>
      <c r="D17" s="22"/>
      <c r="E17" s="22"/>
      <c r="F17" s="21"/>
      <c r="G17" s="21"/>
      <c r="H17" s="21"/>
      <c r="I17" s="21"/>
      <c r="J17" s="21"/>
      <c r="K17" s="21"/>
      <c r="L17" s="123"/>
      <c r="M17" s="22"/>
      <c r="N17" s="22"/>
      <c r="O17" s="22"/>
      <c r="P17" s="21"/>
    </row>
    <row r="18" spans="1:16">
      <c r="A18" s="21"/>
      <c r="B18" s="21"/>
      <c r="C18" s="22"/>
      <c r="D18" s="22"/>
      <c r="E18" s="22"/>
      <c r="F18" s="21"/>
      <c r="G18" s="21"/>
      <c r="H18" s="21"/>
      <c r="I18" s="21"/>
      <c r="J18" s="21"/>
      <c r="K18" s="21"/>
      <c r="L18" s="123"/>
      <c r="M18" s="22"/>
      <c r="N18" s="22"/>
      <c r="O18" s="22"/>
      <c r="P18" s="21"/>
    </row>
    <row r="19" spans="1:16">
      <c r="A19" s="21"/>
      <c r="B19" s="21"/>
      <c r="C19" s="22"/>
      <c r="D19" s="22"/>
      <c r="E19" s="22"/>
      <c r="F19" s="21"/>
      <c r="G19" s="21"/>
      <c r="H19" s="21"/>
      <c r="I19" s="21"/>
      <c r="J19" s="21"/>
      <c r="K19" s="21"/>
      <c r="L19" s="123"/>
      <c r="M19" s="22"/>
      <c r="N19" s="22"/>
      <c r="O19" s="22"/>
      <c r="P19" s="21"/>
    </row>
    <row r="20" spans="1:16">
      <c r="A20" s="21"/>
      <c r="B20" s="21"/>
      <c r="C20" s="22"/>
      <c r="D20" s="22"/>
      <c r="E20" s="22"/>
      <c r="F20" s="21"/>
      <c r="G20" s="21"/>
      <c r="H20" s="21"/>
      <c r="I20" s="21"/>
      <c r="J20" s="21"/>
      <c r="K20" s="21"/>
      <c r="L20" s="123"/>
      <c r="M20" s="22"/>
      <c r="N20" s="22"/>
      <c r="O20" s="22"/>
      <c r="P20" s="21"/>
    </row>
    <row r="21" spans="1:16">
      <c r="A21" s="21"/>
      <c r="B21" s="21"/>
      <c r="C21" s="22"/>
      <c r="D21" s="22"/>
      <c r="E21" s="22"/>
      <c r="F21" s="21"/>
      <c r="G21" s="21"/>
      <c r="H21" s="21"/>
      <c r="I21" s="21"/>
      <c r="J21" s="21"/>
      <c r="K21" s="21"/>
      <c r="L21" s="123"/>
      <c r="M21" s="22"/>
      <c r="N21" s="22"/>
      <c r="O21" s="22"/>
      <c r="P21" s="21"/>
    </row>
    <row r="22" spans="1:16">
      <c r="A22" s="21"/>
      <c r="B22" s="21"/>
      <c r="C22" s="22"/>
      <c r="D22" s="22"/>
      <c r="E22" s="22"/>
      <c r="F22" s="21"/>
      <c r="G22" s="21"/>
      <c r="H22" s="21"/>
      <c r="I22" s="21"/>
      <c r="J22" s="21"/>
      <c r="K22" s="21"/>
      <c r="L22" s="123"/>
      <c r="M22" s="22"/>
      <c r="N22" s="22"/>
      <c r="O22" s="22"/>
      <c r="P22" s="2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C24"/>
  <sheetViews>
    <sheetView workbookViewId="0">
      <selection activeCell="F17" sqref="F17"/>
    </sheetView>
  </sheetViews>
  <sheetFormatPr defaultRowHeight="15"/>
  <cols>
    <col min="1" max="1" width="6.140625" bestFit="1" customWidth="1"/>
    <col min="2" max="2" width="18.5703125" bestFit="1" customWidth="1"/>
    <col min="3" max="3" width="12.5703125" bestFit="1" customWidth="1"/>
  </cols>
  <sheetData>
    <row r="3" spans="1:3" ht="30">
      <c r="A3" s="32" t="s">
        <v>40</v>
      </c>
      <c r="B3" s="32" t="s">
        <v>39</v>
      </c>
      <c r="C3" s="32" t="s">
        <v>103</v>
      </c>
    </row>
    <row r="4" spans="1:3">
      <c r="A4" s="21">
        <v>1</v>
      </c>
      <c r="B4" s="33" t="s">
        <v>47</v>
      </c>
      <c r="C4" s="23" t="s">
        <v>16</v>
      </c>
    </row>
    <row r="5" spans="1:3">
      <c r="A5" s="21">
        <v>2</v>
      </c>
      <c r="B5" s="34" t="s">
        <v>48</v>
      </c>
      <c r="C5" s="34" t="s">
        <v>104</v>
      </c>
    </row>
    <row r="6" spans="1:3">
      <c r="A6" s="21">
        <v>3</v>
      </c>
      <c r="B6" s="34" t="s">
        <v>49</v>
      </c>
      <c r="C6" s="34" t="s">
        <v>105</v>
      </c>
    </row>
    <row r="7" spans="1:3">
      <c r="A7" s="21">
        <v>4</v>
      </c>
      <c r="B7" s="34" t="s">
        <v>115</v>
      </c>
      <c r="C7" s="39">
        <v>40360</v>
      </c>
    </row>
    <row r="8" spans="1:3">
      <c r="A8" s="21">
        <v>5</v>
      </c>
      <c r="B8" s="34" t="s">
        <v>114</v>
      </c>
      <c r="C8" s="35">
        <v>264</v>
      </c>
    </row>
    <row r="9" spans="1:3">
      <c r="A9" s="21">
        <v>6</v>
      </c>
      <c r="B9" s="34" t="s">
        <v>113</v>
      </c>
      <c r="C9" s="35">
        <v>5280</v>
      </c>
    </row>
    <row r="10" spans="1:3">
      <c r="A10" s="21">
        <v>7</v>
      </c>
      <c r="B10" s="34" t="s">
        <v>111</v>
      </c>
      <c r="C10" s="35">
        <v>522.5</v>
      </c>
    </row>
    <row r="11" spans="1:3">
      <c r="A11" s="21">
        <v>8</v>
      </c>
      <c r="B11" s="34" t="s">
        <v>108</v>
      </c>
      <c r="C11" s="35">
        <v>47.85</v>
      </c>
    </row>
    <row r="12" spans="1:3">
      <c r="A12" s="21">
        <v>9</v>
      </c>
      <c r="B12" s="34" t="s">
        <v>119</v>
      </c>
      <c r="C12" s="35">
        <f>+C11*C10*C8</f>
        <v>6600429</v>
      </c>
    </row>
    <row r="13" spans="1:3">
      <c r="A13" s="21">
        <v>10</v>
      </c>
      <c r="B13" s="34" t="s">
        <v>106</v>
      </c>
      <c r="C13" s="35">
        <f>+C12*1%</f>
        <v>66004.290000000008</v>
      </c>
    </row>
    <row r="14" spans="1:3">
      <c r="A14" s="21"/>
      <c r="B14" s="34" t="s">
        <v>109</v>
      </c>
      <c r="C14" s="35">
        <f>+SUM(C12:C13)</f>
        <v>6666433.29</v>
      </c>
    </row>
    <row r="15" spans="1:3">
      <c r="A15" s="21">
        <v>11</v>
      </c>
      <c r="B15" s="34" t="s">
        <v>110</v>
      </c>
      <c r="C15" s="40">
        <v>0.05</v>
      </c>
    </row>
    <row r="16" spans="1:3">
      <c r="A16" s="21">
        <v>12</v>
      </c>
      <c r="B16" s="34" t="s">
        <v>107</v>
      </c>
      <c r="C16" s="35">
        <f>ROUNDUP(C14*C15,0)</f>
        <v>333322</v>
      </c>
    </row>
    <row r="17" spans="1:3">
      <c r="A17" s="21">
        <v>13</v>
      </c>
      <c r="B17" s="34" t="s">
        <v>112</v>
      </c>
      <c r="C17" s="35">
        <v>176000</v>
      </c>
    </row>
    <row r="18" spans="1:3">
      <c r="A18" s="21">
        <v>14</v>
      </c>
      <c r="B18" s="34" t="s">
        <v>116</v>
      </c>
      <c r="C18" s="35">
        <f>235230+40233-25723.2</f>
        <v>249739.8</v>
      </c>
    </row>
    <row r="19" spans="1:3">
      <c r="A19" s="21">
        <v>15</v>
      </c>
      <c r="B19" s="34" t="s">
        <v>120</v>
      </c>
      <c r="C19" s="35">
        <v>25723.200000000001</v>
      </c>
    </row>
    <row r="20" spans="1:3">
      <c r="A20" s="21">
        <v>16</v>
      </c>
      <c r="B20" s="23" t="s">
        <v>52</v>
      </c>
      <c r="C20" s="36">
        <f>+C14+C16+C17+C18</f>
        <v>7425495.0899999999</v>
      </c>
    </row>
    <row r="21" spans="1:3">
      <c r="A21" s="21"/>
      <c r="B21" s="23" t="s">
        <v>16</v>
      </c>
      <c r="C21" s="36">
        <f>+C20/C8</f>
        <v>28126.87534090909</v>
      </c>
    </row>
    <row r="22" spans="1:3">
      <c r="A22" s="21"/>
      <c r="B22" s="23" t="s">
        <v>113</v>
      </c>
      <c r="C22" s="36">
        <f>+C20/C9</f>
        <v>1406.3437670454546</v>
      </c>
    </row>
    <row r="23" spans="1:3">
      <c r="A23" s="21"/>
      <c r="B23" s="23" t="s">
        <v>117</v>
      </c>
      <c r="C23" s="36">
        <f>(+C20-C16-C19)/C8</f>
        <v>26766.855643939394</v>
      </c>
    </row>
    <row r="24" spans="1:3">
      <c r="A24" s="21"/>
      <c r="B24" s="23" t="s">
        <v>118</v>
      </c>
      <c r="C24" s="36">
        <f>(+C20-C16-C19)/C9</f>
        <v>1338.3427821969697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2"/>
  <sheetViews>
    <sheetView topLeftCell="A16" zoomScaleSheetLayoutView="64" workbookViewId="0">
      <selection activeCell="G13" sqref="G13"/>
    </sheetView>
  </sheetViews>
  <sheetFormatPr defaultRowHeight="12.75"/>
  <cols>
    <col min="1" max="1" width="12" style="64" bestFit="1" customWidth="1"/>
    <col min="2" max="2" width="22.42578125" style="64" customWidth="1"/>
    <col min="3" max="3" width="21.42578125" style="64" customWidth="1"/>
    <col min="4" max="4" width="20.5703125" style="64" customWidth="1"/>
    <col min="5" max="5" width="18" style="64" hidden="1" customWidth="1"/>
    <col min="6" max="6" width="17.28515625" style="64" hidden="1" customWidth="1"/>
    <col min="7" max="7" width="9.28515625" style="64" bestFit="1" customWidth="1"/>
    <col min="8" max="8" width="15.5703125" style="64" bestFit="1" customWidth="1"/>
    <col min="9" max="9" width="13.28515625" style="64" bestFit="1" customWidth="1"/>
    <col min="10" max="256" width="9.140625" style="64"/>
    <col min="257" max="257" width="12" style="64" bestFit="1" customWidth="1"/>
    <col min="258" max="258" width="22.42578125" style="64" customWidth="1"/>
    <col min="259" max="259" width="21.42578125" style="64" customWidth="1"/>
    <col min="260" max="260" width="20.5703125" style="64" customWidth="1"/>
    <col min="261" max="262" width="0" style="64" hidden="1" customWidth="1"/>
    <col min="263" max="263" width="9.28515625" style="64" bestFit="1" customWidth="1"/>
    <col min="264" max="264" width="15.5703125" style="64" bestFit="1" customWidth="1"/>
    <col min="265" max="265" width="13.28515625" style="64" bestFit="1" customWidth="1"/>
    <col min="266" max="512" width="9.140625" style="64"/>
    <col min="513" max="513" width="12" style="64" bestFit="1" customWidth="1"/>
    <col min="514" max="514" width="22.42578125" style="64" customWidth="1"/>
    <col min="515" max="515" width="21.42578125" style="64" customWidth="1"/>
    <col min="516" max="516" width="20.5703125" style="64" customWidth="1"/>
    <col min="517" max="518" width="0" style="64" hidden="1" customWidth="1"/>
    <col min="519" max="519" width="9.28515625" style="64" bestFit="1" customWidth="1"/>
    <col min="520" max="520" width="15.5703125" style="64" bestFit="1" customWidth="1"/>
    <col min="521" max="521" width="13.28515625" style="64" bestFit="1" customWidth="1"/>
    <col min="522" max="768" width="9.140625" style="64"/>
    <col min="769" max="769" width="12" style="64" bestFit="1" customWidth="1"/>
    <col min="770" max="770" width="22.42578125" style="64" customWidth="1"/>
    <col min="771" max="771" width="21.42578125" style="64" customWidth="1"/>
    <col min="772" max="772" width="20.5703125" style="64" customWidth="1"/>
    <col min="773" max="774" width="0" style="64" hidden="1" customWidth="1"/>
    <col min="775" max="775" width="9.28515625" style="64" bestFit="1" customWidth="1"/>
    <col min="776" max="776" width="15.5703125" style="64" bestFit="1" customWidth="1"/>
    <col min="777" max="777" width="13.28515625" style="64" bestFit="1" customWidth="1"/>
    <col min="778" max="1024" width="9.140625" style="64"/>
    <col min="1025" max="1025" width="12" style="64" bestFit="1" customWidth="1"/>
    <col min="1026" max="1026" width="22.42578125" style="64" customWidth="1"/>
    <col min="1027" max="1027" width="21.42578125" style="64" customWidth="1"/>
    <col min="1028" max="1028" width="20.5703125" style="64" customWidth="1"/>
    <col min="1029" max="1030" width="0" style="64" hidden="1" customWidth="1"/>
    <col min="1031" max="1031" width="9.28515625" style="64" bestFit="1" customWidth="1"/>
    <col min="1032" max="1032" width="15.5703125" style="64" bestFit="1" customWidth="1"/>
    <col min="1033" max="1033" width="13.28515625" style="64" bestFit="1" customWidth="1"/>
    <col min="1034" max="1280" width="9.140625" style="64"/>
    <col min="1281" max="1281" width="12" style="64" bestFit="1" customWidth="1"/>
    <col min="1282" max="1282" width="22.42578125" style="64" customWidth="1"/>
    <col min="1283" max="1283" width="21.42578125" style="64" customWidth="1"/>
    <col min="1284" max="1284" width="20.5703125" style="64" customWidth="1"/>
    <col min="1285" max="1286" width="0" style="64" hidden="1" customWidth="1"/>
    <col min="1287" max="1287" width="9.28515625" style="64" bestFit="1" customWidth="1"/>
    <col min="1288" max="1288" width="15.5703125" style="64" bestFit="1" customWidth="1"/>
    <col min="1289" max="1289" width="13.28515625" style="64" bestFit="1" customWidth="1"/>
    <col min="1290" max="1536" width="9.140625" style="64"/>
    <col min="1537" max="1537" width="12" style="64" bestFit="1" customWidth="1"/>
    <col min="1538" max="1538" width="22.42578125" style="64" customWidth="1"/>
    <col min="1539" max="1539" width="21.42578125" style="64" customWidth="1"/>
    <col min="1540" max="1540" width="20.5703125" style="64" customWidth="1"/>
    <col min="1541" max="1542" width="0" style="64" hidden="1" customWidth="1"/>
    <col min="1543" max="1543" width="9.28515625" style="64" bestFit="1" customWidth="1"/>
    <col min="1544" max="1544" width="15.5703125" style="64" bestFit="1" customWidth="1"/>
    <col min="1545" max="1545" width="13.28515625" style="64" bestFit="1" customWidth="1"/>
    <col min="1546" max="1792" width="9.140625" style="64"/>
    <col min="1793" max="1793" width="12" style="64" bestFit="1" customWidth="1"/>
    <col min="1794" max="1794" width="22.42578125" style="64" customWidth="1"/>
    <col min="1795" max="1795" width="21.42578125" style="64" customWidth="1"/>
    <col min="1796" max="1796" width="20.5703125" style="64" customWidth="1"/>
    <col min="1797" max="1798" width="0" style="64" hidden="1" customWidth="1"/>
    <col min="1799" max="1799" width="9.28515625" style="64" bestFit="1" customWidth="1"/>
    <col min="1800" max="1800" width="15.5703125" style="64" bestFit="1" customWidth="1"/>
    <col min="1801" max="1801" width="13.28515625" style="64" bestFit="1" customWidth="1"/>
    <col min="1802" max="2048" width="9.140625" style="64"/>
    <col min="2049" max="2049" width="12" style="64" bestFit="1" customWidth="1"/>
    <col min="2050" max="2050" width="22.42578125" style="64" customWidth="1"/>
    <col min="2051" max="2051" width="21.42578125" style="64" customWidth="1"/>
    <col min="2052" max="2052" width="20.5703125" style="64" customWidth="1"/>
    <col min="2053" max="2054" width="0" style="64" hidden="1" customWidth="1"/>
    <col min="2055" max="2055" width="9.28515625" style="64" bestFit="1" customWidth="1"/>
    <col min="2056" max="2056" width="15.5703125" style="64" bestFit="1" customWidth="1"/>
    <col min="2057" max="2057" width="13.28515625" style="64" bestFit="1" customWidth="1"/>
    <col min="2058" max="2304" width="9.140625" style="64"/>
    <col min="2305" max="2305" width="12" style="64" bestFit="1" customWidth="1"/>
    <col min="2306" max="2306" width="22.42578125" style="64" customWidth="1"/>
    <col min="2307" max="2307" width="21.42578125" style="64" customWidth="1"/>
    <col min="2308" max="2308" width="20.5703125" style="64" customWidth="1"/>
    <col min="2309" max="2310" width="0" style="64" hidden="1" customWidth="1"/>
    <col min="2311" max="2311" width="9.28515625" style="64" bestFit="1" customWidth="1"/>
    <col min="2312" max="2312" width="15.5703125" style="64" bestFit="1" customWidth="1"/>
    <col min="2313" max="2313" width="13.28515625" style="64" bestFit="1" customWidth="1"/>
    <col min="2314" max="2560" width="9.140625" style="64"/>
    <col min="2561" max="2561" width="12" style="64" bestFit="1" customWidth="1"/>
    <col min="2562" max="2562" width="22.42578125" style="64" customWidth="1"/>
    <col min="2563" max="2563" width="21.42578125" style="64" customWidth="1"/>
    <col min="2564" max="2564" width="20.5703125" style="64" customWidth="1"/>
    <col min="2565" max="2566" width="0" style="64" hidden="1" customWidth="1"/>
    <col min="2567" max="2567" width="9.28515625" style="64" bestFit="1" customWidth="1"/>
    <col min="2568" max="2568" width="15.5703125" style="64" bestFit="1" customWidth="1"/>
    <col min="2569" max="2569" width="13.28515625" style="64" bestFit="1" customWidth="1"/>
    <col min="2570" max="2816" width="9.140625" style="64"/>
    <col min="2817" max="2817" width="12" style="64" bestFit="1" customWidth="1"/>
    <col min="2818" max="2818" width="22.42578125" style="64" customWidth="1"/>
    <col min="2819" max="2819" width="21.42578125" style="64" customWidth="1"/>
    <col min="2820" max="2820" width="20.5703125" style="64" customWidth="1"/>
    <col min="2821" max="2822" width="0" style="64" hidden="1" customWidth="1"/>
    <col min="2823" max="2823" width="9.28515625" style="64" bestFit="1" customWidth="1"/>
    <col min="2824" max="2824" width="15.5703125" style="64" bestFit="1" customWidth="1"/>
    <col min="2825" max="2825" width="13.28515625" style="64" bestFit="1" customWidth="1"/>
    <col min="2826" max="3072" width="9.140625" style="64"/>
    <col min="3073" max="3073" width="12" style="64" bestFit="1" customWidth="1"/>
    <col min="3074" max="3074" width="22.42578125" style="64" customWidth="1"/>
    <col min="3075" max="3075" width="21.42578125" style="64" customWidth="1"/>
    <col min="3076" max="3076" width="20.5703125" style="64" customWidth="1"/>
    <col min="3077" max="3078" width="0" style="64" hidden="1" customWidth="1"/>
    <col min="3079" max="3079" width="9.28515625" style="64" bestFit="1" customWidth="1"/>
    <col min="3080" max="3080" width="15.5703125" style="64" bestFit="1" customWidth="1"/>
    <col min="3081" max="3081" width="13.28515625" style="64" bestFit="1" customWidth="1"/>
    <col min="3082" max="3328" width="9.140625" style="64"/>
    <col min="3329" max="3329" width="12" style="64" bestFit="1" customWidth="1"/>
    <col min="3330" max="3330" width="22.42578125" style="64" customWidth="1"/>
    <col min="3331" max="3331" width="21.42578125" style="64" customWidth="1"/>
    <col min="3332" max="3332" width="20.5703125" style="64" customWidth="1"/>
    <col min="3333" max="3334" width="0" style="64" hidden="1" customWidth="1"/>
    <col min="3335" max="3335" width="9.28515625" style="64" bestFit="1" customWidth="1"/>
    <col min="3336" max="3336" width="15.5703125" style="64" bestFit="1" customWidth="1"/>
    <col min="3337" max="3337" width="13.28515625" style="64" bestFit="1" customWidth="1"/>
    <col min="3338" max="3584" width="9.140625" style="64"/>
    <col min="3585" max="3585" width="12" style="64" bestFit="1" customWidth="1"/>
    <col min="3586" max="3586" width="22.42578125" style="64" customWidth="1"/>
    <col min="3587" max="3587" width="21.42578125" style="64" customWidth="1"/>
    <col min="3588" max="3588" width="20.5703125" style="64" customWidth="1"/>
    <col min="3589" max="3590" width="0" style="64" hidden="1" customWidth="1"/>
    <col min="3591" max="3591" width="9.28515625" style="64" bestFit="1" customWidth="1"/>
    <col min="3592" max="3592" width="15.5703125" style="64" bestFit="1" customWidth="1"/>
    <col min="3593" max="3593" width="13.28515625" style="64" bestFit="1" customWidth="1"/>
    <col min="3594" max="3840" width="9.140625" style="64"/>
    <col min="3841" max="3841" width="12" style="64" bestFit="1" customWidth="1"/>
    <col min="3842" max="3842" width="22.42578125" style="64" customWidth="1"/>
    <col min="3843" max="3843" width="21.42578125" style="64" customWidth="1"/>
    <col min="3844" max="3844" width="20.5703125" style="64" customWidth="1"/>
    <col min="3845" max="3846" width="0" style="64" hidden="1" customWidth="1"/>
    <col min="3847" max="3847" width="9.28515625" style="64" bestFit="1" customWidth="1"/>
    <col min="3848" max="3848" width="15.5703125" style="64" bestFit="1" customWidth="1"/>
    <col min="3849" max="3849" width="13.28515625" style="64" bestFit="1" customWidth="1"/>
    <col min="3850" max="4096" width="9.140625" style="64"/>
    <col min="4097" max="4097" width="12" style="64" bestFit="1" customWidth="1"/>
    <col min="4098" max="4098" width="22.42578125" style="64" customWidth="1"/>
    <col min="4099" max="4099" width="21.42578125" style="64" customWidth="1"/>
    <col min="4100" max="4100" width="20.5703125" style="64" customWidth="1"/>
    <col min="4101" max="4102" width="0" style="64" hidden="1" customWidth="1"/>
    <col min="4103" max="4103" width="9.28515625" style="64" bestFit="1" customWidth="1"/>
    <col min="4104" max="4104" width="15.5703125" style="64" bestFit="1" customWidth="1"/>
    <col min="4105" max="4105" width="13.28515625" style="64" bestFit="1" customWidth="1"/>
    <col min="4106" max="4352" width="9.140625" style="64"/>
    <col min="4353" max="4353" width="12" style="64" bestFit="1" customWidth="1"/>
    <col min="4354" max="4354" width="22.42578125" style="64" customWidth="1"/>
    <col min="4355" max="4355" width="21.42578125" style="64" customWidth="1"/>
    <col min="4356" max="4356" width="20.5703125" style="64" customWidth="1"/>
    <col min="4357" max="4358" width="0" style="64" hidden="1" customWidth="1"/>
    <col min="4359" max="4359" width="9.28515625" style="64" bestFit="1" customWidth="1"/>
    <col min="4360" max="4360" width="15.5703125" style="64" bestFit="1" customWidth="1"/>
    <col min="4361" max="4361" width="13.28515625" style="64" bestFit="1" customWidth="1"/>
    <col min="4362" max="4608" width="9.140625" style="64"/>
    <col min="4609" max="4609" width="12" style="64" bestFit="1" customWidth="1"/>
    <col min="4610" max="4610" width="22.42578125" style="64" customWidth="1"/>
    <col min="4611" max="4611" width="21.42578125" style="64" customWidth="1"/>
    <col min="4612" max="4612" width="20.5703125" style="64" customWidth="1"/>
    <col min="4613" max="4614" width="0" style="64" hidden="1" customWidth="1"/>
    <col min="4615" max="4615" width="9.28515625" style="64" bestFit="1" customWidth="1"/>
    <col min="4616" max="4616" width="15.5703125" style="64" bestFit="1" customWidth="1"/>
    <col min="4617" max="4617" width="13.28515625" style="64" bestFit="1" customWidth="1"/>
    <col min="4618" max="4864" width="9.140625" style="64"/>
    <col min="4865" max="4865" width="12" style="64" bestFit="1" customWidth="1"/>
    <col min="4866" max="4866" width="22.42578125" style="64" customWidth="1"/>
    <col min="4867" max="4867" width="21.42578125" style="64" customWidth="1"/>
    <col min="4868" max="4868" width="20.5703125" style="64" customWidth="1"/>
    <col min="4869" max="4870" width="0" style="64" hidden="1" customWidth="1"/>
    <col min="4871" max="4871" width="9.28515625" style="64" bestFit="1" customWidth="1"/>
    <col min="4872" max="4872" width="15.5703125" style="64" bestFit="1" customWidth="1"/>
    <col min="4873" max="4873" width="13.28515625" style="64" bestFit="1" customWidth="1"/>
    <col min="4874" max="5120" width="9.140625" style="64"/>
    <col min="5121" max="5121" width="12" style="64" bestFit="1" customWidth="1"/>
    <col min="5122" max="5122" width="22.42578125" style="64" customWidth="1"/>
    <col min="5123" max="5123" width="21.42578125" style="64" customWidth="1"/>
    <col min="5124" max="5124" width="20.5703125" style="64" customWidth="1"/>
    <col min="5125" max="5126" width="0" style="64" hidden="1" customWidth="1"/>
    <col min="5127" max="5127" width="9.28515625" style="64" bestFit="1" customWidth="1"/>
    <col min="5128" max="5128" width="15.5703125" style="64" bestFit="1" customWidth="1"/>
    <col min="5129" max="5129" width="13.28515625" style="64" bestFit="1" customWidth="1"/>
    <col min="5130" max="5376" width="9.140625" style="64"/>
    <col min="5377" max="5377" width="12" style="64" bestFit="1" customWidth="1"/>
    <col min="5378" max="5378" width="22.42578125" style="64" customWidth="1"/>
    <col min="5379" max="5379" width="21.42578125" style="64" customWidth="1"/>
    <col min="5380" max="5380" width="20.5703125" style="64" customWidth="1"/>
    <col min="5381" max="5382" width="0" style="64" hidden="1" customWidth="1"/>
    <col min="5383" max="5383" width="9.28515625" style="64" bestFit="1" customWidth="1"/>
    <col min="5384" max="5384" width="15.5703125" style="64" bestFit="1" customWidth="1"/>
    <col min="5385" max="5385" width="13.28515625" style="64" bestFit="1" customWidth="1"/>
    <col min="5386" max="5632" width="9.140625" style="64"/>
    <col min="5633" max="5633" width="12" style="64" bestFit="1" customWidth="1"/>
    <col min="5634" max="5634" width="22.42578125" style="64" customWidth="1"/>
    <col min="5635" max="5635" width="21.42578125" style="64" customWidth="1"/>
    <col min="5636" max="5636" width="20.5703125" style="64" customWidth="1"/>
    <col min="5637" max="5638" width="0" style="64" hidden="1" customWidth="1"/>
    <col min="5639" max="5639" width="9.28515625" style="64" bestFit="1" customWidth="1"/>
    <col min="5640" max="5640" width="15.5703125" style="64" bestFit="1" customWidth="1"/>
    <col min="5641" max="5641" width="13.28515625" style="64" bestFit="1" customWidth="1"/>
    <col min="5642" max="5888" width="9.140625" style="64"/>
    <col min="5889" max="5889" width="12" style="64" bestFit="1" customWidth="1"/>
    <col min="5890" max="5890" width="22.42578125" style="64" customWidth="1"/>
    <col min="5891" max="5891" width="21.42578125" style="64" customWidth="1"/>
    <col min="5892" max="5892" width="20.5703125" style="64" customWidth="1"/>
    <col min="5893" max="5894" width="0" style="64" hidden="1" customWidth="1"/>
    <col min="5895" max="5895" width="9.28515625" style="64" bestFit="1" customWidth="1"/>
    <col min="5896" max="5896" width="15.5703125" style="64" bestFit="1" customWidth="1"/>
    <col min="5897" max="5897" width="13.28515625" style="64" bestFit="1" customWidth="1"/>
    <col min="5898" max="6144" width="9.140625" style="64"/>
    <col min="6145" max="6145" width="12" style="64" bestFit="1" customWidth="1"/>
    <col min="6146" max="6146" width="22.42578125" style="64" customWidth="1"/>
    <col min="6147" max="6147" width="21.42578125" style="64" customWidth="1"/>
    <col min="6148" max="6148" width="20.5703125" style="64" customWidth="1"/>
    <col min="6149" max="6150" width="0" style="64" hidden="1" customWidth="1"/>
    <col min="6151" max="6151" width="9.28515625" style="64" bestFit="1" customWidth="1"/>
    <col min="6152" max="6152" width="15.5703125" style="64" bestFit="1" customWidth="1"/>
    <col min="6153" max="6153" width="13.28515625" style="64" bestFit="1" customWidth="1"/>
    <col min="6154" max="6400" width="9.140625" style="64"/>
    <col min="6401" max="6401" width="12" style="64" bestFit="1" customWidth="1"/>
    <col min="6402" max="6402" width="22.42578125" style="64" customWidth="1"/>
    <col min="6403" max="6403" width="21.42578125" style="64" customWidth="1"/>
    <col min="6404" max="6404" width="20.5703125" style="64" customWidth="1"/>
    <col min="6405" max="6406" width="0" style="64" hidden="1" customWidth="1"/>
    <col min="6407" max="6407" width="9.28515625" style="64" bestFit="1" customWidth="1"/>
    <col min="6408" max="6408" width="15.5703125" style="64" bestFit="1" customWidth="1"/>
    <col min="6409" max="6409" width="13.28515625" style="64" bestFit="1" customWidth="1"/>
    <col min="6410" max="6656" width="9.140625" style="64"/>
    <col min="6657" max="6657" width="12" style="64" bestFit="1" customWidth="1"/>
    <col min="6658" max="6658" width="22.42578125" style="64" customWidth="1"/>
    <col min="6659" max="6659" width="21.42578125" style="64" customWidth="1"/>
    <col min="6660" max="6660" width="20.5703125" style="64" customWidth="1"/>
    <col min="6661" max="6662" width="0" style="64" hidden="1" customWidth="1"/>
    <col min="6663" max="6663" width="9.28515625" style="64" bestFit="1" customWidth="1"/>
    <col min="6664" max="6664" width="15.5703125" style="64" bestFit="1" customWidth="1"/>
    <col min="6665" max="6665" width="13.28515625" style="64" bestFit="1" customWidth="1"/>
    <col min="6666" max="6912" width="9.140625" style="64"/>
    <col min="6913" max="6913" width="12" style="64" bestFit="1" customWidth="1"/>
    <col min="6914" max="6914" width="22.42578125" style="64" customWidth="1"/>
    <col min="6915" max="6915" width="21.42578125" style="64" customWidth="1"/>
    <col min="6916" max="6916" width="20.5703125" style="64" customWidth="1"/>
    <col min="6917" max="6918" width="0" style="64" hidden="1" customWidth="1"/>
    <col min="6919" max="6919" width="9.28515625" style="64" bestFit="1" customWidth="1"/>
    <col min="6920" max="6920" width="15.5703125" style="64" bestFit="1" customWidth="1"/>
    <col min="6921" max="6921" width="13.28515625" style="64" bestFit="1" customWidth="1"/>
    <col min="6922" max="7168" width="9.140625" style="64"/>
    <col min="7169" max="7169" width="12" style="64" bestFit="1" customWidth="1"/>
    <col min="7170" max="7170" width="22.42578125" style="64" customWidth="1"/>
    <col min="7171" max="7171" width="21.42578125" style="64" customWidth="1"/>
    <col min="7172" max="7172" width="20.5703125" style="64" customWidth="1"/>
    <col min="7173" max="7174" width="0" style="64" hidden="1" customWidth="1"/>
    <col min="7175" max="7175" width="9.28515625" style="64" bestFit="1" customWidth="1"/>
    <col min="7176" max="7176" width="15.5703125" style="64" bestFit="1" customWidth="1"/>
    <col min="7177" max="7177" width="13.28515625" style="64" bestFit="1" customWidth="1"/>
    <col min="7178" max="7424" width="9.140625" style="64"/>
    <col min="7425" max="7425" width="12" style="64" bestFit="1" customWidth="1"/>
    <col min="7426" max="7426" width="22.42578125" style="64" customWidth="1"/>
    <col min="7427" max="7427" width="21.42578125" style="64" customWidth="1"/>
    <col min="7428" max="7428" width="20.5703125" style="64" customWidth="1"/>
    <col min="7429" max="7430" width="0" style="64" hidden="1" customWidth="1"/>
    <col min="7431" max="7431" width="9.28515625" style="64" bestFit="1" customWidth="1"/>
    <col min="7432" max="7432" width="15.5703125" style="64" bestFit="1" customWidth="1"/>
    <col min="7433" max="7433" width="13.28515625" style="64" bestFit="1" customWidth="1"/>
    <col min="7434" max="7680" width="9.140625" style="64"/>
    <col min="7681" max="7681" width="12" style="64" bestFit="1" customWidth="1"/>
    <col min="7682" max="7682" width="22.42578125" style="64" customWidth="1"/>
    <col min="7683" max="7683" width="21.42578125" style="64" customWidth="1"/>
    <col min="7684" max="7684" width="20.5703125" style="64" customWidth="1"/>
    <col min="7685" max="7686" width="0" style="64" hidden="1" customWidth="1"/>
    <col min="7687" max="7687" width="9.28515625" style="64" bestFit="1" customWidth="1"/>
    <col min="7688" max="7688" width="15.5703125" style="64" bestFit="1" customWidth="1"/>
    <col min="7689" max="7689" width="13.28515625" style="64" bestFit="1" customWidth="1"/>
    <col min="7690" max="7936" width="9.140625" style="64"/>
    <col min="7937" max="7937" width="12" style="64" bestFit="1" customWidth="1"/>
    <col min="7938" max="7938" width="22.42578125" style="64" customWidth="1"/>
    <col min="7939" max="7939" width="21.42578125" style="64" customWidth="1"/>
    <col min="7940" max="7940" width="20.5703125" style="64" customWidth="1"/>
    <col min="7941" max="7942" width="0" style="64" hidden="1" customWidth="1"/>
    <col min="7943" max="7943" width="9.28515625" style="64" bestFit="1" customWidth="1"/>
    <col min="7944" max="7944" width="15.5703125" style="64" bestFit="1" customWidth="1"/>
    <col min="7945" max="7945" width="13.28515625" style="64" bestFit="1" customWidth="1"/>
    <col min="7946" max="8192" width="9.140625" style="64"/>
    <col min="8193" max="8193" width="12" style="64" bestFit="1" customWidth="1"/>
    <col min="8194" max="8194" width="22.42578125" style="64" customWidth="1"/>
    <col min="8195" max="8195" width="21.42578125" style="64" customWidth="1"/>
    <col min="8196" max="8196" width="20.5703125" style="64" customWidth="1"/>
    <col min="8197" max="8198" width="0" style="64" hidden="1" customWidth="1"/>
    <col min="8199" max="8199" width="9.28515625" style="64" bestFit="1" customWidth="1"/>
    <col min="8200" max="8200" width="15.5703125" style="64" bestFit="1" customWidth="1"/>
    <col min="8201" max="8201" width="13.28515625" style="64" bestFit="1" customWidth="1"/>
    <col min="8202" max="8448" width="9.140625" style="64"/>
    <col min="8449" max="8449" width="12" style="64" bestFit="1" customWidth="1"/>
    <col min="8450" max="8450" width="22.42578125" style="64" customWidth="1"/>
    <col min="8451" max="8451" width="21.42578125" style="64" customWidth="1"/>
    <col min="8452" max="8452" width="20.5703125" style="64" customWidth="1"/>
    <col min="8453" max="8454" width="0" style="64" hidden="1" customWidth="1"/>
    <col min="8455" max="8455" width="9.28515625" style="64" bestFit="1" customWidth="1"/>
    <col min="8456" max="8456" width="15.5703125" style="64" bestFit="1" customWidth="1"/>
    <col min="8457" max="8457" width="13.28515625" style="64" bestFit="1" customWidth="1"/>
    <col min="8458" max="8704" width="9.140625" style="64"/>
    <col min="8705" max="8705" width="12" style="64" bestFit="1" customWidth="1"/>
    <col min="8706" max="8706" width="22.42578125" style="64" customWidth="1"/>
    <col min="8707" max="8707" width="21.42578125" style="64" customWidth="1"/>
    <col min="8708" max="8708" width="20.5703125" style="64" customWidth="1"/>
    <col min="8709" max="8710" width="0" style="64" hidden="1" customWidth="1"/>
    <col min="8711" max="8711" width="9.28515625" style="64" bestFit="1" customWidth="1"/>
    <col min="8712" max="8712" width="15.5703125" style="64" bestFit="1" customWidth="1"/>
    <col min="8713" max="8713" width="13.28515625" style="64" bestFit="1" customWidth="1"/>
    <col min="8714" max="8960" width="9.140625" style="64"/>
    <col min="8961" max="8961" width="12" style="64" bestFit="1" customWidth="1"/>
    <col min="8962" max="8962" width="22.42578125" style="64" customWidth="1"/>
    <col min="8963" max="8963" width="21.42578125" style="64" customWidth="1"/>
    <col min="8964" max="8964" width="20.5703125" style="64" customWidth="1"/>
    <col min="8965" max="8966" width="0" style="64" hidden="1" customWidth="1"/>
    <col min="8967" max="8967" width="9.28515625" style="64" bestFit="1" customWidth="1"/>
    <col min="8968" max="8968" width="15.5703125" style="64" bestFit="1" customWidth="1"/>
    <col min="8969" max="8969" width="13.28515625" style="64" bestFit="1" customWidth="1"/>
    <col min="8970" max="9216" width="9.140625" style="64"/>
    <col min="9217" max="9217" width="12" style="64" bestFit="1" customWidth="1"/>
    <col min="9218" max="9218" width="22.42578125" style="64" customWidth="1"/>
    <col min="9219" max="9219" width="21.42578125" style="64" customWidth="1"/>
    <col min="9220" max="9220" width="20.5703125" style="64" customWidth="1"/>
    <col min="9221" max="9222" width="0" style="64" hidden="1" customWidth="1"/>
    <col min="9223" max="9223" width="9.28515625" style="64" bestFit="1" customWidth="1"/>
    <col min="9224" max="9224" width="15.5703125" style="64" bestFit="1" customWidth="1"/>
    <col min="9225" max="9225" width="13.28515625" style="64" bestFit="1" customWidth="1"/>
    <col min="9226" max="9472" width="9.140625" style="64"/>
    <col min="9473" max="9473" width="12" style="64" bestFit="1" customWidth="1"/>
    <col min="9474" max="9474" width="22.42578125" style="64" customWidth="1"/>
    <col min="9475" max="9475" width="21.42578125" style="64" customWidth="1"/>
    <col min="9476" max="9476" width="20.5703125" style="64" customWidth="1"/>
    <col min="9477" max="9478" width="0" style="64" hidden="1" customWidth="1"/>
    <col min="9479" max="9479" width="9.28515625" style="64" bestFit="1" customWidth="1"/>
    <col min="9480" max="9480" width="15.5703125" style="64" bestFit="1" customWidth="1"/>
    <col min="9481" max="9481" width="13.28515625" style="64" bestFit="1" customWidth="1"/>
    <col min="9482" max="9728" width="9.140625" style="64"/>
    <col min="9729" max="9729" width="12" style="64" bestFit="1" customWidth="1"/>
    <col min="9730" max="9730" width="22.42578125" style="64" customWidth="1"/>
    <col min="9731" max="9731" width="21.42578125" style="64" customWidth="1"/>
    <col min="9732" max="9732" width="20.5703125" style="64" customWidth="1"/>
    <col min="9733" max="9734" width="0" style="64" hidden="1" customWidth="1"/>
    <col min="9735" max="9735" width="9.28515625" style="64" bestFit="1" customWidth="1"/>
    <col min="9736" max="9736" width="15.5703125" style="64" bestFit="1" customWidth="1"/>
    <col min="9737" max="9737" width="13.28515625" style="64" bestFit="1" customWidth="1"/>
    <col min="9738" max="9984" width="9.140625" style="64"/>
    <col min="9985" max="9985" width="12" style="64" bestFit="1" customWidth="1"/>
    <col min="9986" max="9986" width="22.42578125" style="64" customWidth="1"/>
    <col min="9987" max="9987" width="21.42578125" style="64" customWidth="1"/>
    <col min="9988" max="9988" width="20.5703125" style="64" customWidth="1"/>
    <col min="9989" max="9990" width="0" style="64" hidden="1" customWidth="1"/>
    <col min="9991" max="9991" width="9.28515625" style="64" bestFit="1" customWidth="1"/>
    <col min="9992" max="9992" width="15.5703125" style="64" bestFit="1" customWidth="1"/>
    <col min="9993" max="9993" width="13.28515625" style="64" bestFit="1" customWidth="1"/>
    <col min="9994" max="10240" width="9.140625" style="64"/>
    <col min="10241" max="10241" width="12" style="64" bestFit="1" customWidth="1"/>
    <col min="10242" max="10242" width="22.42578125" style="64" customWidth="1"/>
    <col min="10243" max="10243" width="21.42578125" style="64" customWidth="1"/>
    <col min="10244" max="10244" width="20.5703125" style="64" customWidth="1"/>
    <col min="10245" max="10246" width="0" style="64" hidden="1" customWidth="1"/>
    <col min="10247" max="10247" width="9.28515625" style="64" bestFit="1" customWidth="1"/>
    <col min="10248" max="10248" width="15.5703125" style="64" bestFit="1" customWidth="1"/>
    <col min="10249" max="10249" width="13.28515625" style="64" bestFit="1" customWidth="1"/>
    <col min="10250" max="10496" width="9.140625" style="64"/>
    <col min="10497" max="10497" width="12" style="64" bestFit="1" customWidth="1"/>
    <col min="10498" max="10498" width="22.42578125" style="64" customWidth="1"/>
    <col min="10499" max="10499" width="21.42578125" style="64" customWidth="1"/>
    <col min="10500" max="10500" width="20.5703125" style="64" customWidth="1"/>
    <col min="10501" max="10502" width="0" style="64" hidden="1" customWidth="1"/>
    <col min="10503" max="10503" width="9.28515625" style="64" bestFit="1" customWidth="1"/>
    <col min="10504" max="10504" width="15.5703125" style="64" bestFit="1" customWidth="1"/>
    <col min="10505" max="10505" width="13.28515625" style="64" bestFit="1" customWidth="1"/>
    <col min="10506" max="10752" width="9.140625" style="64"/>
    <col min="10753" max="10753" width="12" style="64" bestFit="1" customWidth="1"/>
    <col min="10754" max="10754" width="22.42578125" style="64" customWidth="1"/>
    <col min="10755" max="10755" width="21.42578125" style="64" customWidth="1"/>
    <col min="10756" max="10756" width="20.5703125" style="64" customWidth="1"/>
    <col min="10757" max="10758" width="0" style="64" hidden="1" customWidth="1"/>
    <col min="10759" max="10759" width="9.28515625" style="64" bestFit="1" customWidth="1"/>
    <col min="10760" max="10760" width="15.5703125" style="64" bestFit="1" customWidth="1"/>
    <col min="10761" max="10761" width="13.28515625" style="64" bestFit="1" customWidth="1"/>
    <col min="10762" max="11008" width="9.140625" style="64"/>
    <col min="11009" max="11009" width="12" style="64" bestFit="1" customWidth="1"/>
    <col min="11010" max="11010" width="22.42578125" style="64" customWidth="1"/>
    <col min="11011" max="11011" width="21.42578125" style="64" customWidth="1"/>
    <col min="11012" max="11012" width="20.5703125" style="64" customWidth="1"/>
    <col min="11013" max="11014" width="0" style="64" hidden="1" customWidth="1"/>
    <col min="11015" max="11015" width="9.28515625" style="64" bestFit="1" customWidth="1"/>
    <col min="11016" max="11016" width="15.5703125" style="64" bestFit="1" customWidth="1"/>
    <col min="11017" max="11017" width="13.28515625" style="64" bestFit="1" customWidth="1"/>
    <col min="11018" max="11264" width="9.140625" style="64"/>
    <col min="11265" max="11265" width="12" style="64" bestFit="1" customWidth="1"/>
    <col min="11266" max="11266" width="22.42578125" style="64" customWidth="1"/>
    <col min="11267" max="11267" width="21.42578125" style="64" customWidth="1"/>
    <col min="11268" max="11268" width="20.5703125" style="64" customWidth="1"/>
    <col min="11269" max="11270" width="0" style="64" hidden="1" customWidth="1"/>
    <col min="11271" max="11271" width="9.28515625" style="64" bestFit="1" customWidth="1"/>
    <col min="11272" max="11272" width="15.5703125" style="64" bestFit="1" customWidth="1"/>
    <col min="11273" max="11273" width="13.28515625" style="64" bestFit="1" customWidth="1"/>
    <col min="11274" max="11520" width="9.140625" style="64"/>
    <col min="11521" max="11521" width="12" style="64" bestFit="1" customWidth="1"/>
    <col min="11522" max="11522" width="22.42578125" style="64" customWidth="1"/>
    <col min="11523" max="11523" width="21.42578125" style="64" customWidth="1"/>
    <col min="11524" max="11524" width="20.5703125" style="64" customWidth="1"/>
    <col min="11525" max="11526" width="0" style="64" hidden="1" customWidth="1"/>
    <col min="11527" max="11527" width="9.28515625" style="64" bestFit="1" customWidth="1"/>
    <col min="11528" max="11528" width="15.5703125" style="64" bestFit="1" customWidth="1"/>
    <col min="11529" max="11529" width="13.28515625" style="64" bestFit="1" customWidth="1"/>
    <col min="11530" max="11776" width="9.140625" style="64"/>
    <col min="11777" max="11777" width="12" style="64" bestFit="1" customWidth="1"/>
    <col min="11778" max="11778" width="22.42578125" style="64" customWidth="1"/>
    <col min="11779" max="11779" width="21.42578125" style="64" customWidth="1"/>
    <col min="11780" max="11780" width="20.5703125" style="64" customWidth="1"/>
    <col min="11781" max="11782" width="0" style="64" hidden="1" customWidth="1"/>
    <col min="11783" max="11783" width="9.28515625" style="64" bestFit="1" customWidth="1"/>
    <col min="11784" max="11784" width="15.5703125" style="64" bestFit="1" customWidth="1"/>
    <col min="11785" max="11785" width="13.28515625" style="64" bestFit="1" customWidth="1"/>
    <col min="11786" max="12032" width="9.140625" style="64"/>
    <col min="12033" max="12033" width="12" style="64" bestFit="1" customWidth="1"/>
    <col min="12034" max="12034" width="22.42578125" style="64" customWidth="1"/>
    <col min="12035" max="12035" width="21.42578125" style="64" customWidth="1"/>
    <col min="12036" max="12036" width="20.5703125" style="64" customWidth="1"/>
    <col min="12037" max="12038" width="0" style="64" hidden="1" customWidth="1"/>
    <col min="12039" max="12039" width="9.28515625" style="64" bestFit="1" customWidth="1"/>
    <col min="12040" max="12040" width="15.5703125" style="64" bestFit="1" customWidth="1"/>
    <col min="12041" max="12041" width="13.28515625" style="64" bestFit="1" customWidth="1"/>
    <col min="12042" max="12288" width="9.140625" style="64"/>
    <col min="12289" max="12289" width="12" style="64" bestFit="1" customWidth="1"/>
    <col min="12290" max="12290" width="22.42578125" style="64" customWidth="1"/>
    <col min="12291" max="12291" width="21.42578125" style="64" customWidth="1"/>
    <col min="12292" max="12292" width="20.5703125" style="64" customWidth="1"/>
    <col min="12293" max="12294" width="0" style="64" hidden="1" customWidth="1"/>
    <col min="12295" max="12295" width="9.28515625" style="64" bestFit="1" customWidth="1"/>
    <col min="12296" max="12296" width="15.5703125" style="64" bestFit="1" customWidth="1"/>
    <col min="12297" max="12297" width="13.28515625" style="64" bestFit="1" customWidth="1"/>
    <col min="12298" max="12544" width="9.140625" style="64"/>
    <col min="12545" max="12545" width="12" style="64" bestFit="1" customWidth="1"/>
    <col min="12546" max="12546" width="22.42578125" style="64" customWidth="1"/>
    <col min="12547" max="12547" width="21.42578125" style="64" customWidth="1"/>
    <col min="12548" max="12548" width="20.5703125" style="64" customWidth="1"/>
    <col min="12549" max="12550" width="0" style="64" hidden="1" customWidth="1"/>
    <col min="12551" max="12551" width="9.28515625" style="64" bestFit="1" customWidth="1"/>
    <col min="12552" max="12552" width="15.5703125" style="64" bestFit="1" customWidth="1"/>
    <col min="12553" max="12553" width="13.28515625" style="64" bestFit="1" customWidth="1"/>
    <col min="12554" max="12800" width="9.140625" style="64"/>
    <col min="12801" max="12801" width="12" style="64" bestFit="1" customWidth="1"/>
    <col min="12802" max="12802" width="22.42578125" style="64" customWidth="1"/>
    <col min="12803" max="12803" width="21.42578125" style="64" customWidth="1"/>
    <col min="12804" max="12804" width="20.5703125" style="64" customWidth="1"/>
    <col min="12805" max="12806" width="0" style="64" hidden="1" customWidth="1"/>
    <col min="12807" max="12807" width="9.28515625" style="64" bestFit="1" customWidth="1"/>
    <col min="12808" max="12808" width="15.5703125" style="64" bestFit="1" customWidth="1"/>
    <col min="12809" max="12809" width="13.28515625" style="64" bestFit="1" customWidth="1"/>
    <col min="12810" max="13056" width="9.140625" style="64"/>
    <col min="13057" max="13057" width="12" style="64" bestFit="1" customWidth="1"/>
    <col min="13058" max="13058" width="22.42578125" style="64" customWidth="1"/>
    <col min="13059" max="13059" width="21.42578125" style="64" customWidth="1"/>
    <col min="13060" max="13060" width="20.5703125" style="64" customWidth="1"/>
    <col min="13061" max="13062" width="0" style="64" hidden="1" customWidth="1"/>
    <col min="13063" max="13063" width="9.28515625" style="64" bestFit="1" customWidth="1"/>
    <col min="13064" max="13064" width="15.5703125" style="64" bestFit="1" customWidth="1"/>
    <col min="13065" max="13065" width="13.28515625" style="64" bestFit="1" customWidth="1"/>
    <col min="13066" max="13312" width="9.140625" style="64"/>
    <col min="13313" max="13313" width="12" style="64" bestFit="1" customWidth="1"/>
    <col min="13314" max="13314" width="22.42578125" style="64" customWidth="1"/>
    <col min="13315" max="13315" width="21.42578125" style="64" customWidth="1"/>
    <col min="13316" max="13316" width="20.5703125" style="64" customWidth="1"/>
    <col min="13317" max="13318" width="0" style="64" hidden="1" customWidth="1"/>
    <col min="13319" max="13319" width="9.28515625" style="64" bestFit="1" customWidth="1"/>
    <col min="13320" max="13320" width="15.5703125" style="64" bestFit="1" customWidth="1"/>
    <col min="13321" max="13321" width="13.28515625" style="64" bestFit="1" customWidth="1"/>
    <col min="13322" max="13568" width="9.140625" style="64"/>
    <col min="13569" max="13569" width="12" style="64" bestFit="1" customWidth="1"/>
    <col min="13570" max="13570" width="22.42578125" style="64" customWidth="1"/>
    <col min="13571" max="13571" width="21.42578125" style="64" customWidth="1"/>
    <col min="13572" max="13572" width="20.5703125" style="64" customWidth="1"/>
    <col min="13573" max="13574" width="0" style="64" hidden="1" customWidth="1"/>
    <col min="13575" max="13575" width="9.28515625" style="64" bestFit="1" customWidth="1"/>
    <col min="13576" max="13576" width="15.5703125" style="64" bestFit="1" customWidth="1"/>
    <col min="13577" max="13577" width="13.28515625" style="64" bestFit="1" customWidth="1"/>
    <col min="13578" max="13824" width="9.140625" style="64"/>
    <col min="13825" max="13825" width="12" style="64" bestFit="1" customWidth="1"/>
    <col min="13826" max="13826" width="22.42578125" style="64" customWidth="1"/>
    <col min="13827" max="13827" width="21.42578125" style="64" customWidth="1"/>
    <col min="13828" max="13828" width="20.5703125" style="64" customWidth="1"/>
    <col min="13829" max="13830" width="0" style="64" hidden="1" customWidth="1"/>
    <col min="13831" max="13831" width="9.28515625" style="64" bestFit="1" customWidth="1"/>
    <col min="13832" max="13832" width="15.5703125" style="64" bestFit="1" customWidth="1"/>
    <col min="13833" max="13833" width="13.28515625" style="64" bestFit="1" customWidth="1"/>
    <col min="13834" max="14080" width="9.140625" style="64"/>
    <col min="14081" max="14081" width="12" style="64" bestFit="1" customWidth="1"/>
    <col min="14082" max="14082" width="22.42578125" style="64" customWidth="1"/>
    <col min="14083" max="14083" width="21.42578125" style="64" customWidth="1"/>
    <col min="14084" max="14084" width="20.5703125" style="64" customWidth="1"/>
    <col min="14085" max="14086" width="0" style="64" hidden="1" customWidth="1"/>
    <col min="14087" max="14087" width="9.28515625" style="64" bestFit="1" customWidth="1"/>
    <col min="14088" max="14088" width="15.5703125" style="64" bestFit="1" customWidth="1"/>
    <col min="14089" max="14089" width="13.28515625" style="64" bestFit="1" customWidth="1"/>
    <col min="14090" max="14336" width="9.140625" style="64"/>
    <col min="14337" max="14337" width="12" style="64" bestFit="1" customWidth="1"/>
    <col min="14338" max="14338" width="22.42578125" style="64" customWidth="1"/>
    <col min="14339" max="14339" width="21.42578125" style="64" customWidth="1"/>
    <col min="14340" max="14340" width="20.5703125" style="64" customWidth="1"/>
    <col min="14341" max="14342" width="0" style="64" hidden="1" customWidth="1"/>
    <col min="14343" max="14343" width="9.28515625" style="64" bestFit="1" customWidth="1"/>
    <col min="14344" max="14344" width="15.5703125" style="64" bestFit="1" customWidth="1"/>
    <col min="14345" max="14345" width="13.28515625" style="64" bestFit="1" customWidth="1"/>
    <col min="14346" max="14592" width="9.140625" style="64"/>
    <col min="14593" max="14593" width="12" style="64" bestFit="1" customWidth="1"/>
    <col min="14594" max="14594" width="22.42578125" style="64" customWidth="1"/>
    <col min="14595" max="14595" width="21.42578125" style="64" customWidth="1"/>
    <col min="14596" max="14596" width="20.5703125" style="64" customWidth="1"/>
    <col min="14597" max="14598" width="0" style="64" hidden="1" customWidth="1"/>
    <col min="14599" max="14599" width="9.28515625" style="64" bestFit="1" customWidth="1"/>
    <col min="14600" max="14600" width="15.5703125" style="64" bestFit="1" customWidth="1"/>
    <col min="14601" max="14601" width="13.28515625" style="64" bestFit="1" customWidth="1"/>
    <col min="14602" max="14848" width="9.140625" style="64"/>
    <col min="14849" max="14849" width="12" style="64" bestFit="1" customWidth="1"/>
    <col min="14850" max="14850" width="22.42578125" style="64" customWidth="1"/>
    <col min="14851" max="14851" width="21.42578125" style="64" customWidth="1"/>
    <col min="14852" max="14852" width="20.5703125" style="64" customWidth="1"/>
    <col min="14853" max="14854" width="0" style="64" hidden="1" customWidth="1"/>
    <col min="14855" max="14855" width="9.28515625" style="64" bestFit="1" customWidth="1"/>
    <col min="14856" max="14856" width="15.5703125" style="64" bestFit="1" customWidth="1"/>
    <col min="14857" max="14857" width="13.28515625" style="64" bestFit="1" customWidth="1"/>
    <col min="14858" max="15104" width="9.140625" style="64"/>
    <col min="15105" max="15105" width="12" style="64" bestFit="1" customWidth="1"/>
    <col min="15106" max="15106" width="22.42578125" style="64" customWidth="1"/>
    <col min="15107" max="15107" width="21.42578125" style="64" customWidth="1"/>
    <col min="15108" max="15108" width="20.5703125" style="64" customWidth="1"/>
    <col min="15109" max="15110" width="0" style="64" hidden="1" customWidth="1"/>
    <col min="15111" max="15111" width="9.28515625" style="64" bestFit="1" customWidth="1"/>
    <col min="15112" max="15112" width="15.5703125" style="64" bestFit="1" customWidth="1"/>
    <col min="15113" max="15113" width="13.28515625" style="64" bestFit="1" customWidth="1"/>
    <col min="15114" max="15360" width="9.140625" style="64"/>
    <col min="15361" max="15361" width="12" style="64" bestFit="1" customWidth="1"/>
    <col min="15362" max="15362" width="22.42578125" style="64" customWidth="1"/>
    <col min="15363" max="15363" width="21.42578125" style="64" customWidth="1"/>
    <col min="15364" max="15364" width="20.5703125" style="64" customWidth="1"/>
    <col min="15365" max="15366" width="0" style="64" hidden="1" customWidth="1"/>
    <col min="15367" max="15367" width="9.28515625" style="64" bestFit="1" customWidth="1"/>
    <col min="15368" max="15368" width="15.5703125" style="64" bestFit="1" customWidth="1"/>
    <col min="15369" max="15369" width="13.28515625" style="64" bestFit="1" customWidth="1"/>
    <col min="15370" max="15616" width="9.140625" style="64"/>
    <col min="15617" max="15617" width="12" style="64" bestFit="1" customWidth="1"/>
    <col min="15618" max="15618" width="22.42578125" style="64" customWidth="1"/>
    <col min="15619" max="15619" width="21.42578125" style="64" customWidth="1"/>
    <col min="15620" max="15620" width="20.5703125" style="64" customWidth="1"/>
    <col min="15621" max="15622" width="0" style="64" hidden="1" customWidth="1"/>
    <col min="15623" max="15623" width="9.28515625" style="64" bestFit="1" customWidth="1"/>
    <col min="15624" max="15624" width="15.5703125" style="64" bestFit="1" customWidth="1"/>
    <col min="15625" max="15625" width="13.28515625" style="64" bestFit="1" customWidth="1"/>
    <col min="15626" max="15872" width="9.140625" style="64"/>
    <col min="15873" max="15873" width="12" style="64" bestFit="1" customWidth="1"/>
    <col min="15874" max="15874" width="22.42578125" style="64" customWidth="1"/>
    <col min="15875" max="15875" width="21.42578125" style="64" customWidth="1"/>
    <col min="15876" max="15876" width="20.5703125" style="64" customWidth="1"/>
    <col min="15877" max="15878" width="0" style="64" hidden="1" customWidth="1"/>
    <col min="15879" max="15879" width="9.28515625" style="64" bestFit="1" customWidth="1"/>
    <col min="15880" max="15880" width="15.5703125" style="64" bestFit="1" customWidth="1"/>
    <col min="15881" max="15881" width="13.28515625" style="64" bestFit="1" customWidth="1"/>
    <col min="15882" max="16128" width="9.140625" style="64"/>
    <col min="16129" max="16129" width="12" style="64" bestFit="1" customWidth="1"/>
    <col min="16130" max="16130" width="22.42578125" style="64" customWidth="1"/>
    <col min="16131" max="16131" width="21.42578125" style="64" customWidth="1"/>
    <col min="16132" max="16132" width="20.5703125" style="64" customWidth="1"/>
    <col min="16133" max="16134" width="0" style="64" hidden="1" customWidth="1"/>
    <col min="16135" max="16135" width="9.28515625" style="64" bestFit="1" customWidth="1"/>
    <col min="16136" max="16136" width="15.5703125" style="64" bestFit="1" customWidth="1"/>
    <col min="16137" max="16137" width="13.28515625" style="64" bestFit="1" customWidth="1"/>
    <col min="16138" max="16384" width="9.140625" style="64"/>
  </cols>
  <sheetData>
    <row r="1" spans="1:9" s="62" customFormat="1" ht="18">
      <c r="A1" s="191" t="s">
        <v>166</v>
      </c>
      <c r="B1" s="191"/>
      <c r="C1" s="191"/>
      <c r="D1" s="191"/>
      <c r="E1" s="61"/>
      <c r="F1" s="61"/>
    </row>
    <row r="2" spans="1:9" s="62" customFormat="1" ht="18"/>
    <row r="3" spans="1:9" s="62" customFormat="1" ht="18">
      <c r="A3" s="191" t="s">
        <v>167</v>
      </c>
      <c r="B3" s="191"/>
      <c r="C3" s="191"/>
      <c r="D3" s="191"/>
      <c r="E3" s="61"/>
      <c r="F3" s="61"/>
    </row>
    <row r="4" spans="1:9" s="62" customFormat="1" ht="18">
      <c r="A4" s="63"/>
      <c r="B4" s="63"/>
      <c r="C4" s="63"/>
      <c r="D4" s="63"/>
      <c r="E4" s="63"/>
      <c r="F4" s="63"/>
    </row>
    <row r="5" spans="1:9" ht="18">
      <c r="A5" s="192" t="s">
        <v>168</v>
      </c>
      <c r="B5" s="192"/>
      <c r="C5" s="192"/>
      <c r="D5" s="192"/>
    </row>
    <row r="6" spans="1:9" ht="15">
      <c r="A6" s="65"/>
      <c r="B6" s="65"/>
      <c r="C6" s="65"/>
      <c r="D6" s="65"/>
      <c r="E6" s="65"/>
    </row>
    <row r="7" spans="1:9" ht="19.5" customHeight="1">
      <c r="A7" s="66" t="s">
        <v>169</v>
      </c>
      <c r="B7" s="67">
        <f>+[1]MAHARASHTRA!B3+[1]KARNATAKA!B3+[1]AP!B3+[1]GOA!B3+[1]KERALA!B3+[1]GUJ!B3+[1]TN!B3</f>
        <v>38560378.510000005</v>
      </c>
      <c r="C7" s="68"/>
      <c r="D7" s="68"/>
      <c r="E7" s="68"/>
      <c r="F7" s="69"/>
    </row>
    <row r="8" spans="1:9" ht="15.75">
      <c r="A8" s="66"/>
      <c r="B8" s="67"/>
      <c r="C8" s="68"/>
      <c r="D8" s="68"/>
      <c r="E8" s="68"/>
      <c r="F8" s="69"/>
    </row>
    <row r="9" spans="1:9" ht="27" customHeight="1">
      <c r="A9" s="70" t="s">
        <v>170</v>
      </c>
      <c r="B9" s="71" t="s">
        <v>171</v>
      </c>
      <c r="C9" s="71" t="s">
        <v>172</v>
      </c>
      <c r="D9" s="71" t="s">
        <v>173</v>
      </c>
      <c r="E9" s="72" t="s">
        <v>174</v>
      </c>
      <c r="F9" s="73" t="s">
        <v>175</v>
      </c>
      <c r="H9" s="74" t="s">
        <v>176</v>
      </c>
    </row>
    <row r="10" spans="1:9" ht="38.25" customHeight="1">
      <c r="A10" s="75">
        <v>39904</v>
      </c>
      <c r="B10" s="70">
        <f>+[1]MAHARASHTRA!B5+[1]KARNATAKA!B5+[1]AP!B5+[1]GOA!B5+[1]GUJ!B5+[1]TN!B5</f>
        <v>38610672</v>
      </c>
      <c r="C10" s="70">
        <f>+[1]MAHARASHTRA!C5+[1]KARNATAKA!C5+[1]AP!C5+[1]GOA!C5+[1]GUJ!C5+[1]TN!C5</f>
        <v>36264990.810000002</v>
      </c>
      <c r="D10" s="76">
        <f>+B7+C10-B10</f>
        <v>36214697.320000008</v>
      </c>
      <c r="E10" s="68">
        <v>36214697.32</v>
      </c>
      <c r="F10" s="69">
        <f t="shared" ref="F10:F21" si="0">+D10-E10</f>
        <v>0</v>
      </c>
      <c r="H10" s="64">
        <v>36214697.32</v>
      </c>
      <c r="I10" s="77">
        <f t="shared" ref="I10:I21" si="1">+H10-D10</f>
        <v>0</v>
      </c>
    </row>
    <row r="11" spans="1:9" ht="38.25" customHeight="1">
      <c r="A11" s="75">
        <v>39935</v>
      </c>
      <c r="B11" s="70">
        <f>+[1]MAHARASHTRA!B6+[1]KARNATAKA!B6+[1]AP!B6+[1]GOA!B6+[1]GUJ!B6+[1]TN!B6</f>
        <v>36338784</v>
      </c>
      <c r="C11" s="70">
        <f>+[1]MAHARASHTRA!C6+[1]KARNATAKA!C6+[1]AP!C6+[1]GOA!C6+[1]GUJ!C6+[1]TN!C6</f>
        <v>56456181.140000008</v>
      </c>
      <c r="D11" s="76">
        <f>+D10+C11-B11</f>
        <v>56332094.460000008</v>
      </c>
      <c r="E11" s="68">
        <v>56005837.460000001</v>
      </c>
      <c r="F11" s="69">
        <f t="shared" si="0"/>
        <v>326257.00000000745</v>
      </c>
      <c r="H11" s="64">
        <v>56332094.460000001</v>
      </c>
      <c r="I11" s="77">
        <f t="shared" si="1"/>
        <v>0</v>
      </c>
    </row>
    <row r="12" spans="1:9" ht="38.25" customHeight="1">
      <c r="A12" s="75">
        <v>39966</v>
      </c>
      <c r="B12" s="70">
        <f>+[1]MAHARASHTRA!B7+[1]KARNATAKA!B7+[1]AP!B7+[1]GOA!B7+[1]GUJ!B7+[1]TN!B7</f>
        <v>56669860</v>
      </c>
      <c r="C12" s="70">
        <f>+[1]MAHARASHTRA!C7+[1]KARNATAKA!C7+[1]AP!C7+[1]GOA!C7+[1]GUJ!C7+[1]TN!C7</f>
        <v>38198556.190000005</v>
      </c>
      <c r="D12" s="76">
        <f t="shared" ref="D12:D21" si="2">+D11+C12-B12</f>
        <v>37860790.650000006</v>
      </c>
      <c r="E12" s="68">
        <v>37860790.649999999</v>
      </c>
      <c r="F12" s="69">
        <f>+D12-E12</f>
        <v>0</v>
      </c>
      <c r="H12" s="77">
        <v>37860790.649999999</v>
      </c>
      <c r="I12" s="77">
        <f t="shared" si="1"/>
        <v>0</v>
      </c>
    </row>
    <row r="13" spans="1:9" ht="30.75" customHeight="1">
      <c r="A13" s="75">
        <v>39996</v>
      </c>
      <c r="B13" s="70">
        <f>+[1]MAHARASHTRA!B8+[1]KARNATAKA!B8+[1]AP!B8+[1]GOA!B8+[1]GUJ!B8+[1]TN!B8</f>
        <v>38262563</v>
      </c>
      <c r="C13" s="70">
        <f>+[1]MAHARASHTRA!C8+[1]KARNATAKA!C8+[1]AP!C8+[1]GOA!C8+[1]GUJ!C8+[1]TN!C8</f>
        <v>27926891.349999998</v>
      </c>
      <c r="D13" s="76">
        <f t="shared" si="2"/>
        <v>27525119</v>
      </c>
      <c r="E13" s="68">
        <v>37400085.329999998</v>
      </c>
      <c r="F13" s="69">
        <f t="shared" si="0"/>
        <v>-9874966.3299999982</v>
      </c>
      <c r="G13" s="77"/>
      <c r="H13" s="77">
        <f>27525119</f>
        <v>27525119</v>
      </c>
      <c r="I13" s="77">
        <f t="shared" si="1"/>
        <v>0</v>
      </c>
    </row>
    <row r="14" spans="1:9" ht="30.75" customHeight="1">
      <c r="A14" s="75">
        <v>40027</v>
      </c>
      <c r="B14" s="70">
        <f>+[1]MAHARASHTRA!B9+[1]KARNATAKA!B9+[1]AP!B9+[1]GOA!B9+[1]GUJ!B9+[1]TN!B9</f>
        <v>28280340</v>
      </c>
      <c r="C14" s="70">
        <f>+[1]MAHARASHTRA!C9+[1]KARNATAKA!C9+[1]AP!C9+[1]GOA!C9+[1]GUJ!C9+[1]TN!C9</f>
        <v>34901695.200000003</v>
      </c>
      <c r="D14" s="76">
        <f t="shared" si="2"/>
        <v>34146474.200000003</v>
      </c>
      <c r="E14" s="68">
        <v>56710236.18</v>
      </c>
      <c r="F14" s="69">
        <f t="shared" si="0"/>
        <v>-22563761.979999997</v>
      </c>
      <c r="H14" s="77">
        <f>34146474.2</f>
        <v>34146474.200000003</v>
      </c>
      <c r="I14" s="77">
        <f t="shared" si="1"/>
        <v>0</v>
      </c>
    </row>
    <row r="15" spans="1:9" ht="30.75" customHeight="1">
      <c r="A15" s="75">
        <v>40058</v>
      </c>
      <c r="B15" s="70">
        <f>+[1]MAHARASHTRA!B10+[1]KARNATAKA!B10+[1]AP!B10+[1]GOA!B10+[1]GUJ!B10+[1]TN!B10+[1]KERALA!B10</f>
        <v>33907433</v>
      </c>
      <c r="C15" s="70">
        <f>+[1]MAHARASHTRA!C10+[1]KARNATAKA!C10+[1]AP!C10+[1]GOA!C10+[1]GUJ!C10+[1]TN!C10+[1]KERALA!C10</f>
        <v>53230767.200000003</v>
      </c>
      <c r="D15" s="76">
        <f t="shared" si="2"/>
        <v>53469808.400000006</v>
      </c>
      <c r="E15" s="68">
        <v>52144591.210000001</v>
      </c>
      <c r="F15" s="69">
        <f t="shared" si="0"/>
        <v>1325217.1900000051</v>
      </c>
      <c r="H15" s="64">
        <v>53469808.399999999</v>
      </c>
      <c r="I15" s="77">
        <f t="shared" si="1"/>
        <v>0</v>
      </c>
    </row>
    <row r="16" spans="1:9" ht="30.75" customHeight="1">
      <c r="A16" s="75">
        <v>40088</v>
      </c>
      <c r="B16" s="70">
        <f>+[1]MAHARASHTRA!B11+[1]KARNATAKA!B11+[1]AP!B11+[1]GOA!B11+[1]GUJ!B11+[1]TN!B11+[1]KERALA!B11+[1]MP!B11+[1]UP!B11</f>
        <v>51668298</v>
      </c>
      <c r="C16" s="70">
        <f>+[1]MAHARASHTRA!C11+[1]KARNATAKA!C11+[1]AP!C11+[1]GOA!C11+[1]GUJ!C11+[1]TN!C11+[1]KERALA!C11+[1]MP!C11+[1]UP!C11</f>
        <v>47935927.380000003</v>
      </c>
      <c r="D16" s="76">
        <f t="shared" si="2"/>
        <v>49737437.780000001</v>
      </c>
      <c r="E16" s="68">
        <v>52025308.340000004</v>
      </c>
      <c r="F16" s="69">
        <f t="shared" si="0"/>
        <v>-2287870.5600000024</v>
      </c>
      <c r="H16" s="64">
        <v>49737437.780000001</v>
      </c>
      <c r="I16" s="77">
        <f t="shared" si="1"/>
        <v>0</v>
      </c>
    </row>
    <row r="17" spans="1:9" ht="30.75" customHeight="1">
      <c r="A17" s="75">
        <v>40119</v>
      </c>
      <c r="B17" s="70">
        <f>+[1]MAHARASHTRA!B12+[1]KARNATAKA!B12+[1]AP!B12+[1]GOA!B12+[1]GUJ!B12+[1]TN!B12+[1]MP!B12+[1]UP!B12+[1]KERALA!B12</f>
        <v>46492526</v>
      </c>
      <c r="C17" s="70">
        <f>+[1]MAHARASHTRA!C12+[1]KARNATAKA!C12+[1]AP!C12+[1]GOA!C12+[1]GUJ!C12+[1]TN!C12+[1]MP!C12+[1]UP!C12+[1]KERALA!C12</f>
        <v>55240314.57</v>
      </c>
      <c r="D17" s="76">
        <f t="shared" si="2"/>
        <v>58485226.349999994</v>
      </c>
      <c r="E17" s="68">
        <v>58483426.229999997</v>
      </c>
      <c r="F17" s="69">
        <f t="shared" si="0"/>
        <v>1800.1199999973178</v>
      </c>
      <c r="H17" s="64">
        <v>58485226.350000001</v>
      </c>
      <c r="I17" s="77">
        <f t="shared" si="1"/>
        <v>0</v>
      </c>
    </row>
    <row r="18" spans="1:9" ht="30.75" customHeight="1">
      <c r="A18" s="75">
        <v>40149</v>
      </c>
      <c r="B18" s="70">
        <f>+[1]MAHARASHTRA!B13+[1]KARNATAKA!B13+[1]AP!B13+[1]GOA!B13+[1]GUJ!B13+[1]TN!B13+[1]KERALA!B13+[1]MP!B13+[1]UP!B13</f>
        <v>54997413</v>
      </c>
      <c r="C18" s="70">
        <f>+[1]MAHARASHTRA!C13+[1]KARNATAKA!C13+[1]AP!C13+[1]GOA!C13+[1]GUJ!C13+[1]TN!C13+[1]KERALA!C13+[1]MP!C13+[1]UP!C13</f>
        <v>44655910.410000004</v>
      </c>
      <c r="D18" s="76">
        <f t="shared" si="2"/>
        <v>48143723.75999999</v>
      </c>
      <c r="E18" s="68">
        <v>27984166.190000001</v>
      </c>
      <c r="F18" s="69">
        <f t="shared" si="0"/>
        <v>20159557.569999989</v>
      </c>
      <c r="H18" s="64">
        <v>48143723.759999998</v>
      </c>
      <c r="I18" s="77">
        <f t="shared" si="1"/>
        <v>0</v>
      </c>
    </row>
    <row r="19" spans="1:9" ht="30.75" customHeight="1">
      <c r="A19" s="75">
        <v>40180</v>
      </c>
      <c r="B19" s="70">
        <f>+[1]MAHARASHTRA!B14+[1]KARNATAKA!B14+[1]AP!B14+[1]GOA!B14+[1]GUJ!B14+[1]TN!B14+[1]KERALA!B14+[1]MP!B14+[1]UP!B14</f>
        <v>45654065</v>
      </c>
      <c r="C19" s="70">
        <f>+[1]MAHARASHTRA!C14+[1]KARNATAKA!C14+[1]AP!C14+[1]GOA!C14+[1]GUJ!C14+[1]TN!C14+[1]KERALA!C14+[1]MP!C14+[1]UP!C14</f>
        <v>35828314.109999999</v>
      </c>
      <c r="D19" s="76">
        <f t="shared" si="2"/>
        <v>38317972.86999999</v>
      </c>
      <c r="E19" s="68">
        <v>34706660.670000002</v>
      </c>
      <c r="F19" s="69">
        <f t="shared" si="0"/>
        <v>3611312.1999999881</v>
      </c>
      <c r="H19" s="64">
        <v>38317972.869999997</v>
      </c>
      <c r="I19" s="77">
        <f t="shared" si="1"/>
        <v>0</v>
      </c>
    </row>
    <row r="20" spans="1:9" ht="30.75" customHeight="1">
      <c r="A20" s="75">
        <v>40211</v>
      </c>
      <c r="B20" s="70">
        <f>+[1]MAHARASHTRA!B15+[1]KARNATAKA!B15+[1]AP!B15+[1]GOA!B15+[1]GUJ!B15+[1]TN!B15+[1]KERALA!B15+[1]MP!B15+[1]UP!B15</f>
        <v>30043502</v>
      </c>
      <c r="C20" s="70">
        <f>+[1]MAHARASHTRA!C15+[1]KARNATAKA!C15+[1]AP!C15+[1]GOA!C15+[1]GUJ!C15+[1]TN!C15+[1]KERALA!C15+[1]MP!C15+[1]UP!C15</f>
        <v>57959053.549999997</v>
      </c>
      <c r="D20" s="76">
        <f t="shared" si="2"/>
        <v>66233524.419999987</v>
      </c>
      <c r="E20" s="68">
        <v>21234901.09</v>
      </c>
      <c r="F20" s="69">
        <f t="shared" si="0"/>
        <v>44998623.329999983</v>
      </c>
      <c r="H20" s="64">
        <v>66233524.420000002</v>
      </c>
      <c r="I20" s="77">
        <f t="shared" si="1"/>
        <v>0</v>
      </c>
    </row>
    <row r="21" spans="1:9" ht="30.75" customHeight="1">
      <c r="A21" s="75">
        <v>40239</v>
      </c>
      <c r="B21" s="70">
        <f>+[1]MAHARASHTRA!B16+[1]KARNATAKA!B16+[1]AP!B16+[1]GOA!B16+[1]GUJ!B16+[1]TN!B16+[1]KERALA!B16+[1]MP!B16+[1]UP!B16</f>
        <v>54023429.789999999</v>
      </c>
      <c r="C21" s="70">
        <f>+[1]MAHARASHTRA!C16+[1]KARNATAKA!C16+[1]AP!C16+[1]GOA!C16+[1]GUJ!C16+[1]TN!C16+[1]KERALA!C16+[1]MP!C16+[1]UP!C16</f>
        <v>39875847.369999997</v>
      </c>
      <c r="D21" s="76">
        <f t="shared" si="2"/>
        <v>52085941.999999993</v>
      </c>
      <c r="E21" s="68">
        <v>38560378.509999998</v>
      </c>
      <c r="F21" s="69">
        <f t="shared" si="0"/>
        <v>13525563.489999995</v>
      </c>
      <c r="H21" s="64">
        <v>52085942</v>
      </c>
      <c r="I21" s="77">
        <f t="shared" si="1"/>
        <v>0</v>
      </c>
    </row>
    <row r="22" spans="1:9" ht="7.5" customHeight="1">
      <c r="A22" s="76"/>
      <c r="B22" s="76"/>
      <c r="C22" s="76"/>
      <c r="D22" s="76"/>
      <c r="E22" s="68"/>
      <c r="F22" s="78"/>
    </row>
    <row r="23" spans="1:9" ht="26.25" customHeight="1">
      <c r="A23" s="79"/>
      <c r="B23" s="80">
        <f>SUM(B10:B22)</f>
        <v>514948885.79000002</v>
      </c>
      <c r="C23" s="80">
        <f>SUM(C10:C22)</f>
        <v>528474449.28000003</v>
      </c>
      <c r="D23" s="80">
        <f>+B7+C23-B23</f>
        <v>52085942.00000006</v>
      </c>
      <c r="E23" s="78"/>
      <c r="F23" s="69"/>
    </row>
    <row r="24" spans="1:9">
      <c r="C24" s="77"/>
      <c r="D24" s="77"/>
    </row>
    <row r="25" spans="1:9">
      <c r="C25" s="77">
        <f>+C23-B23</f>
        <v>13525563.49000001</v>
      </c>
      <c r="D25" s="77">
        <f>52085942-D23</f>
        <v>-5.9604644775390625E-8</v>
      </c>
    </row>
    <row r="26" spans="1:9">
      <c r="C26" s="77"/>
      <c r="D26" s="77"/>
    </row>
    <row r="27" spans="1:9">
      <c r="D27" s="81"/>
    </row>
    <row r="28" spans="1:9">
      <c r="D28" s="81"/>
    </row>
    <row r="30" spans="1:9">
      <c r="D30" s="77"/>
    </row>
    <row r="32" spans="1:9">
      <c r="D32" s="77"/>
    </row>
  </sheetData>
  <mergeCells count="3">
    <mergeCell ref="A1:D1"/>
    <mergeCell ref="A3:D3"/>
    <mergeCell ref="A5:D5"/>
  </mergeCells>
  <printOptions horizontalCentered="1"/>
  <pageMargins left="1.04" right="0.28999999999999998" top="0.79" bottom="1" header="0.5" footer="0.5"/>
  <pageSetup paperSize="40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C20" sqref="C20"/>
    </sheetView>
  </sheetViews>
  <sheetFormatPr defaultRowHeight="12.75"/>
  <cols>
    <col min="1" max="1" width="9.140625" style="82"/>
    <col min="2" max="2" width="14" style="82" customWidth="1"/>
    <col min="3" max="3" width="14.42578125" style="82" customWidth="1"/>
    <col min="4" max="4" width="12.85546875" style="82" customWidth="1"/>
    <col min="5" max="257" width="9.140625" style="82"/>
    <col min="258" max="258" width="14" style="82" customWidth="1"/>
    <col min="259" max="259" width="14.42578125" style="82" customWidth="1"/>
    <col min="260" max="260" width="12.85546875" style="82" customWidth="1"/>
    <col min="261" max="513" width="9.140625" style="82"/>
    <col min="514" max="514" width="14" style="82" customWidth="1"/>
    <col min="515" max="515" width="14.42578125" style="82" customWidth="1"/>
    <col min="516" max="516" width="12.85546875" style="82" customWidth="1"/>
    <col min="517" max="769" width="9.140625" style="82"/>
    <col min="770" max="770" width="14" style="82" customWidth="1"/>
    <col min="771" max="771" width="14.42578125" style="82" customWidth="1"/>
    <col min="772" max="772" width="12.85546875" style="82" customWidth="1"/>
    <col min="773" max="1025" width="9.140625" style="82"/>
    <col min="1026" max="1026" width="14" style="82" customWidth="1"/>
    <col min="1027" max="1027" width="14.42578125" style="82" customWidth="1"/>
    <col min="1028" max="1028" width="12.85546875" style="82" customWidth="1"/>
    <col min="1029" max="1281" width="9.140625" style="82"/>
    <col min="1282" max="1282" width="14" style="82" customWidth="1"/>
    <col min="1283" max="1283" width="14.42578125" style="82" customWidth="1"/>
    <col min="1284" max="1284" width="12.85546875" style="82" customWidth="1"/>
    <col min="1285" max="1537" width="9.140625" style="82"/>
    <col min="1538" max="1538" width="14" style="82" customWidth="1"/>
    <col min="1539" max="1539" width="14.42578125" style="82" customWidth="1"/>
    <col min="1540" max="1540" width="12.85546875" style="82" customWidth="1"/>
    <col min="1541" max="1793" width="9.140625" style="82"/>
    <col min="1794" max="1794" width="14" style="82" customWidth="1"/>
    <col min="1795" max="1795" width="14.42578125" style="82" customWidth="1"/>
    <col min="1796" max="1796" width="12.85546875" style="82" customWidth="1"/>
    <col min="1797" max="2049" width="9.140625" style="82"/>
    <col min="2050" max="2050" width="14" style="82" customWidth="1"/>
    <col min="2051" max="2051" width="14.42578125" style="82" customWidth="1"/>
    <col min="2052" max="2052" width="12.85546875" style="82" customWidth="1"/>
    <col min="2053" max="2305" width="9.140625" style="82"/>
    <col min="2306" max="2306" width="14" style="82" customWidth="1"/>
    <col min="2307" max="2307" width="14.42578125" style="82" customWidth="1"/>
    <col min="2308" max="2308" width="12.85546875" style="82" customWidth="1"/>
    <col min="2309" max="2561" width="9.140625" style="82"/>
    <col min="2562" max="2562" width="14" style="82" customWidth="1"/>
    <col min="2563" max="2563" width="14.42578125" style="82" customWidth="1"/>
    <col min="2564" max="2564" width="12.85546875" style="82" customWidth="1"/>
    <col min="2565" max="2817" width="9.140625" style="82"/>
    <col min="2818" max="2818" width="14" style="82" customWidth="1"/>
    <col min="2819" max="2819" width="14.42578125" style="82" customWidth="1"/>
    <col min="2820" max="2820" width="12.85546875" style="82" customWidth="1"/>
    <col min="2821" max="3073" width="9.140625" style="82"/>
    <col min="3074" max="3074" width="14" style="82" customWidth="1"/>
    <col min="3075" max="3075" width="14.42578125" style="82" customWidth="1"/>
    <col min="3076" max="3076" width="12.85546875" style="82" customWidth="1"/>
    <col min="3077" max="3329" width="9.140625" style="82"/>
    <col min="3330" max="3330" width="14" style="82" customWidth="1"/>
    <col min="3331" max="3331" width="14.42578125" style="82" customWidth="1"/>
    <col min="3332" max="3332" width="12.85546875" style="82" customWidth="1"/>
    <col min="3333" max="3585" width="9.140625" style="82"/>
    <col min="3586" max="3586" width="14" style="82" customWidth="1"/>
    <col min="3587" max="3587" width="14.42578125" style="82" customWidth="1"/>
    <col min="3588" max="3588" width="12.85546875" style="82" customWidth="1"/>
    <col min="3589" max="3841" width="9.140625" style="82"/>
    <col min="3842" max="3842" width="14" style="82" customWidth="1"/>
    <col min="3843" max="3843" width="14.42578125" style="82" customWidth="1"/>
    <col min="3844" max="3844" width="12.85546875" style="82" customWidth="1"/>
    <col min="3845" max="4097" width="9.140625" style="82"/>
    <col min="4098" max="4098" width="14" style="82" customWidth="1"/>
    <col min="4099" max="4099" width="14.42578125" style="82" customWidth="1"/>
    <col min="4100" max="4100" width="12.85546875" style="82" customWidth="1"/>
    <col min="4101" max="4353" width="9.140625" style="82"/>
    <col min="4354" max="4354" width="14" style="82" customWidth="1"/>
    <col min="4355" max="4355" width="14.42578125" style="82" customWidth="1"/>
    <col min="4356" max="4356" width="12.85546875" style="82" customWidth="1"/>
    <col min="4357" max="4609" width="9.140625" style="82"/>
    <col min="4610" max="4610" width="14" style="82" customWidth="1"/>
    <col min="4611" max="4611" width="14.42578125" style="82" customWidth="1"/>
    <col min="4612" max="4612" width="12.85546875" style="82" customWidth="1"/>
    <col min="4613" max="4865" width="9.140625" style="82"/>
    <col min="4866" max="4866" width="14" style="82" customWidth="1"/>
    <col min="4867" max="4867" width="14.42578125" style="82" customWidth="1"/>
    <col min="4868" max="4868" width="12.85546875" style="82" customWidth="1"/>
    <col min="4869" max="5121" width="9.140625" style="82"/>
    <col min="5122" max="5122" width="14" style="82" customWidth="1"/>
    <col min="5123" max="5123" width="14.42578125" style="82" customWidth="1"/>
    <col min="5124" max="5124" width="12.85546875" style="82" customWidth="1"/>
    <col min="5125" max="5377" width="9.140625" style="82"/>
    <col min="5378" max="5378" width="14" style="82" customWidth="1"/>
    <col min="5379" max="5379" width="14.42578125" style="82" customWidth="1"/>
    <col min="5380" max="5380" width="12.85546875" style="82" customWidth="1"/>
    <col min="5381" max="5633" width="9.140625" style="82"/>
    <col min="5634" max="5634" width="14" style="82" customWidth="1"/>
    <col min="5635" max="5635" width="14.42578125" style="82" customWidth="1"/>
    <col min="5636" max="5636" width="12.85546875" style="82" customWidth="1"/>
    <col min="5637" max="5889" width="9.140625" style="82"/>
    <col min="5890" max="5890" width="14" style="82" customWidth="1"/>
    <col min="5891" max="5891" width="14.42578125" style="82" customWidth="1"/>
    <col min="5892" max="5892" width="12.85546875" style="82" customWidth="1"/>
    <col min="5893" max="6145" width="9.140625" style="82"/>
    <col min="6146" max="6146" width="14" style="82" customWidth="1"/>
    <col min="6147" max="6147" width="14.42578125" style="82" customWidth="1"/>
    <col min="6148" max="6148" width="12.85546875" style="82" customWidth="1"/>
    <col min="6149" max="6401" width="9.140625" style="82"/>
    <col min="6402" max="6402" width="14" style="82" customWidth="1"/>
    <col min="6403" max="6403" width="14.42578125" style="82" customWidth="1"/>
    <col min="6404" max="6404" width="12.85546875" style="82" customWidth="1"/>
    <col min="6405" max="6657" width="9.140625" style="82"/>
    <col min="6658" max="6658" width="14" style="82" customWidth="1"/>
    <col min="6659" max="6659" width="14.42578125" style="82" customWidth="1"/>
    <col min="6660" max="6660" width="12.85546875" style="82" customWidth="1"/>
    <col min="6661" max="6913" width="9.140625" style="82"/>
    <col min="6914" max="6914" width="14" style="82" customWidth="1"/>
    <col min="6915" max="6915" width="14.42578125" style="82" customWidth="1"/>
    <col min="6916" max="6916" width="12.85546875" style="82" customWidth="1"/>
    <col min="6917" max="7169" width="9.140625" style="82"/>
    <col min="7170" max="7170" width="14" style="82" customWidth="1"/>
    <col min="7171" max="7171" width="14.42578125" style="82" customWidth="1"/>
    <col min="7172" max="7172" width="12.85546875" style="82" customWidth="1"/>
    <col min="7173" max="7425" width="9.140625" style="82"/>
    <col min="7426" max="7426" width="14" style="82" customWidth="1"/>
    <col min="7427" max="7427" width="14.42578125" style="82" customWidth="1"/>
    <col min="7428" max="7428" width="12.85546875" style="82" customWidth="1"/>
    <col min="7429" max="7681" width="9.140625" style="82"/>
    <col min="7682" max="7682" width="14" style="82" customWidth="1"/>
    <col min="7683" max="7683" width="14.42578125" style="82" customWidth="1"/>
    <col min="7684" max="7684" width="12.85546875" style="82" customWidth="1"/>
    <col min="7685" max="7937" width="9.140625" style="82"/>
    <col min="7938" max="7938" width="14" style="82" customWidth="1"/>
    <col min="7939" max="7939" width="14.42578125" style="82" customWidth="1"/>
    <col min="7940" max="7940" width="12.85546875" style="82" customWidth="1"/>
    <col min="7941" max="8193" width="9.140625" style="82"/>
    <col min="8194" max="8194" width="14" style="82" customWidth="1"/>
    <col min="8195" max="8195" width="14.42578125" style="82" customWidth="1"/>
    <col min="8196" max="8196" width="12.85546875" style="82" customWidth="1"/>
    <col min="8197" max="8449" width="9.140625" style="82"/>
    <col min="8450" max="8450" width="14" style="82" customWidth="1"/>
    <col min="8451" max="8451" width="14.42578125" style="82" customWidth="1"/>
    <col min="8452" max="8452" width="12.85546875" style="82" customWidth="1"/>
    <col min="8453" max="8705" width="9.140625" style="82"/>
    <col min="8706" max="8706" width="14" style="82" customWidth="1"/>
    <col min="8707" max="8707" width="14.42578125" style="82" customWidth="1"/>
    <col min="8708" max="8708" width="12.85546875" style="82" customWidth="1"/>
    <col min="8709" max="8961" width="9.140625" style="82"/>
    <col min="8962" max="8962" width="14" style="82" customWidth="1"/>
    <col min="8963" max="8963" width="14.42578125" style="82" customWidth="1"/>
    <col min="8964" max="8964" width="12.85546875" style="82" customWidth="1"/>
    <col min="8965" max="9217" width="9.140625" style="82"/>
    <col min="9218" max="9218" width="14" style="82" customWidth="1"/>
    <col min="9219" max="9219" width="14.42578125" style="82" customWidth="1"/>
    <col min="9220" max="9220" width="12.85546875" style="82" customWidth="1"/>
    <col min="9221" max="9473" width="9.140625" style="82"/>
    <col min="9474" max="9474" width="14" style="82" customWidth="1"/>
    <col min="9475" max="9475" width="14.42578125" style="82" customWidth="1"/>
    <col min="9476" max="9476" width="12.85546875" style="82" customWidth="1"/>
    <col min="9477" max="9729" width="9.140625" style="82"/>
    <col min="9730" max="9730" width="14" style="82" customWidth="1"/>
    <col min="9731" max="9731" width="14.42578125" style="82" customWidth="1"/>
    <col min="9732" max="9732" width="12.85546875" style="82" customWidth="1"/>
    <col min="9733" max="9985" width="9.140625" style="82"/>
    <col min="9986" max="9986" width="14" style="82" customWidth="1"/>
    <col min="9987" max="9987" width="14.42578125" style="82" customWidth="1"/>
    <col min="9988" max="9988" width="12.85546875" style="82" customWidth="1"/>
    <col min="9989" max="10241" width="9.140625" style="82"/>
    <col min="10242" max="10242" width="14" style="82" customWidth="1"/>
    <col min="10243" max="10243" width="14.42578125" style="82" customWidth="1"/>
    <col min="10244" max="10244" width="12.85546875" style="82" customWidth="1"/>
    <col min="10245" max="10497" width="9.140625" style="82"/>
    <col min="10498" max="10498" width="14" style="82" customWidth="1"/>
    <col min="10499" max="10499" width="14.42578125" style="82" customWidth="1"/>
    <col min="10500" max="10500" width="12.85546875" style="82" customWidth="1"/>
    <col min="10501" max="10753" width="9.140625" style="82"/>
    <col min="10754" max="10754" width="14" style="82" customWidth="1"/>
    <col min="10755" max="10755" width="14.42578125" style="82" customWidth="1"/>
    <col min="10756" max="10756" width="12.85546875" style="82" customWidth="1"/>
    <col min="10757" max="11009" width="9.140625" style="82"/>
    <col min="11010" max="11010" width="14" style="82" customWidth="1"/>
    <col min="11011" max="11011" width="14.42578125" style="82" customWidth="1"/>
    <col min="11012" max="11012" width="12.85546875" style="82" customWidth="1"/>
    <col min="11013" max="11265" width="9.140625" style="82"/>
    <col min="11266" max="11266" width="14" style="82" customWidth="1"/>
    <col min="11267" max="11267" width="14.42578125" style="82" customWidth="1"/>
    <col min="11268" max="11268" width="12.85546875" style="82" customWidth="1"/>
    <col min="11269" max="11521" width="9.140625" style="82"/>
    <col min="11522" max="11522" width="14" style="82" customWidth="1"/>
    <col min="11523" max="11523" width="14.42578125" style="82" customWidth="1"/>
    <col min="11524" max="11524" width="12.85546875" style="82" customWidth="1"/>
    <col min="11525" max="11777" width="9.140625" style="82"/>
    <col min="11778" max="11778" width="14" style="82" customWidth="1"/>
    <col min="11779" max="11779" width="14.42578125" style="82" customWidth="1"/>
    <col min="11780" max="11780" width="12.85546875" style="82" customWidth="1"/>
    <col min="11781" max="12033" width="9.140625" style="82"/>
    <col min="12034" max="12034" width="14" style="82" customWidth="1"/>
    <col min="12035" max="12035" width="14.42578125" style="82" customWidth="1"/>
    <col min="12036" max="12036" width="12.85546875" style="82" customWidth="1"/>
    <col min="12037" max="12289" width="9.140625" style="82"/>
    <col min="12290" max="12290" width="14" style="82" customWidth="1"/>
    <col min="12291" max="12291" width="14.42578125" style="82" customWidth="1"/>
    <col min="12292" max="12292" width="12.85546875" style="82" customWidth="1"/>
    <col min="12293" max="12545" width="9.140625" style="82"/>
    <col min="12546" max="12546" width="14" style="82" customWidth="1"/>
    <col min="12547" max="12547" width="14.42578125" style="82" customWidth="1"/>
    <col min="12548" max="12548" width="12.85546875" style="82" customWidth="1"/>
    <col min="12549" max="12801" width="9.140625" style="82"/>
    <col min="12802" max="12802" width="14" style="82" customWidth="1"/>
    <col min="12803" max="12803" width="14.42578125" style="82" customWidth="1"/>
    <col min="12804" max="12804" width="12.85546875" style="82" customWidth="1"/>
    <col min="12805" max="13057" width="9.140625" style="82"/>
    <col min="13058" max="13058" width="14" style="82" customWidth="1"/>
    <col min="13059" max="13059" width="14.42578125" style="82" customWidth="1"/>
    <col min="13060" max="13060" width="12.85546875" style="82" customWidth="1"/>
    <col min="13061" max="13313" width="9.140625" style="82"/>
    <col min="13314" max="13314" width="14" style="82" customWidth="1"/>
    <col min="13315" max="13315" width="14.42578125" style="82" customWidth="1"/>
    <col min="13316" max="13316" width="12.85546875" style="82" customWidth="1"/>
    <col min="13317" max="13569" width="9.140625" style="82"/>
    <col min="13570" max="13570" width="14" style="82" customWidth="1"/>
    <col min="13571" max="13571" width="14.42578125" style="82" customWidth="1"/>
    <col min="13572" max="13572" width="12.85546875" style="82" customWidth="1"/>
    <col min="13573" max="13825" width="9.140625" style="82"/>
    <col min="13826" max="13826" width="14" style="82" customWidth="1"/>
    <col min="13827" max="13827" width="14.42578125" style="82" customWidth="1"/>
    <col min="13828" max="13828" width="12.85546875" style="82" customWidth="1"/>
    <col min="13829" max="14081" width="9.140625" style="82"/>
    <col min="14082" max="14082" width="14" style="82" customWidth="1"/>
    <col min="14083" max="14083" width="14.42578125" style="82" customWidth="1"/>
    <col min="14084" max="14084" width="12.85546875" style="82" customWidth="1"/>
    <col min="14085" max="14337" width="9.140625" style="82"/>
    <col min="14338" max="14338" width="14" style="82" customWidth="1"/>
    <col min="14339" max="14339" width="14.42578125" style="82" customWidth="1"/>
    <col min="14340" max="14340" width="12.85546875" style="82" customWidth="1"/>
    <col min="14341" max="14593" width="9.140625" style="82"/>
    <col min="14594" max="14594" width="14" style="82" customWidth="1"/>
    <col min="14595" max="14595" width="14.42578125" style="82" customWidth="1"/>
    <col min="14596" max="14596" width="12.85546875" style="82" customWidth="1"/>
    <col min="14597" max="14849" width="9.140625" style="82"/>
    <col min="14850" max="14850" width="14" style="82" customWidth="1"/>
    <col min="14851" max="14851" width="14.42578125" style="82" customWidth="1"/>
    <col min="14852" max="14852" width="12.85546875" style="82" customWidth="1"/>
    <col min="14853" max="15105" width="9.140625" style="82"/>
    <col min="15106" max="15106" width="14" style="82" customWidth="1"/>
    <col min="15107" max="15107" width="14.42578125" style="82" customWidth="1"/>
    <col min="15108" max="15108" width="12.85546875" style="82" customWidth="1"/>
    <col min="15109" max="15361" width="9.140625" style="82"/>
    <col min="15362" max="15362" width="14" style="82" customWidth="1"/>
    <col min="15363" max="15363" width="14.42578125" style="82" customWidth="1"/>
    <col min="15364" max="15364" width="12.85546875" style="82" customWidth="1"/>
    <col min="15365" max="15617" width="9.140625" style="82"/>
    <col min="15618" max="15618" width="14" style="82" customWidth="1"/>
    <col min="15619" max="15619" width="14.42578125" style="82" customWidth="1"/>
    <col min="15620" max="15620" width="12.85546875" style="82" customWidth="1"/>
    <col min="15621" max="15873" width="9.140625" style="82"/>
    <col min="15874" max="15874" width="14" style="82" customWidth="1"/>
    <col min="15875" max="15875" width="14.42578125" style="82" customWidth="1"/>
    <col min="15876" max="15876" width="12.85546875" style="82" customWidth="1"/>
    <col min="15877" max="16129" width="9.140625" style="82"/>
    <col min="16130" max="16130" width="14" style="82" customWidth="1"/>
    <col min="16131" max="16131" width="14.42578125" style="82" customWidth="1"/>
    <col min="16132" max="16132" width="12.85546875" style="82" customWidth="1"/>
    <col min="16133" max="16384" width="9.140625" style="82"/>
  </cols>
  <sheetData>
    <row r="1" spans="1:7" ht="15.75">
      <c r="A1" s="193" t="s">
        <v>177</v>
      </c>
      <c r="B1" s="193"/>
      <c r="C1" s="193"/>
      <c r="D1" s="193"/>
      <c r="E1" s="193"/>
      <c r="F1" s="193"/>
      <c r="G1" s="193"/>
    </row>
    <row r="4" spans="1:7">
      <c r="B4" s="83" t="s">
        <v>178</v>
      </c>
    </row>
    <row r="6" spans="1:7" ht="31.5">
      <c r="B6" s="84" t="s">
        <v>179</v>
      </c>
      <c r="C6" s="85" t="s">
        <v>180</v>
      </c>
      <c r="D6" s="85" t="s">
        <v>181</v>
      </c>
    </row>
    <row r="7" spans="1:7" ht="15">
      <c r="B7" s="86"/>
      <c r="C7" s="87"/>
      <c r="D7" s="87"/>
    </row>
    <row r="8" spans="1:7" ht="15">
      <c r="B8" s="88" t="s">
        <v>182</v>
      </c>
      <c r="C8" s="86">
        <v>7291</v>
      </c>
      <c r="D8" s="89"/>
    </row>
    <row r="9" spans="1:7" ht="15">
      <c r="B9" s="88" t="s">
        <v>183</v>
      </c>
      <c r="C9" s="86">
        <v>35383</v>
      </c>
      <c r="D9" s="89"/>
    </row>
    <row r="10" spans="1:7" ht="15">
      <c r="B10" s="88" t="s">
        <v>184</v>
      </c>
      <c r="C10" s="86">
        <v>62676</v>
      </c>
      <c r="D10" s="89"/>
    </row>
    <row r="11" spans="1:7" ht="15">
      <c r="B11" s="88" t="s">
        <v>185</v>
      </c>
      <c r="C11" s="86">
        <v>41432</v>
      </c>
      <c r="D11" s="89"/>
    </row>
    <row r="12" spans="1:7" ht="15">
      <c r="B12" s="88" t="s">
        <v>186</v>
      </c>
      <c r="C12" s="86">
        <v>0</v>
      </c>
      <c r="D12" s="89"/>
    </row>
    <row r="13" spans="1:7" ht="15">
      <c r="B13" s="88" t="s">
        <v>187</v>
      </c>
      <c r="C13" s="86">
        <v>24348</v>
      </c>
      <c r="D13" s="89"/>
    </row>
    <row r="14" spans="1:7" ht="15">
      <c r="B14" s="88" t="s">
        <v>188</v>
      </c>
      <c r="C14" s="86">
        <v>47118</v>
      </c>
      <c r="D14" s="89"/>
    </row>
    <row r="15" spans="1:7" ht="15">
      <c r="B15" s="88" t="s">
        <v>189</v>
      </c>
      <c r="C15" s="86">
        <v>36940</v>
      </c>
      <c r="D15" s="89"/>
    </row>
    <row r="16" spans="1:7" ht="15">
      <c r="B16" s="88" t="s">
        <v>190</v>
      </c>
      <c r="C16" s="86">
        <v>55411</v>
      </c>
      <c r="D16" s="89"/>
    </row>
    <row r="17" spans="2:5" ht="15">
      <c r="B17" s="88" t="s">
        <v>191</v>
      </c>
      <c r="C17" s="86">
        <v>31941</v>
      </c>
      <c r="D17" s="89"/>
    </row>
    <row r="18" spans="2:5" ht="15">
      <c r="B18" s="88" t="s">
        <v>192</v>
      </c>
      <c r="C18" s="86">
        <v>72527</v>
      </c>
      <c r="D18" s="89"/>
    </row>
    <row r="19" spans="2:5" ht="15">
      <c r="B19" s="88" t="s">
        <v>193</v>
      </c>
      <c r="C19" s="86">
        <v>339746</v>
      </c>
      <c r="D19" s="89" t="s">
        <v>194</v>
      </c>
    </row>
    <row r="20" spans="2:5" ht="16.5" thickBot="1">
      <c r="B20" s="90"/>
      <c r="C20" s="91">
        <f>SUM(C7:C19)</f>
        <v>754813</v>
      </c>
      <c r="D20" s="92"/>
      <c r="E20" s="93"/>
    </row>
    <row r="21" spans="2:5" ht="13.5" thickTop="1"/>
  </sheetData>
  <mergeCells count="1">
    <mergeCell ref="A1:G1"/>
  </mergeCells>
  <pageMargins left="0.75" right="0.75" top="1" bottom="1" header="0.5" footer="0.5"/>
  <pageSetup paperSize="9" scale="92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B1:F22"/>
  <sheetViews>
    <sheetView workbookViewId="0">
      <selection activeCell="G23" sqref="G23"/>
    </sheetView>
  </sheetViews>
  <sheetFormatPr defaultRowHeight="12.75"/>
  <cols>
    <col min="1" max="2" width="9.140625" style="82"/>
    <col min="3" max="3" width="18" style="82" bestFit="1" customWidth="1"/>
    <col min="4" max="4" width="16.140625" style="82" customWidth="1"/>
    <col min="5" max="5" width="4.28515625" style="82" customWidth="1"/>
    <col min="6" max="6" width="9" style="82" customWidth="1"/>
    <col min="7" max="8" width="9.140625" style="82"/>
    <col min="9" max="9" width="1.5703125" style="82" customWidth="1"/>
    <col min="10" max="10" width="10.140625" style="82" customWidth="1"/>
    <col min="11" max="11" width="11.28515625" style="82" customWidth="1"/>
    <col min="12" max="12" width="2" style="82" customWidth="1"/>
    <col min="13" max="13" width="12.42578125" style="82" customWidth="1"/>
    <col min="14" max="14" width="13.42578125" style="82" customWidth="1"/>
    <col min="15" max="258" width="9.140625" style="82"/>
    <col min="259" max="259" width="15.42578125" style="82" customWidth="1"/>
    <col min="260" max="260" width="16.140625" style="82" customWidth="1"/>
    <col min="261" max="261" width="4.28515625" style="82" customWidth="1"/>
    <col min="262" max="262" width="9" style="82" customWidth="1"/>
    <col min="263" max="264" width="9.140625" style="82"/>
    <col min="265" max="265" width="1.5703125" style="82" customWidth="1"/>
    <col min="266" max="266" width="10.140625" style="82" customWidth="1"/>
    <col min="267" max="267" width="11.28515625" style="82" customWidth="1"/>
    <col min="268" max="268" width="2" style="82" customWidth="1"/>
    <col min="269" max="269" width="12.42578125" style="82" customWidth="1"/>
    <col min="270" max="270" width="13.42578125" style="82" customWidth="1"/>
    <col min="271" max="514" width="9.140625" style="82"/>
    <col min="515" max="515" width="15.42578125" style="82" customWidth="1"/>
    <col min="516" max="516" width="16.140625" style="82" customWidth="1"/>
    <col min="517" max="517" width="4.28515625" style="82" customWidth="1"/>
    <col min="518" max="518" width="9" style="82" customWidth="1"/>
    <col min="519" max="520" width="9.140625" style="82"/>
    <col min="521" max="521" width="1.5703125" style="82" customWidth="1"/>
    <col min="522" max="522" width="10.140625" style="82" customWidth="1"/>
    <col min="523" max="523" width="11.28515625" style="82" customWidth="1"/>
    <col min="524" max="524" width="2" style="82" customWidth="1"/>
    <col min="525" max="525" width="12.42578125" style="82" customWidth="1"/>
    <col min="526" max="526" width="13.42578125" style="82" customWidth="1"/>
    <col min="527" max="770" width="9.140625" style="82"/>
    <col min="771" max="771" width="15.42578125" style="82" customWidth="1"/>
    <col min="772" max="772" width="16.140625" style="82" customWidth="1"/>
    <col min="773" max="773" width="4.28515625" style="82" customWidth="1"/>
    <col min="774" max="774" width="9" style="82" customWidth="1"/>
    <col min="775" max="776" width="9.140625" style="82"/>
    <col min="777" max="777" width="1.5703125" style="82" customWidth="1"/>
    <col min="778" max="778" width="10.140625" style="82" customWidth="1"/>
    <col min="779" max="779" width="11.28515625" style="82" customWidth="1"/>
    <col min="780" max="780" width="2" style="82" customWidth="1"/>
    <col min="781" max="781" width="12.42578125" style="82" customWidth="1"/>
    <col min="782" max="782" width="13.42578125" style="82" customWidth="1"/>
    <col min="783" max="1026" width="9.140625" style="82"/>
    <col min="1027" max="1027" width="15.42578125" style="82" customWidth="1"/>
    <col min="1028" max="1028" width="16.140625" style="82" customWidth="1"/>
    <col min="1029" max="1029" width="4.28515625" style="82" customWidth="1"/>
    <col min="1030" max="1030" width="9" style="82" customWidth="1"/>
    <col min="1031" max="1032" width="9.140625" style="82"/>
    <col min="1033" max="1033" width="1.5703125" style="82" customWidth="1"/>
    <col min="1034" max="1034" width="10.140625" style="82" customWidth="1"/>
    <col min="1035" max="1035" width="11.28515625" style="82" customWidth="1"/>
    <col min="1036" max="1036" width="2" style="82" customWidth="1"/>
    <col min="1037" max="1037" width="12.42578125" style="82" customWidth="1"/>
    <col min="1038" max="1038" width="13.42578125" style="82" customWidth="1"/>
    <col min="1039" max="1282" width="9.140625" style="82"/>
    <col min="1283" max="1283" width="15.42578125" style="82" customWidth="1"/>
    <col min="1284" max="1284" width="16.140625" style="82" customWidth="1"/>
    <col min="1285" max="1285" width="4.28515625" style="82" customWidth="1"/>
    <col min="1286" max="1286" width="9" style="82" customWidth="1"/>
    <col min="1287" max="1288" width="9.140625" style="82"/>
    <col min="1289" max="1289" width="1.5703125" style="82" customWidth="1"/>
    <col min="1290" max="1290" width="10.140625" style="82" customWidth="1"/>
    <col min="1291" max="1291" width="11.28515625" style="82" customWidth="1"/>
    <col min="1292" max="1292" width="2" style="82" customWidth="1"/>
    <col min="1293" max="1293" width="12.42578125" style="82" customWidth="1"/>
    <col min="1294" max="1294" width="13.42578125" style="82" customWidth="1"/>
    <col min="1295" max="1538" width="9.140625" style="82"/>
    <col min="1539" max="1539" width="15.42578125" style="82" customWidth="1"/>
    <col min="1540" max="1540" width="16.140625" style="82" customWidth="1"/>
    <col min="1541" max="1541" width="4.28515625" style="82" customWidth="1"/>
    <col min="1542" max="1542" width="9" style="82" customWidth="1"/>
    <col min="1543" max="1544" width="9.140625" style="82"/>
    <col min="1545" max="1545" width="1.5703125" style="82" customWidth="1"/>
    <col min="1546" max="1546" width="10.140625" style="82" customWidth="1"/>
    <col min="1547" max="1547" width="11.28515625" style="82" customWidth="1"/>
    <col min="1548" max="1548" width="2" style="82" customWidth="1"/>
    <col min="1549" max="1549" width="12.42578125" style="82" customWidth="1"/>
    <col min="1550" max="1550" width="13.42578125" style="82" customWidth="1"/>
    <col min="1551" max="1794" width="9.140625" style="82"/>
    <col min="1795" max="1795" width="15.42578125" style="82" customWidth="1"/>
    <col min="1796" max="1796" width="16.140625" style="82" customWidth="1"/>
    <col min="1797" max="1797" width="4.28515625" style="82" customWidth="1"/>
    <col min="1798" max="1798" width="9" style="82" customWidth="1"/>
    <col min="1799" max="1800" width="9.140625" style="82"/>
    <col min="1801" max="1801" width="1.5703125" style="82" customWidth="1"/>
    <col min="1802" max="1802" width="10.140625" style="82" customWidth="1"/>
    <col min="1803" max="1803" width="11.28515625" style="82" customWidth="1"/>
    <col min="1804" max="1804" width="2" style="82" customWidth="1"/>
    <col min="1805" max="1805" width="12.42578125" style="82" customWidth="1"/>
    <col min="1806" max="1806" width="13.42578125" style="82" customWidth="1"/>
    <col min="1807" max="2050" width="9.140625" style="82"/>
    <col min="2051" max="2051" width="15.42578125" style="82" customWidth="1"/>
    <col min="2052" max="2052" width="16.140625" style="82" customWidth="1"/>
    <col min="2053" max="2053" width="4.28515625" style="82" customWidth="1"/>
    <col min="2054" max="2054" width="9" style="82" customWidth="1"/>
    <col min="2055" max="2056" width="9.140625" style="82"/>
    <col min="2057" max="2057" width="1.5703125" style="82" customWidth="1"/>
    <col min="2058" max="2058" width="10.140625" style="82" customWidth="1"/>
    <col min="2059" max="2059" width="11.28515625" style="82" customWidth="1"/>
    <col min="2060" max="2060" width="2" style="82" customWidth="1"/>
    <col min="2061" max="2061" width="12.42578125" style="82" customWidth="1"/>
    <col min="2062" max="2062" width="13.42578125" style="82" customWidth="1"/>
    <col min="2063" max="2306" width="9.140625" style="82"/>
    <col min="2307" max="2307" width="15.42578125" style="82" customWidth="1"/>
    <col min="2308" max="2308" width="16.140625" style="82" customWidth="1"/>
    <col min="2309" max="2309" width="4.28515625" style="82" customWidth="1"/>
    <col min="2310" max="2310" width="9" style="82" customWidth="1"/>
    <col min="2311" max="2312" width="9.140625" style="82"/>
    <col min="2313" max="2313" width="1.5703125" style="82" customWidth="1"/>
    <col min="2314" max="2314" width="10.140625" style="82" customWidth="1"/>
    <col min="2315" max="2315" width="11.28515625" style="82" customWidth="1"/>
    <col min="2316" max="2316" width="2" style="82" customWidth="1"/>
    <col min="2317" max="2317" width="12.42578125" style="82" customWidth="1"/>
    <col min="2318" max="2318" width="13.42578125" style="82" customWidth="1"/>
    <col min="2319" max="2562" width="9.140625" style="82"/>
    <col min="2563" max="2563" width="15.42578125" style="82" customWidth="1"/>
    <col min="2564" max="2564" width="16.140625" style="82" customWidth="1"/>
    <col min="2565" max="2565" width="4.28515625" style="82" customWidth="1"/>
    <col min="2566" max="2566" width="9" style="82" customWidth="1"/>
    <col min="2567" max="2568" width="9.140625" style="82"/>
    <col min="2569" max="2569" width="1.5703125" style="82" customWidth="1"/>
    <col min="2570" max="2570" width="10.140625" style="82" customWidth="1"/>
    <col min="2571" max="2571" width="11.28515625" style="82" customWidth="1"/>
    <col min="2572" max="2572" width="2" style="82" customWidth="1"/>
    <col min="2573" max="2573" width="12.42578125" style="82" customWidth="1"/>
    <col min="2574" max="2574" width="13.42578125" style="82" customWidth="1"/>
    <col min="2575" max="2818" width="9.140625" style="82"/>
    <col min="2819" max="2819" width="15.42578125" style="82" customWidth="1"/>
    <col min="2820" max="2820" width="16.140625" style="82" customWidth="1"/>
    <col min="2821" max="2821" width="4.28515625" style="82" customWidth="1"/>
    <col min="2822" max="2822" width="9" style="82" customWidth="1"/>
    <col min="2823" max="2824" width="9.140625" style="82"/>
    <col min="2825" max="2825" width="1.5703125" style="82" customWidth="1"/>
    <col min="2826" max="2826" width="10.140625" style="82" customWidth="1"/>
    <col min="2827" max="2827" width="11.28515625" style="82" customWidth="1"/>
    <col min="2828" max="2828" width="2" style="82" customWidth="1"/>
    <col min="2829" max="2829" width="12.42578125" style="82" customWidth="1"/>
    <col min="2830" max="2830" width="13.42578125" style="82" customWidth="1"/>
    <col min="2831" max="3074" width="9.140625" style="82"/>
    <col min="3075" max="3075" width="15.42578125" style="82" customWidth="1"/>
    <col min="3076" max="3076" width="16.140625" style="82" customWidth="1"/>
    <col min="3077" max="3077" width="4.28515625" style="82" customWidth="1"/>
    <col min="3078" max="3078" width="9" style="82" customWidth="1"/>
    <col min="3079" max="3080" width="9.140625" style="82"/>
    <col min="3081" max="3081" width="1.5703125" style="82" customWidth="1"/>
    <col min="3082" max="3082" width="10.140625" style="82" customWidth="1"/>
    <col min="3083" max="3083" width="11.28515625" style="82" customWidth="1"/>
    <col min="3084" max="3084" width="2" style="82" customWidth="1"/>
    <col min="3085" max="3085" width="12.42578125" style="82" customWidth="1"/>
    <col min="3086" max="3086" width="13.42578125" style="82" customWidth="1"/>
    <col min="3087" max="3330" width="9.140625" style="82"/>
    <col min="3331" max="3331" width="15.42578125" style="82" customWidth="1"/>
    <col min="3332" max="3332" width="16.140625" style="82" customWidth="1"/>
    <col min="3333" max="3333" width="4.28515625" style="82" customWidth="1"/>
    <col min="3334" max="3334" width="9" style="82" customWidth="1"/>
    <col min="3335" max="3336" width="9.140625" style="82"/>
    <col min="3337" max="3337" width="1.5703125" style="82" customWidth="1"/>
    <col min="3338" max="3338" width="10.140625" style="82" customWidth="1"/>
    <col min="3339" max="3339" width="11.28515625" style="82" customWidth="1"/>
    <col min="3340" max="3340" width="2" style="82" customWidth="1"/>
    <col min="3341" max="3341" width="12.42578125" style="82" customWidth="1"/>
    <col min="3342" max="3342" width="13.42578125" style="82" customWidth="1"/>
    <col min="3343" max="3586" width="9.140625" style="82"/>
    <col min="3587" max="3587" width="15.42578125" style="82" customWidth="1"/>
    <col min="3588" max="3588" width="16.140625" style="82" customWidth="1"/>
    <col min="3589" max="3589" width="4.28515625" style="82" customWidth="1"/>
    <col min="3590" max="3590" width="9" style="82" customWidth="1"/>
    <col min="3591" max="3592" width="9.140625" style="82"/>
    <col min="3593" max="3593" width="1.5703125" style="82" customWidth="1"/>
    <col min="3594" max="3594" width="10.140625" style="82" customWidth="1"/>
    <col min="3595" max="3595" width="11.28515625" style="82" customWidth="1"/>
    <col min="3596" max="3596" width="2" style="82" customWidth="1"/>
    <col min="3597" max="3597" width="12.42578125" style="82" customWidth="1"/>
    <col min="3598" max="3598" width="13.42578125" style="82" customWidth="1"/>
    <col min="3599" max="3842" width="9.140625" style="82"/>
    <col min="3843" max="3843" width="15.42578125" style="82" customWidth="1"/>
    <col min="3844" max="3844" width="16.140625" style="82" customWidth="1"/>
    <col min="3845" max="3845" width="4.28515625" style="82" customWidth="1"/>
    <col min="3846" max="3846" width="9" style="82" customWidth="1"/>
    <col min="3847" max="3848" width="9.140625" style="82"/>
    <col min="3849" max="3849" width="1.5703125" style="82" customWidth="1"/>
    <col min="3850" max="3850" width="10.140625" style="82" customWidth="1"/>
    <col min="3851" max="3851" width="11.28515625" style="82" customWidth="1"/>
    <col min="3852" max="3852" width="2" style="82" customWidth="1"/>
    <col min="3853" max="3853" width="12.42578125" style="82" customWidth="1"/>
    <col min="3854" max="3854" width="13.42578125" style="82" customWidth="1"/>
    <col min="3855" max="4098" width="9.140625" style="82"/>
    <col min="4099" max="4099" width="15.42578125" style="82" customWidth="1"/>
    <col min="4100" max="4100" width="16.140625" style="82" customWidth="1"/>
    <col min="4101" max="4101" width="4.28515625" style="82" customWidth="1"/>
    <col min="4102" max="4102" width="9" style="82" customWidth="1"/>
    <col min="4103" max="4104" width="9.140625" style="82"/>
    <col min="4105" max="4105" width="1.5703125" style="82" customWidth="1"/>
    <col min="4106" max="4106" width="10.140625" style="82" customWidth="1"/>
    <col min="4107" max="4107" width="11.28515625" style="82" customWidth="1"/>
    <col min="4108" max="4108" width="2" style="82" customWidth="1"/>
    <col min="4109" max="4109" width="12.42578125" style="82" customWidth="1"/>
    <col min="4110" max="4110" width="13.42578125" style="82" customWidth="1"/>
    <col min="4111" max="4354" width="9.140625" style="82"/>
    <col min="4355" max="4355" width="15.42578125" style="82" customWidth="1"/>
    <col min="4356" max="4356" width="16.140625" style="82" customWidth="1"/>
    <col min="4357" max="4357" width="4.28515625" style="82" customWidth="1"/>
    <col min="4358" max="4358" width="9" style="82" customWidth="1"/>
    <col min="4359" max="4360" width="9.140625" style="82"/>
    <col min="4361" max="4361" width="1.5703125" style="82" customWidth="1"/>
    <col min="4362" max="4362" width="10.140625" style="82" customWidth="1"/>
    <col min="4363" max="4363" width="11.28515625" style="82" customWidth="1"/>
    <col min="4364" max="4364" width="2" style="82" customWidth="1"/>
    <col min="4365" max="4365" width="12.42578125" style="82" customWidth="1"/>
    <col min="4366" max="4366" width="13.42578125" style="82" customWidth="1"/>
    <col min="4367" max="4610" width="9.140625" style="82"/>
    <col min="4611" max="4611" width="15.42578125" style="82" customWidth="1"/>
    <col min="4612" max="4612" width="16.140625" style="82" customWidth="1"/>
    <col min="4613" max="4613" width="4.28515625" style="82" customWidth="1"/>
    <col min="4614" max="4614" width="9" style="82" customWidth="1"/>
    <col min="4615" max="4616" width="9.140625" style="82"/>
    <col min="4617" max="4617" width="1.5703125" style="82" customWidth="1"/>
    <col min="4618" max="4618" width="10.140625" style="82" customWidth="1"/>
    <col min="4619" max="4619" width="11.28515625" style="82" customWidth="1"/>
    <col min="4620" max="4620" width="2" style="82" customWidth="1"/>
    <col min="4621" max="4621" width="12.42578125" style="82" customWidth="1"/>
    <col min="4622" max="4622" width="13.42578125" style="82" customWidth="1"/>
    <col min="4623" max="4866" width="9.140625" style="82"/>
    <col min="4867" max="4867" width="15.42578125" style="82" customWidth="1"/>
    <col min="4868" max="4868" width="16.140625" style="82" customWidth="1"/>
    <col min="4869" max="4869" width="4.28515625" style="82" customWidth="1"/>
    <col min="4870" max="4870" width="9" style="82" customWidth="1"/>
    <col min="4871" max="4872" width="9.140625" style="82"/>
    <col min="4873" max="4873" width="1.5703125" style="82" customWidth="1"/>
    <col min="4874" max="4874" width="10.140625" style="82" customWidth="1"/>
    <col min="4875" max="4875" width="11.28515625" style="82" customWidth="1"/>
    <col min="4876" max="4876" width="2" style="82" customWidth="1"/>
    <col min="4877" max="4877" width="12.42578125" style="82" customWidth="1"/>
    <col min="4878" max="4878" width="13.42578125" style="82" customWidth="1"/>
    <col min="4879" max="5122" width="9.140625" style="82"/>
    <col min="5123" max="5123" width="15.42578125" style="82" customWidth="1"/>
    <col min="5124" max="5124" width="16.140625" style="82" customWidth="1"/>
    <col min="5125" max="5125" width="4.28515625" style="82" customWidth="1"/>
    <col min="5126" max="5126" width="9" style="82" customWidth="1"/>
    <col min="5127" max="5128" width="9.140625" style="82"/>
    <col min="5129" max="5129" width="1.5703125" style="82" customWidth="1"/>
    <col min="5130" max="5130" width="10.140625" style="82" customWidth="1"/>
    <col min="5131" max="5131" width="11.28515625" style="82" customWidth="1"/>
    <col min="5132" max="5132" width="2" style="82" customWidth="1"/>
    <col min="5133" max="5133" width="12.42578125" style="82" customWidth="1"/>
    <col min="5134" max="5134" width="13.42578125" style="82" customWidth="1"/>
    <col min="5135" max="5378" width="9.140625" style="82"/>
    <col min="5379" max="5379" width="15.42578125" style="82" customWidth="1"/>
    <col min="5380" max="5380" width="16.140625" style="82" customWidth="1"/>
    <col min="5381" max="5381" width="4.28515625" style="82" customWidth="1"/>
    <col min="5382" max="5382" width="9" style="82" customWidth="1"/>
    <col min="5383" max="5384" width="9.140625" style="82"/>
    <col min="5385" max="5385" width="1.5703125" style="82" customWidth="1"/>
    <col min="5386" max="5386" width="10.140625" style="82" customWidth="1"/>
    <col min="5387" max="5387" width="11.28515625" style="82" customWidth="1"/>
    <col min="5388" max="5388" width="2" style="82" customWidth="1"/>
    <col min="5389" max="5389" width="12.42578125" style="82" customWidth="1"/>
    <col min="5390" max="5390" width="13.42578125" style="82" customWidth="1"/>
    <col min="5391" max="5634" width="9.140625" style="82"/>
    <col min="5635" max="5635" width="15.42578125" style="82" customWidth="1"/>
    <col min="5636" max="5636" width="16.140625" style="82" customWidth="1"/>
    <col min="5637" max="5637" width="4.28515625" style="82" customWidth="1"/>
    <col min="5638" max="5638" width="9" style="82" customWidth="1"/>
    <col min="5639" max="5640" width="9.140625" style="82"/>
    <col min="5641" max="5641" width="1.5703125" style="82" customWidth="1"/>
    <col min="5642" max="5642" width="10.140625" style="82" customWidth="1"/>
    <col min="5643" max="5643" width="11.28515625" style="82" customWidth="1"/>
    <col min="5644" max="5644" width="2" style="82" customWidth="1"/>
    <col min="5645" max="5645" width="12.42578125" style="82" customWidth="1"/>
    <col min="5646" max="5646" width="13.42578125" style="82" customWidth="1"/>
    <col min="5647" max="5890" width="9.140625" style="82"/>
    <col min="5891" max="5891" width="15.42578125" style="82" customWidth="1"/>
    <col min="5892" max="5892" width="16.140625" style="82" customWidth="1"/>
    <col min="5893" max="5893" width="4.28515625" style="82" customWidth="1"/>
    <col min="5894" max="5894" width="9" style="82" customWidth="1"/>
    <col min="5895" max="5896" width="9.140625" style="82"/>
    <col min="5897" max="5897" width="1.5703125" style="82" customWidth="1"/>
    <col min="5898" max="5898" width="10.140625" style="82" customWidth="1"/>
    <col min="5899" max="5899" width="11.28515625" style="82" customWidth="1"/>
    <col min="5900" max="5900" width="2" style="82" customWidth="1"/>
    <col min="5901" max="5901" width="12.42578125" style="82" customWidth="1"/>
    <col min="5902" max="5902" width="13.42578125" style="82" customWidth="1"/>
    <col min="5903" max="6146" width="9.140625" style="82"/>
    <col min="6147" max="6147" width="15.42578125" style="82" customWidth="1"/>
    <col min="6148" max="6148" width="16.140625" style="82" customWidth="1"/>
    <col min="6149" max="6149" width="4.28515625" style="82" customWidth="1"/>
    <col min="6150" max="6150" width="9" style="82" customWidth="1"/>
    <col min="6151" max="6152" width="9.140625" style="82"/>
    <col min="6153" max="6153" width="1.5703125" style="82" customWidth="1"/>
    <col min="6154" max="6154" width="10.140625" style="82" customWidth="1"/>
    <col min="6155" max="6155" width="11.28515625" style="82" customWidth="1"/>
    <col min="6156" max="6156" width="2" style="82" customWidth="1"/>
    <col min="6157" max="6157" width="12.42578125" style="82" customWidth="1"/>
    <col min="6158" max="6158" width="13.42578125" style="82" customWidth="1"/>
    <col min="6159" max="6402" width="9.140625" style="82"/>
    <col min="6403" max="6403" width="15.42578125" style="82" customWidth="1"/>
    <col min="6404" max="6404" width="16.140625" style="82" customWidth="1"/>
    <col min="6405" max="6405" width="4.28515625" style="82" customWidth="1"/>
    <col min="6406" max="6406" width="9" style="82" customWidth="1"/>
    <col min="6407" max="6408" width="9.140625" style="82"/>
    <col min="6409" max="6409" width="1.5703125" style="82" customWidth="1"/>
    <col min="6410" max="6410" width="10.140625" style="82" customWidth="1"/>
    <col min="6411" max="6411" width="11.28515625" style="82" customWidth="1"/>
    <col min="6412" max="6412" width="2" style="82" customWidth="1"/>
    <col min="6413" max="6413" width="12.42578125" style="82" customWidth="1"/>
    <col min="6414" max="6414" width="13.42578125" style="82" customWidth="1"/>
    <col min="6415" max="6658" width="9.140625" style="82"/>
    <col min="6659" max="6659" width="15.42578125" style="82" customWidth="1"/>
    <col min="6660" max="6660" width="16.140625" style="82" customWidth="1"/>
    <col min="6661" max="6661" width="4.28515625" style="82" customWidth="1"/>
    <col min="6662" max="6662" width="9" style="82" customWidth="1"/>
    <col min="6663" max="6664" width="9.140625" style="82"/>
    <col min="6665" max="6665" width="1.5703125" style="82" customWidth="1"/>
    <col min="6666" max="6666" width="10.140625" style="82" customWidth="1"/>
    <col min="6667" max="6667" width="11.28515625" style="82" customWidth="1"/>
    <col min="6668" max="6668" width="2" style="82" customWidth="1"/>
    <col min="6669" max="6669" width="12.42578125" style="82" customWidth="1"/>
    <col min="6670" max="6670" width="13.42578125" style="82" customWidth="1"/>
    <col min="6671" max="6914" width="9.140625" style="82"/>
    <col min="6915" max="6915" width="15.42578125" style="82" customWidth="1"/>
    <col min="6916" max="6916" width="16.140625" style="82" customWidth="1"/>
    <col min="6917" max="6917" width="4.28515625" style="82" customWidth="1"/>
    <col min="6918" max="6918" width="9" style="82" customWidth="1"/>
    <col min="6919" max="6920" width="9.140625" style="82"/>
    <col min="6921" max="6921" width="1.5703125" style="82" customWidth="1"/>
    <col min="6922" max="6922" width="10.140625" style="82" customWidth="1"/>
    <col min="6923" max="6923" width="11.28515625" style="82" customWidth="1"/>
    <col min="6924" max="6924" width="2" style="82" customWidth="1"/>
    <col min="6925" max="6925" width="12.42578125" style="82" customWidth="1"/>
    <col min="6926" max="6926" width="13.42578125" style="82" customWidth="1"/>
    <col min="6927" max="7170" width="9.140625" style="82"/>
    <col min="7171" max="7171" width="15.42578125" style="82" customWidth="1"/>
    <col min="7172" max="7172" width="16.140625" style="82" customWidth="1"/>
    <col min="7173" max="7173" width="4.28515625" style="82" customWidth="1"/>
    <col min="7174" max="7174" width="9" style="82" customWidth="1"/>
    <col min="7175" max="7176" width="9.140625" style="82"/>
    <col min="7177" max="7177" width="1.5703125" style="82" customWidth="1"/>
    <col min="7178" max="7178" width="10.140625" style="82" customWidth="1"/>
    <col min="7179" max="7179" width="11.28515625" style="82" customWidth="1"/>
    <col min="7180" max="7180" width="2" style="82" customWidth="1"/>
    <col min="7181" max="7181" width="12.42578125" style="82" customWidth="1"/>
    <col min="7182" max="7182" width="13.42578125" style="82" customWidth="1"/>
    <col min="7183" max="7426" width="9.140625" style="82"/>
    <col min="7427" max="7427" width="15.42578125" style="82" customWidth="1"/>
    <col min="7428" max="7428" width="16.140625" style="82" customWidth="1"/>
    <col min="7429" max="7429" width="4.28515625" style="82" customWidth="1"/>
    <col min="7430" max="7430" width="9" style="82" customWidth="1"/>
    <col min="7431" max="7432" width="9.140625" style="82"/>
    <col min="7433" max="7433" width="1.5703125" style="82" customWidth="1"/>
    <col min="7434" max="7434" width="10.140625" style="82" customWidth="1"/>
    <col min="7435" max="7435" width="11.28515625" style="82" customWidth="1"/>
    <col min="7436" max="7436" width="2" style="82" customWidth="1"/>
    <col min="7437" max="7437" width="12.42578125" style="82" customWidth="1"/>
    <col min="7438" max="7438" width="13.42578125" style="82" customWidth="1"/>
    <col min="7439" max="7682" width="9.140625" style="82"/>
    <col min="7683" max="7683" width="15.42578125" style="82" customWidth="1"/>
    <col min="7684" max="7684" width="16.140625" style="82" customWidth="1"/>
    <col min="7685" max="7685" width="4.28515625" style="82" customWidth="1"/>
    <col min="7686" max="7686" width="9" style="82" customWidth="1"/>
    <col min="7687" max="7688" width="9.140625" style="82"/>
    <col min="7689" max="7689" width="1.5703125" style="82" customWidth="1"/>
    <col min="7690" max="7690" width="10.140625" style="82" customWidth="1"/>
    <col min="7691" max="7691" width="11.28515625" style="82" customWidth="1"/>
    <col min="7692" max="7692" width="2" style="82" customWidth="1"/>
    <col min="7693" max="7693" width="12.42578125" style="82" customWidth="1"/>
    <col min="7694" max="7694" width="13.42578125" style="82" customWidth="1"/>
    <col min="7695" max="7938" width="9.140625" style="82"/>
    <col min="7939" max="7939" width="15.42578125" style="82" customWidth="1"/>
    <col min="7940" max="7940" width="16.140625" style="82" customWidth="1"/>
    <col min="7941" max="7941" width="4.28515625" style="82" customWidth="1"/>
    <col min="7942" max="7942" width="9" style="82" customWidth="1"/>
    <col min="7943" max="7944" width="9.140625" style="82"/>
    <col min="7945" max="7945" width="1.5703125" style="82" customWidth="1"/>
    <col min="7946" max="7946" width="10.140625" style="82" customWidth="1"/>
    <col min="7947" max="7947" width="11.28515625" style="82" customWidth="1"/>
    <col min="7948" max="7948" width="2" style="82" customWidth="1"/>
    <col min="7949" max="7949" width="12.42578125" style="82" customWidth="1"/>
    <col min="7950" max="7950" width="13.42578125" style="82" customWidth="1"/>
    <col min="7951" max="8194" width="9.140625" style="82"/>
    <col min="8195" max="8195" width="15.42578125" style="82" customWidth="1"/>
    <col min="8196" max="8196" width="16.140625" style="82" customWidth="1"/>
    <col min="8197" max="8197" width="4.28515625" style="82" customWidth="1"/>
    <col min="8198" max="8198" width="9" style="82" customWidth="1"/>
    <col min="8199" max="8200" width="9.140625" style="82"/>
    <col min="8201" max="8201" width="1.5703125" style="82" customWidth="1"/>
    <col min="8202" max="8202" width="10.140625" style="82" customWidth="1"/>
    <col min="8203" max="8203" width="11.28515625" style="82" customWidth="1"/>
    <col min="8204" max="8204" width="2" style="82" customWidth="1"/>
    <col min="8205" max="8205" width="12.42578125" style="82" customWidth="1"/>
    <col min="8206" max="8206" width="13.42578125" style="82" customWidth="1"/>
    <col min="8207" max="8450" width="9.140625" style="82"/>
    <col min="8451" max="8451" width="15.42578125" style="82" customWidth="1"/>
    <col min="8452" max="8452" width="16.140625" style="82" customWidth="1"/>
    <col min="8453" max="8453" width="4.28515625" style="82" customWidth="1"/>
    <col min="8454" max="8454" width="9" style="82" customWidth="1"/>
    <col min="8455" max="8456" width="9.140625" style="82"/>
    <col min="8457" max="8457" width="1.5703125" style="82" customWidth="1"/>
    <col min="8458" max="8458" width="10.140625" style="82" customWidth="1"/>
    <col min="8459" max="8459" width="11.28515625" style="82" customWidth="1"/>
    <col min="8460" max="8460" width="2" style="82" customWidth="1"/>
    <col min="8461" max="8461" width="12.42578125" style="82" customWidth="1"/>
    <col min="8462" max="8462" width="13.42578125" style="82" customWidth="1"/>
    <col min="8463" max="8706" width="9.140625" style="82"/>
    <col min="8707" max="8707" width="15.42578125" style="82" customWidth="1"/>
    <col min="8708" max="8708" width="16.140625" style="82" customWidth="1"/>
    <col min="8709" max="8709" width="4.28515625" style="82" customWidth="1"/>
    <col min="8710" max="8710" width="9" style="82" customWidth="1"/>
    <col min="8711" max="8712" width="9.140625" style="82"/>
    <col min="8713" max="8713" width="1.5703125" style="82" customWidth="1"/>
    <col min="8714" max="8714" width="10.140625" style="82" customWidth="1"/>
    <col min="8715" max="8715" width="11.28515625" style="82" customWidth="1"/>
    <col min="8716" max="8716" width="2" style="82" customWidth="1"/>
    <col min="8717" max="8717" width="12.42578125" style="82" customWidth="1"/>
    <col min="8718" max="8718" width="13.42578125" style="82" customWidth="1"/>
    <col min="8719" max="8962" width="9.140625" style="82"/>
    <col min="8963" max="8963" width="15.42578125" style="82" customWidth="1"/>
    <col min="8964" max="8964" width="16.140625" style="82" customWidth="1"/>
    <col min="8965" max="8965" width="4.28515625" style="82" customWidth="1"/>
    <col min="8966" max="8966" width="9" style="82" customWidth="1"/>
    <col min="8967" max="8968" width="9.140625" style="82"/>
    <col min="8969" max="8969" width="1.5703125" style="82" customWidth="1"/>
    <col min="8970" max="8970" width="10.140625" style="82" customWidth="1"/>
    <col min="8971" max="8971" width="11.28515625" style="82" customWidth="1"/>
    <col min="8972" max="8972" width="2" style="82" customWidth="1"/>
    <col min="8973" max="8973" width="12.42578125" style="82" customWidth="1"/>
    <col min="8974" max="8974" width="13.42578125" style="82" customWidth="1"/>
    <col min="8975" max="9218" width="9.140625" style="82"/>
    <col min="9219" max="9219" width="15.42578125" style="82" customWidth="1"/>
    <col min="9220" max="9220" width="16.140625" style="82" customWidth="1"/>
    <col min="9221" max="9221" width="4.28515625" style="82" customWidth="1"/>
    <col min="9222" max="9222" width="9" style="82" customWidth="1"/>
    <col min="9223" max="9224" width="9.140625" style="82"/>
    <col min="9225" max="9225" width="1.5703125" style="82" customWidth="1"/>
    <col min="9226" max="9226" width="10.140625" style="82" customWidth="1"/>
    <col min="9227" max="9227" width="11.28515625" style="82" customWidth="1"/>
    <col min="9228" max="9228" width="2" style="82" customWidth="1"/>
    <col min="9229" max="9229" width="12.42578125" style="82" customWidth="1"/>
    <col min="9230" max="9230" width="13.42578125" style="82" customWidth="1"/>
    <col min="9231" max="9474" width="9.140625" style="82"/>
    <col min="9475" max="9475" width="15.42578125" style="82" customWidth="1"/>
    <col min="9476" max="9476" width="16.140625" style="82" customWidth="1"/>
    <col min="9477" max="9477" width="4.28515625" style="82" customWidth="1"/>
    <col min="9478" max="9478" width="9" style="82" customWidth="1"/>
    <col min="9479" max="9480" width="9.140625" style="82"/>
    <col min="9481" max="9481" width="1.5703125" style="82" customWidth="1"/>
    <col min="9482" max="9482" width="10.140625" style="82" customWidth="1"/>
    <col min="9483" max="9483" width="11.28515625" style="82" customWidth="1"/>
    <col min="9484" max="9484" width="2" style="82" customWidth="1"/>
    <col min="9485" max="9485" width="12.42578125" style="82" customWidth="1"/>
    <col min="9486" max="9486" width="13.42578125" style="82" customWidth="1"/>
    <col min="9487" max="9730" width="9.140625" style="82"/>
    <col min="9731" max="9731" width="15.42578125" style="82" customWidth="1"/>
    <col min="9732" max="9732" width="16.140625" style="82" customWidth="1"/>
    <col min="9733" max="9733" width="4.28515625" style="82" customWidth="1"/>
    <col min="9734" max="9734" width="9" style="82" customWidth="1"/>
    <col min="9735" max="9736" width="9.140625" style="82"/>
    <col min="9737" max="9737" width="1.5703125" style="82" customWidth="1"/>
    <col min="9738" max="9738" width="10.140625" style="82" customWidth="1"/>
    <col min="9739" max="9739" width="11.28515625" style="82" customWidth="1"/>
    <col min="9740" max="9740" width="2" style="82" customWidth="1"/>
    <col min="9741" max="9741" width="12.42578125" style="82" customWidth="1"/>
    <col min="9742" max="9742" width="13.42578125" style="82" customWidth="1"/>
    <col min="9743" max="9986" width="9.140625" style="82"/>
    <col min="9987" max="9987" width="15.42578125" style="82" customWidth="1"/>
    <col min="9988" max="9988" width="16.140625" style="82" customWidth="1"/>
    <col min="9989" max="9989" width="4.28515625" style="82" customWidth="1"/>
    <col min="9990" max="9990" width="9" style="82" customWidth="1"/>
    <col min="9991" max="9992" width="9.140625" style="82"/>
    <col min="9993" max="9993" width="1.5703125" style="82" customWidth="1"/>
    <col min="9994" max="9994" width="10.140625" style="82" customWidth="1"/>
    <col min="9995" max="9995" width="11.28515625" style="82" customWidth="1"/>
    <col min="9996" max="9996" width="2" style="82" customWidth="1"/>
    <col min="9997" max="9997" width="12.42578125" style="82" customWidth="1"/>
    <col min="9998" max="9998" width="13.42578125" style="82" customWidth="1"/>
    <col min="9999" max="10242" width="9.140625" style="82"/>
    <col min="10243" max="10243" width="15.42578125" style="82" customWidth="1"/>
    <col min="10244" max="10244" width="16.140625" style="82" customWidth="1"/>
    <col min="10245" max="10245" width="4.28515625" style="82" customWidth="1"/>
    <col min="10246" max="10246" width="9" style="82" customWidth="1"/>
    <col min="10247" max="10248" width="9.140625" style="82"/>
    <col min="10249" max="10249" width="1.5703125" style="82" customWidth="1"/>
    <col min="10250" max="10250" width="10.140625" style="82" customWidth="1"/>
    <col min="10251" max="10251" width="11.28515625" style="82" customWidth="1"/>
    <col min="10252" max="10252" width="2" style="82" customWidth="1"/>
    <col min="10253" max="10253" width="12.42578125" style="82" customWidth="1"/>
    <col min="10254" max="10254" width="13.42578125" style="82" customWidth="1"/>
    <col min="10255" max="10498" width="9.140625" style="82"/>
    <col min="10499" max="10499" width="15.42578125" style="82" customWidth="1"/>
    <col min="10500" max="10500" width="16.140625" style="82" customWidth="1"/>
    <col min="10501" max="10501" width="4.28515625" style="82" customWidth="1"/>
    <col min="10502" max="10502" width="9" style="82" customWidth="1"/>
    <col min="10503" max="10504" width="9.140625" style="82"/>
    <col min="10505" max="10505" width="1.5703125" style="82" customWidth="1"/>
    <col min="10506" max="10506" width="10.140625" style="82" customWidth="1"/>
    <col min="10507" max="10507" width="11.28515625" style="82" customWidth="1"/>
    <col min="10508" max="10508" width="2" style="82" customWidth="1"/>
    <col min="10509" max="10509" width="12.42578125" style="82" customWidth="1"/>
    <col min="10510" max="10510" width="13.42578125" style="82" customWidth="1"/>
    <col min="10511" max="10754" width="9.140625" style="82"/>
    <col min="10755" max="10755" width="15.42578125" style="82" customWidth="1"/>
    <col min="10756" max="10756" width="16.140625" style="82" customWidth="1"/>
    <col min="10757" max="10757" width="4.28515625" style="82" customWidth="1"/>
    <col min="10758" max="10758" width="9" style="82" customWidth="1"/>
    <col min="10759" max="10760" width="9.140625" style="82"/>
    <col min="10761" max="10761" width="1.5703125" style="82" customWidth="1"/>
    <col min="10762" max="10762" width="10.140625" style="82" customWidth="1"/>
    <col min="10763" max="10763" width="11.28515625" style="82" customWidth="1"/>
    <col min="10764" max="10764" width="2" style="82" customWidth="1"/>
    <col min="10765" max="10765" width="12.42578125" style="82" customWidth="1"/>
    <col min="10766" max="10766" width="13.42578125" style="82" customWidth="1"/>
    <col min="10767" max="11010" width="9.140625" style="82"/>
    <col min="11011" max="11011" width="15.42578125" style="82" customWidth="1"/>
    <col min="11012" max="11012" width="16.140625" style="82" customWidth="1"/>
    <col min="11013" max="11013" width="4.28515625" style="82" customWidth="1"/>
    <col min="11014" max="11014" width="9" style="82" customWidth="1"/>
    <col min="11015" max="11016" width="9.140625" style="82"/>
    <col min="11017" max="11017" width="1.5703125" style="82" customWidth="1"/>
    <col min="11018" max="11018" width="10.140625" style="82" customWidth="1"/>
    <col min="11019" max="11019" width="11.28515625" style="82" customWidth="1"/>
    <col min="11020" max="11020" width="2" style="82" customWidth="1"/>
    <col min="11021" max="11021" width="12.42578125" style="82" customWidth="1"/>
    <col min="11022" max="11022" width="13.42578125" style="82" customWidth="1"/>
    <col min="11023" max="11266" width="9.140625" style="82"/>
    <col min="11267" max="11267" width="15.42578125" style="82" customWidth="1"/>
    <col min="11268" max="11268" width="16.140625" style="82" customWidth="1"/>
    <col min="11269" max="11269" width="4.28515625" style="82" customWidth="1"/>
    <col min="11270" max="11270" width="9" style="82" customWidth="1"/>
    <col min="11271" max="11272" width="9.140625" style="82"/>
    <col min="11273" max="11273" width="1.5703125" style="82" customWidth="1"/>
    <col min="11274" max="11274" width="10.140625" style="82" customWidth="1"/>
    <col min="11275" max="11275" width="11.28515625" style="82" customWidth="1"/>
    <col min="11276" max="11276" width="2" style="82" customWidth="1"/>
    <col min="11277" max="11277" width="12.42578125" style="82" customWidth="1"/>
    <col min="11278" max="11278" width="13.42578125" style="82" customWidth="1"/>
    <col min="11279" max="11522" width="9.140625" style="82"/>
    <col min="11523" max="11523" width="15.42578125" style="82" customWidth="1"/>
    <col min="11524" max="11524" width="16.140625" style="82" customWidth="1"/>
    <col min="11525" max="11525" width="4.28515625" style="82" customWidth="1"/>
    <col min="11526" max="11526" width="9" style="82" customWidth="1"/>
    <col min="11527" max="11528" width="9.140625" style="82"/>
    <col min="11529" max="11529" width="1.5703125" style="82" customWidth="1"/>
    <col min="11530" max="11530" width="10.140625" style="82" customWidth="1"/>
    <col min="11531" max="11531" width="11.28515625" style="82" customWidth="1"/>
    <col min="11532" max="11532" width="2" style="82" customWidth="1"/>
    <col min="11533" max="11533" width="12.42578125" style="82" customWidth="1"/>
    <col min="11534" max="11534" width="13.42578125" style="82" customWidth="1"/>
    <col min="11535" max="11778" width="9.140625" style="82"/>
    <col min="11779" max="11779" width="15.42578125" style="82" customWidth="1"/>
    <col min="11780" max="11780" width="16.140625" style="82" customWidth="1"/>
    <col min="11781" max="11781" width="4.28515625" style="82" customWidth="1"/>
    <col min="11782" max="11782" width="9" style="82" customWidth="1"/>
    <col min="11783" max="11784" width="9.140625" style="82"/>
    <col min="11785" max="11785" width="1.5703125" style="82" customWidth="1"/>
    <col min="11786" max="11786" width="10.140625" style="82" customWidth="1"/>
    <col min="11787" max="11787" width="11.28515625" style="82" customWidth="1"/>
    <col min="11788" max="11788" width="2" style="82" customWidth="1"/>
    <col min="11789" max="11789" width="12.42578125" style="82" customWidth="1"/>
    <col min="11790" max="11790" width="13.42578125" style="82" customWidth="1"/>
    <col min="11791" max="12034" width="9.140625" style="82"/>
    <col min="12035" max="12035" width="15.42578125" style="82" customWidth="1"/>
    <col min="12036" max="12036" width="16.140625" style="82" customWidth="1"/>
    <col min="12037" max="12037" width="4.28515625" style="82" customWidth="1"/>
    <col min="12038" max="12038" width="9" style="82" customWidth="1"/>
    <col min="12039" max="12040" width="9.140625" style="82"/>
    <col min="12041" max="12041" width="1.5703125" style="82" customWidth="1"/>
    <col min="12042" max="12042" width="10.140625" style="82" customWidth="1"/>
    <col min="12043" max="12043" width="11.28515625" style="82" customWidth="1"/>
    <col min="12044" max="12044" width="2" style="82" customWidth="1"/>
    <col min="12045" max="12045" width="12.42578125" style="82" customWidth="1"/>
    <col min="12046" max="12046" width="13.42578125" style="82" customWidth="1"/>
    <col min="12047" max="12290" width="9.140625" style="82"/>
    <col min="12291" max="12291" width="15.42578125" style="82" customWidth="1"/>
    <col min="12292" max="12292" width="16.140625" style="82" customWidth="1"/>
    <col min="12293" max="12293" width="4.28515625" style="82" customWidth="1"/>
    <col min="12294" max="12294" width="9" style="82" customWidth="1"/>
    <col min="12295" max="12296" width="9.140625" style="82"/>
    <col min="12297" max="12297" width="1.5703125" style="82" customWidth="1"/>
    <col min="12298" max="12298" width="10.140625" style="82" customWidth="1"/>
    <col min="12299" max="12299" width="11.28515625" style="82" customWidth="1"/>
    <col min="12300" max="12300" width="2" style="82" customWidth="1"/>
    <col min="12301" max="12301" width="12.42578125" style="82" customWidth="1"/>
    <col min="12302" max="12302" width="13.42578125" style="82" customWidth="1"/>
    <col min="12303" max="12546" width="9.140625" style="82"/>
    <col min="12547" max="12547" width="15.42578125" style="82" customWidth="1"/>
    <col min="12548" max="12548" width="16.140625" style="82" customWidth="1"/>
    <col min="12549" max="12549" width="4.28515625" style="82" customWidth="1"/>
    <col min="12550" max="12550" width="9" style="82" customWidth="1"/>
    <col min="12551" max="12552" width="9.140625" style="82"/>
    <col min="12553" max="12553" width="1.5703125" style="82" customWidth="1"/>
    <col min="12554" max="12554" width="10.140625" style="82" customWidth="1"/>
    <col min="12555" max="12555" width="11.28515625" style="82" customWidth="1"/>
    <col min="12556" max="12556" width="2" style="82" customWidth="1"/>
    <col min="12557" max="12557" width="12.42578125" style="82" customWidth="1"/>
    <col min="12558" max="12558" width="13.42578125" style="82" customWidth="1"/>
    <col min="12559" max="12802" width="9.140625" style="82"/>
    <col min="12803" max="12803" width="15.42578125" style="82" customWidth="1"/>
    <col min="12804" max="12804" width="16.140625" style="82" customWidth="1"/>
    <col min="12805" max="12805" width="4.28515625" style="82" customWidth="1"/>
    <col min="12806" max="12806" width="9" style="82" customWidth="1"/>
    <col min="12807" max="12808" width="9.140625" style="82"/>
    <col min="12809" max="12809" width="1.5703125" style="82" customWidth="1"/>
    <col min="12810" max="12810" width="10.140625" style="82" customWidth="1"/>
    <col min="12811" max="12811" width="11.28515625" style="82" customWidth="1"/>
    <col min="12812" max="12812" width="2" style="82" customWidth="1"/>
    <col min="12813" max="12813" width="12.42578125" style="82" customWidth="1"/>
    <col min="12814" max="12814" width="13.42578125" style="82" customWidth="1"/>
    <col min="12815" max="13058" width="9.140625" style="82"/>
    <col min="13059" max="13059" width="15.42578125" style="82" customWidth="1"/>
    <col min="13060" max="13060" width="16.140625" style="82" customWidth="1"/>
    <col min="13061" max="13061" width="4.28515625" style="82" customWidth="1"/>
    <col min="13062" max="13062" width="9" style="82" customWidth="1"/>
    <col min="13063" max="13064" width="9.140625" style="82"/>
    <col min="13065" max="13065" width="1.5703125" style="82" customWidth="1"/>
    <col min="13066" max="13066" width="10.140625" style="82" customWidth="1"/>
    <col min="13067" max="13067" width="11.28515625" style="82" customWidth="1"/>
    <col min="13068" max="13068" width="2" style="82" customWidth="1"/>
    <col min="13069" max="13069" width="12.42578125" style="82" customWidth="1"/>
    <col min="13070" max="13070" width="13.42578125" style="82" customWidth="1"/>
    <col min="13071" max="13314" width="9.140625" style="82"/>
    <col min="13315" max="13315" width="15.42578125" style="82" customWidth="1"/>
    <col min="13316" max="13316" width="16.140625" style="82" customWidth="1"/>
    <col min="13317" max="13317" width="4.28515625" style="82" customWidth="1"/>
    <col min="13318" max="13318" width="9" style="82" customWidth="1"/>
    <col min="13319" max="13320" width="9.140625" style="82"/>
    <col min="13321" max="13321" width="1.5703125" style="82" customWidth="1"/>
    <col min="13322" max="13322" width="10.140625" style="82" customWidth="1"/>
    <col min="13323" max="13323" width="11.28515625" style="82" customWidth="1"/>
    <col min="13324" max="13324" width="2" style="82" customWidth="1"/>
    <col min="13325" max="13325" width="12.42578125" style="82" customWidth="1"/>
    <col min="13326" max="13326" width="13.42578125" style="82" customWidth="1"/>
    <col min="13327" max="13570" width="9.140625" style="82"/>
    <col min="13571" max="13571" width="15.42578125" style="82" customWidth="1"/>
    <col min="13572" max="13572" width="16.140625" style="82" customWidth="1"/>
    <col min="13573" max="13573" width="4.28515625" style="82" customWidth="1"/>
    <col min="13574" max="13574" width="9" style="82" customWidth="1"/>
    <col min="13575" max="13576" width="9.140625" style="82"/>
    <col min="13577" max="13577" width="1.5703125" style="82" customWidth="1"/>
    <col min="13578" max="13578" width="10.140625" style="82" customWidth="1"/>
    <col min="13579" max="13579" width="11.28515625" style="82" customWidth="1"/>
    <col min="13580" max="13580" width="2" style="82" customWidth="1"/>
    <col min="13581" max="13581" width="12.42578125" style="82" customWidth="1"/>
    <col min="13582" max="13582" width="13.42578125" style="82" customWidth="1"/>
    <col min="13583" max="13826" width="9.140625" style="82"/>
    <col min="13827" max="13827" width="15.42578125" style="82" customWidth="1"/>
    <col min="13828" max="13828" width="16.140625" style="82" customWidth="1"/>
    <col min="13829" max="13829" width="4.28515625" style="82" customWidth="1"/>
    <col min="13830" max="13830" width="9" style="82" customWidth="1"/>
    <col min="13831" max="13832" width="9.140625" style="82"/>
    <col min="13833" max="13833" width="1.5703125" style="82" customWidth="1"/>
    <col min="13834" max="13834" width="10.140625" style="82" customWidth="1"/>
    <col min="13835" max="13835" width="11.28515625" style="82" customWidth="1"/>
    <col min="13836" max="13836" width="2" style="82" customWidth="1"/>
    <col min="13837" max="13837" width="12.42578125" style="82" customWidth="1"/>
    <col min="13838" max="13838" width="13.42578125" style="82" customWidth="1"/>
    <col min="13839" max="14082" width="9.140625" style="82"/>
    <col min="14083" max="14083" width="15.42578125" style="82" customWidth="1"/>
    <col min="14084" max="14084" width="16.140625" style="82" customWidth="1"/>
    <col min="14085" max="14085" width="4.28515625" style="82" customWidth="1"/>
    <col min="14086" max="14086" width="9" style="82" customWidth="1"/>
    <col min="14087" max="14088" width="9.140625" style="82"/>
    <col min="14089" max="14089" width="1.5703125" style="82" customWidth="1"/>
    <col min="14090" max="14090" width="10.140625" style="82" customWidth="1"/>
    <col min="14091" max="14091" width="11.28515625" style="82" customWidth="1"/>
    <col min="14092" max="14092" width="2" style="82" customWidth="1"/>
    <col min="14093" max="14093" width="12.42578125" style="82" customWidth="1"/>
    <col min="14094" max="14094" width="13.42578125" style="82" customWidth="1"/>
    <col min="14095" max="14338" width="9.140625" style="82"/>
    <col min="14339" max="14339" width="15.42578125" style="82" customWidth="1"/>
    <col min="14340" max="14340" width="16.140625" style="82" customWidth="1"/>
    <col min="14341" max="14341" width="4.28515625" style="82" customWidth="1"/>
    <col min="14342" max="14342" width="9" style="82" customWidth="1"/>
    <col min="14343" max="14344" width="9.140625" style="82"/>
    <col min="14345" max="14345" width="1.5703125" style="82" customWidth="1"/>
    <col min="14346" max="14346" width="10.140625" style="82" customWidth="1"/>
    <col min="14347" max="14347" width="11.28515625" style="82" customWidth="1"/>
    <col min="14348" max="14348" width="2" style="82" customWidth="1"/>
    <col min="14349" max="14349" width="12.42578125" style="82" customWidth="1"/>
    <col min="14350" max="14350" width="13.42578125" style="82" customWidth="1"/>
    <col min="14351" max="14594" width="9.140625" style="82"/>
    <col min="14595" max="14595" width="15.42578125" style="82" customWidth="1"/>
    <col min="14596" max="14596" width="16.140625" style="82" customWidth="1"/>
    <col min="14597" max="14597" width="4.28515625" style="82" customWidth="1"/>
    <col min="14598" max="14598" width="9" style="82" customWidth="1"/>
    <col min="14599" max="14600" width="9.140625" style="82"/>
    <col min="14601" max="14601" width="1.5703125" style="82" customWidth="1"/>
    <col min="14602" max="14602" width="10.140625" style="82" customWidth="1"/>
    <col min="14603" max="14603" width="11.28515625" style="82" customWidth="1"/>
    <col min="14604" max="14604" width="2" style="82" customWidth="1"/>
    <col min="14605" max="14605" width="12.42578125" style="82" customWidth="1"/>
    <col min="14606" max="14606" width="13.42578125" style="82" customWidth="1"/>
    <col min="14607" max="14850" width="9.140625" style="82"/>
    <col min="14851" max="14851" width="15.42578125" style="82" customWidth="1"/>
    <col min="14852" max="14852" width="16.140625" style="82" customWidth="1"/>
    <col min="14853" max="14853" width="4.28515625" style="82" customWidth="1"/>
    <col min="14854" max="14854" width="9" style="82" customWidth="1"/>
    <col min="14855" max="14856" width="9.140625" style="82"/>
    <col min="14857" max="14857" width="1.5703125" style="82" customWidth="1"/>
    <col min="14858" max="14858" width="10.140625" style="82" customWidth="1"/>
    <col min="14859" max="14859" width="11.28515625" style="82" customWidth="1"/>
    <col min="14860" max="14860" width="2" style="82" customWidth="1"/>
    <col min="14861" max="14861" width="12.42578125" style="82" customWidth="1"/>
    <col min="14862" max="14862" width="13.42578125" style="82" customWidth="1"/>
    <col min="14863" max="15106" width="9.140625" style="82"/>
    <col min="15107" max="15107" width="15.42578125" style="82" customWidth="1"/>
    <col min="15108" max="15108" width="16.140625" style="82" customWidth="1"/>
    <col min="15109" max="15109" width="4.28515625" style="82" customWidth="1"/>
    <col min="15110" max="15110" width="9" style="82" customWidth="1"/>
    <col min="15111" max="15112" width="9.140625" style="82"/>
    <col min="15113" max="15113" width="1.5703125" style="82" customWidth="1"/>
    <col min="15114" max="15114" width="10.140625" style="82" customWidth="1"/>
    <col min="15115" max="15115" width="11.28515625" style="82" customWidth="1"/>
    <col min="15116" max="15116" width="2" style="82" customWidth="1"/>
    <col min="15117" max="15117" width="12.42578125" style="82" customWidth="1"/>
    <col min="15118" max="15118" width="13.42578125" style="82" customWidth="1"/>
    <col min="15119" max="15362" width="9.140625" style="82"/>
    <col min="15363" max="15363" width="15.42578125" style="82" customWidth="1"/>
    <col min="15364" max="15364" width="16.140625" style="82" customWidth="1"/>
    <col min="15365" max="15365" width="4.28515625" style="82" customWidth="1"/>
    <col min="15366" max="15366" width="9" style="82" customWidth="1"/>
    <col min="15367" max="15368" width="9.140625" style="82"/>
    <col min="15369" max="15369" width="1.5703125" style="82" customWidth="1"/>
    <col min="15370" max="15370" width="10.140625" style="82" customWidth="1"/>
    <col min="15371" max="15371" width="11.28515625" style="82" customWidth="1"/>
    <col min="15372" max="15372" width="2" style="82" customWidth="1"/>
    <col min="15373" max="15373" width="12.42578125" style="82" customWidth="1"/>
    <col min="15374" max="15374" width="13.42578125" style="82" customWidth="1"/>
    <col min="15375" max="15618" width="9.140625" style="82"/>
    <col min="15619" max="15619" width="15.42578125" style="82" customWidth="1"/>
    <col min="15620" max="15620" width="16.140625" style="82" customWidth="1"/>
    <col min="15621" max="15621" width="4.28515625" style="82" customWidth="1"/>
    <col min="15622" max="15622" width="9" style="82" customWidth="1"/>
    <col min="15623" max="15624" width="9.140625" style="82"/>
    <col min="15625" max="15625" width="1.5703125" style="82" customWidth="1"/>
    <col min="15626" max="15626" width="10.140625" style="82" customWidth="1"/>
    <col min="15627" max="15627" width="11.28515625" style="82" customWidth="1"/>
    <col min="15628" max="15628" width="2" style="82" customWidth="1"/>
    <col min="15629" max="15629" width="12.42578125" style="82" customWidth="1"/>
    <col min="15630" max="15630" width="13.42578125" style="82" customWidth="1"/>
    <col min="15631" max="15874" width="9.140625" style="82"/>
    <col min="15875" max="15875" width="15.42578125" style="82" customWidth="1"/>
    <col min="15876" max="15876" width="16.140625" style="82" customWidth="1"/>
    <col min="15877" max="15877" width="4.28515625" style="82" customWidth="1"/>
    <col min="15878" max="15878" width="9" style="82" customWidth="1"/>
    <col min="15879" max="15880" width="9.140625" style="82"/>
    <col min="15881" max="15881" width="1.5703125" style="82" customWidth="1"/>
    <col min="15882" max="15882" width="10.140625" style="82" customWidth="1"/>
    <col min="15883" max="15883" width="11.28515625" style="82" customWidth="1"/>
    <col min="15884" max="15884" width="2" style="82" customWidth="1"/>
    <col min="15885" max="15885" width="12.42578125" style="82" customWidth="1"/>
    <col min="15886" max="15886" width="13.42578125" style="82" customWidth="1"/>
    <col min="15887" max="16130" width="9.140625" style="82"/>
    <col min="16131" max="16131" width="15.42578125" style="82" customWidth="1"/>
    <col min="16132" max="16132" width="16.140625" style="82" customWidth="1"/>
    <col min="16133" max="16133" width="4.28515625" style="82" customWidth="1"/>
    <col min="16134" max="16134" width="9" style="82" customWidth="1"/>
    <col min="16135" max="16136" width="9.140625" style="82"/>
    <col min="16137" max="16137" width="1.5703125" style="82" customWidth="1"/>
    <col min="16138" max="16138" width="10.140625" style="82" customWidth="1"/>
    <col min="16139" max="16139" width="11.28515625" style="82" customWidth="1"/>
    <col min="16140" max="16140" width="2" style="82" customWidth="1"/>
    <col min="16141" max="16141" width="12.42578125" style="82" customWidth="1"/>
    <col min="16142" max="16142" width="13.42578125" style="82" customWidth="1"/>
    <col min="16143" max="16384" width="9.140625" style="82"/>
  </cols>
  <sheetData>
    <row r="1" spans="2:4" ht="15.75">
      <c r="B1" s="94" t="s">
        <v>195</v>
      </c>
    </row>
    <row r="3" spans="2:4">
      <c r="B3" s="194" t="s">
        <v>196</v>
      </c>
      <c r="C3" s="194"/>
      <c r="D3" s="194"/>
    </row>
    <row r="4" spans="2:4">
      <c r="C4" s="95"/>
    </row>
    <row r="5" spans="2:4">
      <c r="B5" s="96" t="s">
        <v>197</v>
      </c>
      <c r="C5" s="97" t="s">
        <v>198</v>
      </c>
      <c r="D5" s="98" t="s">
        <v>199</v>
      </c>
    </row>
    <row r="6" spans="2:4">
      <c r="B6" s="99"/>
      <c r="C6" s="100"/>
      <c r="D6" s="101"/>
    </row>
    <row r="7" spans="2:4">
      <c r="B7" s="102" t="s">
        <v>200</v>
      </c>
      <c r="C7" s="102">
        <v>4674634</v>
      </c>
      <c r="D7" s="102">
        <v>4674634</v>
      </c>
    </row>
    <row r="8" spans="2:4">
      <c r="B8" s="102" t="s">
        <v>201</v>
      </c>
      <c r="C8" s="102">
        <v>62899001</v>
      </c>
      <c r="D8" s="102">
        <v>62899001</v>
      </c>
    </row>
    <row r="9" spans="2:4">
      <c r="B9" s="102" t="s">
        <v>202</v>
      </c>
      <c r="C9" s="102">
        <v>58479172</v>
      </c>
      <c r="D9" s="102">
        <v>58479172</v>
      </c>
    </row>
    <row r="10" spans="2:4">
      <c r="B10" s="102" t="s">
        <v>203</v>
      </c>
      <c r="C10" s="102">
        <v>74902461</v>
      </c>
      <c r="D10" s="102">
        <v>74902461</v>
      </c>
    </row>
    <row r="11" spans="2:4">
      <c r="B11" s="102" t="s">
        <v>204</v>
      </c>
      <c r="C11" s="102">
        <v>75887812</v>
      </c>
      <c r="D11" s="102">
        <v>75887812</v>
      </c>
    </row>
    <row r="12" spans="2:4">
      <c r="B12" s="102" t="s">
        <v>205</v>
      </c>
      <c r="C12" s="102">
        <v>154085871</v>
      </c>
      <c r="D12" s="102">
        <v>154085871</v>
      </c>
    </row>
    <row r="13" spans="2:4">
      <c r="B13" s="102" t="s">
        <v>206</v>
      </c>
      <c r="C13" s="102">
        <v>70018115</v>
      </c>
      <c r="D13" s="102">
        <v>70018115</v>
      </c>
    </row>
    <row r="14" spans="2:4">
      <c r="B14" s="102" t="s">
        <v>207</v>
      </c>
      <c r="C14" s="102">
        <v>4277466</v>
      </c>
      <c r="D14" s="102">
        <v>4277466</v>
      </c>
    </row>
    <row r="15" spans="2:4">
      <c r="B15" s="102" t="s">
        <v>208</v>
      </c>
      <c r="C15" s="102">
        <v>95220575</v>
      </c>
      <c r="D15" s="102">
        <v>95220575</v>
      </c>
    </row>
    <row r="16" spans="2:4">
      <c r="B16" s="102" t="s">
        <v>209</v>
      </c>
      <c r="C16" s="102">
        <v>89362165</v>
      </c>
      <c r="D16" s="102">
        <v>89362165</v>
      </c>
    </row>
    <row r="17" spans="2:6">
      <c r="B17" s="102" t="s">
        <v>210</v>
      </c>
      <c r="C17" s="102">
        <v>1103964</v>
      </c>
      <c r="D17" s="102">
        <f>94000000+1103964</f>
        <v>95103964</v>
      </c>
    </row>
    <row r="18" spans="2:6">
      <c r="B18" s="102" t="s">
        <v>211</v>
      </c>
      <c r="C18" s="102">
        <v>94026974</v>
      </c>
      <c r="D18" s="102">
        <v>26974</v>
      </c>
      <c r="F18" s="82" t="s">
        <v>212</v>
      </c>
    </row>
    <row r="19" spans="2:6">
      <c r="B19" s="102"/>
      <c r="D19" s="102"/>
    </row>
    <row r="20" spans="2:6" ht="13.5" thickBot="1">
      <c r="B20" s="103" t="s">
        <v>133</v>
      </c>
      <c r="C20" s="104">
        <f>SUM(C7:C19)</f>
        <v>784938210</v>
      </c>
      <c r="D20" s="113">
        <f>SUM(D7:D19)</f>
        <v>784938210</v>
      </c>
    </row>
    <row r="21" spans="2:6" ht="13.5" thickTop="1"/>
    <row r="22" spans="2:6">
      <c r="B22" s="83"/>
      <c r="D22" s="83"/>
    </row>
  </sheetData>
  <mergeCells count="1">
    <mergeCell ref="B3:D3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C2:E19"/>
  <sheetViews>
    <sheetView workbookViewId="0">
      <selection activeCell="A30" sqref="A30"/>
    </sheetView>
  </sheetViews>
  <sheetFormatPr defaultRowHeight="12.75"/>
  <cols>
    <col min="1" max="3" width="9.140625" style="82"/>
    <col min="4" max="4" width="15" style="82" customWidth="1"/>
    <col min="5" max="5" width="11.7109375" style="82" bestFit="1" customWidth="1"/>
    <col min="6" max="6" width="10.140625" style="82" customWidth="1"/>
    <col min="7" max="7" width="10.85546875" style="82" customWidth="1"/>
    <col min="8" max="259" width="9.140625" style="82"/>
    <col min="260" max="260" width="15" style="82" customWidth="1"/>
    <col min="261" max="261" width="11.7109375" style="82" bestFit="1" customWidth="1"/>
    <col min="262" max="262" width="10.140625" style="82" customWidth="1"/>
    <col min="263" max="263" width="10.85546875" style="82" customWidth="1"/>
    <col min="264" max="515" width="9.140625" style="82"/>
    <col min="516" max="516" width="15" style="82" customWidth="1"/>
    <col min="517" max="517" width="11.7109375" style="82" bestFit="1" customWidth="1"/>
    <col min="518" max="518" width="10.140625" style="82" customWidth="1"/>
    <col min="519" max="519" width="10.85546875" style="82" customWidth="1"/>
    <col min="520" max="771" width="9.140625" style="82"/>
    <col min="772" max="772" width="15" style="82" customWidth="1"/>
    <col min="773" max="773" width="11.7109375" style="82" bestFit="1" customWidth="1"/>
    <col min="774" max="774" width="10.140625" style="82" customWidth="1"/>
    <col min="775" max="775" width="10.85546875" style="82" customWidth="1"/>
    <col min="776" max="1027" width="9.140625" style="82"/>
    <col min="1028" max="1028" width="15" style="82" customWidth="1"/>
    <col min="1029" max="1029" width="11.7109375" style="82" bestFit="1" customWidth="1"/>
    <col min="1030" max="1030" width="10.140625" style="82" customWidth="1"/>
    <col min="1031" max="1031" width="10.85546875" style="82" customWidth="1"/>
    <col min="1032" max="1283" width="9.140625" style="82"/>
    <col min="1284" max="1284" width="15" style="82" customWidth="1"/>
    <col min="1285" max="1285" width="11.7109375" style="82" bestFit="1" customWidth="1"/>
    <col min="1286" max="1286" width="10.140625" style="82" customWidth="1"/>
    <col min="1287" max="1287" width="10.85546875" style="82" customWidth="1"/>
    <col min="1288" max="1539" width="9.140625" style="82"/>
    <col min="1540" max="1540" width="15" style="82" customWidth="1"/>
    <col min="1541" max="1541" width="11.7109375" style="82" bestFit="1" customWidth="1"/>
    <col min="1542" max="1542" width="10.140625" style="82" customWidth="1"/>
    <col min="1543" max="1543" width="10.85546875" style="82" customWidth="1"/>
    <col min="1544" max="1795" width="9.140625" style="82"/>
    <col min="1796" max="1796" width="15" style="82" customWidth="1"/>
    <col min="1797" max="1797" width="11.7109375" style="82" bestFit="1" customWidth="1"/>
    <col min="1798" max="1798" width="10.140625" style="82" customWidth="1"/>
    <col min="1799" max="1799" width="10.85546875" style="82" customWidth="1"/>
    <col min="1800" max="2051" width="9.140625" style="82"/>
    <col min="2052" max="2052" width="15" style="82" customWidth="1"/>
    <col min="2053" max="2053" width="11.7109375" style="82" bestFit="1" customWidth="1"/>
    <col min="2054" max="2054" width="10.140625" style="82" customWidth="1"/>
    <col min="2055" max="2055" width="10.85546875" style="82" customWidth="1"/>
    <col min="2056" max="2307" width="9.140625" style="82"/>
    <col min="2308" max="2308" width="15" style="82" customWidth="1"/>
    <col min="2309" max="2309" width="11.7109375" style="82" bestFit="1" customWidth="1"/>
    <col min="2310" max="2310" width="10.140625" style="82" customWidth="1"/>
    <col min="2311" max="2311" width="10.85546875" style="82" customWidth="1"/>
    <col min="2312" max="2563" width="9.140625" style="82"/>
    <col min="2564" max="2564" width="15" style="82" customWidth="1"/>
    <col min="2565" max="2565" width="11.7109375" style="82" bestFit="1" customWidth="1"/>
    <col min="2566" max="2566" width="10.140625" style="82" customWidth="1"/>
    <col min="2567" max="2567" width="10.85546875" style="82" customWidth="1"/>
    <col min="2568" max="2819" width="9.140625" style="82"/>
    <col min="2820" max="2820" width="15" style="82" customWidth="1"/>
    <col min="2821" max="2821" width="11.7109375" style="82" bestFit="1" customWidth="1"/>
    <col min="2822" max="2822" width="10.140625" style="82" customWidth="1"/>
    <col min="2823" max="2823" width="10.85546875" style="82" customWidth="1"/>
    <col min="2824" max="3075" width="9.140625" style="82"/>
    <col min="3076" max="3076" width="15" style="82" customWidth="1"/>
    <col min="3077" max="3077" width="11.7109375" style="82" bestFit="1" customWidth="1"/>
    <col min="3078" max="3078" width="10.140625" style="82" customWidth="1"/>
    <col min="3079" max="3079" width="10.85546875" style="82" customWidth="1"/>
    <col min="3080" max="3331" width="9.140625" style="82"/>
    <col min="3332" max="3332" width="15" style="82" customWidth="1"/>
    <col min="3333" max="3333" width="11.7109375" style="82" bestFit="1" customWidth="1"/>
    <col min="3334" max="3334" width="10.140625" style="82" customWidth="1"/>
    <col min="3335" max="3335" width="10.85546875" style="82" customWidth="1"/>
    <col min="3336" max="3587" width="9.140625" style="82"/>
    <col min="3588" max="3588" width="15" style="82" customWidth="1"/>
    <col min="3589" max="3589" width="11.7109375" style="82" bestFit="1" customWidth="1"/>
    <col min="3590" max="3590" width="10.140625" style="82" customWidth="1"/>
    <col min="3591" max="3591" width="10.85546875" style="82" customWidth="1"/>
    <col min="3592" max="3843" width="9.140625" style="82"/>
    <col min="3844" max="3844" width="15" style="82" customWidth="1"/>
    <col min="3845" max="3845" width="11.7109375" style="82" bestFit="1" customWidth="1"/>
    <col min="3846" max="3846" width="10.140625" style="82" customWidth="1"/>
    <col min="3847" max="3847" width="10.85546875" style="82" customWidth="1"/>
    <col min="3848" max="4099" width="9.140625" style="82"/>
    <col min="4100" max="4100" width="15" style="82" customWidth="1"/>
    <col min="4101" max="4101" width="11.7109375" style="82" bestFit="1" customWidth="1"/>
    <col min="4102" max="4102" width="10.140625" style="82" customWidth="1"/>
    <col min="4103" max="4103" width="10.85546875" style="82" customWidth="1"/>
    <col min="4104" max="4355" width="9.140625" style="82"/>
    <col min="4356" max="4356" width="15" style="82" customWidth="1"/>
    <col min="4357" max="4357" width="11.7109375" style="82" bestFit="1" customWidth="1"/>
    <col min="4358" max="4358" width="10.140625" style="82" customWidth="1"/>
    <col min="4359" max="4359" width="10.85546875" style="82" customWidth="1"/>
    <col min="4360" max="4611" width="9.140625" style="82"/>
    <col min="4612" max="4612" width="15" style="82" customWidth="1"/>
    <col min="4613" max="4613" width="11.7109375" style="82" bestFit="1" customWidth="1"/>
    <col min="4614" max="4614" width="10.140625" style="82" customWidth="1"/>
    <col min="4615" max="4615" width="10.85546875" style="82" customWidth="1"/>
    <col min="4616" max="4867" width="9.140625" style="82"/>
    <col min="4868" max="4868" width="15" style="82" customWidth="1"/>
    <col min="4869" max="4869" width="11.7109375" style="82" bestFit="1" customWidth="1"/>
    <col min="4870" max="4870" width="10.140625" style="82" customWidth="1"/>
    <col min="4871" max="4871" width="10.85546875" style="82" customWidth="1"/>
    <col min="4872" max="5123" width="9.140625" style="82"/>
    <col min="5124" max="5124" width="15" style="82" customWidth="1"/>
    <col min="5125" max="5125" width="11.7109375" style="82" bestFit="1" customWidth="1"/>
    <col min="5126" max="5126" width="10.140625" style="82" customWidth="1"/>
    <col min="5127" max="5127" width="10.85546875" style="82" customWidth="1"/>
    <col min="5128" max="5379" width="9.140625" style="82"/>
    <col min="5380" max="5380" width="15" style="82" customWidth="1"/>
    <col min="5381" max="5381" width="11.7109375" style="82" bestFit="1" customWidth="1"/>
    <col min="5382" max="5382" width="10.140625" style="82" customWidth="1"/>
    <col min="5383" max="5383" width="10.85546875" style="82" customWidth="1"/>
    <col min="5384" max="5635" width="9.140625" style="82"/>
    <col min="5636" max="5636" width="15" style="82" customWidth="1"/>
    <col min="5637" max="5637" width="11.7109375" style="82" bestFit="1" customWidth="1"/>
    <col min="5638" max="5638" width="10.140625" style="82" customWidth="1"/>
    <col min="5639" max="5639" width="10.85546875" style="82" customWidth="1"/>
    <col min="5640" max="5891" width="9.140625" style="82"/>
    <col min="5892" max="5892" width="15" style="82" customWidth="1"/>
    <col min="5893" max="5893" width="11.7109375" style="82" bestFit="1" customWidth="1"/>
    <col min="5894" max="5894" width="10.140625" style="82" customWidth="1"/>
    <col min="5895" max="5895" width="10.85546875" style="82" customWidth="1"/>
    <col min="5896" max="6147" width="9.140625" style="82"/>
    <col min="6148" max="6148" width="15" style="82" customWidth="1"/>
    <col min="6149" max="6149" width="11.7109375" style="82" bestFit="1" customWidth="1"/>
    <col min="6150" max="6150" width="10.140625" style="82" customWidth="1"/>
    <col min="6151" max="6151" width="10.85546875" style="82" customWidth="1"/>
    <col min="6152" max="6403" width="9.140625" style="82"/>
    <col min="6404" max="6404" width="15" style="82" customWidth="1"/>
    <col min="6405" max="6405" width="11.7109375" style="82" bestFit="1" customWidth="1"/>
    <col min="6406" max="6406" width="10.140625" style="82" customWidth="1"/>
    <col min="6407" max="6407" width="10.85546875" style="82" customWidth="1"/>
    <col min="6408" max="6659" width="9.140625" style="82"/>
    <col min="6660" max="6660" width="15" style="82" customWidth="1"/>
    <col min="6661" max="6661" width="11.7109375" style="82" bestFit="1" customWidth="1"/>
    <col min="6662" max="6662" width="10.140625" style="82" customWidth="1"/>
    <col min="6663" max="6663" width="10.85546875" style="82" customWidth="1"/>
    <col min="6664" max="6915" width="9.140625" style="82"/>
    <col min="6916" max="6916" width="15" style="82" customWidth="1"/>
    <col min="6917" max="6917" width="11.7109375" style="82" bestFit="1" customWidth="1"/>
    <col min="6918" max="6918" width="10.140625" style="82" customWidth="1"/>
    <col min="6919" max="6919" width="10.85546875" style="82" customWidth="1"/>
    <col min="6920" max="7171" width="9.140625" style="82"/>
    <col min="7172" max="7172" width="15" style="82" customWidth="1"/>
    <col min="7173" max="7173" width="11.7109375" style="82" bestFit="1" customWidth="1"/>
    <col min="7174" max="7174" width="10.140625" style="82" customWidth="1"/>
    <col min="7175" max="7175" width="10.85546875" style="82" customWidth="1"/>
    <col min="7176" max="7427" width="9.140625" style="82"/>
    <col min="7428" max="7428" width="15" style="82" customWidth="1"/>
    <col min="7429" max="7429" width="11.7109375" style="82" bestFit="1" customWidth="1"/>
    <col min="7430" max="7430" width="10.140625" style="82" customWidth="1"/>
    <col min="7431" max="7431" width="10.85546875" style="82" customWidth="1"/>
    <col min="7432" max="7683" width="9.140625" style="82"/>
    <col min="7684" max="7684" width="15" style="82" customWidth="1"/>
    <col min="7685" max="7685" width="11.7109375" style="82" bestFit="1" customWidth="1"/>
    <col min="7686" max="7686" width="10.140625" style="82" customWidth="1"/>
    <col min="7687" max="7687" width="10.85546875" style="82" customWidth="1"/>
    <col min="7688" max="7939" width="9.140625" style="82"/>
    <col min="7940" max="7940" width="15" style="82" customWidth="1"/>
    <col min="7941" max="7941" width="11.7109375" style="82" bestFit="1" customWidth="1"/>
    <col min="7942" max="7942" width="10.140625" style="82" customWidth="1"/>
    <col min="7943" max="7943" width="10.85546875" style="82" customWidth="1"/>
    <col min="7944" max="8195" width="9.140625" style="82"/>
    <col min="8196" max="8196" width="15" style="82" customWidth="1"/>
    <col min="8197" max="8197" width="11.7109375" style="82" bestFit="1" customWidth="1"/>
    <col min="8198" max="8198" width="10.140625" style="82" customWidth="1"/>
    <col min="8199" max="8199" width="10.85546875" style="82" customWidth="1"/>
    <col min="8200" max="8451" width="9.140625" style="82"/>
    <col min="8452" max="8452" width="15" style="82" customWidth="1"/>
    <col min="8453" max="8453" width="11.7109375" style="82" bestFit="1" customWidth="1"/>
    <col min="8454" max="8454" width="10.140625" style="82" customWidth="1"/>
    <col min="8455" max="8455" width="10.85546875" style="82" customWidth="1"/>
    <col min="8456" max="8707" width="9.140625" style="82"/>
    <col min="8708" max="8708" width="15" style="82" customWidth="1"/>
    <col min="8709" max="8709" width="11.7109375" style="82" bestFit="1" customWidth="1"/>
    <col min="8710" max="8710" width="10.140625" style="82" customWidth="1"/>
    <col min="8711" max="8711" width="10.85546875" style="82" customWidth="1"/>
    <col min="8712" max="8963" width="9.140625" style="82"/>
    <col min="8964" max="8964" width="15" style="82" customWidth="1"/>
    <col min="8965" max="8965" width="11.7109375" style="82" bestFit="1" customWidth="1"/>
    <col min="8966" max="8966" width="10.140625" style="82" customWidth="1"/>
    <col min="8967" max="8967" width="10.85546875" style="82" customWidth="1"/>
    <col min="8968" max="9219" width="9.140625" style="82"/>
    <col min="9220" max="9220" width="15" style="82" customWidth="1"/>
    <col min="9221" max="9221" width="11.7109375" style="82" bestFit="1" customWidth="1"/>
    <col min="9222" max="9222" width="10.140625" style="82" customWidth="1"/>
    <col min="9223" max="9223" width="10.85546875" style="82" customWidth="1"/>
    <col min="9224" max="9475" width="9.140625" style="82"/>
    <col min="9476" max="9476" width="15" style="82" customWidth="1"/>
    <col min="9477" max="9477" width="11.7109375" style="82" bestFit="1" customWidth="1"/>
    <col min="9478" max="9478" width="10.140625" style="82" customWidth="1"/>
    <col min="9479" max="9479" width="10.85546875" style="82" customWidth="1"/>
    <col min="9480" max="9731" width="9.140625" style="82"/>
    <col min="9732" max="9732" width="15" style="82" customWidth="1"/>
    <col min="9733" max="9733" width="11.7109375" style="82" bestFit="1" customWidth="1"/>
    <col min="9734" max="9734" width="10.140625" style="82" customWidth="1"/>
    <col min="9735" max="9735" width="10.85546875" style="82" customWidth="1"/>
    <col min="9736" max="9987" width="9.140625" style="82"/>
    <col min="9988" max="9988" width="15" style="82" customWidth="1"/>
    <col min="9989" max="9989" width="11.7109375" style="82" bestFit="1" customWidth="1"/>
    <col min="9990" max="9990" width="10.140625" style="82" customWidth="1"/>
    <col min="9991" max="9991" width="10.85546875" style="82" customWidth="1"/>
    <col min="9992" max="10243" width="9.140625" style="82"/>
    <col min="10244" max="10244" width="15" style="82" customWidth="1"/>
    <col min="10245" max="10245" width="11.7109375" style="82" bestFit="1" customWidth="1"/>
    <col min="10246" max="10246" width="10.140625" style="82" customWidth="1"/>
    <col min="10247" max="10247" width="10.85546875" style="82" customWidth="1"/>
    <col min="10248" max="10499" width="9.140625" style="82"/>
    <col min="10500" max="10500" width="15" style="82" customWidth="1"/>
    <col min="10501" max="10501" width="11.7109375" style="82" bestFit="1" customWidth="1"/>
    <col min="10502" max="10502" width="10.140625" style="82" customWidth="1"/>
    <col min="10503" max="10503" width="10.85546875" style="82" customWidth="1"/>
    <col min="10504" max="10755" width="9.140625" style="82"/>
    <col min="10756" max="10756" width="15" style="82" customWidth="1"/>
    <col min="10757" max="10757" width="11.7109375" style="82" bestFit="1" customWidth="1"/>
    <col min="10758" max="10758" width="10.140625" style="82" customWidth="1"/>
    <col min="10759" max="10759" width="10.85546875" style="82" customWidth="1"/>
    <col min="10760" max="11011" width="9.140625" style="82"/>
    <col min="11012" max="11012" width="15" style="82" customWidth="1"/>
    <col min="11013" max="11013" width="11.7109375" style="82" bestFit="1" customWidth="1"/>
    <col min="11014" max="11014" width="10.140625" style="82" customWidth="1"/>
    <col min="11015" max="11015" width="10.85546875" style="82" customWidth="1"/>
    <col min="11016" max="11267" width="9.140625" style="82"/>
    <col min="11268" max="11268" width="15" style="82" customWidth="1"/>
    <col min="11269" max="11269" width="11.7109375" style="82" bestFit="1" customWidth="1"/>
    <col min="11270" max="11270" width="10.140625" style="82" customWidth="1"/>
    <col min="11271" max="11271" width="10.85546875" style="82" customWidth="1"/>
    <col min="11272" max="11523" width="9.140625" style="82"/>
    <col min="11524" max="11524" width="15" style="82" customWidth="1"/>
    <col min="11525" max="11525" width="11.7109375" style="82" bestFit="1" customWidth="1"/>
    <col min="11526" max="11526" width="10.140625" style="82" customWidth="1"/>
    <col min="11527" max="11527" width="10.85546875" style="82" customWidth="1"/>
    <col min="11528" max="11779" width="9.140625" style="82"/>
    <col min="11780" max="11780" width="15" style="82" customWidth="1"/>
    <col min="11781" max="11781" width="11.7109375" style="82" bestFit="1" customWidth="1"/>
    <col min="11782" max="11782" width="10.140625" style="82" customWidth="1"/>
    <col min="11783" max="11783" width="10.85546875" style="82" customWidth="1"/>
    <col min="11784" max="12035" width="9.140625" style="82"/>
    <col min="12036" max="12036" width="15" style="82" customWidth="1"/>
    <col min="12037" max="12037" width="11.7109375" style="82" bestFit="1" customWidth="1"/>
    <col min="12038" max="12038" width="10.140625" style="82" customWidth="1"/>
    <col min="12039" max="12039" width="10.85546875" style="82" customWidth="1"/>
    <col min="12040" max="12291" width="9.140625" style="82"/>
    <col min="12292" max="12292" width="15" style="82" customWidth="1"/>
    <col min="12293" max="12293" width="11.7109375" style="82" bestFit="1" customWidth="1"/>
    <col min="12294" max="12294" width="10.140625" style="82" customWidth="1"/>
    <col min="12295" max="12295" width="10.85546875" style="82" customWidth="1"/>
    <col min="12296" max="12547" width="9.140625" style="82"/>
    <col min="12548" max="12548" width="15" style="82" customWidth="1"/>
    <col min="12549" max="12549" width="11.7109375" style="82" bestFit="1" customWidth="1"/>
    <col min="12550" max="12550" width="10.140625" style="82" customWidth="1"/>
    <col min="12551" max="12551" width="10.85546875" style="82" customWidth="1"/>
    <col min="12552" max="12803" width="9.140625" style="82"/>
    <col min="12804" max="12804" width="15" style="82" customWidth="1"/>
    <col min="12805" max="12805" width="11.7109375" style="82" bestFit="1" customWidth="1"/>
    <col min="12806" max="12806" width="10.140625" style="82" customWidth="1"/>
    <col min="12807" max="12807" width="10.85546875" style="82" customWidth="1"/>
    <col min="12808" max="13059" width="9.140625" style="82"/>
    <col min="13060" max="13060" width="15" style="82" customWidth="1"/>
    <col min="13061" max="13061" width="11.7109375" style="82" bestFit="1" customWidth="1"/>
    <col min="13062" max="13062" width="10.140625" style="82" customWidth="1"/>
    <col min="13063" max="13063" width="10.85546875" style="82" customWidth="1"/>
    <col min="13064" max="13315" width="9.140625" style="82"/>
    <col min="13316" max="13316" width="15" style="82" customWidth="1"/>
    <col min="13317" max="13317" width="11.7109375" style="82" bestFit="1" customWidth="1"/>
    <col min="13318" max="13318" width="10.140625" style="82" customWidth="1"/>
    <col min="13319" max="13319" width="10.85546875" style="82" customWidth="1"/>
    <col min="13320" max="13571" width="9.140625" style="82"/>
    <col min="13572" max="13572" width="15" style="82" customWidth="1"/>
    <col min="13573" max="13573" width="11.7109375" style="82" bestFit="1" customWidth="1"/>
    <col min="13574" max="13574" width="10.140625" style="82" customWidth="1"/>
    <col min="13575" max="13575" width="10.85546875" style="82" customWidth="1"/>
    <col min="13576" max="13827" width="9.140625" style="82"/>
    <col min="13828" max="13828" width="15" style="82" customWidth="1"/>
    <col min="13829" max="13829" width="11.7109375" style="82" bestFit="1" customWidth="1"/>
    <col min="13830" max="13830" width="10.140625" style="82" customWidth="1"/>
    <col min="13831" max="13831" width="10.85546875" style="82" customWidth="1"/>
    <col min="13832" max="14083" width="9.140625" style="82"/>
    <col min="14084" max="14084" width="15" style="82" customWidth="1"/>
    <col min="14085" max="14085" width="11.7109375" style="82" bestFit="1" customWidth="1"/>
    <col min="14086" max="14086" width="10.140625" style="82" customWidth="1"/>
    <col min="14087" max="14087" width="10.85546875" style="82" customWidth="1"/>
    <col min="14088" max="14339" width="9.140625" style="82"/>
    <col min="14340" max="14340" width="15" style="82" customWidth="1"/>
    <col min="14341" max="14341" width="11.7109375" style="82" bestFit="1" customWidth="1"/>
    <col min="14342" max="14342" width="10.140625" style="82" customWidth="1"/>
    <col min="14343" max="14343" width="10.85546875" style="82" customWidth="1"/>
    <col min="14344" max="14595" width="9.140625" style="82"/>
    <col min="14596" max="14596" width="15" style="82" customWidth="1"/>
    <col min="14597" max="14597" width="11.7109375" style="82" bestFit="1" customWidth="1"/>
    <col min="14598" max="14598" width="10.140625" style="82" customWidth="1"/>
    <col min="14599" max="14599" width="10.85546875" style="82" customWidth="1"/>
    <col min="14600" max="14851" width="9.140625" style="82"/>
    <col min="14852" max="14852" width="15" style="82" customWidth="1"/>
    <col min="14853" max="14853" width="11.7109375" style="82" bestFit="1" customWidth="1"/>
    <col min="14854" max="14854" width="10.140625" style="82" customWidth="1"/>
    <col min="14855" max="14855" width="10.85546875" style="82" customWidth="1"/>
    <col min="14856" max="15107" width="9.140625" style="82"/>
    <col min="15108" max="15108" width="15" style="82" customWidth="1"/>
    <col min="15109" max="15109" width="11.7109375" style="82" bestFit="1" customWidth="1"/>
    <col min="15110" max="15110" width="10.140625" style="82" customWidth="1"/>
    <col min="15111" max="15111" width="10.85546875" style="82" customWidth="1"/>
    <col min="15112" max="15363" width="9.140625" style="82"/>
    <col min="15364" max="15364" width="15" style="82" customWidth="1"/>
    <col min="15365" max="15365" width="11.7109375" style="82" bestFit="1" customWidth="1"/>
    <col min="15366" max="15366" width="10.140625" style="82" customWidth="1"/>
    <col min="15367" max="15367" width="10.85546875" style="82" customWidth="1"/>
    <col min="15368" max="15619" width="9.140625" style="82"/>
    <col min="15620" max="15620" width="15" style="82" customWidth="1"/>
    <col min="15621" max="15621" width="11.7109375" style="82" bestFit="1" customWidth="1"/>
    <col min="15622" max="15622" width="10.140625" style="82" customWidth="1"/>
    <col min="15623" max="15623" width="10.85546875" style="82" customWidth="1"/>
    <col min="15624" max="15875" width="9.140625" style="82"/>
    <col min="15876" max="15876" width="15" style="82" customWidth="1"/>
    <col min="15877" max="15877" width="11.7109375" style="82" bestFit="1" customWidth="1"/>
    <col min="15878" max="15878" width="10.140625" style="82" customWidth="1"/>
    <col min="15879" max="15879" width="10.85546875" style="82" customWidth="1"/>
    <col min="15880" max="16131" width="9.140625" style="82"/>
    <col min="16132" max="16132" width="15" style="82" customWidth="1"/>
    <col min="16133" max="16133" width="11.7109375" style="82" bestFit="1" customWidth="1"/>
    <col min="16134" max="16134" width="10.140625" style="82" customWidth="1"/>
    <col min="16135" max="16135" width="10.85546875" style="82" customWidth="1"/>
    <col min="16136" max="16384" width="9.140625" style="82"/>
  </cols>
  <sheetData>
    <row r="2" spans="3:5">
      <c r="D2" s="83" t="s">
        <v>213</v>
      </c>
    </row>
    <row r="4" spans="3:5">
      <c r="C4" s="105" t="s">
        <v>170</v>
      </c>
      <c r="D4" s="83" t="s">
        <v>214</v>
      </c>
      <c r="E4" s="83" t="s">
        <v>215</v>
      </c>
    </row>
    <row r="5" spans="3:5">
      <c r="D5" s="83"/>
      <c r="E5" s="83"/>
    </row>
    <row r="6" spans="3:5">
      <c r="C6" s="82" t="s">
        <v>216</v>
      </c>
      <c r="D6" s="82">
        <v>931836</v>
      </c>
      <c r="E6" s="82">
        <v>877621</v>
      </c>
    </row>
    <row r="7" spans="3:5">
      <c r="C7" s="82" t="s">
        <v>217</v>
      </c>
      <c r="D7" s="82">
        <v>1091800</v>
      </c>
      <c r="E7" s="82">
        <v>1137999</v>
      </c>
    </row>
    <row r="8" spans="3:5">
      <c r="C8" s="82" t="s">
        <v>218</v>
      </c>
      <c r="D8" s="82">
        <v>1019700</v>
      </c>
      <c r="E8" s="82">
        <v>986653</v>
      </c>
    </row>
    <row r="9" spans="3:5">
      <c r="C9" s="82" t="s">
        <v>219</v>
      </c>
      <c r="D9" s="82">
        <v>1318400</v>
      </c>
      <c r="E9" s="82">
        <v>1288572</v>
      </c>
    </row>
    <row r="10" spans="3:5">
      <c r="C10" s="82" t="s">
        <v>220</v>
      </c>
      <c r="D10" s="82">
        <v>206000</v>
      </c>
      <c r="E10" s="82">
        <v>93931</v>
      </c>
    </row>
    <row r="11" spans="3:5">
      <c r="C11" s="82" t="s">
        <v>221</v>
      </c>
      <c r="D11" s="82">
        <v>1256600</v>
      </c>
      <c r="E11" s="82">
        <v>645467</v>
      </c>
    </row>
    <row r="12" spans="3:5">
      <c r="C12" s="82" t="s">
        <v>222</v>
      </c>
      <c r="D12" s="82">
        <v>618000</v>
      </c>
      <c r="E12" s="82">
        <v>1230746</v>
      </c>
    </row>
    <row r="13" spans="3:5">
      <c r="C13" s="82" t="s">
        <v>223</v>
      </c>
      <c r="D13" s="82">
        <v>1236000</v>
      </c>
      <c r="E13" s="82">
        <v>1173207</v>
      </c>
    </row>
    <row r="14" spans="3:5">
      <c r="C14" s="82" t="s">
        <v>224</v>
      </c>
      <c r="D14" s="82">
        <v>1622250</v>
      </c>
      <c r="E14" s="82">
        <v>1808066</v>
      </c>
    </row>
    <row r="15" spans="3:5">
      <c r="C15" s="82" t="s">
        <v>225</v>
      </c>
      <c r="D15" s="82">
        <v>1735550</v>
      </c>
      <c r="E15" s="82">
        <v>1694678</v>
      </c>
    </row>
    <row r="16" spans="3:5">
      <c r="C16" s="82" t="s">
        <v>226</v>
      </c>
      <c r="D16" s="82">
        <v>1520280</v>
      </c>
      <c r="E16" s="82">
        <v>1521334</v>
      </c>
    </row>
    <row r="17" spans="3:5">
      <c r="C17" s="82" t="s">
        <v>227</v>
      </c>
      <c r="D17" s="82">
        <v>1339000</v>
      </c>
      <c r="E17" s="82">
        <v>1437142</v>
      </c>
    </row>
    <row r="18" spans="3:5" ht="13.5" thickBot="1">
      <c r="D18" s="106">
        <f>SUM(D6:D17)</f>
        <v>13895416</v>
      </c>
      <c r="E18" s="106">
        <f>SUM(E6:E17)</f>
        <v>13895416</v>
      </c>
    </row>
    <row r="19" spans="3:5" ht="13.5" thickTop="1"/>
  </sheetData>
  <pageMargins left="0.75" right="0.75" top="1" bottom="1" header="0.5" footer="0.5"/>
  <pageSetup paperSize="9" scale="1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6"/>
  <sheetViews>
    <sheetView workbookViewId="0">
      <pane xSplit="4" ySplit="4" topLeftCell="E5" activePane="bottomRight" state="frozen"/>
      <selection pane="topRight" activeCell="H1" sqref="H1"/>
      <selection pane="bottomLeft" activeCell="A5" sqref="A5"/>
      <selection pane="bottomRight" activeCell="H64" sqref="H64"/>
    </sheetView>
  </sheetViews>
  <sheetFormatPr defaultRowHeight="15"/>
  <cols>
    <col min="1" max="1" width="6.140625" bestFit="1" customWidth="1"/>
    <col min="2" max="2" width="33.28515625" bestFit="1" customWidth="1"/>
    <col min="3" max="4" width="11.5703125" bestFit="1" customWidth="1"/>
    <col min="5" max="5" width="24.5703125" customWidth="1"/>
    <col min="6" max="6" width="14.7109375" bestFit="1" customWidth="1"/>
    <col min="7" max="7" width="13.140625" bestFit="1" customWidth="1"/>
  </cols>
  <sheetData>
    <row r="1" spans="1:7">
      <c r="F1" s="109"/>
      <c r="G1" s="109"/>
    </row>
    <row r="3" spans="1:7" ht="45">
      <c r="A3" s="114" t="s">
        <v>40</v>
      </c>
      <c r="B3" s="167" t="s">
        <v>261</v>
      </c>
      <c r="C3" s="168"/>
      <c r="D3" s="114" t="s">
        <v>249</v>
      </c>
      <c r="E3" s="167" t="s">
        <v>252</v>
      </c>
      <c r="F3" s="168"/>
      <c r="G3" s="114" t="s">
        <v>280</v>
      </c>
    </row>
    <row r="4" spans="1:7">
      <c r="A4" s="115"/>
      <c r="B4" s="114" t="s">
        <v>76</v>
      </c>
      <c r="C4" s="115" t="s">
        <v>64</v>
      </c>
      <c r="D4" s="115" t="s">
        <v>64</v>
      </c>
      <c r="E4" s="114" t="s">
        <v>76</v>
      </c>
      <c r="F4" s="115" t="s">
        <v>64</v>
      </c>
      <c r="G4" s="115" t="s">
        <v>64</v>
      </c>
    </row>
    <row r="5" spans="1:7">
      <c r="A5" s="23" t="s">
        <v>236</v>
      </c>
      <c r="B5" s="23" t="s">
        <v>235</v>
      </c>
      <c r="C5" s="23"/>
      <c r="D5" s="175">
        <f>+SUM(C6:C15)</f>
        <v>214381.21000000002</v>
      </c>
      <c r="E5" s="23" t="s">
        <v>235</v>
      </c>
      <c r="F5" s="21"/>
      <c r="G5" s="21"/>
    </row>
    <row r="6" spans="1:7">
      <c r="A6" s="178">
        <v>1</v>
      </c>
      <c r="B6" s="178" t="s">
        <v>77</v>
      </c>
      <c r="C6" s="187">
        <v>195102.64</v>
      </c>
      <c r="D6" s="176"/>
      <c r="E6" s="21" t="s">
        <v>250</v>
      </c>
      <c r="F6" s="108">
        <f>+C6-G7-G8-G9</f>
        <v>181736.49271974017</v>
      </c>
      <c r="G6" s="21"/>
    </row>
    <row r="7" spans="1:7">
      <c r="A7" s="179"/>
      <c r="B7" s="179"/>
      <c r="C7" s="189"/>
      <c r="D7" s="176"/>
      <c r="E7" s="20" t="s">
        <v>263</v>
      </c>
      <c r="F7" s="21"/>
      <c r="G7" s="110">
        <v>5360.9859645735669</v>
      </c>
    </row>
    <row r="8" spans="1:7">
      <c r="A8" s="179"/>
      <c r="B8" s="179"/>
      <c r="C8" s="189"/>
      <c r="D8" s="176"/>
      <c r="E8" s="20" t="s">
        <v>43</v>
      </c>
      <c r="F8" s="21"/>
      <c r="G8" s="110">
        <v>155.77921568627451</v>
      </c>
    </row>
    <row r="9" spans="1:7">
      <c r="A9" s="180"/>
      <c r="B9" s="180"/>
      <c r="C9" s="188"/>
      <c r="D9" s="176"/>
      <c r="E9" s="20" t="s">
        <v>262</v>
      </c>
      <c r="F9" s="21"/>
      <c r="G9" s="110">
        <v>7849.3820999999998</v>
      </c>
    </row>
    <row r="10" spans="1:7">
      <c r="A10" s="178">
        <v>2</v>
      </c>
      <c r="B10" s="178" t="s">
        <v>82</v>
      </c>
      <c r="C10" s="187">
        <v>380.4</v>
      </c>
      <c r="D10" s="176"/>
      <c r="E10" s="21" t="s">
        <v>250</v>
      </c>
      <c r="F10" s="108">
        <f>+C10-G11-G12</f>
        <v>344.5500169281944</v>
      </c>
      <c r="G10" s="21"/>
    </row>
    <row r="11" spans="1:7">
      <c r="A11" s="179"/>
      <c r="B11" s="179"/>
      <c r="C11" s="189"/>
      <c r="D11" s="176"/>
      <c r="E11" s="20" t="s">
        <v>254</v>
      </c>
      <c r="F11" s="21"/>
      <c r="G11" s="110">
        <v>28.391113765923222</v>
      </c>
    </row>
    <row r="12" spans="1:7">
      <c r="A12" s="180"/>
      <c r="B12" s="180"/>
      <c r="C12" s="188"/>
      <c r="D12" s="176"/>
      <c r="E12" s="20" t="s">
        <v>43</v>
      </c>
      <c r="F12" s="21"/>
      <c r="G12" s="110">
        <v>7.4588693058823523</v>
      </c>
    </row>
    <row r="13" spans="1:7">
      <c r="A13" s="178">
        <v>3</v>
      </c>
      <c r="B13" s="178" t="s">
        <v>80</v>
      </c>
      <c r="C13" s="187">
        <v>18331.82</v>
      </c>
      <c r="D13" s="176"/>
      <c r="E13" s="21" t="s">
        <v>250</v>
      </c>
      <c r="F13" s="108">
        <f>+C13</f>
        <v>18331.82</v>
      </c>
      <c r="G13" s="21"/>
    </row>
    <row r="14" spans="1:7">
      <c r="A14" s="180"/>
      <c r="B14" s="180"/>
      <c r="C14" s="188"/>
      <c r="D14" s="176"/>
      <c r="E14" s="20" t="s">
        <v>268</v>
      </c>
      <c r="F14" s="21"/>
      <c r="G14" s="110">
        <v>0</v>
      </c>
    </row>
    <row r="15" spans="1:7">
      <c r="A15" s="178">
        <v>4</v>
      </c>
      <c r="B15" s="178" t="s">
        <v>81</v>
      </c>
      <c r="C15" s="187">
        <v>566.35</v>
      </c>
      <c r="D15" s="176"/>
      <c r="E15" s="21" t="s">
        <v>250</v>
      </c>
      <c r="F15" s="108">
        <f>+C15-G16</f>
        <v>555.24509803921569</v>
      </c>
      <c r="G15" s="21"/>
    </row>
    <row r="16" spans="1:7">
      <c r="A16" s="180"/>
      <c r="B16" s="180"/>
      <c r="C16" s="188"/>
      <c r="D16" s="177"/>
      <c r="E16" s="20" t="s">
        <v>43</v>
      </c>
      <c r="F16" s="21"/>
      <c r="G16" s="110">
        <v>11.104901960784314</v>
      </c>
    </row>
    <row r="17" spans="1:8">
      <c r="A17" s="23" t="s">
        <v>237</v>
      </c>
      <c r="B17" s="23" t="s">
        <v>255</v>
      </c>
      <c r="C17" s="22"/>
      <c r="D17" s="175">
        <f>+SUM(C18:C21)</f>
        <v>5962.9699999999993</v>
      </c>
      <c r="E17" s="23" t="s">
        <v>255</v>
      </c>
      <c r="F17" s="21"/>
      <c r="G17" s="21"/>
    </row>
    <row r="18" spans="1:8">
      <c r="A18" s="178">
        <v>1</v>
      </c>
      <c r="B18" s="178" t="s">
        <v>78</v>
      </c>
      <c r="C18" s="187">
        <v>3778.5</v>
      </c>
      <c r="D18" s="176"/>
      <c r="E18" s="21" t="s">
        <v>250</v>
      </c>
      <c r="F18" s="108">
        <v>3704.4133714705877</v>
      </c>
      <c r="G18" s="108"/>
    </row>
    <row r="19" spans="1:8">
      <c r="A19" s="179"/>
      <c r="B19" s="179"/>
      <c r="C19" s="189"/>
      <c r="D19" s="176"/>
      <c r="E19" s="20" t="s">
        <v>43</v>
      </c>
      <c r="G19" s="110">
        <v>74.088267429411772</v>
      </c>
    </row>
    <row r="20" spans="1:8">
      <c r="A20" s="179"/>
      <c r="B20" s="180"/>
      <c r="C20" s="188"/>
      <c r="D20" s="176"/>
      <c r="E20" s="21" t="s">
        <v>251</v>
      </c>
      <c r="F20" s="108">
        <v>0</v>
      </c>
      <c r="G20" s="108"/>
    </row>
    <row r="21" spans="1:8">
      <c r="A21" s="178">
        <v>2</v>
      </c>
      <c r="B21" s="178" t="s">
        <v>86</v>
      </c>
      <c r="C21" s="187">
        <v>2184.4699999999998</v>
      </c>
      <c r="D21" s="176"/>
      <c r="E21" s="21" t="s">
        <v>250</v>
      </c>
      <c r="F21" s="108">
        <v>371.247280025549</v>
      </c>
      <c r="G21" s="108"/>
    </row>
    <row r="22" spans="1:8">
      <c r="A22" s="179"/>
      <c r="B22" s="179"/>
      <c r="C22" s="189"/>
      <c r="D22" s="176"/>
      <c r="E22" s="20" t="s">
        <v>43</v>
      </c>
      <c r="G22" s="110">
        <v>7.4249456005109868</v>
      </c>
      <c r="H22" s="111"/>
    </row>
    <row r="23" spans="1:8">
      <c r="A23" s="179"/>
      <c r="B23" s="179"/>
      <c r="C23" s="189"/>
      <c r="D23" s="176"/>
      <c r="E23" s="21" t="s">
        <v>251</v>
      </c>
      <c r="F23" s="108">
        <v>1637.1683700000001</v>
      </c>
      <c r="G23" s="108"/>
    </row>
    <row r="24" spans="1:8">
      <c r="A24" s="180"/>
      <c r="B24" s="180"/>
      <c r="C24" s="188"/>
      <c r="D24" s="177"/>
      <c r="E24" s="20" t="s">
        <v>120</v>
      </c>
      <c r="G24" s="110">
        <v>168.62834211000003</v>
      </c>
    </row>
    <row r="25" spans="1:8">
      <c r="A25" s="23" t="s">
        <v>239</v>
      </c>
      <c r="B25" s="23" t="s">
        <v>238</v>
      </c>
      <c r="C25" s="22"/>
      <c r="D25" s="175">
        <f>+SUM(C26:C29)</f>
        <v>7586.66</v>
      </c>
      <c r="E25" s="184" t="s">
        <v>238</v>
      </c>
      <c r="F25" s="172">
        <f>+D25</f>
        <v>7586.66</v>
      </c>
      <c r="G25" s="21"/>
    </row>
    <row r="26" spans="1:8">
      <c r="A26" s="21">
        <v>1</v>
      </c>
      <c r="B26" s="21" t="s">
        <v>87</v>
      </c>
      <c r="C26" s="22">
        <v>5515.89</v>
      </c>
      <c r="D26" s="176"/>
      <c r="E26" s="185"/>
      <c r="F26" s="173"/>
      <c r="G26" s="21"/>
    </row>
    <row r="27" spans="1:8">
      <c r="A27" s="21">
        <v>2</v>
      </c>
      <c r="B27" s="21" t="s">
        <v>88</v>
      </c>
      <c r="C27" s="22">
        <v>639.30999999999995</v>
      </c>
      <c r="D27" s="176"/>
      <c r="E27" s="185"/>
      <c r="F27" s="173"/>
      <c r="G27" s="21"/>
    </row>
    <row r="28" spans="1:8">
      <c r="A28" s="21">
        <v>3</v>
      </c>
      <c r="B28" s="21" t="s">
        <v>89</v>
      </c>
      <c r="C28" s="22">
        <v>226.11</v>
      </c>
      <c r="D28" s="176"/>
      <c r="E28" s="185"/>
      <c r="F28" s="173"/>
      <c r="G28" s="21"/>
    </row>
    <row r="29" spans="1:8">
      <c r="A29" s="21">
        <v>4</v>
      </c>
      <c r="B29" s="21" t="s">
        <v>90</v>
      </c>
      <c r="C29" s="22">
        <v>1205.3499999999999</v>
      </c>
      <c r="D29" s="177"/>
      <c r="E29" s="186"/>
      <c r="F29" s="174"/>
      <c r="G29" s="21"/>
    </row>
    <row r="30" spans="1:8">
      <c r="A30" s="23" t="s">
        <v>240</v>
      </c>
      <c r="B30" s="23" t="s">
        <v>241</v>
      </c>
      <c r="C30" s="22"/>
      <c r="D30" s="175">
        <f>+C31</f>
        <v>298.60000000000002</v>
      </c>
      <c r="E30" s="23" t="s">
        <v>241</v>
      </c>
      <c r="F30" s="21"/>
      <c r="G30" s="21"/>
    </row>
    <row r="31" spans="1:8">
      <c r="A31" s="178">
        <v>1</v>
      </c>
      <c r="B31" s="178" t="s">
        <v>79</v>
      </c>
      <c r="C31" s="187">
        <v>298.60000000000002</v>
      </c>
      <c r="D31" s="176"/>
      <c r="E31" s="21" t="s">
        <v>251</v>
      </c>
      <c r="F31" s="108">
        <f>298.6-G32-G33</f>
        <v>263.16809846781507</v>
      </c>
      <c r="G31" s="21"/>
    </row>
    <row r="32" spans="1:8">
      <c r="A32" s="179"/>
      <c r="B32" s="179"/>
      <c r="C32" s="189"/>
      <c r="D32" s="176"/>
      <c r="E32" s="20" t="s">
        <v>120</v>
      </c>
      <c r="F32" s="21"/>
      <c r="G32" s="110">
        <f>+D30*10.3/110.3</f>
        <v>27.883771532184955</v>
      </c>
    </row>
    <row r="33" spans="1:7">
      <c r="A33" s="180"/>
      <c r="B33" s="180"/>
      <c r="C33" s="188"/>
      <c r="D33" s="177"/>
      <c r="E33" s="112" t="s">
        <v>259</v>
      </c>
      <c r="G33" s="110">
        <v>7.5481299999999996</v>
      </c>
    </row>
    <row r="34" spans="1:7">
      <c r="A34" s="23" t="s">
        <v>242</v>
      </c>
      <c r="B34" s="23" t="s">
        <v>256</v>
      </c>
      <c r="C34" s="22"/>
      <c r="D34" s="175">
        <f>+SUM(C35:C38)</f>
        <v>4505.72</v>
      </c>
      <c r="E34" s="181" t="s">
        <v>244</v>
      </c>
      <c r="F34" s="169">
        <f>+D34</f>
        <v>4505.72</v>
      </c>
      <c r="G34" s="21"/>
    </row>
    <row r="35" spans="1:7">
      <c r="A35" s="21">
        <v>1</v>
      </c>
      <c r="B35" s="21" t="s">
        <v>83</v>
      </c>
      <c r="C35" s="22">
        <v>176.17</v>
      </c>
      <c r="D35" s="176"/>
      <c r="E35" s="182"/>
      <c r="F35" s="170"/>
      <c r="G35" s="21"/>
    </row>
    <row r="36" spans="1:7">
      <c r="A36" s="21">
        <v>2</v>
      </c>
      <c r="B36" s="21" t="s">
        <v>84</v>
      </c>
      <c r="C36" s="22">
        <v>3631.32</v>
      </c>
      <c r="D36" s="176"/>
      <c r="E36" s="182"/>
      <c r="F36" s="170"/>
      <c r="G36" s="21"/>
    </row>
    <row r="37" spans="1:7">
      <c r="A37" s="21">
        <v>3</v>
      </c>
      <c r="B37" s="21" t="s">
        <v>85</v>
      </c>
      <c r="C37" s="22">
        <v>362.69</v>
      </c>
      <c r="D37" s="176"/>
      <c r="E37" s="182"/>
      <c r="F37" s="170"/>
      <c r="G37" s="21"/>
    </row>
    <row r="38" spans="1:7">
      <c r="A38" s="21">
        <v>4</v>
      </c>
      <c r="B38" s="21" t="s">
        <v>95</v>
      </c>
      <c r="C38" s="22">
        <v>335.54</v>
      </c>
      <c r="D38" s="177"/>
      <c r="E38" s="183"/>
      <c r="F38" s="171"/>
      <c r="G38" s="21"/>
    </row>
    <row r="39" spans="1:7">
      <c r="A39" s="23" t="s">
        <v>246</v>
      </c>
      <c r="B39" s="23" t="s">
        <v>243</v>
      </c>
      <c r="C39" s="22"/>
      <c r="D39" s="175">
        <f>+SUM(C40:C45)</f>
        <v>4460.3999999999996</v>
      </c>
      <c r="E39" s="23" t="s">
        <v>243</v>
      </c>
      <c r="F39" s="21"/>
      <c r="G39" s="21"/>
    </row>
    <row r="40" spans="1:7">
      <c r="A40" s="178">
        <v>1</v>
      </c>
      <c r="B40" s="178" t="s">
        <v>92</v>
      </c>
      <c r="C40" s="187">
        <v>346.67</v>
      </c>
      <c r="D40" s="176"/>
      <c r="E40" s="21" t="s">
        <v>251</v>
      </c>
      <c r="F40" s="108">
        <f>+C40-G41</f>
        <v>314.29737080689029</v>
      </c>
      <c r="G40" s="21"/>
    </row>
    <row r="41" spans="1:7">
      <c r="A41" s="180"/>
      <c r="B41" s="180"/>
      <c r="C41" s="188"/>
      <c r="D41" s="176"/>
      <c r="E41" s="20" t="s">
        <v>120</v>
      </c>
      <c r="G41" s="110">
        <f>+C40*10.3/110.3</f>
        <v>32.372629193109709</v>
      </c>
    </row>
    <row r="42" spans="1:7">
      <c r="A42" s="178">
        <v>2</v>
      </c>
      <c r="B42" s="178" t="s">
        <v>93</v>
      </c>
      <c r="C42" s="187">
        <v>110.34</v>
      </c>
      <c r="D42" s="176"/>
      <c r="E42" s="21" t="s">
        <v>251</v>
      </c>
      <c r="F42" s="108">
        <f>+C42-G43</f>
        <v>100.03626473254759</v>
      </c>
      <c r="G42" s="21"/>
    </row>
    <row r="43" spans="1:7">
      <c r="A43" s="180"/>
      <c r="B43" s="180"/>
      <c r="C43" s="188"/>
      <c r="D43" s="176"/>
      <c r="E43" s="20" t="s">
        <v>120</v>
      </c>
      <c r="G43" s="110">
        <f>+C42*10.3/110.3</f>
        <v>10.303735267452405</v>
      </c>
    </row>
    <row r="44" spans="1:7">
      <c r="A44" s="21">
        <v>3</v>
      </c>
      <c r="B44" s="21" t="s">
        <v>94</v>
      </c>
      <c r="C44" s="22">
        <v>74.98</v>
      </c>
      <c r="D44" s="176"/>
      <c r="E44" s="21" t="s">
        <v>94</v>
      </c>
      <c r="F44" s="108">
        <f>+C44</f>
        <v>74.98</v>
      </c>
      <c r="G44" s="21"/>
    </row>
    <row r="45" spans="1:7">
      <c r="A45" s="21">
        <v>4</v>
      </c>
      <c r="B45" s="21" t="s">
        <v>231</v>
      </c>
      <c r="C45" s="22">
        <v>3928.41</v>
      </c>
      <c r="D45" s="177"/>
      <c r="E45" s="21" t="s">
        <v>253</v>
      </c>
      <c r="F45" s="108">
        <f>+C45</f>
        <v>3928.41</v>
      </c>
      <c r="G45" s="21"/>
    </row>
    <row r="46" spans="1:7">
      <c r="A46" s="23" t="s">
        <v>247</v>
      </c>
      <c r="B46" s="23" t="s">
        <v>245</v>
      </c>
      <c r="C46" s="22"/>
      <c r="D46" s="175">
        <f>+SUM(C47:C49)</f>
        <v>17860.39</v>
      </c>
      <c r="E46" s="23" t="s">
        <v>245</v>
      </c>
      <c r="F46" s="21"/>
      <c r="G46" s="21"/>
    </row>
    <row r="47" spans="1:7">
      <c r="A47" s="178">
        <v>1</v>
      </c>
      <c r="B47" s="178" t="s">
        <v>91</v>
      </c>
      <c r="C47" s="187">
        <v>17758.099999999999</v>
      </c>
      <c r="D47" s="176"/>
      <c r="E47" s="21" t="s">
        <v>251</v>
      </c>
      <c r="F47" s="108">
        <f>+C47-G48</f>
        <v>17619.145839999997</v>
      </c>
      <c r="G47" s="21"/>
    </row>
    <row r="48" spans="1:7">
      <c r="A48" s="180"/>
      <c r="B48" s="180"/>
      <c r="C48" s="188"/>
      <c r="D48" s="176"/>
      <c r="E48" s="20" t="s">
        <v>46</v>
      </c>
      <c r="G48" s="110">
        <f>(13895416)/100000</f>
        <v>138.95416</v>
      </c>
    </row>
    <row r="49" spans="1:7">
      <c r="A49" s="21">
        <v>2</v>
      </c>
      <c r="B49" s="21" t="s">
        <v>96</v>
      </c>
      <c r="C49" s="22">
        <v>102.29</v>
      </c>
      <c r="D49" s="177"/>
      <c r="E49" s="21" t="s">
        <v>96</v>
      </c>
      <c r="F49" s="108">
        <v>102.29</v>
      </c>
      <c r="G49" s="21"/>
    </row>
    <row r="50" spans="1:7">
      <c r="A50" s="23" t="s">
        <v>258</v>
      </c>
      <c r="B50" s="23" t="s">
        <v>248</v>
      </c>
      <c r="C50" s="22"/>
      <c r="D50" s="175">
        <f>+SUM(C51:C57)</f>
        <v>4265.3599999999997</v>
      </c>
      <c r="E50" s="181" t="s">
        <v>248</v>
      </c>
      <c r="F50" s="169">
        <f>+D50</f>
        <v>4265.3599999999997</v>
      </c>
      <c r="G50" s="21"/>
    </row>
    <row r="51" spans="1:7">
      <c r="A51" s="21">
        <v>1</v>
      </c>
      <c r="B51" s="21" t="s">
        <v>97</v>
      </c>
      <c r="C51" s="22">
        <v>115.4</v>
      </c>
      <c r="D51" s="176"/>
      <c r="E51" s="182"/>
      <c r="F51" s="170"/>
      <c r="G51" s="21"/>
    </row>
    <row r="52" spans="1:7">
      <c r="A52" s="21">
        <v>2</v>
      </c>
      <c r="B52" s="21" t="s">
        <v>98</v>
      </c>
      <c r="C52" s="22">
        <v>42.11</v>
      </c>
      <c r="D52" s="176"/>
      <c r="E52" s="182"/>
      <c r="F52" s="170"/>
      <c r="G52" s="21"/>
    </row>
    <row r="53" spans="1:7">
      <c r="A53" s="21">
        <v>3</v>
      </c>
      <c r="B53" s="21" t="s">
        <v>99</v>
      </c>
      <c r="C53" s="22">
        <v>0</v>
      </c>
      <c r="D53" s="176"/>
      <c r="E53" s="182"/>
      <c r="F53" s="170"/>
      <c r="G53" s="21"/>
    </row>
    <row r="54" spans="1:7">
      <c r="A54" s="21">
        <v>4</v>
      </c>
      <c r="B54" s="21" t="s">
        <v>100</v>
      </c>
      <c r="C54" s="22">
        <v>0</v>
      </c>
      <c r="D54" s="176"/>
      <c r="E54" s="182"/>
      <c r="F54" s="170"/>
      <c r="G54" s="21"/>
    </row>
    <row r="55" spans="1:7">
      <c r="A55" s="21">
        <v>5</v>
      </c>
      <c r="B55" s="21" t="s">
        <v>101</v>
      </c>
      <c r="C55" s="22">
        <v>0</v>
      </c>
      <c r="D55" s="176"/>
      <c r="E55" s="182"/>
      <c r="F55" s="170"/>
      <c r="G55" s="21"/>
    </row>
    <row r="56" spans="1:7">
      <c r="A56" s="21">
        <v>6</v>
      </c>
      <c r="B56" s="21" t="s">
        <v>257</v>
      </c>
      <c r="C56" s="22">
        <v>4006.85</v>
      </c>
      <c r="D56" s="176"/>
      <c r="E56" s="182"/>
      <c r="F56" s="170"/>
      <c r="G56" s="21"/>
    </row>
    <row r="57" spans="1:7">
      <c r="A57" s="21">
        <v>7</v>
      </c>
      <c r="B57" s="21" t="s">
        <v>102</v>
      </c>
      <c r="C57" s="22">
        <v>101</v>
      </c>
      <c r="D57" s="177"/>
      <c r="E57" s="183"/>
      <c r="F57" s="171"/>
      <c r="G57" s="21"/>
    </row>
    <row r="58" spans="1:7">
      <c r="A58" s="116"/>
      <c r="B58" s="117" t="s">
        <v>260</v>
      </c>
      <c r="C58" s="118">
        <f t="shared" ref="C58:G58" si="0">+SUM(C5:C57)</f>
        <v>259321.31000000008</v>
      </c>
      <c r="D58" s="118">
        <f>+SUM(D5:D57)</f>
        <v>259321.31</v>
      </c>
      <c r="E58" s="116"/>
      <c r="F58" s="124">
        <f>+SUM(F5:F50)</f>
        <v>245441.00443021095</v>
      </c>
      <c r="G58" s="124">
        <f t="shared" si="0"/>
        <v>13880.306146425097</v>
      </c>
    </row>
    <row r="60" spans="1:7">
      <c r="A60" s="116"/>
      <c r="B60" s="117" t="s">
        <v>279</v>
      </c>
      <c r="C60" s="118"/>
      <c r="D60" s="118"/>
      <c r="E60" s="116"/>
      <c r="F60" s="118"/>
      <c r="G60" s="124">
        <v>17.63</v>
      </c>
    </row>
    <row r="61" spans="1:7">
      <c r="F61" s="19"/>
    </row>
    <row r="62" spans="1:7">
      <c r="A62" s="116"/>
      <c r="B62" s="117" t="s">
        <v>278</v>
      </c>
      <c r="C62" s="118"/>
      <c r="D62" s="118"/>
      <c r="E62" s="116"/>
      <c r="F62" s="118"/>
      <c r="G62" s="124">
        <v>5284.7444927999995</v>
      </c>
    </row>
    <row r="64" spans="1:7">
      <c r="A64" s="116"/>
      <c r="B64" s="117" t="s">
        <v>286</v>
      </c>
      <c r="C64" s="118"/>
      <c r="D64" s="118"/>
      <c r="E64" s="116"/>
      <c r="F64" s="124">
        <f>+StockTrfr!G92</f>
        <v>75694.030138499991</v>
      </c>
      <c r="G64" s="124">
        <v>0</v>
      </c>
    </row>
    <row r="66" spans="1:7">
      <c r="A66" s="127"/>
      <c r="B66" s="128" t="s">
        <v>281</v>
      </c>
      <c r="C66" s="129"/>
      <c r="D66" s="129"/>
      <c r="E66" s="127"/>
      <c r="F66" s="129"/>
      <c r="G66" s="130">
        <f>+G58+G60+G62</f>
        <v>19182.680639225095</v>
      </c>
    </row>
  </sheetData>
  <mergeCells count="46">
    <mergeCell ref="A6:A9"/>
    <mergeCell ref="A13:A14"/>
    <mergeCell ref="C13:C14"/>
    <mergeCell ref="C15:C16"/>
    <mergeCell ref="B15:B16"/>
    <mergeCell ref="A15:A16"/>
    <mergeCell ref="B18:B20"/>
    <mergeCell ref="B21:B24"/>
    <mergeCell ref="B42:B43"/>
    <mergeCell ref="B6:B9"/>
    <mergeCell ref="C6:C9"/>
    <mergeCell ref="B13:B14"/>
    <mergeCell ref="C18:C20"/>
    <mergeCell ref="C21:C24"/>
    <mergeCell ref="D5:D16"/>
    <mergeCell ref="A42:A43"/>
    <mergeCell ref="C40:C41"/>
    <mergeCell ref="C42:C43"/>
    <mergeCell ref="B47:B48"/>
    <mergeCell ref="A47:A48"/>
    <mergeCell ref="C47:C48"/>
    <mergeCell ref="B40:B41"/>
    <mergeCell ref="A40:A41"/>
    <mergeCell ref="A31:A33"/>
    <mergeCell ref="C31:C33"/>
    <mergeCell ref="B10:B12"/>
    <mergeCell ref="C10:C12"/>
    <mergeCell ref="A10:A12"/>
    <mergeCell ref="A18:A20"/>
    <mergeCell ref="A21:A24"/>
    <mergeCell ref="E3:F3"/>
    <mergeCell ref="B3:C3"/>
    <mergeCell ref="F50:F57"/>
    <mergeCell ref="F25:F29"/>
    <mergeCell ref="D30:D33"/>
    <mergeCell ref="B31:B33"/>
    <mergeCell ref="E50:E57"/>
    <mergeCell ref="E34:E38"/>
    <mergeCell ref="F34:F38"/>
    <mergeCell ref="E25:E29"/>
    <mergeCell ref="D34:D38"/>
    <mergeCell ref="D25:D29"/>
    <mergeCell ref="D39:D45"/>
    <mergeCell ref="D46:D49"/>
    <mergeCell ref="D50:D57"/>
    <mergeCell ref="D17:D2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92"/>
  <sheetViews>
    <sheetView workbookViewId="0">
      <pane xSplit="7" ySplit="2" topLeftCell="H72" activePane="bottomRight" state="frozen"/>
      <selection pane="topRight" activeCell="H1" sqref="H1"/>
      <selection pane="bottomLeft" activeCell="A3" sqref="A3"/>
      <selection pane="bottomRight" activeCell="D92" sqref="D92"/>
    </sheetView>
  </sheetViews>
  <sheetFormatPr defaultRowHeight="15"/>
  <cols>
    <col min="2" max="2" width="6.140625" bestFit="1" customWidth="1"/>
    <col min="3" max="3" width="11.85546875" bestFit="1" customWidth="1"/>
    <col min="5" max="5" width="10" bestFit="1" customWidth="1"/>
    <col min="7" max="7" width="16.85546875" bestFit="1" customWidth="1"/>
  </cols>
  <sheetData>
    <row r="1" spans="2:7">
      <c r="B1" s="190" t="s">
        <v>287</v>
      </c>
      <c r="C1" s="190"/>
      <c r="D1" s="190"/>
      <c r="E1" s="190"/>
      <c r="F1" s="190"/>
      <c r="G1" s="190"/>
    </row>
    <row r="2" spans="2:7">
      <c r="B2" s="20" t="s">
        <v>40</v>
      </c>
      <c r="C2" s="20" t="s">
        <v>76</v>
      </c>
      <c r="D2" s="20" t="s">
        <v>170</v>
      </c>
      <c r="E2" s="20" t="s">
        <v>282</v>
      </c>
      <c r="F2" s="20" t="s">
        <v>136</v>
      </c>
      <c r="G2" s="20" t="s">
        <v>270</v>
      </c>
    </row>
    <row r="3" spans="2:7">
      <c r="B3" s="20">
        <v>1</v>
      </c>
      <c r="C3" s="20"/>
      <c r="D3" s="126">
        <v>39904</v>
      </c>
      <c r="E3" s="20"/>
      <c r="F3" s="20"/>
      <c r="G3" s="20"/>
    </row>
    <row r="4" spans="2:7">
      <c r="B4" s="21"/>
      <c r="C4" s="21" t="s">
        <v>271</v>
      </c>
      <c r="D4" s="21"/>
      <c r="E4" s="22">
        <v>38448.25</v>
      </c>
      <c r="F4" s="22">
        <v>4650</v>
      </c>
      <c r="G4" s="25">
        <f>+E4*F4</f>
        <v>178784362.5</v>
      </c>
    </row>
    <row r="5" spans="2:7">
      <c r="B5" s="21"/>
      <c r="C5" s="21" t="s">
        <v>283</v>
      </c>
      <c r="D5" s="21"/>
      <c r="E5" s="22">
        <v>13953</v>
      </c>
      <c r="F5" s="22">
        <v>6120</v>
      </c>
      <c r="G5" s="25">
        <f t="shared" ref="G5:G9" si="0">+E5*F5</f>
        <v>85392360</v>
      </c>
    </row>
    <row r="6" spans="2:7">
      <c r="B6" s="21"/>
      <c r="C6" s="21" t="s">
        <v>284</v>
      </c>
      <c r="D6" s="21"/>
      <c r="E6" s="22">
        <v>39885.449999999997</v>
      </c>
      <c r="F6" s="22">
        <v>9075</v>
      </c>
      <c r="G6" s="25">
        <f t="shared" si="0"/>
        <v>361960458.75</v>
      </c>
    </row>
    <row r="7" spans="2:7">
      <c r="B7" s="21"/>
      <c r="C7" s="21" t="s">
        <v>285</v>
      </c>
      <c r="D7" s="21"/>
      <c r="E7" s="22">
        <v>100</v>
      </c>
      <c r="F7" s="22">
        <v>6922</v>
      </c>
      <c r="G7" s="25">
        <f t="shared" si="0"/>
        <v>692200</v>
      </c>
    </row>
    <row r="8" spans="2:7">
      <c r="B8" s="21"/>
      <c r="C8" s="125">
        <v>0.52240740740740743</v>
      </c>
      <c r="D8" s="21"/>
      <c r="E8" s="22">
        <v>60</v>
      </c>
      <c r="F8" s="22">
        <v>7387</v>
      </c>
      <c r="G8" s="25">
        <f t="shared" si="0"/>
        <v>443220</v>
      </c>
    </row>
    <row r="9" spans="2:7">
      <c r="B9" s="21"/>
      <c r="C9" s="21" t="s">
        <v>9</v>
      </c>
      <c r="D9" s="21"/>
      <c r="E9" s="22">
        <v>329</v>
      </c>
      <c r="F9" s="22">
        <v>4255</v>
      </c>
      <c r="G9" s="25">
        <f t="shared" si="0"/>
        <v>1399895</v>
      </c>
    </row>
    <row r="10" spans="2:7">
      <c r="B10" s="21"/>
      <c r="C10" s="21"/>
      <c r="D10" s="21"/>
      <c r="E10" s="21"/>
      <c r="F10" s="21"/>
      <c r="G10" s="21"/>
    </row>
    <row r="11" spans="2:7">
      <c r="B11" s="20">
        <v>2</v>
      </c>
      <c r="C11" s="20"/>
      <c r="D11" s="126">
        <v>39934</v>
      </c>
      <c r="E11" s="20"/>
      <c r="F11" s="20"/>
      <c r="G11" s="20"/>
    </row>
    <row r="12" spans="2:7">
      <c r="B12" s="21"/>
      <c r="C12" s="21" t="s">
        <v>271</v>
      </c>
      <c r="D12" s="21"/>
      <c r="E12" s="22">
        <v>40421.25</v>
      </c>
      <c r="F12" s="22">
        <v>4650</v>
      </c>
      <c r="G12" s="25">
        <f>+E12*F12</f>
        <v>187958812.5</v>
      </c>
    </row>
    <row r="13" spans="2:7">
      <c r="B13" s="21"/>
      <c r="C13" s="21" t="s">
        <v>283</v>
      </c>
      <c r="D13" s="21"/>
      <c r="E13" s="22">
        <v>10568.9</v>
      </c>
      <c r="F13" s="22">
        <v>6120</v>
      </c>
      <c r="G13" s="25">
        <f t="shared" ref="G13:G17" si="1">+E13*F13</f>
        <v>64681668</v>
      </c>
    </row>
    <row r="14" spans="2:7">
      <c r="B14" s="21"/>
      <c r="C14" s="21" t="s">
        <v>284</v>
      </c>
      <c r="D14" s="21"/>
      <c r="E14" s="22">
        <v>16482.7</v>
      </c>
      <c r="F14" s="22">
        <v>9075</v>
      </c>
      <c r="G14" s="25">
        <f t="shared" si="1"/>
        <v>149580502.5</v>
      </c>
    </row>
    <row r="15" spans="2:7">
      <c r="B15" s="21"/>
      <c r="C15" s="21" t="s">
        <v>285</v>
      </c>
      <c r="D15" s="21"/>
      <c r="E15" s="22">
        <v>103.7</v>
      </c>
      <c r="F15" s="22">
        <v>6922</v>
      </c>
      <c r="G15" s="25">
        <f t="shared" si="1"/>
        <v>717811.4</v>
      </c>
    </row>
    <row r="16" spans="2:7">
      <c r="B16" s="21"/>
      <c r="C16" s="125">
        <v>0.52240740740740743</v>
      </c>
      <c r="D16" s="21"/>
      <c r="E16" s="22">
        <v>21555.45</v>
      </c>
      <c r="F16" s="22">
        <v>7387</v>
      </c>
      <c r="G16" s="25">
        <f t="shared" si="1"/>
        <v>159230109.15000001</v>
      </c>
    </row>
    <row r="17" spans="2:7">
      <c r="B17" s="21"/>
      <c r="C17" s="21" t="s">
        <v>9</v>
      </c>
      <c r="D17" s="21"/>
      <c r="E17" s="22">
        <v>6215.5</v>
      </c>
      <c r="F17" s="22">
        <v>4255</v>
      </c>
      <c r="G17" s="25">
        <f t="shared" si="1"/>
        <v>26446952.5</v>
      </c>
    </row>
    <row r="18" spans="2:7">
      <c r="B18" s="21"/>
      <c r="C18" s="21"/>
      <c r="D18" s="21"/>
      <c r="E18" s="21"/>
      <c r="F18" s="21"/>
      <c r="G18" s="21"/>
    </row>
    <row r="19" spans="2:7">
      <c r="B19" s="20">
        <v>3</v>
      </c>
      <c r="C19" s="20"/>
      <c r="D19" s="126">
        <v>39965</v>
      </c>
      <c r="E19" s="20"/>
      <c r="F19" s="20"/>
      <c r="G19" s="20"/>
    </row>
    <row r="20" spans="2:7">
      <c r="B20" s="21"/>
      <c r="C20" s="21" t="s">
        <v>271</v>
      </c>
      <c r="D20" s="21"/>
      <c r="E20" s="22">
        <v>32939.25</v>
      </c>
      <c r="F20" s="22">
        <v>4650</v>
      </c>
      <c r="G20" s="25">
        <f>+E20*F20</f>
        <v>153167512.5</v>
      </c>
    </row>
    <row r="21" spans="2:7">
      <c r="B21" s="21"/>
      <c r="C21" s="21" t="s">
        <v>283</v>
      </c>
      <c r="D21" s="21"/>
      <c r="E21" s="22">
        <v>0</v>
      </c>
      <c r="F21" s="22">
        <v>6120</v>
      </c>
      <c r="G21" s="25">
        <f t="shared" ref="G21:G25" si="2">+E21*F21</f>
        <v>0</v>
      </c>
    </row>
    <row r="22" spans="2:7">
      <c r="B22" s="21"/>
      <c r="C22" s="21" t="s">
        <v>284</v>
      </c>
      <c r="D22" s="21"/>
      <c r="E22" s="22">
        <v>32223.3</v>
      </c>
      <c r="F22" s="22">
        <v>9075</v>
      </c>
      <c r="G22" s="25">
        <f t="shared" si="2"/>
        <v>292426447.5</v>
      </c>
    </row>
    <row r="23" spans="2:7">
      <c r="B23" s="21"/>
      <c r="C23" s="21" t="s">
        <v>285</v>
      </c>
      <c r="D23" s="21"/>
      <c r="E23" s="22">
        <v>18647</v>
      </c>
      <c r="F23" s="22">
        <v>6922</v>
      </c>
      <c r="G23" s="25">
        <f t="shared" si="2"/>
        <v>129074534</v>
      </c>
    </row>
    <row r="24" spans="2:7">
      <c r="B24" s="21"/>
      <c r="C24" s="125">
        <v>0.52240740740740743</v>
      </c>
      <c r="D24" s="21"/>
      <c r="E24" s="22">
        <v>11743.3</v>
      </c>
      <c r="F24" s="22">
        <v>7387</v>
      </c>
      <c r="G24" s="25">
        <f t="shared" si="2"/>
        <v>86747757.099999994</v>
      </c>
    </row>
    <row r="25" spans="2:7">
      <c r="B25" s="21"/>
      <c r="C25" s="21" t="s">
        <v>9</v>
      </c>
      <c r="D25" s="21"/>
      <c r="E25" s="22">
        <v>116</v>
      </c>
      <c r="F25" s="22">
        <v>4255</v>
      </c>
      <c r="G25" s="25">
        <f t="shared" si="2"/>
        <v>493580</v>
      </c>
    </row>
    <row r="26" spans="2:7">
      <c r="B26" s="20"/>
      <c r="C26" s="20"/>
      <c r="D26" s="126"/>
      <c r="E26" s="20"/>
      <c r="F26" s="20"/>
      <c r="G26" s="20"/>
    </row>
    <row r="27" spans="2:7">
      <c r="B27" s="20">
        <v>4</v>
      </c>
      <c r="C27" s="20"/>
      <c r="D27" s="126">
        <v>39995</v>
      </c>
      <c r="E27" s="20"/>
      <c r="F27" s="20"/>
      <c r="G27" s="20"/>
    </row>
    <row r="28" spans="2:7">
      <c r="B28" s="21"/>
      <c r="C28" s="21" t="s">
        <v>271</v>
      </c>
      <c r="D28" s="21"/>
      <c r="E28" s="22">
        <v>31683</v>
      </c>
      <c r="F28" s="22">
        <v>4650</v>
      </c>
      <c r="G28" s="25">
        <f>+E28*F28</f>
        <v>147325950</v>
      </c>
    </row>
    <row r="29" spans="2:7">
      <c r="B29" s="21"/>
      <c r="C29" s="21" t="s">
        <v>283</v>
      </c>
      <c r="D29" s="21"/>
      <c r="E29" s="22">
        <v>0</v>
      </c>
      <c r="F29" s="22">
        <v>6120</v>
      </c>
      <c r="G29" s="25">
        <f t="shared" ref="G29:G33" si="3">+E29*F29</f>
        <v>0</v>
      </c>
    </row>
    <row r="30" spans="2:7">
      <c r="B30" s="21"/>
      <c r="C30" s="21" t="s">
        <v>284</v>
      </c>
      <c r="D30" s="21"/>
      <c r="E30" s="22">
        <v>33671.550000000003</v>
      </c>
      <c r="F30" s="22">
        <v>9075</v>
      </c>
      <c r="G30" s="25">
        <f t="shared" si="3"/>
        <v>305569316.25</v>
      </c>
    </row>
    <row r="31" spans="2:7">
      <c r="B31" s="21"/>
      <c r="C31" s="21" t="s">
        <v>285</v>
      </c>
      <c r="D31" s="21"/>
      <c r="E31" s="22">
        <v>12582.55</v>
      </c>
      <c r="F31" s="22">
        <v>6922</v>
      </c>
      <c r="G31" s="25">
        <f t="shared" si="3"/>
        <v>87096411.099999994</v>
      </c>
    </row>
    <row r="32" spans="2:7">
      <c r="B32" s="21"/>
      <c r="C32" s="125">
        <v>0.52240740740740743</v>
      </c>
      <c r="D32" s="21"/>
      <c r="E32" s="22">
        <v>0</v>
      </c>
      <c r="F32" s="22">
        <v>7387</v>
      </c>
      <c r="G32" s="25">
        <f t="shared" si="3"/>
        <v>0</v>
      </c>
    </row>
    <row r="33" spans="2:7">
      <c r="B33" s="21"/>
      <c r="C33" s="21" t="s">
        <v>9</v>
      </c>
      <c r="D33" s="21"/>
      <c r="E33" s="22">
        <v>434.5</v>
      </c>
      <c r="F33" s="22">
        <v>4255</v>
      </c>
      <c r="G33" s="25">
        <f t="shared" si="3"/>
        <v>1848797.5</v>
      </c>
    </row>
    <row r="34" spans="2:7">
      <c r="B34" s="21"/>
      <c r="C34" s="21"/>
      <c r="D34" s="21"/>
      <c r="E34" s="22"/>
      <c r="F34" s="22"/>
      <c r="G34" s="25"/>
    </row>
    <row r="35" spans="2:7">
      <c r="B35" s="20">
        <v>5</v>
      </c>
      <c r="C35" s="20"/>
      <c r="D35" s="126">
        <v>40026</v>
      </c>
      <c r="E35" s="20"/>
      <c r="F35" s="20"/>
      <c r="G35" s="20"/>
    </row>
    <row r="36" spans="2:7">
      <c r="B36" s="21"/>
      <c r="C36" s="21" t="s">
        <v>271</v>
      </c>
      <c r="D36" s="21"/>
      <c r="E36" s="22">
        <v>35715</v>
      </c>
      <c r="F36" s="22">
        <v>4650</v>
      </c>
      <c r="G36" s="25">
        <f>+E36*F36</f>
        <v>166074750</v>
      </c>
    </row>
    <row r="37" spans="2:7">
      <c r="B37" s="21"/>
      <c r="C37" s="21" t="s">
        <v>283</v>
      </c>
      <c r="D37" s="21"/>
      <c r="E37" s="22">
        <v>0</v>
      </c>
      <c r="F37" s="22">
        <v>6120</v>
      </c>
      <c r="G37" s="25">
        <f t="shared" ref="G37:G41" si="4">+E37*F37</f>
        <v>0</v>
      </c>
    </row>
    <row r="38" spans="2:7">
      <c r="B38" s="21"/>
      <c r="C38" s="21" t="s">
        <v>284</v>
      </c>
      <c r="D38" s="21"/>
      <c r="E38" s="22">
        <v>54691.55</v>
      </c>
      <c r="F38" s="22">
        <v>9075</v>
      </c>
      <c r="G38" s="25">
        <f t="shared" si="4"/>
        <v>496325816.25</v>
      </c>
    </row>
    <row r="39" spans="2:7">
      <c r="B39" s="21"/>
      <c r="C39" s="21" t="s">
        <v>285</v>
      </c>
      <c r="D39" s="21"/>
      <c r="E39" s="22">
        <v>0</v>
      </c>
      <c r="F39" s="22">
        <v>6922</v>
      </c>
      <c r="G39" s="25">
        <f t="shared" si="4"/>
        <v>0</v>
      </c>
    </row>
    <row r="40" spans="2:7">
      <c r="B40" s="21"/>
      <c r="C40" s="125">
        <v>0.52240740740740743</v>
      </c>
      <c r="D40" s="21"/>
      <c r="E40" s="22">
        <v>0</v>
      </c>
      <c r="F40" s="22">
        <v>7387</v>
      </c>
      <c r="G40" s="25">
        <f t="shared" si="4"/>
        <v>0</v>
      </c>
    </row>
    <row r="41" spans="2:7">
      <c r="B41" s="21"/>
      <c r="C41" s="21" t="s">
        <v>9</v>
      </c>
      <c r="D41" s="21"/>
      <c r="E41" s="22">
        <v>0</v>
      </c>
      <c r="F41" s="22">
        <v>4255</v>
      </c>
      <c r="G41" s="25">
        <f t="shared" si="4"/>
        <v>0</v>
      </c>
    </row>
    <row r="42" spans="2:7">
      <c r="B42" s="20">
        <v>6</v>
      </c>
      <c r="C42" s="20"/>
      <c r="D42" s="126">
        <v>40057</v>
      </c>
      <c r="E42" s="20"/>
      <c r="F42" s="20"/>
      <c r="G42" s="20"/>
    </row>
    <row r="43" spans="2:7">
      <c r="B43" s="21"/>
      <c r="C43" s="21" t="s">
        <v>271</v>
      </c>
      <c r="D43" s="21"/>
      <c r="E43" s="22">
        <v>36686.5</v>
      </c>
      <c r="F43" s="22">
        <v>4650</v>
      </c>
      <c r="G43" s="25">
        <f>+E43*F43</f>
        <v>170592225</v>
      </c>
    </row>
    <row r="44" spans="2:7">
      <c r="B44" s="21"/>
      <c r="C44" s="21" t="s">
        <v>283</v>
      </c>
      <c r="D44" s="21"/>
      <c r="E44" s="22">
        <v>0</v>
      </c>
      <c r="F44" s="22">
        <v>6120</v>
      </c>
      <c r="G44" s="25">
        <f t="shared" ref="G44:G48" si="5">+E44*F44</f>
        <v>0</v>
      </c>
    </row>
    <row r="45" spans="2:7">
      <c r="B45" s="21"/>
      <c r="C45" s="21" t="s">
        <v>284</v>
      </c>
      <c r="D45" s="21"/>
      <c r="E45" s="22">
        <v>33780.699999999997</v>
      </c>
      <c r="F45" s="22">
        <v>9075</v>
      </c>
      <c r="G45" s="25">
        <f t="shared" si="5"/>
        <v>306559852.5</v>
      </c>
    </row>
    <row r="46" spans="2:7">
      <c r="B46" s="21"/>
      <c r="C46" s="21" t="s">
        <v>285</v>
      </c>
      <c r="D46" s="21"/>
      <c r="E46" s="22">
        <v>0</v>
      </c>
      <c r="F46" s="22">
        <v>6922</v>
      </c>
      <c r="G46" s="25">
        <f t="shared" si="5"/>
        <v>0</v>
      </c>
    </row>
    <row r="47" spans="2:7">
      <c r="B47" s="21"/>
      <c r="C47" s="125">
        <v>0.52240740740740743</v>
      </c>
      <c r="D47" s="21"/>
      <c r="E47" s="22">
        <v>26916</v>
      </c>
      <c r="F47" s="22">
        <v>7387</v>
      </c>
      <c r="G47" s="25">
        <f t="shared" si="5"/>
        <v>198828492</v>
      </c>
    </row>
    <row r="48" spans="2:7">
      <c r="B48" s="21"/>
      <c r="C48" s="21" t="s">
        <v>9</v>
      </c>
      <c r="D48" s="21"/>
      <c r="E48" s="22">
        <v>317</v>
      </c>
      <c r="F48" s="22">
        <v>4255</v>
      </c>
      <c r="G48" s="25">
        <f t="shared" si="5"/>
        <v>1348835</v>
      </c>
    </row>
    <row r="49" spans="2:7">
      <c r="B49" s="20">
        <v>7</v>
      </c>
      <c r="C49" s="20"/>
      <c r="D49" s="126">
        <v>40087</v>
      </c>
      <c r="E49" s="20"/>
      <c r="F49" s="20"/>
      <c r="G49" s="20"/>
    </row>
    <row r="50" spans="2:7">
      <c r="B50" s="21"/>
      <c r="C50" s="21" t="s">
        <v>271</v>
      </c>
      <c r="D50" s="21"/>
      <c r="E50" s="22">
        <v>35859</v>
      </c>
      <c r="F50" s="22">
        <v>4650</v>
      </c>
      <c r="G50" s="25">
        <f>+E50*F50</f>
        <v>166744350</v>
      </c>
    </row>
    <row r="51" spans="2:7">
      <c r="B51" s="21"/>
      <c r="C51" s="21" t="s">
        <v>283</v>
      </c>
      <c r="D51" s="21"/>
      <c r="E51" s="22">
        <v>0</v>
      </c>
      <c r="F51" s="22">
        <v>6120</v>
      </c>
      <c r="G51" s="25">
        <f t="shared" ref="G51:G55" si="6">+E51*F51</f>
        <v>0</v>
      </c>
    </row>
    <row r="52" spans="2:7">
      <c r="B52" s="21"/>
      <c r="C52" s="21" t="s">
        <v>284</v>
      </c>
      <c r="D52" s="21"/>
      <c r="E52" s="22">
        <v>35602.25</v>
      </c>
      <c r="F52" s="22">
        <v>9075</v>
      </c>
      <c r="G52" s="25">
        <f t="shared" si="6"/>
        <v>323090418.75</v>
      </c>
    </row>
    <row r="53" spans="2:7">
      <c r="B53" s="21"/>
      <c r="C53" s="21" t="s">
        <v>285</v>
      </c>
      <c r="D53" s="21"/>
      <c r="E53" s="22">
        <v>23654.25</v>
      </c>
      <c r="F53" s="22">
        <v>6922</v>
      </c>
      <c r="G53" s="25">
        <f t="shared" si="6"/>
        <v>163734718.5</v>
      </c>
    </row>
    <row r="54" spans="2:7">
      <c r="B54" s="21"/>
      <c r="C54" s="125">
        <v>0.52240740740740743</v>
      </c>
      <c r="D54" s="21"/>
      <c r="E54" s="22">
        <v>2867.8</v>
      </c>
      <c r="F54" s="22">
        <v>7387</v>
      </c>
      <c r="G54" s="25">
        <f t="shared" si="6"/>
        <v>21184438.600000001</v>
      </c>
    </row>
    <row r="55" spans="2:7">
      <c r="B55" s="21"/>
      <c r="C55" s="21" t="s">
        <v>9</v>
      </c>
      <c r="D55" s="21"/>
      <c r="E55" s="22">
        <v>253.1</v>
      </c>
      <c r="F55" s="22">
        <v>4255</v>
      </c>
      <c r="G55" s="25">
        <f t="shared" si="6"/>
        <v>1076940.5</v>
      </c>
    </row>
    <row r="56" spans="2:7">
      <c r="B56" s="20">
        <v>8</v>
      </c>
      <c r="C56" s="20"/>
      <c r="D56" s="126">
        <v>40118</v>
      </c>
      <c r="E56" s="20"/>
      <c r="F56" s="20"/>
      <c r="G56" s="20"/>
    </row>
    <row r="57" spans="2:7">
      <c r="B57" s="21"/>
      <c r="C57" s="21" t="s">
        <v>271</v>
      </c>
      <c r="D57" s="21"/>
      <c r="E57" s="22">
        <v>33289.5</v>
      </c>
      <c r="F57" s="22">
        <v>4650</v>
      </c>
      <c r="G57" s="25">
        <f>+E57*F57</f>
        <v>154796175</v>
      </c>
    </row>
    <row r="58" spans="2:7">
      <c r="B58" s="21"/>
      <c r="C58" s="21" t="s">
        <v>283</v>
      </c>
      <c r="D58" s="21"/>
      <c r="E58" s="22">
        <v>0</v>
      </c>
      <c r="F58" s="22">
        <v>6120</v>
      </c>
      <c r="G58" s="25">
        <f t="shared" ref="G58:G62" si="7">+E58*F58</f>
        <v>0</v>
      </c>
    </row>
    <row r="59" spans="2:7">
      <c r="B59" s="21"/>
      <c r="C59" s="21" t="s">
        <v>284</v>
      </c>
      <c r="D59" s="21"/>
      <c r="E59" s="22">
        <v>33910.15</v>
      </c>
      <c r="F59" s="22">
        <v>9075</v>
      </c>
      <c r="G59" s="25">
        <f t="shared" si="7"/>
        <v>307734611.25</v>
      </c>
    </row>
    <row r="60" spans="2:7">
      <c r="B60" s="21"/>
      <c r="C60" s="21" t="s">
        <v>285</v>
      </c>
      <c r="D60" s="21"/>
      <c r="E60" s="22">
        <v>33393.85</v>
      </c>
      <c r="F60" s="22">
        <v>6922</v>
      </c>
      <c r="G60" s="25">
        <f t="shared" si="7"/>
        <v>231152229.69999999</v>
      </c>
    </row>
    <row r="61" spans="2:7">
      <c r="B61" s="21"/>
      <c r="C61" s="125">
        <v>0.52240740740740743</v>
      </c>
      <c r="D61" s="21"/>
      <c r="E61" s="22">
        <v>5</v>
      </c>
      <c r="F61" s="22">
        <v>7387</v>
      </c>
      <c r="G61" s="25">
        <f t="shared" si="7"/>
        <v>36935</v>
      </c>
    </row>
    <row r="62" spans="2:7">
      <c r="B62" s="21"/>
      <c r="C62" s="21" t="s">
        <v>9</v>
      </c>
      <c r="D62" s="21"/>
      <c r="E62" s="22">
        <v>30</v>
      </c>
      <c r="F62" s="22">
        <v>4255</v>
      </c>
      <c r="G62" s="25">
        <f t="shared" si="7"/>
        <v>127650</v>
      </c>
    </row>
    <row r="63" spans="2:7">
      <c r="B63" s="20">
        <v>9</v>
      </c>
      <c r="C63" s="20"/>
      <c r="D63" s="126">
        <v>40148</v>
      </c>
      <c r="E63" s="20"/>
      <c r="F63" s="20"/>
      <c r="G63" s="20"/>
    </row>
    <row r="64" spans="2:7">
      <c r="B64" s="21"/>
      <c r="C64" s="21" t="s">
        <v>271</v>
      </c>
      <c r="D64" s="21"/>
      <c r="E64" s="22">
        <v>36570.75</v>
      </c>
      <c r="F64" s="22">
        <v>4650</v>
      </c>
      <c r="G64" s="25">
        <f>+E64*F64</f>
        <v>170053987.5</v>
      </c>
    </row>
    <row r="65" spans="2:7">
      <c r="B65" s="21"/>
      <c r="C65" s="21" t="s">
        <v>283</v>
      </c>
      <c r="D65" s="21"/>
      <c r="E65" s="22">
        <v>0</v>
      </c>
      <c r="F65" s="22">
        <v>6120</v>
      </c>
      <c r="G65" s="25">
        <f t="shared" ref="G65:G69" si="8">+E65*F65</f>
        <v>0</v>
      </c>
    </row>
    <row r="66" spans="2:7">
      <c r="B66" s="21"/>
      <c r="C66" s="21" t="s">
        <v>284</v>
      </c>
      <c r="D66" s="21"/>
      <c r="E66" s="22">
        <v>20409.95</v>
      </c>
      <c r="F66" s="22">
        <v>9075</v>
      </c>
      <c r="G66" s="25">
        <f t="shared" si="8"/>
        <v>185220296.25</v>
      </c>
    </row>
    <row r="67" spans="2:7">
      <c r="B67" s="21"/>
      <c r="C67" s="21" t="s">
        <v>285</v>
      </c>
      <c r="D67" s="21"/>
      <c r="E67" s="22">
        <v>37648.1</v>
      </c>
      <c r="F67" s="22">
        <v>6922</v>
      </c>
      <c r="G67" s="25">
        <f t="shared" si="8"/>
        <v>260600148.19999999</v>
      </c>
    </row>
    <row r="68" spans="2:7">
      <c r="B68" s="21"/>
      <c r="C68" s="125">
        <v>0.52240740740740743</v>
      </c>
      <c r="D68" s="21"/>
      <c r="E68" s="22">
        <v>11389.95</v>
      </c>
      <c r="F68" s="22">
        <v>7387</v>
      </c>
      <c r="G68" s="25">
        <f t="shared" si="8"/>
        <v>84137560.650000006</v>
      </c>
    </row>
    <row r="69" spans="2:7">
      <c r="B69" s="21"/>
      <c r="C69" s="21" t="s">
        <v>9</v>
      </c>
      <c r="D69" s="21"/>
      <c r="E69" s="22">
        <v>20</v>
      </c>
      <c r="F69" s="22">
        <v>4255</v>
      </c>
      <c r="G69" s="25">
        <f t="shared" si="8"/>
        <v>85100</v>
      </c>
    </row>
    <row r="70" spans="2:7">
      <c r="B70" s="20">
        <v>10</v>
      </c>
      <c r="C70" s="20"/>
      <c r="D70" s="126">
        <v>40179</v>
      </c>
      <c r="E70" s="20"/>
      <c r="F70" s="20"/>
      <c r="G70" s="20"/>
    </row>
    <row r="71" spans="2:7">
      <c r="B71" s="21"/>
      <c r="C71" s="21" t="s">
        <v>271</v>
      </c>
      <c r="D71" s="21"/>
      <c r="E71" s="22">
        <v>34461.75</v>
      </c>
      <c r="F71" s="22">
        <v>4650</v>
      </c>
      <c r="G71" s="25">
        <f>+E71*F71</f>
        <v>160247137.5</v>
      </c>
    </row>
    <row r="72" spans="2:7">
      <c r="B72" s="21"/>
      <c r="C72" s="21" t="s">
        <v>283</v>
      </c>
      <c r="D72" s="21"/>
      <c r="E72" s="22">
        <v>0</v>
      </c>
      <c r="F72" s="22">
        <v>6120</v>
      </c>
      <c r="G72" s="25">
        <f t="shared" ref="G72:G76" si="9">+E72*F72</f>
        <v>0</v>
      </c>
    </row>
    <row r="73" spans="2:7">
      <c r="B73" s="21"/>
      <c r="C73" s="21" t="s">
        <v>284</v>
      </c>
      <c r="D73" s="21"/>
      <c r="E73" s="22">
        <v>10</v>
      </c>
      <c r="F73" s="22">
        <v>9075</v>
      </c>
      <c r="G73" s="25">
        <f t="shared" si="9"/>
        <v>90750</v>
      </c>
    </row>
    <row r="74" spans="2:7">
      <c r="B74" s="21"/>
      <c r="C74" s="21" t="s">
        <v>285</v>
      </c>
      <c r="D74" s="21"/>
      <c r="E74" s="22">
        <v>35073</v>
      </c>
      <c r="F74" s="22">
        <v>6922</v>
      </c>
      <c r="G74" s="25">
        <f t="shared" si="9"/>
        <v>242775306</v>
      </c>
    </row>
    <row r="75" spans="2:7">
      <c r="B75" s="21"/>
      <c r="C75" s="125">
        <v>0.52240740740740743</v>
      </c>
      <c r="D75" s="21"/>
      <c r="E75" s="22">
        <v>33727.9</v>
      </c>
      <c r="F75" s="22">
        <v>7387</v>
      </c>
      <c r="G75" s="25">
        <f t="shared" si="9"/>
        <v>249147997.30000001</v>
      </c>
    </row>
    <row r="76" spans="2:7">
      <c r="B76" s="21"/>
      <c r="C76" s="21" t="s">
        <v>9</v>
      </c>
      <c r="D76" s="21"/>
      <c r="E76" s="22">
        <v>36</v>
      </c>
      <c r="F76" s="22">
        <v>4255</v>
      </c>
      <c r="G76" s="25">
        <f t="shared" si="9"/>
        <v>153180</v>
      </c>
    </row>
    <row r="77" spans="2:7">
      <c r="B77" s="20">
        <v>11</v>
      </c>
      <c r="C77" s="20"/>
      <c r="D77" s="126">
        <v>40210</v>
      </c>
      <c r="E77" s="20"/>
      <c r="F77" s="20"/>
      <c r="G77" s="20"/>
    </row>
    <row r="78" spans="2:7">
      <c r="B78" s="21"/>
      <c r="C78" s="21" t="s">
        <v>271</v>
      </c>
      <c r="D78" s="21"/>
      <c r="E78" s="22">
        <v>31094.5</v>
      </c>
      <c r="F78" s="22">
        <v>4650</v>
      </c>
      <c r="G78" s="25">
        <f>+E78*F78</f>
        <v>144589425</v>
      </c>
    </row>
    <row r="79" spans="2:7">
      <c r="B79" s="21"/>
      <c r="C79" s="21" t="s">
        <v>283</v>
      </c>
      <c r="D79" s="21"/>
      <c r="E79" s="22">
        <v>0</v>
      </c>
      <c r="F79" s="22">
        <v>6120</v>
      </c>
      <c r="G79" s="25">
        <f t="shared" ref="G79:G83" si="10">+E79*F79</f>
        <v>0</v>
      </c>
    </row>
    <row r="80" spans="2:7">
      <c r="B80" s="21"/>
      <c r="C80" s="21" t="s">
        <v>284</v>
      </c>
      <c r="D80" s="21"/>
      <c r="E80" s="22">
        <v>23448.05</v>
      </c>
      <c r="F80" s="22">
        <v>9075</v>
      </c>
      <c r="G80" s="25">
        <f t="shared" si="10"/>
        <v>212791053.75</v>
      </c>
    </row>
    <row r="81" spans="2:7">
      <c r="B81" s="21"/>
      <c r="C81" s="21" t="s">
        <v>285</v>
      </c>
      <c r="D81" s="21"/>
      <c r="E81" s="22">
        <v>14702.7</v>
      </c>
      <c r="F81" s="22">
        <v>6922</v>
      </c>
      <c r="G81" s="25">
        <f t="shared" si="10"/>
        <v>101772089.40000001</v>
      </c>
    </row>
    <row r="82" spans="2:7">
      <c r="B82" s="21"/>
      <c r="C82" s="125">
        <v>0.52240740740740743</v>
      </c>
      <c r="D82" s="21"/>
      <c r="E82" s="22">
        <v>23228.75</v>
      </c>
      <c r="F82" s="22">
        <v>7387</v>
      </c>
      <c r="G82" s="25">
        <f t="shared" si="10"/>
        <v>171590776.25</v>
      </c>
    </row>
    <row r="83" spans="2:7">
      <c r="B83" s="21"/>
      <c r="C83" s="21" t="s">
        <v>9</v>
      </c>
      <c r="D83" s="21"/>
      <c r="E83" s="22">
        <v>130</v>
      </c>
      <c r="F83" s="22">
        <v>4255</v>
      </c>
      <c r="G83" s="25">
        <f t="shared" si="10"/>
        <v>553150</v>
      </c>
    </row>
    <row r="84" spans="2:7">
      <c r="B84" s="20">
        <v>12</v>
      </c>
      <c r="C84" s="20"/>
      <c r="D84" s="126">
        <v>40238</v>
      </c>
      <c r="E84" s="20"/>
      <c r="F84" s="20"/>
      <c r="G84" s="20"/>
    </row>
    <row r="85" spans="2:7">
      <c r="B85" s="21"/>
      <c r="C85" s="21" t="s">
        <v>271</v>
      </c>
      <c r="D85" s="21"/>
      <c r="E85" s="22">
        <v>7822.75</v>
      </c>
      <c r="F85" s="22">
        <v>4650</v>
      </c>
      <c r="G85" s="25">
        <f>+E85*F85</f>
        <v>36375787.5</v>
      </c>
    </row>
    <row r="86" spans="2:7">
      <c r="B86" s="21"/>
      <c r="C86" s="21" t="s">
        <v>283</v>
      </c>
      <c r="D86" s="21"/>
      <c r="E86" s="22">
        <v>0</v>
      </c>
      <c r="F86" s="22">
        <v>6120</v>
      </c>
      <c r="G86" s="25">
        <f t="shared" ref="G86:G90" si="11">+E86*F86</f>
        <v>0</v>
      </c>
    </row>
    <row r="87" spans="2:7">
      <c r="B87" s="21"/>
      <c r="C87" s="21" t="s">
        <v>284</v>
      </c>
      <c r="D87" s="21"/>
      <c r="E87" s="22">
        <v>22610.05</v>
      </c>
      <c r="F87" s="22">
        <v>9075</v>
      </c>
      <c r="G87" s="25">
        <f t="shared" si="11"/>
        <v>205186203.75</v>
      </c>
    </row>
    <row r="88" spans="2:7">
      <c r="B88" s="21"/>
      <c r="C88" s="21" t="s">
        <v>285</v>
      </c>
      <c r="D88" s="21"/>
      <c r="E88" s="22">
        <v>27804.3</v>
      </c>
      <c r="F88" s="22">
        <v>6922</v>
      </c>
      <c r="G88" s="25">
        <f t="shared" si="11"/>
        <v>192461364.59999999</v>
      </c>
    </row>
    <row r="89" spans="2:7">
      <c r="B89" s="21"/>
      <c r="C89" s="125">
        <v>0.52240740740740743</v>
      </c>
      <c r="D89" s="21"/>
      <c r="E89" s="22">
        <v>2859.7</v>
      </c>
      <c r="F89" s="22">
        <v>7387</v>
      </c>
      <c r="G89" s="25">
        <f t="shared" si="11"/>
        <v>21124603.899999999</v>
      </c>
    </row>
    <row r="90" spans="2:7">
      <c r="B90" s="21"/>
      <c r="C90" s="21" t="s">
        <v>9</v>
      </c>
      <c r="D90" s="21"/>
      <c r="E90" s="22">
        <v>0</v>
      </c>
      <c r="F90" s="22">
        <v>4255</v>
      </c>
      <c r="G90" s="25">
        <f t="shared" si="11"/>
        <v>0</v>
      </c>
    </row>
    <row r="91" spans="2:7">
      <c r="B91" s="21"/>
      <c r="C91" s="21"/>
      <c r="D91" s="20" t="s">
        <v>52</v>
      </c>
      <c r="E91" s="22">
        <v>0</v>
      </c>
      <c r="F91" s="22">
        <v>4255</v>
      </c>
      <c r="G91" s="57">
        <f>+SUM(G4:G90)</f>
        <v>7569403013.8499994</v>
      </c>
    </row>
    <row r="92" spans="2:7">
      <c r="B92" s="21"/>
      <c r="C92" s="21"/>
      <c r="D92" s="21"/>
      <c r="E92" s="21"/>
      <c r="F92" s="21"/>
      <c r="G92" s="28">
        <v>75694.030138499991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16"/>
  <sheetViews>
    <sheetView workbookViewId="0">
      <selection activeCell="G13" sqref="G13"/>
    </sheetView>
  </sheetViews>
  <sheetFormatPr defaultRowHeight="15"/>
  <cols>
    <col min="1" max="1" width="6.140625" bestFit="1" customWidth="1"/>
    <col min="2" max="2" width="15.7109375" bestFit="1" customWidth="1"/>
    <col min="3" max="3" width="14.28515625" bestFit="1" customWidth="1"/>
    <col min="4" max="5" width="11.5703125" bestFit="1" customWidth="1"/>
    <col min="6" max="7" width="13.28515625" bestFit="1" customWidth="1"/>
    <col min="8" max="8" width="5" bestFit="1" customWidth="1"/>
    <col min="9" max="9" width="9.28515625" bestFit="1" customWidth="1"/>
  </cols>
  <sheetData>
    <row r="2" spans="1:9">
      <c r="A2" s="20" t="s">
        <v>40</v>
      </c>
      <c r="B2" s="20" t="s">
        <v>269</v>
      </c>
      <c r="C2" s="20" t="s">
        <v>63</v>
      </c>
      <c r="D2" s="20" t="s">
        <v>270</v>
      </c>
      <c r="E2" s="20" t="s">
        <v>16</v>
      </c>
      <c r="F2" s="153" t="s">
        <v>263</v>
      </c>
      <c r="G2" s="153" t="s">
        <v>263</v>
      </c>
      <c r="H2" s="153" t="s">
        <v>43</v>
      </c>
      <c r="I2" s="153" t="s">
        <v>43</v>
      </c>
    </row>
    <row r="3" spans="1:9">
      <c r="A3" s="20"/>
      <c r="B3" s="20"/>
      <c r="C3" s="20"/>
      <c r="D3" s="20" t="s">
        <v>64</v>
      </c>
      <c r="E3" s="20"/>
      <c r="F3" s="134" t="s">
        <v>136</v>
      </c>
      <c r="G3" s="20" t="s">
        <v>64</v>
      </c>
      <c r="H3" s="134" t="s">
        <v>136</v>
      </c>
      <c r="I3" s="20" t="s">
        <v>64</v>
      </c>
    </row>
    <row r="4" spans="1:9">
      <c r="A4" s="21">
        <v>1</v>
      </c>
      <c r="B4" s="21" t="s">
        <v>271</v>
      </c>
      <c r="C4" s="22">
        <v>3534</v>
      </c>
      <c r="D4" s="22">
        <v>166.93</v>
      </c>
      <c r="E4" s="25">
        <f t="shared" ref="E4:E10" si="0">(+D4*100000)/C4</f>
        <v>4723.5427277872095</v>
      </c>
      <c r="F4" s="21" t="s">
        <v>42</v>
      </c>
      <c r="G4" s="25"/>
      <c r="H4" s="21"/>
      <c r="I4" s="21"/>
    </row>
    <row r="5" spans="1:9">
      <c r="A5" s="21">
        <v>2</v>
      </c>
      <c r="B5" s="21" t="s">
        <v>9</v>
      </c>
      <c r="C5" s="22">
        <v>348781</v>
      </c>
      <c r="D5" s="22">
        <v>81856.63</v>
      </c>
      <c r="E5" s="25">
        <f t="shared" si="0"/>
        <v>23469.34896109593</v>
      </c>
      <c r="F5" s="155">
        <v>5.2999999999999999E-2</v>
      </c>
      <c r="G5" s="25">
        <f>+D5*5.3/105.3</f>
        <v>4120.0393067426403</v>
      </c>
      <c r="H5" s="21"/>
      <c r="I5" s="21"/>
    </row>
    <row r="6" spans="1:9">
      <c r="A6" s="21">
        <v>3</v>
      </c>
      <c r="B6" s="21" t="s">
        <v>272</v>
      </c>
      <c r="C6" s="22">
        <v>219928</v>
      </c>
      <c r="D6" s="22">
        <v>45253.46</v>
      </c>
      <c r="E6" s="25">
        <f t="shared" si="0"/>
        <v>20576.488669018952</v>
      </c>
      <c r="F6" s="155">
        <v>0.05</v>
      </c>
      <c r="G6" s="25">
        <f>+D6*5/105</f>
        <v>2154.9266666666667</v>
      </c>
      <c r="H6" s="21"/>
      <c r="I6" s="21"/>
    </row>
    <row r="7" spans="1:9">
      <c r="A7" s="21">
        <v>4</v>
      </c>
      <c r="B7" s="21" t="s">
        <v>273</v>
      </c>
      <c r="C7" s="22">
        <v>4144</v>
      </c>
      <c r="D7" s="22">
        <v>193.51</v>
      </c>
      <c r="E7" s="25">
        <f t="shared" si="0"/>
        <v>4669.6428571428569</v>
      </c>
      <c r="F7" s="21" t="s">
        <v>42</v>
      </c>
      <c r="G7" s="25"/>
      <c r="H7" s="154"/>
      <c r="I7" s="21"/>
    </row>
    <row r="8" spans="1:9">
      <c r="A8" s="21">
        <v>5</v>
      </c>
      <c r="B8" s="21" t="s">
        <v>35</v>
      </c>
      <c r="C8" s="22">
        <v>3192</v>
      </c>
      <c r="D8" s="22">
        <v>1023.65</v>
      </c>
      <c r="E8" s="25">
        <f t="shared" si="0"/>
        <v>32069.235588972431</v>
      </c>
      <c r="F8" s="155">
        <v>5.0799999999999998E-2</v>
      </c>
      <c r="G8" s="25">
        <f>+D8*5.08/105.08</f>
        <v>49.487457175485346</v>
      </c>
      <c r="H8" s="21"/>
      <c r="I8" s="21"/>
    </row>
    <row r="9" spans="1:9">
      <c r="A9" s="21">
        <v>6</v>
      </c>
      <c r="B9" s="21" t="s">
        <v>274</v>
      </c>
      <c r="C9" s="22">
        <v>397931</v>
      </c>
      <c r="D9" s="22">
        <v>2313.79</v>
      </c>
      <c r="E9" s="25">
        <f t="shared" si="0"/>
        <v>581.45507638258891</v>
      </c>
      <c r="F9" s="21" t="s">
        <v>42</v>
      </c>
      <c r="G9" s="25"/>
      <c r="H9" s="21"/>
      <c r="I9" s="21"/>
    </row>
    <row r="10" spans="1:9">
      <c r="A10" s="21">
        <v>7</v>
      </c>
      <c r="B10" s="21" t="s">
        <v>275</v>
      </c>
      <c r="C10" s="22">
        <v>11460700</v>
      </c>
      <c r="D10" s="22">
        <v>6406.2</v>
      </c>
      <c r="E10" s="25">
        <f t="shared" si="0"/>
        <v>55.897109251616392</v>
      </c>
      <c r="F10" s="21" t="s">
        <v>42</v>
      </c>
      <c r="G10" s="25"/>
      <c r="H10" s="21"/>
      <c r="I10" s="21"/>
    </row>
    <row r="11" spans="1:9">
      <c r="A11" s="21">
        <v>8</v>
      </c>
      <c r="B11" s="21" t="s">
        <v>276</v>
      </c>
      <c r="C11" s="22">
        <v>107</v>
      </c>
      <c r="D11" s="22">
        <v>277.95999999999998</v>
      </c>
      <c r="E11" s="25">
        <f>(+D11*100000)/C11</f>
        <v>259775.70093457939</v>
      </c>
      <c r="F11" s="21"/>
      <c r="G11" s="25"/>
      <c r="H11" s="154">
        <v>0.02</v>
      </c>
      <c r="I11" s="25">
        <f>+D11*2/102</f>
        <v>5.4501960784313725</v>
      </c>
    </row>
    <row r="12" spans="1:9">
      <c r="A12" s="21">
        <v>9</v>
      </c>
      <c r="B12" s="21" t="s">
        <v>277</v>
      </c>
      <c r="C12" s="22">
        <v>1671000</v>
      </c>
      <c r="D12" s="22">
        <v>43.39</v>
      </c>
      <c r="E12" s="25">
        <f>(+D12*100000)/C12</f>
        <v>2.596648713345302</v>
      </c>
      <c r="F12" s="21"/>
      <c r="G12" s="25"/>
      <c r="H12" s="154">
        <v>0.02</v>
      </c>
      <c r="I12" s="25">
        <f>+D12*2/102</f>
        <v>0.85078431372549024</v>
      </c>
    </row>
    <row r="13" spans="1:9">
      <c r="A13" s="21">
        <v>10</v>
      </c>
      <c r="B13" s="23" t="s">
        <v>52</v>
      </c>
      <c r="C13" s="21"/>
      <c r="D13" s="57">
        <f>+SUM(D4:D12)</f>
        <v>137535.51999999999</v>
      </c>
      <c r="E13" s="21"/>
      <c r="F13" s="21"/>
      <c r="G13" s="57">
        <f>+SUM(G4:G12)</f>
        <v>6324.4534305847928</v>
      </c>
      <c r="H13" s="21"/>
      <c r="I13" s="57">
        <f>+SUM(I4:I12)</f>
        <v>6.3009803921568626</v>
      </c>
    </row>
    <row r="14" spans="1:9">
      <c r="A14" s="21"/>
      <c r="B14" s="21"/>
      <c r="C14" s="21"/>
      <c r="D14" s="21"/>
      <c r="E14" s="21"/>
      <c r="F14" s="21"/>
      <c r="G14" s="21"/>
      <c r="H14" s="21"/>
      <c r="I14" s="21"/>
    </row>
    <row r="15" spans="1:9">
      <c r="A15" s="21"/>
      <c r="B15" s="21"/>
      <c r="C15" s="21"/>
      <c r="D15" s="21"/>
      <c r="E15" s="21"/>
      <c r="F15" s="21"/>
      <c r="G15" s="21"/>
      <c r="H15" s="21"/>
      <c r="I15" s="21"/>
    </row>
    <row r="16" spans="1:9">
      <c r="A16" s="21"/>
      <c r="B16" s="21"/>
      <c r="C16" s="21"/>
      <c r="D16" s="21"/>
      <c r="E16" s="21"/>
      <c r="F16" s="21"/>
      <c r="G16" s="21"/>
      <c r="H16" s="21"/>
      <c r="I16" s="2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M6" sqref="M6"/>
    </sheetView>
  </sheetViews>
  <sheetFormatPr defaultRowHeight="15"/>
  <cols>
    <col min="1" max="1" width="3" bestFit="1" customWidth="1"/>
    <col min="2" max="2" width="14" bestFit="1" customWidth="1"/>
    <col min="3" max="3" width="15.85546875" bestFit="1" customWidth="1"/>
    <col min="4" max="4" width="14.42578125" bestFit="1" customWidth="1"/>
    <col min="5" max="5" width="7.42578125" bestFit="1" customWidth="1"/>
    <col min="6" max="6" width="5.85546875" bestFit="1" customWidth="1"/>
    <col min="7" max="7" width="4.42578125" bestFit="1" customWidth="1"/>
    <col min="8" max="8" width="8.28515625" bestFit="1" customWidth="1"/>
    <col min="9" max="9" width="9.7109375" bestFit="1" customWidth="1"/>
    <col min="10" max="10" width="9.7109375" customWidth="1"/>
    <col min="11" max="11" width="15" bestFit="1" customWidth="1"/>
    <col min="12" max="12" width="7.85546875" bestFit="1" customWidth="1"/>
    <col min="13" max="13" width="6.85546875" bestFit="1" customWidth="1"/>
  </cols>
  <sheetData>
    <row r="1" spans="1:13" ht="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 t="s">
        <v>7</v>
      </c>
      <c r="J1" s="1" t="s">
        <v>8</v>
      </c>
      <c r="K1" s="1" t="s">
        <v>38</v>
      </c>
      <c r="L1" s="1" t="s">
        <v>61</v>
      </c>
      <c r="M1" s="1" t="s">
        <v>72</v>
      </c>
    </row>
    <row r="2" spans="1:13">
      <c r="A2" s="8">
        <v>1</v>
      </c>
      <c r="B2" s="7" t="s">
        <v>9</v>
      </c>
      <c r="C2" s="5" t="s">
        <v>13</v>
      </c>
      <c r="D2" s="5" t="s">
        <v>14</v>
      </c>
      <c r="E2" s="5" t="s">
        <v>15</v>
      </c>
      <c r="F2" s="5"/>
      <c r="G2" s="5" t="s">
        <v>16</v>
      </c>
      <c r="H2" s="5" t="s">
        <v>73</v>
      </c>
      <c r="I2" s="5"/>
      <c r="J2" s="5"/>
      <c r="K2" s="8"/>
      <c r="L2" s="21"/>
      <c r="M2" s="21"/>
    </row>
    <row r="3" spans="1:13">
      <c r="A3" s="8">
        <v>2</v>
      </c>
      <c r="B3" s="7" t="s">
        <v>10</v>
      </c>
      <c r="C3" s="5"/>
      <c r="D3" s="5"/>
      <c r="E3" s="5"/>
      <c r="F3" s="5"/>
      <c r="G3" s="5" t="s">
        <v>16</v>
      </c>
      <c r="H3" s="5" t="s">
        <v>73</v>
      </c>
      <c r="I3" s="4">
        <v>17686.860459357766</v>
      </c>
      <c r="J3" s="4">
        <v>16802.891553919118</v>
      </c>
      <c r="K3" s="2" t="s">
        <v>37</v>
      </c>
      <c r="L3" s="4">
        <f>+I3-J3</f>
        <v>883.9689054386472</v>
      </c>
      <c r="M3" s="31">
        <f>+L3/J3</f>
        <v>5.2608142033296029E-2</v>
      </c>
    </row>
    <row r="4" spans="1:13">
      <c r="A4" s="8">
        <v>3</v>
      </c>
      <c r="B4" s="7" t="s">
        <v>11</v>
      </c>
      <c r="C4" s="5"/>
      <c r="D4" s="5"/>
      <c r="E4" s="5"/>
      <c r="F4" s="5"/>
      <c r="G4" s="5" t="s">
        <v>16</v>
      </c>
      <c r="H4" s="5" t="s">
        <v>73</v>
      </c>
      <c r="I4" s="4">
        <v>17795.125044948436</v>
      </c>
      <c r="J4" s="4">
        <v>16911.041157332176</v>
      </c>
      <c r="K4" s="2" t="s">
        <v>37</v>
      </c>
      <c r="L4" s="4">
        <f t="shared" ref="L4:L14" si="0">+I4-J4</f>
        <v>884.08388761625974</v>
      </c>
      <c r="M4" s="31">
        <f t="shared" ref="M4:M14" si="1">+L4/J4</f>
        <v>5.2278501328875578E-2</v>
      </c>
    </row>
    <row r="5" spans="1:13">
      <c r="A5" s="8">
        <v>4</v>
      </c>
      <c r="B5" s="3" t="s">
        <v>12</v>
      </c>
      <c r="C5" s="5"/>
      <c r="D5" s="5"/>
      <c r="E5" s="5"/>
      <c r="F5" s="5"/>
      <c r="G5" s="5" t="s">
        <v>16</v>
      </c>
      <c r="H5" s="5" t="s">
        <v>73</v>
      </c>
      <c r="I5" s="4">
        <v>17325.964976958527</v>
      </c>
      <c r="J5" s="4">
        <v>16453.442396313363</v>
      </c>
      <c r="K5" s="2" t="s">
        <v>37</v>
      </c>
      <c r="L5" s="4">
        <f t="shared" si="0"/>
        <v>872.52258064516354</v>
      </c>
      <c r="M5" s="31">
        <f t="shared" si="1"/>
        <v>5.3029789124290801E-2</v>
      </c>
    </row>
    <row r="6" spans="1:13">
      <c r="A6" s="8">
        <v>5</v>
      </c>
      <c r="B6" s="3" t="s">
        <v>35</v>
      </c>
      <c r="C6" s="5" t="s">
        <v>36</v>
      </c>
      <c r="D6" s="5"/>
      <c r="E6" s="5"/>
      <c r="F6" s="5"/>
      <c r="G6" s="5" t="s">
        <v>16</v>
      </c>
      <c r="H6" s="5" t="s">
        <v>73</v>
      </c>
      <c r="I6" s="4">
        <f>+Imported!C21</f>
        <v>28126.87534090909</v>
      </c>
      <c r="J6" s="4">
        <f>+Imported!C23</f>
        <v>26766.855643939394</v>
      </c>
      <c r="K6" s="2" t="s">
        <v>37</v>
      </c>
      <c r="L6" s="4">
        <f t="shared" si="0"/>
        <v>1360.0196969696954</v>
      </c>
      <c r="M6" s="31">
        <f t="shared" si="1"/>
        <v>5.0809841658694559E-2</v>
      </c>
    </row>
    <row r="7" spans="1:13" ht="25.5">
      <c r="A7" s="8">
        <v>6</v>
      </c>
      <c r="B7" s="10" t="s">
        <v>17</v>
      </c>
      <c r="C7" s="10"/>
      <c r="D7" s="6" t="s">
        <v>18</v>
      </c>
      <c r="E7" s="10" t="s">
        <v>17</v>
      </c>
      <c r="F7" s="10"/>
      <c r="G7" s="10" t="s">
        <v>16</v>
      </c>
      <c r="H7" s="6" t="s">
        <v>74</v>
      </c>
      <c r="I7" s="11">
        <v>37702.041728792676</v>
      </c>
      <c r="J7" s="11">
        <v>36201.565516715084</v>
      </c>
      <c r="K7" s="2" t="s">
        <v>37</v>
      </c>
      <c r="L7" s="4">
        <f t="shared" si="0"/>
        <v>1500.4762120775922</v>
      </c>
      <c r="M7" s="31">
        <f t="shared" si="1"/>
        <v>4.1447826652269731E-2</v>
      </c>
    </row>
    <row r="8" spans="1:13">
      <c r="A8" s="8">
        <v>7</v>
      </c>
      <c r="B8" s="12" t="s">
        <v>19</v>
      </c>
      <c r="C8" s="12"/>
      <c r="D8" s="12" t="s">
        <v>20</v>
      </c>
      <c r="E8" s="12" t="s">
        <v>21</v>
      </c>
      <c r="F8" s="12"/>
      <c r="G8" s="12"/>
      <c r="H8" s="12"/>
      <c r="I8" s="12"/>
      <c r="J8" s="12"/>
      <c r="K8" s="9"/>
      <c r="L8" s="4">
        <f t="shared" si="0"/>
        <v>0</v>
      </c>
      <c r="M8" s="31" t="e">
        <f t="shared" si="1"/>
        <v>#DIV/0!</v>
      </c>
    </row>
    <row r="9" spans="1:13" ht="25.5">
      <c r="A9" s="6">
        <v>8</v>
      </c>
      <c r="B9" s="6" t="s">
        <v>22</v>
      </c>
      <c r="C9" s="6" t="s">
        <v>23</v>
      </c>
      <c r="D9" s="13"/>
      <c r="E9" s="13"/>
      <c r="F9" s="13"/>
      <c r="G9" s="13"/>
      <c r="H9" s="13"/>
      <c r="I9" s="13"/>
      <c r="J9" s="13"/>
      <c r="K9" s="9"/>
      <c r="L9" s="4">
        <f t="shared" si="0"/>
        <v>0</v>
      </c>
      <c r="M9" s="31" t="e">
        <f t="shared" si="1"/>
        <v>#DIV/0!</v>
      </c>
    </row>
    <row r="10" spans="1:13">
      <c r="A10" s="8">
        <v>9</v>
      </c>
      <c r="B10" s="14" t="s">
        <v>24</v>
      </c>
      <c r="C10" s="14"/>
      <c r="D10" s="14" t="s">
        <v>25</v>
      </c>
      <c r="E10" s="14" t="s">
        <v>26</v>
      </c>
      <c r="F10" s="14" t="s">
        <v>27</v>
      </c>
      <c r="G10" s="14" t="s">
        <v>16</v>
      </c>
      <c r="H10" s="6" t="s">
        <v>73</v>
      </c>
      <c r="I10" s="15">
        <v>18385.820202531646</v>
      </c>
      <c r="J10" s="15">
        <v>17488.357873417721</v>
      </c>
      <c r="K10" s="2" t="s">
        <v>37</v>
      </c>
      <c r="L10" s="4">
        <f t="shared" si="0"/>
        <v>897.46232911392508</v>
      </c>
      <c r="M10" s="31">
        <f t="shared" si="1"/>
        <v>5.1317701502327243E-2</v>
      </c>
    </row>
    <row r="11" spans="1:13" ht="25.5">
      <c r="A11" s="8">
        <v>10</v>
      </c>
      <c r="B11" s="14" t="s">
        <v>28</v>
      </c>
      <c r="C11" s="14" t="s">
        <v>29</v>
      </c>
      <c r="D11" s="14"/>
      <c r="E11" s="14"/>
      <c r="F11" s="14" t="s">
        <v>30</v>
      </c>
      <c r="G11" s="14" t="s">
        <v>16</v>
      </c>
      <c r="H11" s="6" t="s">
        <v>74</v>
      </c>
      <c r="I11" s="15">
        <v>25494.042325012666</v>
      </c>
      <c r="J11" s="15">
        <v>24529.011446911667</v>
      </c>
      <c r="K11" s="2" t="s">
        <v>37</v>
      </c>
      <c r="L11" s="4">
        <f t="shared" si="0"/>
        <v>965.03087810099896</v>
      </c>
      <c r="M11" s="31">
        <f t="shared" si="1"/>
        <v>3.9342428462297512E-2</v>
      </c>
    </row>
    <row r="12" spans="1:13" ht="25.5">
      <c r="A12" s="8">
        <v>11</v>
      </c>
      <c r="B12" s="14" t="s">
        <v>31</v>
      </c>
      <c r="C12" s="14"/>
      <c r="D12" s="14"/>
      <c r="E12" s="14"/>
      <c r="F12" s="14"/>
      <c r="G12" s="14" t="s">
        <v>16</v>
      </c>
      <c r="H12" s="6" t="s">
        <v>74</v>
      </c>
      <c r="I12" s="16">
        <v>40206.875391233865</v>
      </c>
      <c r="J12" s="16">
        <v>35797.690046418109</v>
      </c>
      <c r="K12" s="2" t="s">
        <v>37</v>
      </c>
      <c r="L12" s="4">
        <f t="shared" si="0"/>
        <v>4409.1853448157563</v>
      </c>
      <c r="M12" s="31">
        <f t="shared" si="1"/>
        <v>0.12316954918315844</v>
      </c>
    </row>
    <row r="13" spans="1:13">
      <c r="A13" s="8">
        <v>12</v>
      </c>
      <c r="B13" s="17" t="s">
        <v>32</v>
      </c>
      <c r="C13" s="17"/>
      <c r="D13" s="17" t="s">
        <v>32</v>
      </c>
      <c r="E13" s="17" t="s">
        <v>33</v>
      </c>
      <c r="F13" s="17" t="s">
        <v>30</v>
      </c>
      <c r="G13" s="14" t="s">
        <v>16</v>
      </c>
      <c r="H13" s="14" t="s">
        <v>75</v>
      </c>
      <c r="I13" s="17">
        <f>+local!E16</f>
        <v>4840.54</v>
      </c>
      <c r="J13" s="26">
        <f>+local!E17</f>
        <v>4468</v>
      </c>
      <c r="K13" s="2" t="s">
        <v>37</v>
      </c>
      <c r="L13" s="4">
        <f t="shared" si="0"/>
        <v>372.53999999999996</v>
      </c>
      <c r="M13" s="31">
        <f t="shared" si="1"/>
        <v>8.3379588182632039E-2</v>
      </c>
    </row>
    <row r="14" spans="1:13">
      <c r="A14" s="8">
        <v>13</v>
      </c>
      <c r="B14" s="18" t="s">
        <v>34</v>
      </c>
      <c r="C14" s="8"/>
      <c r="D14" s="8"/>
      <c r="E14" s="8"/>
      <c r="F14" s="8"/>
      <c r="G14" s="14" t="s">
        <v>16</v>
      </c>
      <c r="H14" s="14" t="s">
        <v>75</v>
      </c>
      <c r="I14" s="24">
        <f>+local!C13</f>
        <v>635.60900000000004</v>
      </c>
      <c r="J14" s="24">
        <f>+local!C17</f>
        <v>622</v>
      </c>
      <c r="K14" s="2" t="s">
        <v>37</v>
      </c>
      <c r="L14" s="4">
        <f t="shared" si="0"/>
        <v>13.609000000000037</v>
      </c>
      <c r="M14" s="31">
        <f t="shared" si="1"/>
        <v>2.1879421221865012E-2</v>
      </c>
    </row>
    <row r="15" spans="1:13">
      <c r="A15" s="8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21"/>
      <c r="M15" s="21"/>
    </row>
    <row r="16" spans="1:13">
      <c r="A16" s="8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21"/>
      <c r="M16" s="21"/>
    </row>
    <row r="17" spans="1:13">
      <c r="A17" s="8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21"/>
      <c r="M17" s="21"/>
    </row>
  </sheetData>
  <printOptions horizontalCentered="1" verticalCentered="1"/>
  <pageMargins left="0.11811023622047245" right="0.11811023622047245" top="0.11811023622047245" bottom="0.11811023622047245" header="0.11811023622047245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C22" sqref="C22"/>
    </sheetView>
  </sheetViews>
  <sheetFormatPr defaultRowHeight="15"/>
  <cols>
    <col min="1" max="1" width="7.7109375" bestFit="1" customWidth="1"/>
    <col min="2" max="2" width="17" bestFit="1" customWidth="1"/>
    <col min="3" max="3" width="48.140625" bestFit="1" customWidth="1"/>
    <col min="4" max="4" width="11.28515625" bestFit="1" customWidth="1"/>
    <col min="5" max="5" width="13.140625" bestFit="1" customWidth="1"/>
    <col min="6" max="6" width="16" bestFit="1" customWidth="1"/>
    <col min="7" max="7" width="16" customWidth="1"/>
    <col min="8" max="8" width="14.28515625" bestFit="1" customWidth="1"/>
    <col min="9" max="9" width="16" customWidth="1"/>
    <col min="10" max="10" width="10.28515625" bestFit="1" customWidth="1"/>
    <col min="11" max="11" width="10.140625" bestFit="1" customWidth="1"/>
    <col min="13" max="13" width="11.7109375" bestFit="1" customWidth="1"/>
    <col min="261" max="261" width="20.85546875" customWidth="1"/>
    <col min="262" max="262" width="53.7109375" customWidth="1"/>
    <col min="263" max="263" width="15.5703125" customWidth="1"/>
    <col min="264" max="264" width="13.85546875" customWidth="1"/>
    <col min="265" max="265" width="21.28515625" customWidth="1"/>
    <col min="517" max="517" width="20.85546875" customWidth="1"/>
    <col min="518" max="518" width="53.7109375" customWidth="1"/>
    <col min="519" max="519" width="15.5703125" customWidth="1"/>
    <col min="520" max="520" width="13.85546875" customWidth="1"/>
    <col min="521" max="521" width="21.28515625" customWidth="1"/>
    <col min="773" max="773" width="20.85546875" customWidth="1"/>
    <col min="774" max="774" width="53.7109375" customWidth="1"/>
    <col min="775" max="775" width="15.5703125" customWidth="1"/>
    <col min="776" max="776" width="13.85546875" customWidth="1"/>
    <col min="777" max="777" width="21.28515625" customWidth="1"/>
    <col min="1029" max="1029" width="20.85546875" customWidth="1"/>
    <col min="1030" max="1030" width="53.7109375" customWidth="1"/>
    <col min="1031" max="1031" width="15.5703125" customWidth="1"/>
    <col min="1032" max="1032" width="13.85546875" customWidth="1"/>
    <col min="1033" max="1033" width="21.28515625" customWidth="1"/>
    <col min="1285" max="1285" width="20.85546875" customWidth="1"/>
    <col min="1286" max="1286" width="53.7109375" customWidth="1"/>
    <col min="1287" max="1287" width="15.5703125" customWidth="1"/>
    <col min="1288" max="1288" width="13.85546875" customWidth="1"/>
    <col min="1289" max="1289" width="21.28515625" customWidth="1"/>
    <col min="1541" max="1541" width="20.85546875" customWidth="1"/>
    <col min="1542" max="1542" width="53.7109375" customWidth="1"/>
    <col min="1543" max="1543" width="15.5703125" customWidth="1"/>
    <col min="1544" max="1544" width="13.85546875" customWidth="1"/>
    <col min="1545" max="1545" width="21.28515625" customWidth="1"/>
    <col min="1797" max="1797" width="20.85546875" customWidth="1"/>
    <col min="1798" max="1798" width="53.7109375" customWidth="1"/>
    <col min="1799" max="1799" width="15.5703125" customWidth="1"/>
    <col min="1800" max="1800" width="13.85546875" customWidth="1"/>
    <col min="1801" max="1801" width="21.28515625" customWidth="1"/>
    <col min="2053" max="2053" width="20.85546875" customWidth="1"/>
    <col min="2054" max="2054" width="53.7109375" customWidth="1"/>
    <col min="2055" max="2055" width="15.5703125" customWidth="1"/>
    <col min="2056" max="2056" width="13.85546875" customWidth="1"/>
    <col min="2057" max="2057" width="21.28515625" customWidth="1"/>
    <col min="2309" max="2309" width="20.85546875" customWidth="1"/>
    <col min="2310" max="2310" width="53.7109375" customWidth="1"/>
    <col min="2311" max="2311" width="15.5703125" customWidth="1"/>
    <col min="2312" max="2312" width="13.85546875" customWidth="1"/>
    <col min="2313" max="2313" width="21.28515625" customWidth="1"/>
    <col min="2565" max="2565" width="20.85546875" customWidth="1"/>
    <col min="2566" max="2566" width="53.7109375" customWidth="1"/>
    <col min="2567" max="2567" width="15.5703125" customWidth="1"/>
    <col min="2568" max="2568" width="13.85546875" customWidth="1"/>
    <col min="2569" max="2569" width="21.28515625" customWidth="1"/>
    <col min="2821" max="2821" width="20.85546875" customWidth="1"/>
    <col min="2822" max="2822" width="53.7109375" customWidth="1"/>
    <col min="2823" max="2823" width="15.5703125" customWidth="1"/>
    <col min="2824" max="2824" width="13.85546875" customWidth="1"/>
    <col min="2825" max="2825" width="21.28515625" customWidth="1"/>
    <col min="3077" max="3077" width="20.85546875" customWidth="1"/>
    <col min="3078" max="3078" width="53.7109375" customWidth="1"/>
    <col min="3079" max="3079" width="15.5703125" customWidth="1"/>
    <col min="3080" max="3080" width="13.85546875" customWidth="1"/>
    <col min="3081" max="3081" width="21.28515625" customWidth="1"/>
    <col min="3333" max="3333" width="20.85546875" customWidth="1"/>
    <col min="3334" max="3334" width="53.7109375" customWidth="1"/>
    <col min="3335" max="3335" width="15.5703125" customWidth="1"/>
    <col min="3336" max="3336" width="13.85546875" customWidth="1"/>
    <col min="3337" max="3337" width="21.28515625" customWidth="1"/>
    <col min="3589" max="3589" width="20.85546875" customWidth="1"/>
    <col min="3590" max="3590" width="53.7109375" customWidth="1"/>
    <col min="3591" max="3591" width="15.5703125" customWidth="1"/>
    <col min="3592" max="3592" width="13.85546875" customWidth="1"/>
    <col min="3593" max="3593" width="21.28515625" customWidth="1"/>
    <col min="3845" max="3845" width="20.85546875" customWidth="1"/>
    <col min="3846" max="3846" width="53.7109375" customWidth="1"/>
    <col min="3847" max="3847" width="15.5703125" customWidth="1"/>
    <col min="3848" max="3848" width="13.85546875" customWidth="1"/>
    <col min="3849" max="3849" width="21.28515625" customWidth="1"/>
    <col min="4101" max="4101" width="20.85546875" customWidth="1"/>
    <col min="4102" max="4102" width="53.7109375" customWidth="1"/>
    <col min="4103" max="4103" width="15.5703125" customWidth="1"/>
    <col min="4104" max="4104" width="13.85546875" customWidth="1"/>
    <col min="4105" max="4105" width="21.28515625" customWidth="1"/>
    <col min="4357" max="4357" width="20.85546875" customWidth="1"/>
    <col min="4358" max="4358" width="53.7109375" customWidth="1"/>
    <col min="4359" max="4359" width="15.5703125" customWidth="1"/>
    <col min="4360" max="4360" width="13.85546875" customWidth="1"/>
    <col min="4361" max="4361" width="21.28515625" customWidth="1"/>
    <col min="4613" max="4613" width="20.85546875" customWidth="1"/>
    <col min="4614" max="4614" width="53.7109375" customWidth="1"/>
    <col min="4615" max="4615" width="15.5703125" customWidth="1"/>
    <col min="4616" max="4616" width="13.85546875" customWidth="1"/>
    <col min="4617" max="4617" width="21.28515625" customWidth="1"/>
    <col min="4869" max="4869" width="20.85546875" customWidth="1"/>
    <col min="4870" max="4870" width="53.7109375" customWidth="1"/>
    <col min="4871" max="4871" width="15.5703125" customWidth="1"/>
    <col min="4872" max="4872" width="13.85546875" customWidth="1"/>
    <col min="4873" max="4873" width="21.28515625" customWidth="1"/>
    <col min="5125" max="5125" width="20.85546875" customWidth="1"/>
    <col min="5126" max="5126" width="53.7109375" customWidth="1"/>
    <col min="5127" max="5127" width="15.5703125" customWidth="1"/>
    <col min="5128" max="5128" width="13.85546875" customWidth="1"/>
    <col min="5129" max="5129" width="21.28515625" customWidth="1"/>
    <col min="5381" max="5381" width="20.85546875" customWidth="1"/>
    <col min="5382" max="5382" width="53.7109375" customWidth="1"/>
    <col min="5383" max="5383" width="15.5703125" customWidth="1"/>
    <col min="5384" max="5384" width="13.85546875" customWidth="1"/>
    <col min="5385" max="5385" width="21.28515625" customWidth="1"/>
    <col min="5637" max="5637" width="20.85546875" customWidth="1"/>
    <col min="5638" max="5638" width="53.7109375" customWidth="1"/>
    <col min="5639" max="5639" width="15.5703125" customWidth="1"/>
    <col min="5640" max="5640" width="13.85546875" customWidth="1"/>
    <col min="5641" max="5641" width="21.28515625" customWidth="1"/>
    <col min="5893" max="5893" width="20.85546875" customWidth="1"/>
    <col min="5894" max="5894" width="53.7109375" customWidth="1"/>
    <col min="5895" max="5895" width="15.5703125" customWidth="1"/>
    <col min="5896" max="5896" width="13.85546875" customWidth="1"/>
    <col min="5897" max="5897" width="21.28515625" customWidth="1"/>
    <col min="6149" max="6149" width="20.85546875" customWidth="1"/>
    <col min="6150" max="6150" width="53.7109375" customWidth="1"/>
    <col min="6151" max="6151" width="15.5703125" customWidth="1"/>
    <col min="6152" max="6152" width="13.85546875" customWidth="1"/>
    <col min="6153" max="6153" width="21.28515625" customWidth="1"/>
    <col min="6405" max="6405" width="20.85546875" customWidth="1"/>
    <col min="6406" max="6406" width="53.7109375" customWidth="1"/>
    <col min="6407" max="6407" width="15.5703125" customWidth="1"/>
    <col min="6408" max="6408" width="13.85546875" customWidth="1"/>
    <col min="6409" max="6409" width="21.28515625" customWidth="1"/>
    <col min="6661" max="6661" width="20.85546875" customWidth="1"/>
    <col min="6662" max="6662" width="53.7109375" customWidth="1"/>
    <col min="6663" max="6663" width="15.5703125" customWidth="1"/>
    <col min="6664" max="6664" width="13.85546875" customWidth="1"/>
    <col min="6665" max="6665" width="21.28515625" customWidth="1"/>
    <col min="6917" max="6917" width="20.85546875" customWidth="1"/>
    <col min="6918" max="6918" width="53.7109375" customWidth="1"/>
    <col min="6919" max="6919" width="15.5703125" customWidth="1"/>
    <col min="6920" max="6920" width="13.85546875" customWidth="1"/>
    <col min="6921" max="6921" width="21.28515625" customWidth="1"/>
    <col min="7173" max="7173" width="20.85546875" customWidth="1"/>
    <col min="7174" max="7174" width="53.7109375" customWidth="1"/>
    <col min="7175" max="7175" width="15.5703125" customWidth="1"/>
    <col min="7176" max="7176" width="13.85546875" customWidth="1"/>
    <col min="7177" max="7177" width="21.28515625" customWidth="1"/>
    <col min="7429" max="7429" width="20.85546875" customWidth="1"/>
    <col min="7430" max="7430" width="53.7109375" customWidth="1"/>
    <col min="7431" max="7431" width="15.5703125" customWidth="1"/>
    <col min="7432" max="7432" width="13.85546875" customWidth="1"/>
    <col min="7433" max="7433" width="21.28515625" customWidth="1"/>
    <col min="7685" max="7685" width="20.85546875" customWidth="1"/>
    <col min="7686" max="7686" width="53.7109375" customWidth="1"/>
    <col min="7687" max="7687" width="15.5703125" customWidth="1"/>
    <col min="7688" max="7688" width="13.85546875" customWidth="1"/>
    <col min="7689" max="7689" width="21.28515625" customWidth="1"/>
    <col min="7941" max="7941" width="20.85546875" customWidth="1"/>
    <col min="7942" max="7942" width="53.7109375" customWidth="1"/>
    <col min="7943" max="7943" width="15.5703125" customWidth="1"/>
    <col min="7944" max="7944" width="13.85546875" customWidth="1"/>
    <col min="7945" max="7945" width="21.28515625" customWidth="1"/>
    <col min="8197" max="8197" width="20.85546875" customWidth="1"/>
    <col min="8198" max="8198" width="53.7109375" customWidth="1"/>
    <col min="8199" max="8199" width="15.5703125" customWidth="1"/>
    <col min="8200" max="8200" width="13.85546875" customWidth="1"/>
    <col min="8201" max="8201" width="21.28515625" customWidth="1"/>
    <col min="8453" max="8453" width="20.85546875" customWidth="1"/>
    <col min="8454" max="8454" width="53.7109375" customWidth="1"/>
    <col min="8455" max="8455" width="15.5703125" customWidth="1"/>
    <col min="8456" max="8456" width="13.85546875" customWidth="1"/>
    <col min="8457" max="8457" width="21.28515625" customWidth="1"/>
    <col min="8709" max="8709" width="20.85546875" customWidth="1"/>
    <col min="8710" max="8710" width="53.7109375" customWidth="1"/>
    <col min="8711" max="8711" width="15.5703125" customWidth="1"/>
    <col min="8712" max="8712" width="13.85546875" customWidth="1"/>
    <col min="8713" max="8713" width="21.28515625" customWidth="1"/>
    <col min="8965" max="8965" width="20.85546875" customWidth="1"/>
    <col min="8966" max="8966" width="53.7109375" customWidth="1"/>
    <col min="8967" max="8967" width="15.5703125" customWidth="1"/>
    <col min="8968" max="8968" width="13.85546875" customWidth="1"/>
    <col min="8969" max="8969" width="21.28515625" customWidth="1"/>
    <col min="9221" max="9221" width="20.85546875" customWidth="1"/>
    <col min="9222" max="9222" width="53.7109375" customWidth="1"/>
    <col min="9223" max="9223" width="15.5703125" customWidth="1"/>
    <col min="9224" max="9224" width="13.85546875" customWidth="1"/>
    <col min="9225" max="9225" width="21.28515625" customWidth="1"/>
    <col min="9477" max="9477" width="20.85546875" customWidth="1"/>
    <col min="9478" max="9478" width="53.7109375" customWidth="1"/>
    <col min="9479" max="9479" width="15.5703125" customWidth="1"/>
    <col min="9480" max="9480" width="13.85546875" customWidth="1"/>
    <col min="9481" max="9481" width="21.28515625" customWidth="1"/>
    <col min="9733" max="9733" width="20.85546875" customWidth="1"/>
    <col min="9734" max="9734" width="53.7109375" customWidth="1"/>
    <col min="9735" max="9735" width="15.5703125" customWidth="1"/>
    <col min="9736" max="9736" width="13.85546875" customWidth="1"/>
    <col min="9737" max="9737" width="21.28515625" customWidth="1"/>
    <col min="9989" max="9989" width="20.85546875" customWidth="1"/>
    <col min="9990" max="9990" width="53.7109375" customWidth="1"/>
    <col min="9991" max="9991" width="15.5703125" customWidth="1"/>
    <col min="9992" max="9992" width="13.85546875" customWidth="1"/>
    <col min="9993" max="9993" width="21.28515625" customWidth="1"/>
    <col min="10245" max="10245" width="20.85546875" customWidth="1"/>
    <col min="10246" max="10246" width="53.7109375" customWidth="1"/>
    <col min="10247" max="10247" width="15.5703125" customWidth="1"/>
    <col min="10248" max="10248" width="13.85546875" customWidth="1"/>
    <col min="10249" max="10249" width="21.28515625" customWidth="1"/>
    <col min="10501" max="10501" width="20.85546875" customWidth="1"/>
    <col min="10502" max="10502" width="53.7109375" customWidth="1"/>
    <col min="10503" max="10503" width="15.5703125" customWidth="1"/>
    <col min="10504" max="10504" width="13.85546875" customWidth="1"/>
    <col min="10505" max="10505" width="21.28515625" customWidth="1"/>
    <col min="10757" max="10757" width="20.85546875" customWidth="1"/>
    <col min="10758" max="10758" width="53.7109375" customWidth="1"/>
    <col min="10759" max="10759" width="15.5703125" customWidth="1"/>
    <col min="10760" max="10760" width="13.85546875" customWidth="1"/>
    <col min="10761" max="10761" width="21.28515625" customWidth="1"/>
    <col min="11013" max="11013" width="20.85546875" customWidth="1"/>
    <col min="11014" max="11014" width="53.7109375" customWidth="1"/>
    <col min="11015" max="11015" width="15.5703125" customWidth="1"/>
    <col min="11016" max="11016" width="13.85546875" customWidth="1"/>
    <col min="11017" max="11017" width="21.28515625" customWidth="1"/>
    <col min="11269" max="11269" width="20.85546875" customWidth="1"/>
    <col min="11270" max="11270" width="53.7109375" customWidth="1"/>
    <col min="11271" max="11271" width="15.5703125" customWidth="1"/>
    <col min="11272" max="11272" width="13.85546875" customWidth="1"/>
    <col min="11273" max="11273" width="21.28515625" customWidth="1"/>
    <col min="11525" max="11525" width="20.85546875" customWidth="1"/>
    <col min="11526" max="11526" width="53.7109375" customWidth="1"/>
    <col min="11527" max="11527" width="15.5703125" customWidth="1"/>
    <col min="11528" max="11528" width="13.85546875" customWidth="1"/>
    <col min="11529" max="11529" width="21.28515625" customWidth="1"/>
    <col min="11781" max="11781" width="20.85546875" customWidth="1"/>
    <col min="11782" max="11782" width="53.7109375" customWidth="1"/>
    <col min="11783" max="11783" width="15.5703125" customWidth="1"/>
    <col min="11784" max="11784" width="13.85546875" customWidth="1"/>
    <col min="11785" max="11785" width="21.28515625" customWidth="1"/>
    <col min="12037" max="12037" width="20.85546875" customWidth="1"/>
    <col min="12038" max="12038" width="53.7109375" customWidth="1"/>
    <col min="12039" max="12039" width="15.5703125" customWidth="1"/>
    <col min="12040" max="12040" width="13.85546875" customWidth="1"/>
    <col min="12041" max="12041" width="21.28515625" customWidth="1"/>
    <col min="12293" max="12293" width="20.85546875" customWidth="1"/>
    <col min="12294" max="12294" width="53.7109375" customWidth="1"/>
    <col min="12295" max="12295" width="15.5703125" customWidth="1"/>
    <col min="12296" max="12296" width="13.85546875" customWidth="1"/>
    <col min="12297" max="12297" width="21.28515625" customWidth="1"/>
    <col min="12549" max="12549" width="20.85546875" customWidth="1"/>
    <col min="12550" max="12550" width="53.7109375" customWidth="1"/>
    <col min="12551" max="12551" width="15.5703125" customWidth="1"/>
    <col min="12552" max="12552" width="13.85546875" customWidth="1"/>
    <col min="12553" max="12553" width="21.28515625" customWidth="1"/>
    <col min="12805" max="12805" width="20.85546875" customWidth="1"/>
    <col min="12806" max="12806" width="53.7109375" customWidth="1"/>
    <col min="12807" max="12807" width="15.5703125" customWidth="1"/>
    <col min="12808" max="12808" width="13.85546875" customWidth="1"/>
    <col min="12809" max="12809" width="21.28515625" customWidth="1"/>
    <col min="13061" max="13061" width="20.85546875" customWidth="1"/>
    <col min="13062" max="13062" width="53.7109375" customWidth="1"/>
    <col min="13063" max="13063" width="15.5703125" customWidth="1"/>
    <col min="13064" max="13064" width="13.85546875" customWidth="1"/>
    <col min="13065" max="13065" width="21.28515625" customWidth="1"/>
    <col min="13317" max="13317" width="20.85546875" customWidth="1"/>
    <col min="13318" max="13318" width="53.7109375" customWidth="1"/>
    <col min="13319" max="13319" width="15.5703125" customWidth="1"/>
    <col min="13320" max="13320" width="13.85546875" customWidth="1"/>
    <col min="13321" max="13321" width="21.28515625" customWidth="1"/>
    <col min="13573" max="13573" width="20.85546875" customWidth="1"/>
    <col min="13574" max="13574" width="53.7109375" customWidth="1"/>
    <col min="13575" max="13575" width="15.5703125" customWidth="1"/>
    <col min="13576" max="13576" width="13.85546875" customWidth="1"/>
    <col min="13577" max="13577" width="21.28515625" customWidth="1"/>
    <col min="13829" max="13829" width="20.85546875" customWidth="1"/>
    <col min="13830" max="13830" width="53.7109375" customWidth="1"/>
    <col min="13831" max="13831" width="15.5703125" customWidth="1"/>
    <col min="13832" max="13832" width="13.85546875" customWidth="1"/>
    <col min="13833" max="13833" width="21.28515625" customWidth="1"/>
    <col min="14085" max="14085" width="20.85546875" customWidth="1"/>
    <col min="14086" max="14086" width="53.7109375" customWidth="1"/>
    <col min="14087" max="14087" width="15.5703125" customWidth="1"/>
    <col min="14088" max="14088" width="13.85546875" customWidth="1"/>
    <col min="14089" max="14089" width="21.28515625" customWidth="1"/>
    <col min="14341" max="14341" width="20.85546875" customWidth="1"/>
    <col min="14342" max="14342" width="53.7109375" customWidth="1"/>
    <col min="14343" max="14343" width="15.5703125" customWidth="1"/>
    <col min="14344" max="14344" width="13.85546875" customWidth="1"/>
    <col min="14345" max="14345" width="21.28515625" customWidth="1"/>
    <col min="14597" max="14597" width="20.85546875" customWidth="1"/>
    <col min="14598" max="14598" width="53.7109375" customWidth="1"/>
    <col min="14599" max="14599" width="15.5703125" customWidth="1"/>
    <col min="14600" max="14600" width="13.85546875" customWidth="1"/>
    <col min="14601" max="14601" width="21.28515625" customWidth="1"/>
    <col min="14853" max="14853" width="20.85546875" customWidth="1"/>
    <col min="14854" max="14854" width="53.7109375" customWidth="1"/>
    <col min="14855" max="14855" width="15.5703125" customWidth="1"/>
    <col min="14856" max="14856" width="13.85546875" customWidth="1"/>
    <col min="14857" max="14857" width="21.28515625" customWidth="1"/>
    <col min="15109" max="15109" width="20.85546875" customWidth="1"/>
    <col min="15110" max="15110" width="53.7109375" customWidth="1"/>
    <col min="15111" max="15111" width="15.5703125" customWidth="1"/>
    <col min="15112" max="15112" width="13.85546875" customWidth="1"/>
    <col min="15113" max="15113" width="21.28515625" customWidth="1"/>
    <col min="15365" max="15365" width="20.85546875" customWidth="1"/>
    <col min="15366" max="15366" width="53.7109375" customWidth="1"/>
    <col min="15367" max="15367" width="15.5703125" customWidth="1"/>
    <col min="15368" max="15368" width="13.85546875" customWidth="1"/>
    <col min="15369" max="15369" width="21.28515625" customWidth="1"/>
    <col min="15621" max="15621" width="20.85546875" customWidth="1"/>
    <col min="15622" max="15622" width="53.7109375" customWidth="1"/>
    <col min="15623" max="15623" width="15.5703125" customWidth="1"/>
    <col min="15624" max="15624" width="13.85546875" customWidth="1"/>
    <col min="15625" max="15625" width="21.28515625" customWidth="1"/>
    <col min="15877" max="15877" width="20.85546875" customWidth="1"/>
    <col min="15878" max="15878" width="53.7109375" customWidth="1"/>
    <col min="15879" max="15879" width="15.5703125" customWidth="1"/>
    <col min="15880" max="15880" width="13.85546875" customWidth="1"/>
    <col min="15881" max="15881" width="21.28515625" customWidth="1"/>
    <col min="16133" max="16133" width="20.85546875" customWidth="1"/>
    <col min="16134" max="16134" width="53.7109375" customWidth="1"/>
    <col min="16135" max="16135" width="15.5703125" customWidth="1"/>
    <col min="16136" max="16136" width="13.85546875" customWidth="1"/>
    <col min="16137" max="16137" width="21.28515625" customWidth="1"/>
  </cols>
  <sheetData>
    <row r="2" spans="1:13" ht="15.75">
      <c r="A2" s="41"/>
      <c r="B2" s="23"/>
      <c r="C2" s="23" t="s">
        <v>135</v>
      </c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>
      <c r="A3" s="41"/>
      <c r="B3" s="23"/>
      <c r="C3" s="23" t="s">
        <v>134</v>
      </c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5.75">
      <c r="A4" s="41"/>
      <c r="B4" s="41"/>
      <c r="C4" s="41" t="s">
        <v>82</v>
      </c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5.75">
      <c r="A5" s="41" t="s">
        <v>122</v>
      </c>
      <c r="B5" s="42" t="s">
        <v>123</v>
      </c>
      <c r="C5" s="41" t="s">
        <v>124</v>
      </c>
      <c r="D5" s="41" t="s">
        <v>125</v>
      </c>
      <c r="E5" s="41" t="s">
        <v>126</v>
      </c>
      <c r="F5" s="41" t="s">
        <v>127</v>
      </c>
      <c r="G5" s="41" t="s">
        <v>127</v>
      </c>
      <c r="H5" s="41" t="s">
        <v>127</v>
      </c>
      <c r="I5" s="41" t="s">
        <v>127</v>
      </c>
      <c r="J5" s="41" t="s">
        <v>136</v>
      </c>
      <c r="K5" s="41" t="s">
        <v>232</v>
      </c>
      <c r="L5" s="41" t="s">
        <v>43</v>
      </c>
      <c r="M5" s="41" t="s">
        <v>136</v>
      </c>
    </row>
    <row r="6" spans="1:13" ht="15.75">
      <c r="A6" s="43"/>
      <c r="B6" s="43"/>
      <c r="C6" s="43"/>
      <c r="D6" s="43"/>
      <c r="E6" s="43"/>
      <c r="F6" s="43" t="s">
        <v>233</v>
      </c>
      <c r="G6" s="43" t="s">
        <v>234</v>
      </c>
      <c r="H6" s="43" t="s">
        <v>232</v>
      </c>
      <c r="I6" s="43" t="s">
        <v>43</v>
      </c>
      <c r="J6" s="43"/>
      <c r="K6" s="107">
        <v>8.2400000000000001E-2</v>
      </c>
      <c r="L6" s="107">
        <v>0.02</v>
      </c>
      <c r="M6" s="43" t="s">
        <v>234</v>
      </c>
    </row>
    <row r="7" spans="1:13" ht="15.75">
      <c r="A7" s="46">
        <v>1</v>
      </c>
      <c r="B7" s="46">
        <v>215034</v>
      </c>
      <c r="C7" s="45" t="s">
        <v>121</v>
      </c>
      <c r="D7" s="48">
        <v>525</v>
      </c>
      <c r="E7" s="48">
        <v>416007</v>
      </c>
      <c r="F7" s="48">
        <v>606595.16</v>
      </c>
      <c r="G7" s="48">
        <f>+F7-I7</f>
        <v>594701.13725490205</v>
      </c>
      <c r="H7" s="48">
        <f>+D7*+K7</f>
        <v>45272.887758503253</v>
      </c>
      <c r="I7" s="48">
        <f>+D7*+L7</f>
        <v>11894.022745098038</v>
      </c>
      <c r="J7" s="48">
        <f>+F7/D7</f>
        <v>1155.4193523809524</v>
      </c>
      <c r="K7" s="48">
        <f>(+J7-L7)*(8.24/108.24)</f>
        <v>86.234071920958584</v>
      </c>
      <c r="L7" s="48">
        <f>+J7*0.0196078431372549</f>
        <v>22.65528141923436</v>
      </c>
      <c r="M7" s="48">
        <f>+J7-K7-L7</f>
        <v>1046.5299990407595</v>
      </c>
    </row>
    <row r="8" spans="1:13" ht="15.75">
      <c r="A8" s="46"/>
      <c r="B8" s="46"/>
      <c r="C8" s="45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3" ht="15.75">
      <c r="A9" s="46">
        <v>2</v>
      </c>
      <c r="B9" s="46">
        <v>215036</v>
      </c>
      <c r="C9" s="45" t="s">
        <v>128</v>
      </c>
      <c r="D9" s="48">
        <v>175</v>
      </c>
      <c r="E9" s="48">
        <v>416007</v>
      </c>
      <c r="F9" s="48">
        <v>202198.38</v>
      </c>
      <c r="G9" s="48">
        <f>+F9-I9</f>
        <v>198233.70588235295</v>
      </c>
      <c r="H9" s="48">
        <f>+D9*+K9</f>
        <v>15090.962088604843</v>
      </c>
      <c r="I9" s="48">
        <f>+D9*+L9</f>
        <v>3964.6741176470591</v>
      </c>
      <c r="J9" s="48">
        <f>+F9/D9</f>
        <v>1155.4193142857143</v>
      </c>
      <c r="K9" s="48">
        <f>(+J9-L9)*(8.24/108.24)</f>
        <v>86.234069077741964</v>
      </c>
      <c r="L9" s="48">
        <f>+J9*0.0196078431372549</f>
        <v>22.655280672268908</v>
      </c>
      <c r="M9" s="48">
        <f>+J9-K9-L9</f>
        <v>1046.5299645357036</v>
      </c>
    </row>
    <row r="10" spans="1:13" ht="15.75">
      <c r="A10" s="46"/>
      <c r="B10" s="46"/>
      <c r="C10" s="45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ht="15.75">
      <c r="A11" s="46">
        <v>3</v>
      </c>
      <c r="B11" s="46">
        <v>215071</v>
      </c>
      <c r="C11" s="45" t="s">
        <v>129</v>
      </c>
      <c r="D11" s="48">
        <v>20000</v>
      </c>
      <c r="E11" s="48">
        <v>416007</v>
      </c>
      <c r="F11" s="48">
        <v>4220404.72</v>
      </c>
      <c r="G11" s="48">
        <f>+F11-I11</f>
        <v>4137651.6862745094</v>
      </c>
      <c r="H11" s="48">
        <f>+D11*+K11</f>
        <v>314987.52674521401</v>
      </c>
      <c r="I11" s="48">
        <f>+D11*+L11</f>
        <v>82753.033725490182</v>
      </c>
      <c r="J11" s="48">
        <f>+F11/D11</f>
        <v>211.02023599999998</v>
      </c>
      <c r="K11" s="48">
        <f>(+J11-L11)*(8.24/108.24)</f>
        <v>15.749376337260699</v>
      </c>
      <c r="L11" s="48">
        <f>+J11*0.0196078431372549</f>
        <v>4.1376516862745092</v>
      </c>
      <c r="M11" s="48">
        <f>+J11-K11-L11</f>
        <v>191.13320797646475</v>
      </c>
    </row>
    <row r="12" spans="1:13" ht="15.75">
      <c r="A12" s="46"/>
      <c r="B12" s="46"/>
      <c r="C12" s="45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ht="15.75">
      <c r="A13" s="46">
        <v>4</v>
      </c>
      <c r="B13" s="46">
        <v>215091</v>
      </c>
      <c r="C13" s="45" t="s">
        <v>130</v>
      </c>
      <c r="D13" s="48">
        <v>12250</v>
      </c>
      <c r="E13" s="48">
        <v>416007</v>
      </c>
      <c r="F13" s="48">
        <v>15553276.199999999</v>
      </c>
      <c r="G13" s="48">
        <f>+F13-I13</f>
        <v>15248310</v>
      </c>
      <c r="H13" s="48">
        <f>+D13*+K13</f>
        <v>1160810</v>
      </c>
      <c r="I13" s="48">
        <f>+D13*+L13</f>
        <v>304966.2</v>
      </c>
      <c r="J13" s="48">
        <f>+F13/D13</f>
        <v>1269.6551999999999</v>
      </c>
      <c r="K13" s="48">
        <f>(+J13-L13)*(8.24/108.24)</f>
        <v>94.76</v>
      </c>
      <c r="L13" s="48">
        <f>+J13*0.0196078431372549</f>
        <v>24.895199999999999</v>
      </c>
      <c r="M13" s="48">
        <f>+J13-K13-L13</f>
        <v>1150</v>
      </c>
    </row>
    <row r="14" spans="1:13" ht="15.75">
      <c r="A14" s="46"/>
      <c r="B14" s="46"/>
      <c r="C14" s="45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ht="15.75">
      <c r="A15" s="46">
        <v>5</v>
      </c>
      <c r="B15" s="46">
        <v>215092</v>
      </c>
      <c r="C15" s="45" t="s">
        <v>131</v>
      </c>
      <c r="D15" s="48">
        <v>3750</v>
      </c>
      <c r="E15" s="48">
        <v>416007</v>
      </c>
      <c r="F15" s="48">
        <v>4761207</v>
      </c>
      <c r="G15" s="48">
        <f>+F15-I15</f>
        <v>4667850</v>
      </c>
      <c r="H15" s="48">
        <f>+D15*+K15</f>
        <v>355350</v>
      </c>
      <c r="I15" s="48">
        <f>+D15*+L15</f>
        <v>93357</v>
      </c>
      <c r="J15" s="48">
        <f>+F15/D15</f>
        <v>1269.6551999999999</v>
      </c>
      <c r="K15" s="48">
        <f>(+J15-L15)*(8.24/108.24)</f>
        <v>94.76</v>
      </c>
      <c r="L15" s="48">
        <f>+J15*0.0196078431372549</f>
        <v>24.895199999999999</v>
      </c>
      <c r="M15" s="48">
        <f>+J15-K15-L15</f>
        <v>1150</v>
      </c>
    </row>
    <row r="16" spans="1:13" ht="15.75">
      <c r="A16" s="46"/>
      <c r="B16" s="46"/>
      <c r="C16" s="45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3" ht="15.75">
      <c r="A17" s="46">
        <v>6</v>
      </c>
      <c r="B17" s="46">
        <v>215093</v>
      </c>
      <c r="C17" s="45" t="s">
        <v>132</v>
      </c>
      <c r="D17" s="48">
        <v>10000</v>
      </c>
      <c r="E17" s="48">
        <v>416007</v>
      </c>
      <c r="F17" s="48">
        <v>12696552</v>
      </c>
      <c r="G17" s="48">
        <f>+F17-I17</f>
        <v>12447600</v>
      </c>
      <c r="H17" s="48">
        <f>+D17*+K17</f>
        <v>947600</v>
      </c>
      <c r="I17" s="48">
        <f>+D17*+L17</f>
        <v>248952</v>
      </c>
      <c r="J17" s="48">
        <f>+F17/D17</f>
        <v>1269.6551999999999</v>
      </c>
      <c r="K17" s="48">
        <f>(+J17-L17)*(8.24/108.24)</f>
        <v>94.76</v>
      </c>
      <c r="L17" s="48">
        <f>+J17*0.0196078431372549</f>
        <v>24.895199999999999</v>
      </c>
      <c r="M17" s="48">
        <f>+J17-K17-L17</f>
        <v>1150</v>
      </c>
    </row>
    <row r="18" spans="1:13" ht="15.75">
      <c r="A18" s="47"/>
      <c r="B18" s="47"/>
      <c r="C18" s="47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1:13" ht="15.75">
      <c r="A19" s="43"/>
      <c r="B19" s="43"/>
      <c r="C19" s="43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5.75">
      <c r="A20" s="43"/>
      <c r="B20" s="43"/>
      <c r="C20" s="41" t="s">
        <v>133</v>
      </c>
      <c r="D20" s="50">
        <f>SUM(D7:D17)</f>
        <v>46700</v>
      </c>
      <c r="E20" s="50"/>
      <c r="F20" s="50">
        <f>SUM(F7:F17)</f>
        <v>38040233.460000001</v>
      </c>
      <c r="G20" s="50">
        <f>SUM(G7:G17)</f>
        <v>37294346.529411763</v>
      </c>
      <c r="H20" s="50">
        <f>SUM(H7:H17)</f>
        <v>2839111.3765923223</v>
      </c>
      <c r="I20" s="50">
        <f>SUM(I7:I17)</f>
        <v>745886.93058823526</v>
      </c>
      <c r="J20" s="51">
        <f>+F20/D20</f>
        <v>814.56602698072811</v>
      </c>
      <c r="K20" s="51"/>
      <c r="L20" s="51"/>
      <c r="M20" s="51"/>
    </row>
    <row r="21" spans="1:13">
      <c r="A21" s="44"/>
      <c r="B21" s="44"/>
      <c r="C21" s="44"/>
      <c r="D21" s="44"/>
      <c r="E21" s="44"/>
      <c r="F21" s="44"/>
      <c r="G21" s="44"/>
      <c r="H21" s="44"/>
      <c r="I21" s="44"/>
    </row>
  </sheetData>
  <pageMargins left="0.7" right="0.7" top="0.75" bottom="0.75" header="0.3" footer="0.3"/>
  <pageSetup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:G34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F32" sqref="F32"/>
    </sheetView>
  </sheetViews>
  <sheetFormatPr defaultRowHeight="15"/>
  <cols>
    <col min="2" max="2" width="41.42578125" bestFit="1" customWidth="1"/>
    <col min="3" max="3" width="12.5703125" bestFit="1" customWidth="1"/>
    <col min="4" max="4" width="15.28515625" bestFit="1" customWidth="1"/>
    <col min="5" max="7" width="14.28515625" bestFit="1" customWidth="1"/>
  </cols>
  <sheetData>
    <row r="3" spans="2:7" ht="42.75">
      <c r="B3" s="52" t="s">
        <v>137</v>
      </c>
      <c r="C3" s="53" t="s">
        <v>138</v>
      </c>
      <c r="D3" s="54" t="s">
        <v>140</v>
      </c>
      <c r="E3" s="54" t="s">
        <v>139</v>
      </c>
      <c r="F3" s="54" t="s">
        <v>141</v>
      </c>
      <c r="G3" s="54" t="s">
        <v>142</v>
      </c>
    </row>
    <row r="4" spans="2:7">
      <c r="B4" s="21" t="s">
        <v>144</v>
      </c>
      <c r="C4" s="22">
        <v>746538.25</v>
      </c>
      <c r="D4" s="22">
        <v>119143849.65730801</v>
      </c>
      <c r="E4" s="22">
        <v>47527919</v>
      </c>
      <c r="F4" s="22">
        <v>60490077</v>
      </c>
      <c r="G4" s="22">
        <f>+SUM(E4:F4)*10.3%</f>
        <v>11125853.588000001</v>
      </c>
    </row>
    <row r="5" spans="2:7">
      <c r="B5" s="55" t="s">
        <v>143</v>
      </c>
      <c r="C5" s="21"/>
      <c r="D5" s="22">
        <f>31249+33546+358815</f>
        <v>423610</v>
      </c>
      <c r="E5" s="21"/>
      <c r="F5" s="21"/>
      <c r="G5" s="21"/>
    </row>
    <row r="6" spans="2:7">
      <c r="B6" s="55" t="s">
        <v>145</v>
      </c>
      <c r="C6" s="21"/>
      <c r="D6" s="22">
        <v>992700</v>
      </c>
      <c r="E6" s="21"/>
      <c r="F6" s="21"/>
      <c r="G6" s="21"/>
    </row>
    <row r="7" spans="2:7">
      <c r="B7" s="55" t="s">
        <v>146</v>
      </c>
      <c r="C7" s="21"/>
      <c r="D7" s="22">
        <v>15121717.309999997</v>
      </c>
      <c r="E7" s="21"/>
      <c r="F7" s="21"/>
      <c r="G7" s="21"/>
    </row>
    <row r="8" spans="2:7">
      <c r="B8" s="56" t="s">
        <v>52</v>
      </c>
      <c r="C8" s="57">
        <f>+SUM(C4:C7)</f>
        <v>746538.25</v>
      </c>
      <c r="D8" s="57">
        <f>+SUM(D4:D7)</f>
        <v>135681876.96730801</v>
      </c>
      <c r="E8" s="57">
        <f t="shared" ref="E8:G8" si="0">+SUM(E4:E7)</f>
        <v>47527919</v>
      </c>
      <c r="F8" s="57">
        <f t="shared" si="0"/>
        <v>60490077</v>
      </c>
      <c r="G8" s="57">
        <f t="shared" si="0"/>
        <v>11125853.588000001</v>
      </c>
    </row>
    <row r="9" spans="2:7">
      <c r="B9" s="52" t="s">
        <v>147</v>
      </c>
      <c r="C9" s="53"/>
      <c r="D9" s="54"/>
      <c r="E9" s="54"/>
      <c r="F9" s="54"/>
      <c r="G9" s="54"/>
    </row>
    <row r="10" spans="2:7">
      <c r="B10" s="21" t="s">
        <v>144</v>
      </c>
      <c r="C10" s="22">
        <v>371934.50000000006</v>
      </c>
      <c r="D10" s="22">
        <v>61435819.721298002</v>
      </c>
      <c r="E10" s="22">
        <v>21672194</v>
      </c>
      <c r="F10" s="22">
        <v>34026647</v>
      </c>
      <c r="G10" s="22">
        <f>+SUM(E10:F10)*10.3%</f>
        <v>5736980.6230000006</v>
      </c>
    </row>
    <row r="11" spans="2:7">
      <c r="B11" s="55" t="s">
        <v>143</v>
      </c>
      <c r="C11" s="21"/>
      <c r="D11" s="22">
        <f>14569+44829</f>
        <v>59398</v>
      </c>
      <c r="E11" s="21"/>
      <c r="F11" s="21"/>
      <c r="G11" s="21"/>
    </row>
    <row r="12" spans="2:7">
      <c r="B12" s="55" t="s">
        <v>145</v>
      </c>
      <c r="C12" s="21"/>
      <c r="D12" s="22">
        <v>496350</v>
      </c>
      <c r="E12" s="21"/>
      <c r="F12" s="21"/>
      <c r="G12" s="21"/>
    </row>
    <row r="13" spans="2:7">
      <c r="B13" s="55" t="s">
        <v>146</v>
      </c>
      <c r="C13" s="21"/>
      <c r="D13" s="22">
        <f>3550+4900+3850+29941+37061+29564+52771+5950+7350+9450+10500+8147+38837+8520+6030+7810+2840+2840+2130+3500+2100+3550+28862+22690+44730+21016+9100+8400+32610+18020+10580+16100+13570+350+852+19880+23430+674+20590+852+4970+710+710+350+4900+4970+23430+1420+22700+9570+2120+2840+1750+9319+12784+70369+104349+5520+4600+920+7130+16560+14260+341085+3+154276+60900+62523.4+108460.3+11550+121315.6+114306.05+113637+117322+139160+166330+700+79419.5+43005.35+4200+49700+14170+89020+12380+88828.3+8900.05+36821+24136.8+47420+54507.9+81973.86+18630+9200+36110+10810+24840+89980+52682.2+74780+130160+19945.05+46110+14200+11445+64562.25+7130+18772.6+59746.64+157478.29+21300+8970+85147.19+1840+54878-54878+13800+90668+66591.95+18320+70140+41946.5+51149.75+35638.15+261136+27290+2760+292740+235501.7+38870+5060+200+7820+16974+164668.2+2179.7+72058.5+252711.7+238170+70290+95980+91784.35+58220+110050+47648.14+17713.26+37772.8+32314.3+16590+43050+50370+19090+110370+93357.85+70190+129540+13863.34+65434.7+20834.6+15991.7+21934.7+61276.27+12949.66+1060+57937.66+112913-57937.66-112913+57937.66+112913+2179.2+49407.28+3611+705.4-3611-2489.9-705.4+3611+1452.8-1452.8-3611+2179.2+10474.69+23800+3850+49395.2+185112.91+191410+36320+16707.2+247109.25+38234.72+726.4+145919.05-496350+1.65</f>
        <v>7998545.6600000001</v>
      </c>
      <c r="E13" s="21"/>
      <c r="F13" s="21"/>
      <c r="G13" s="21"/>
    </row>
    <row r="14" spans="2:7">
      <c r="B14" s="56" t="s">
        <v>52</v>
      </c>
      <c r="C14" s="57">
        <f>+SUM(C10:C13)</f>
        <v>371934.50000000006</v>
      </c>
      <c r="D14" s="57">
        <f>+SUM(D10:D13)</f>
        <v>69990113.381298006</v>
      </c>
      <c r="E14" s="57">
        <f t="shared" ref="E14:G14" si="1">+SUM(E10:E13)</f>
        <v>21672194</v>
      </c>
      <c r="F14" s="57">
        <f t="shared" si="1"/>
        <v>34026647</v>
      </c>
      <c r="G14" s="57">
        <f t="shared" si="1"/>
        <v>5736980.6230000006</v>
      </c>
    </row>
    <row r="15" spans="2:7">
      <c r="B15" s="52" t="s">
        <v>148</v>
      </c>
      <c r="C15" s="53"/>
      <c r="D15" s="54"/>
      <c r="E15" s="54"/>
      <c r="F15" s="54"/>
      <c r="G15" s="54"/>
    </row>
    <row r="16" spans="2:7">
      <c r="B16" s="55" t="s">
        <v>149</v>
      </c>
      <c r="C16" s="22"/>
      <c r="D16" s="22">
        <v>8277422.0350000001</v>
      </c>
      <c r="E16" s="22"/>
      <c r="F16" s="22"/>
      <c r="G16" s="22"/>
    </row>
    <row r="17" spans="2:7">
      <c r="B17" s="55" t="s">
        <v>143</v>
      </c>
      <c r="C17" s="21"/>
      <c r="D17" s="22">
        <v>13469</v>
      </c>
      <c r="E17" s="21"/>
      <c r="F17" s="21"/>
      <c r="G17" s="21"/>
    </row>
    <row r="18" spans="2:7">
      <c r="B18" s="55" t="s">
        <v>150</v>
      </c>
      <c r="C18" s="21"/>
      <c r="D18" s="22">
        <v>1412335.24</v>
      </c>
      <c r="E18" s="21"/>
      <c r="F18" s="21"/>
      <c r="G18" s="21"/>
    </row>
    <row r="19" spans="2:7">
      <c r="B19" s="56" t="s">
        <v>52</v>
      </c>
      <c r="C19" s="21"/>
      <c r="D19" s="28">
        <f>+SUM(D16:D18)</f>
        <v>9703226.2750000004</v>
      </c>
      <c r="E19" s="28">
        <f t="shared" ref="E19:G19" si="2">+SUM(E16:E18)</f>
        <v>0</v>
      </c>
      <c r="F19" s="28">
        <f t="shared" si="2"/>
        <v>0</v>
      </c>
      <c r="G19" s="28">
        <f t="shared" si="2"/>
        <v>0</v>
      </c>
    </row>
    <row r="20" spans="2:7">
      <c r="B20" s="52" t="s">
        <v>151</v>
      </c>
      <c r="C20" s="53"/>
      <c r="D20" s="54"/>
      <c r="E20" s="54"/>
      <c r="F20" s="54"/>
      <c r="G20" s="54"/>
    </row>
    <row r="21" spans="2:7">
      <c r="B21" s="58" t="s">
        <v>152</v>
      </c>
      <c r="C21" s="22"/>
      <c r="D21" s="22">
        <v>1889887.0599999996</v>
      </c>
      <c r="E21" s="22"/>
      <c r="F21" s="22"/>
      <c r="G21" s="22"/>
    </row>
    <row r="22" spans="2:7">
      <c r="B22" s="58" t="s">
        <v>153</v>
      </c>
      <c r="C22" s="21"/>
      <c r="D22" s="22">
        <v>1093550.0899999999</v>
      </c>
      <c r="E22" s="21"/>
      <c r="F22" s="21"/>
      <c r="G22" s="21"/>
    </row>
    <row r="23" spans="2:7">
      <c r="B23" s="58" t="s">
        <v>154</v>
      </c>
      <c r="C23" s="21"/>
      <c r="D23" s="22">
        <v>88240</v>
      </c>
      <c r="E23" s="21"/>
      <c r="F23" s="21"/>
      <c r="G23" s="21"/>
    </row>
    <row r="24" spans="2:7">
      <c r="B24" s="56"/>
      <c r="C24" s="21"/>
      <c r="D24" s="28">
        <f>+SUM(D21:D23)</f>
        <v>3071677.1499999994</v>
      </c>
      <c r="E24" s="28">
        <f t="shared" ref="E24:G24" si="3">+SUM(E21:E23)</f>
        <v>0</v>
      </c>
      <c r="F24" s="28">
        <f t="shared" si="3"/>
        <v>0</v>
      </c>
      <c r="G24" s="28">
        <f t="shared" si="3"/>
        <v>0</v>
      </c>
    </row>
    <row r="25" spans="2:7">
      <c r="B25" s="56" t="s">
        <v>289</v>
      </c>
      <c r="C25" s="28">
        <f>+C8+C14+C19+C24</f>
        <v>1118472.75</v>
      </c>
      <c r="D25" s="28">
        <f>+D8+D14+D19+D24</f>
        <v>218446893.77360603</v>
      </c>
      <c r="E25" s="28">
        <f t="shared" ref="E25:G25" si="4">+E8+E14+E19+E24</f>
        <v>69200113</v>
      </c>
      <c r="F25" s="28">
        <f t="shared" si="4"/>
        <v>94516724</v>
      </c>
      <c r="G25" s="28">
        <f t="shared" si="4"/>
        <v>16862834.211000003</v>
      </c>
    </row>
    <row r="27" spans="2:7">
      <c r="B27" s="20" t="s">
        <v>230</v>
      </c>
      <c r="C27" s="21"/>
      <c r="D27" s="57">
        <f>+D25-(E25+F25+G25)</f>
        <v>37867222.562606037</v>
      </c>
    </row>
    <row r="28" spans="2:7">
      <c r="B28" s="21" t="s">
        <v>43</v>
      </c>
      <c r="C28" s="21"/>
      <c r="D28" s="22">
        <f>(2/102)*D27</f>
        <v>742494.5600510987</v>
      </c>
    </row>
    <row r="29" spans="2:7">
      <c r="B29" s="21" t="s">
        <v>228</v>
      </c>
      <c r="C29" s="21"/>
      <c r="D29" s="57">
        <f>+D27/C25</f>
        <v>33.85618698587519</v>
      </c>
    </row>
    <row r="30" spans="2:7">
      <c r="B30" s="20" t="s">
        <v>251</v>
      </c>
      <c r="C30" s="21"/>
      <c r="D30" s="57">
        <f>+SUM(E25:G25)</f>
        <v>180579671.211</v>
      </c>
    </row>
    <row r="32" spans="2:7">
      <c r="B32" s="21" t="s">
        <v>291</v>
      </c>
      <c r="D32" s="20">
        <v>13.03</v>
      </c>
    </row>
    <row r="33" spans="2:4">
      <c r="B33" s="21" t="s">
        <v>43</v>
      </c>
      <c r="D33" s="22">
        <f>(2/102)*D32</f>
        <v>0.25549019607843138</v>
      </c>
    </row>
    <row r="34" spans="2:4">
      <c r="B34" s="21" t="s">
        <v>229</v>
      </c>
      <c r="D34" s="25">
        <f>+D32-D33</f>
        <v>12.774509803921568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E15"/>
  <sheetViews>
    <sheetView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D16" sqref="D16"/>
    </sheetView>
  </sheetViews>
  <sheetFormatPr defaultRowHeight="15"/>
  <cols>
    <col min="2" max="2" width="6.140625" bestFit="1" customWidth="1"/>
    <col min="4" max="4" width="47.28515625" bestFit="1" customWidth="1"/>
    <col min="5" max="5" width="15.85546875" bestFit="1" customWidth="1"/>
  </cols>
  <sheetData>
    <row r="2" spans="2:5">
      <c r="C2" s="44" t="s">
        <v>65</v>
      </c>
    </row>
    <row r="3" spans="2:5">
      <c r="B3" s="20" t="s">
        <v>40</v>
      </c>
      <c r="C3" s="20" t="s">
        <v>155</v>
      </c>
      <c r="D3" s="20" t="s">
        <v>76</v>
      </c>
      <c r="E3" s="20" t="s">
        <v>156</v>
      </c>
    </row>
    <row r="4" spans="2:5">
      <c r="B4" s="21">
        <v>1</v>
      </c>
      <c r="C4" s="21">
        <v>400417</v>
      </c>
      <c r="D4" s="21" t="s">
        <v>157</v>
      </c>
      <c r="E4" s="59">
        <v>-299</v>
      </c>
    </row>
    <row r="5" spans="2:5">
      <c r="B5" s="21">
        <v>2</v>
      </c>
      <c r="C5" s="21">
        <v>400602</v>
      </c>
      <c r="D5" s="21" t="s">
        <v>158</v>
      </c>
      <c r="E5" s="59">
        <v>69661157.299999997</v>
      </c>
    </row>
    <row r="6" spans="2:5">
      <c r="B6" s="21">
        <v>3</v>
      </c>
      <c r="C6" s="21">
        <v>400708</v>
      </c>
      <c r="D6" s="21" t="s">
        <v>159</v>
      </c>
      <c r="E6" s="59">
        <v>11542.02</v>
      </c>
    </row>
    <row r="7" spans="2:5">
      <c r="B7" s="21">
        <v>4</v>
      </c>
      <c r="C7" s="21">
        <v>401001</v>
      </c>
      <c r="D7" s="21" t="s">
        <v>160</v>
      </c>
      <c r="E7" s="59">
        <v>303758891.39999998</v>
      </c>
    </row>
    <row r="8" spans="2:5">
      <c r="B8" s="21">
        <v>5</v>
      </c>
      <c r="C8" s="21">
        <v>401002</v>
      </c>
      <c r="D8" s="21" t="s">
        <v>161</v>
      </c>
      <c r="E8" s="59">
        <v>2751639.65</v>
      </c>
    </row>
    <row r="9" spans="2:5">
      <c r="B9" s="21">
        <v>6</v>
      </c>
      <c r="C9" s="21">
        <v>401201</v>
      </c>
      <c r="D9" s="21" t="s">
        <v>162</v>
      </c>
      <c r="E9" s="59">
        <v>282207</v>
      </c>
    </row>
    <row r="10" spans="2:5">
      <c r="B10" s="21">
        <v>7</v>
      </c>
      <c r="C10" s="21">
        <v>401202</v>
      </c>
      <c r="D10" s="21" t="s">
        <v>163</v>
      </c>
      <c r="E10" s="59">
        <v>-2663</v>
      </c>
    </row>
    <row r="11" spans="2:5">
      <c r="B11" s="21">
        <v>8</v>
      </c>
      <c r="C11" s="21">
        <v>401203</v>
      </c>
      <c r="D11" s="21" t="s">
        <v>165</v>
      </c>
      <c r="E11" s="59">
        <v>481659.17</v>
      </c>
    </row>
    <row r="12" spans="2:5">
      <c r="B12" s="21">
        <v>9</v>
      </c>
      <c r="C12" s="21">
        <v>402034</v>
      </c>
      <c r="D12" s="21" t="s">
        <v>164</v>
      </c>
      <c r="E12" s="59">
        <v>3726029.35</v>
      </c>
    </row>
    <row r="13" spans="2:5">
      <c r="B13" s="21">
        <v>10</v>
      </c>
      <c r="C13" s="21"/>
      <c r="D13" s="21"/>
      <c r="E13" s="59">
        <v>-2820000</v>
      </c>
    </row>
    <row r="14" spans="2:5">
      <c r="B14" s="23"/>
      <c r="C14" s="23"/>
      <c r="D14" s="23" t="s">
        <v>290</v>
      </c>
      <c r="E14" s="60">
        <f>+SUM(E4:E13)</f>
        <v>377850163.88999999</v>
      </c>
    </row>
    <row r="15" spans="2:5">
      <c r="B15" s="20"/>
      <c r="C15" s="20"/>
      <c r="D15" s="131" t="s">
        <v>43</v>
      </c>
      <c r="E15" s="28">
        <f>+E14*2/102</f>
        <v>7408826.7429411765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F19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3" sqref="G3"/>
    </sheetView>
  </sheetViews>
  <sheetFormatPr defaultRowHeight="15"/>
  <cols>
    <col min="1" max="1" width="6.140625" bestFit="1" customWidth="1"/>
    <col min="2" max="2" width="18.85546875" bestFit="1" customWidth="1"/>
    <col min="3" max="3" width="9.7109375" bestFit="1" customWidth="1"/>
    <col min="4" max="4" width="18" bestFit="1" customWidth="1"/>
    <col min="5" max="6" width="13.7109375" bestFit="1" customWidth="1"/>
  </cols>
  <sheetData>
    <row r="2" spans="1:6">
      <c r="A2" s="32" t="s">
        <v>40</v>
      </c>
      <c r="B2" s="32" t="s">
        <v>39</v>
      </c>
      <c r="C2" s="32" t="s">
        <v>34</v>
      </c>
      <c r="D2" s="32" t="s">
        <v>53</v>
      </c>
      <c r="E2" s="32" t="s">
        <v>53</v>
      </c>
      <c r="F2" s="32" t="s">
        <v>53</v>
      </c>
    </row>
    <row r="3" spans="1:6">
      <c r="A3" s="21">
        <v>1</v>
      </c>
      <c r="B3" s="33" t="s">
        <v>47</v>
      </c>
      <c r="C3" s="34" t="s">
        <v>16</v>
      </c>
      <c r="D3" s="34" t="s">
        <v>16</v>
      </c>
      <c r="E3" s="34" t="s">
        <v>16</v>
      </c>
      <c r="F3" s="34" t="s">
        <v>16</v>
      </c>
    </row>
    <row r="4" spans="1:6">
      <c r="A4" s="21">
        <v>2</v>
      </c>
      <c r="B4" s="33" t="s">
        <v>48</v>
      </c>
      <c r="C4" s="34"/>
      <c r="D4" s="34" t="s">
        <v>54</v>
      </c>
      <c r="E4" s="34" t="s">
        <v>55</v>
      </c>
      <c r="F4" s="34" t="s">
        <v>56</v>
      </c>
    </row>
    <row r="5" spans="1:6">
      <c r="A5" s="21">
        <v>3</v>
      </c>
      <c r="B5" s="33" t="s">
        <v>49</v>
      </c>
      <c r="C5" s="34" t="s">
        <v>50</v>
      </c>
      <c r="D5" s="34" t="s">
        <v>50</v>
      </c>
      <c r="E5" s="34" t="s">
        <v>50</v>
      </c>
      <c r="F5" s="34" t="s">
        <v>50</v>
      </c>
    </row>
    <row r="6" spans="1:6">
      <c r="A6" s="21">
        <v>4</v>
      </c>
      <c r="B6" s="33" t="s">
        <v>51</v>
      </c>
      <c r="C6" s="34"/>
      <c r="D6" s="34"/>
      <c r="E6" s="34"/>
      <c r="F6" s="34"/>
    </row>
    <row r="7" spans="1:6">
      <c r="A7" s="21">
        <v>7</v>
      </c>
      <c r="B7" s="34" t="s">
        <v>41</v>
      </c>
      <c r="C7" s="35">
        <v>150</v>
      </c>
      <c r="D7" s="35">
        <v>5400</v>
      </c>
      <c r="E7" s="35">
        <v>4436</v>
      </c>
      <c r="F7" s="35">
        <v>3300</v>
      </c>
    </row>
    <row r="8" spans="1:6">
      <c r="A8" s="21">
        <v>8</v>
      </c>
      <c r="B8" s="34" t="s">
        <v>42</v>
      </c>
      <c r="C8" s="35">
        <v>0</v>
      </c>
      <c r="D8" s="35"/>
      <c r="E8" s="35">
        <v>0</v>
      </c>
      <c r="F8" s="35">
        <v>0</v>
      </c>
    </row>
    <row r="9" spans="1:6">
      <c r="A9" s="21">
        <v>9</v>
      </c>
      <c r="B9" s="34" t="s">
        <v>43</v>
      </c>
      <c r="C9" s="35">
        <f>+C7*2%</f>
        <v>3</v>
      </c>
      <c r="D9" s="35"/>
      <c r="E9" s="35">
        <f>+E7*2%</f>
        <v>88.72</v>
      </c>
      <c r="F9" s="35">
        <f>+F7*2%</f>
        <v>66</v>
      </c>
    </row>
    <row r="10" spans="1:6">
      <c r="A10" s="21">
        <v>12</v>
      </c>
      <c r="B10" s="34" t="s">
        <v>44</v>
      </c>
      <c r="C10" s="35">
        <v>412</v>
      </c>
      <c r="D10" s="35"/>
      <c r="E10" s="35">
        <v>0</v>
      </c>
      <c r="F10" s="35">
        <v>1200</v>
      </c>
    </row>
    <row r="11" spans="1:6">
      <c r="A11" s="21">
        <v>13</v>
      </c>
      <c r="B11" s="34" t="s">
        <v>45</v>
      </c>
      <c r="C11" s="35">
        <v>60</v>
      </c>
      <c r="D11" s="35"/>
      <c r="E11" s="35">
        <v>0</v>
      </c>
      <c r="F11" s="35">
        <v>0</v>
      </c>
    </row>
    <row r="12" spans="1:6">
      <c r="A12" s="21">
        <v>14</v>
      </c>
      <c r="B12" s="34" t="s">
        <v>46</v>
      </c>
      <c r="C12" s="35">
        <f>+C10*25%*10.3%</f>
        <v>10.609</v>
      </c>
      <c r="D12" s="35"/>
      <c r="E12" s="35">
        <v>0</v>
      </c>
      <c r="F12" s="35">
        <f>+F10*25%*10.3%</f>
        <v>30.900000000000002</v>
      </c>
    </row>
    <row r="13" spans="1:6">
      <c r="A13" s="21"/>
      <c r="B13" s="23" t="s">
        <v>52</v>
      </c>
      <c r="C13" s="36">
        <f>+SUM(C7:C12)</f>
        <v>635.60900000000004</v>
      </c>
      <c r="D13" s="36">
        <f>+SUM(D7:D12)</f>
        <v>5400</v>
      </c>
      <c r="E13" s="36">
        <f>+SUM(E7:E12)</f>
        <v>4524.72</v>
      </c>
      <c r="F13" s="36">
        <f>+SUM(F7:F12)</f>
        <v>4596.8999999999996</v>
      </c>
    </row>
    <row r="14" spans="1:6">
      <c r="A14" s="21"/>
      <c r="B14" s="37" t="s">
        <v>38</v>
      </c>
      <c r="C14" s="34"/>
      <c r="D14" s="34" t="s">
        <v>57</v>
      </c>
      <c r="E14" s="34"/>
      <c r="F14" s="34"/>
    </row>
    <row r="15" spans="1:6">
      <c r="A15" s="21"/>
      <c r="B15" s="23" t="s">
        <v>60</v>
      </c>
      <c r="C15" s="38">
        <f>+C13-C12-C9-C8</f>
        <v>622</v>
      </c>
      <c r="D15" s="38">
        <f>+D13-D12-D9-D8</f>
        <v>5400</v>
      </c>
      <c r="E15" s="38">
        <f>+E13-E12-E9-E8</f>
        <v>4436</v>
      </c>
      <c r="F15" s="38">
        <f>+F13-F12-F9-F8</f>
        <v>4500</v>
      </c>
    </row>
    <row r="16" spans="1:6">
      <c r="A16" s="21"/>
      <c r="B16" s="23" t="s">
        <v>58</v>
      </c>
      <c r="C16" s="34"/>
      <c r="D16" s="23"/>
      <c r="E16" s="23">
        <f>+SUM(D13:F13)/3</f>
        <v>4840.54</v>
      </c>
      <c r="F16" s="34"/>
    </row>
    <row r="17" spans="1:6">
      <c r="A17" s="21"/>
      <c r="B17" s="23" t="s">
        <v>59</v>
      </c>
      <c r="C17" s="36">
        <f>+C15</f>
        <v>622</v>
      </c>
      <c r="D17" s="23"/>
      <c r="E17" s="36">
        <f>+SUM(E15:F15)/2</f>
        <v>4468</v>
      </c>
      <c r="F17" s="36"/>
    </row>
    <row r="19" spans="1:6">
      <c r="D19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8</vt:i4>
      </vt:variant>
    </vt:vector>
  </HeadingPairs>
  <TitlesOfParts>
    <vt:vector size="23" baseType="lpstr">
      <vt:lpstr>GSTImpact</vt:lpstr>
      <vt:lpstr>MFGExp</vt:lpstr>
      <vt:lpstr>StockTrfr</vt:lpstr>
      <vt:lpstr>GoodsTraded</vt:lpstr>
      <vt:lpstr>Rates-RM</vt:lpstr>
      <vt:lpstr>Audit catalyst cons 09-10</vt:lpstr>
      <vt:lpstr>Bagging</vt:lpstr>
      <vt:lpstr>Packaging</vt:lpstr>
      <vt:lpstr>local</vt:lpstr>
      <vt:lpstr>BScons</vt:lpstr>
      <vt:lpstr>Imported</vt:lpstr>
      <vt:lpstr>salestax</vt:lpstr>
      <vt:lpstr>WCT 09-10</vt:lpstr>
      <vt:lpstr>ENTRY TAX 09-10</vt:lpstr>
      <vt:lpstr>GTA 09-10</vt:lpstr>
      <vt:lpstr>'Audit catalyst cons 09-10'!Print_Area</vt:lpstr>
      <vt:lpstr>'ENTRY TAX 09-10'!Print_Area</vt:lpstr>
      <vt:lpstr>GoodsTraded!Print_Area</vt:lpstr>
      <vt:lpstr>GSTImpact!Print_Area</vt:lpstr>
      <vt:lpstr>'GTA 09-10'!Print_Area</vt:lpstr>
      <vt:lpstr>'Rates-RM'!Print_Area</vt:lpstr>
      <vt:lpstr>salestax!Print_Area</vt:lpstr>
      <vt:lpstr>'WCT 09-10'!Print_Area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Amit</cp:lastModifiedBy>
  <cp:lastPrinted>2010-08-27T04:02:00Z</cp:lastPrinted>
  <dcterms:created xsi:type="dcterms:W3CDTF">2010-08-23T04:09:03Z</dcterms:created>
  <dcterms:modified xsi:type="dcterms:W3CDTF">2010-08-30T10:22:07Z</dcterms:modified>
</cp:coreProperties>
</file>