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60" windowWidth="19440" windowHeight="7470" activeTab="3"/>
  </bookViews>
  <sheets>
    <sheet name="Original" sheetId="1" r:id="rId1"/>
    <sheet name="Revised" sheetId="2" r:id="rId2"/>
    <sheet name="sales" sheetId="3" r:id="rId3"/>
    <sheet name="PURCHASE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7" i="4" l="1"/>
  <c r="O14" i="4"/>
  <c r="O17" i="4"/>
  <c r="I18" i="4"/>
  <c r="J14" i="4"/>
  <c r="P14" i="4" s="1"/>
  <c r="J11" i="4"/>
  <c r="G3" i="4"/>
  <c r="O3" i="4" s="1"/>
  <c r="G4" i="4"/>
  <c r="O4" i="4" s="1"/>
  <c r="G5" i="4"/>
  <c r="O5" i="4" s="1"/>
  <c r="G6" i="4"/>
  <c r="O6" i="4" s="1"/>
  <c r="G7" i="4"/>
  <c r="O7" i="4" s="1"/>
  <c r="G8" i="4"/>
  <c r="O8" i="4" s="1"/>
  <c r="G2" i="4"/>
  <c r="O2" i="4" s="1"/>
  <c r="H2" i="4" l="1"/>
  <c r="H8" i="4"/>
  <c r="P8" i="4" s="1"/>
  <c r="H7" i="4"/>
  <c r="P7" i="4" s="1"/>
  <c r="H6" i="4"/>
  <c r="P6" i="4" s="1"/>
  <c r="H5" i="4"/>
  <c r="P5" i="4" s="1"/>
  <c r="H4" i="4"/>
  <c r="P4" i="4" s="1"/>
  <c r="H3" i="4"/>
  <c r="P3" i="4" s="1"/>
  <c r="J18" i="4"/>
  <c r="G18" i="4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2" i="4"/>
  <c r="Q18" i="4" s="1"/>
  <c r="O4" i="3"/>
  <c r="O5" i="3"/>
  <c r="O6" i="3"/>
  <c r="O7" i="3"/>
  <c r="O8" i="3"/>
  <c r="O9" i="3"/>
  <c r="O10" i="3"/>
  <c r="O11" i="3"/>
  <c r="O12" i="3"/>
  <c r="O13" i="3"/>
  <c r="O14" i="3"/>
  <c r="N4" i="3"/>
  <c r="N5" i="3"/>
  <c r="N6" i="3"/>
  <c r="N7" i="3"/>
  <c r="N8" i="3"/>
  <c r="N9" i="3"/>
  <c r="N10" i="3"/>
  <c r="N11" i="3"/>
  <c r="N12" i="3"/>
  <c r="N13" i="3"/>
  <c r="N14" i="3"/>
  <c r="M4" i="3"/>
  <c r="M5" i="3"/>
  <c r="M6" i="3"/>
  <c r="M7" i="3"/>
  <c r="M8" i="3"/>
  <c r="M9" i="3"/>
  <c r="M10" i="3"/>
  <c r="M11" i="3"/>
  <c r="M12" i="3"/>
  <c r="M13" i="3"/>
  <c r="M14" i="3"/>
  <c r="O3" i="3"/>
  <c r="N3" i="3"/>
  <c r="M3" i="3"/>
  <c r="M18" i="4"/>
  <c r="N18" i="4"/>
  <c r="F18" i="4"/>
  <c r="K11" i="4"/>
  <c r="O11" i="4" s="1"/>
  <c r="K10" i="4"/>
  <c r="O10" i="4" s="1"/>
  <c r="L11" i="4"/>
  <c r="P11" i="4" s="1"/>
  <c r="K12" i="4"/>
  <c r="K13" i="4"/>
  <c r="K15" i="4"/>
  <c r="K16" i="4"/>
  <c r="K9" i="4"/>
  <c r="O9" i="4" s="1"/>
  <c r="L9" i="4"/>
  <c r="P9" i="4" s="1"/>
  <c r="F17" i="4"/>
  <c r="L16" i="4" l="1"/>
  <c r="P16" i="4" s="1"/>
  <c r="O16" i="4"/>
  <c r="L15" i="4"/>
  <c r="P15" i="4" s="1"/>
  <c r="O15" i="4"/>
  <c r="L13" i="4"/>
  <c r="P13" i="4" s="1"/>
  <c r="O13" i="4"/>
  <c r="L12" i="4"/>
  <c r="P12" i="4" s="1"/>
  <c r="O12" i="4"/>
  <c r="P2" i="4"/>
  <c r="H18" i="4"/>
  <c r="L10" i="4"/>
  <c r="P10" i="4" s="1"/>
  <c r="L18" i="4"/>
  <c r="K18" i="4"/>
  <c r="O18" i="4" s="1"/>
  <c r="G14" i="3"/>
  <c r="H14" i="3"/>
  <c r="I14" i="3"/>
  <c r="J14" i="3"/>
  <c r="K14" i="3"/>
  <c r="L14" i="3"/>
  <c r="F14" i="3"/>
  <c r="I7" i="3"/>
  <c r="J7" i="3" s="1"/>
  <c r="I8" i="3"/>
  <c r="J8" i="3" s="1"/>
  <c r="J9" i="3"/>
  <c r="I6" i="3"/>
  <c r="J6" i="3" s="1"/>
  <c r="J5" i="3"/>
  <c r="H5" i="3"/>
  <c r="J4" i="3"/>
  <c r="K4" i="3"/>
  <c r="I3" i="3"/>
  <c r="J3" i="3" s="1"/>
  <c r="F12" i="3"/>
  <c r="I11" i="3"/>
  <c r="J11" i="3" s="1"/>
  <c r="J10" i="3"/>
  <c r="P18" i="4" l="1"/>
  <c r="G48" i="2"/>
  <c r="H6" i="2" l="1"/>
  <c r="G8" i="2"/>
  <c r="G15" i="2"/>
  <c r="M15" i="2" s="1"/>
  <c r="G13" i="2"/>
  <c r="M13" i="2" s="1"/>
  <c r="G6" i="2"/>
  <c r="M6" i="2" s="1"/>
  <c r="H15" i="2"/>
  <c r="M8" i="2"/>
  <c r="L15" i="2"/>
  <c r="L13" i="2"/>
  <c r="L8" i="2"/>
  <c r="L6" i="2"/>
  <c r="G90" i="2"/>
  <c r="K90" i="2" s="1"/>
  <c r="K89" i="2"/>
  <c r="K88" i="2"/>
  <c r="G88" i="2"/>
  <c r="G87" i="2"/>
  <c r="K87" i="2" s="1"/>
  <c r="G40" i="2"/>
  <c r="K40" i="2" s="1"/>
  <c r="K39" i="2"/>
  <c r="G38" i="2"/>
  <c r="K38" i="2" s="1"/>
  <c r="K37" i="2"/>
  <c r="K36" i="2"/>
  <c r="F35" i="2"/>
  <c r="K35" i="2" s="1"/>
  <c r="G34" i="2"/>
  <c r="G41" i="2" s="1"/>
  <c r="K33" i="2"/>
  <c r="K32" i="2"/>
  <c r="H31" i="2"/>
  <c r="K31" i="2" s="1"/>
  <c r="H30" i="2"/>
  <c r="K30" i="2" s="1"/>
  <c r="H29" i="2"/>
  <c r="K29" i="2" s="1"/>
  <c r="H28" i="2"/>
  <c r="K28" i="2" s="1"/>
  <c r="H27" i="2"/>
  <c r="K27" i="2" s="1"/>
  <c r="H26" i="2"/>
  <c r="K26" i="2" s="1"/>
  <c r="H25" i="2"/>
  <c r="K25" i="2" s="1"/>
  <c r="H19" i="2"/>
  <c r="G18" i="2"/>
  <c r="K18" i="2" s="1"/>
  <c r="G17" i="2"/>
  <c r="K17" i="2" s="1"/>
  <c r="F17" i="2"/>
  <c r="F16" i="2"/>
  <c r="F19" i="2" s="1"/>
  <c r="F15" i="2"/>
  <c r="F14" i="2"/>
  <c r="G14" i="2" s="1"/>
  <c r="K14" i="2" s="1"/>
  <c r="F13" i="2"/>
  <c r="G12" i="2"/>
  <c r="K12" i="2" s="1"/>
  <c r="K11" i="2"/>
  <c r="G11" i="2"/>
  <c r="G10" i="2"/>
  <c r="K10" i="2" s="1"/>
  <c r="F9" i="2"/>
  <c r="G9" i="2" s="1"/>
  <c r="K9" i="2" s="1"/>
  <c r="K8" i="2"/>
  <c r="F7" i="2"/>
  <c r="K6" i="2"/>
  <c r="G5" i="2"/>
  <c r="K5" i="2" s="1"/>
  <c r="G90" i="1"/>
  <c r="K90" i="1" s="1"/>
  <c r="K89" i="1"/>
  <c r="K88" i="1"/>
  <c r="G88" i="1"/>
  <c r="G87" i="1"/>
  <c r="K87" i="1" s="1"/>
  <c r="G40" i="1"/>
  <c r="K40" i="1" s="1"/>
  <c r="K39" i="1"/>
  <c r="G38" i="1"/>
  <c r="K38" i="1" s="1"/>
  <c r="K37" i="1"/>
  <c r="K36" i="1"/>
  <c r="F35" i="1"/>
  <c r="K35" i="1" s="1"/>
  <c r="G34" i="1"/>
  <c r="G41" i="1" s="1"/>
  <c r="K33" i="1"/>
  <c r="K32" i="1"/>
  <c r="H31" i="1"/>
  <c r="K31" i="1" s="1"/>
  <c r="H30" i="1"/>
  <c r="K30" i="1" s="1"/>
  <c r="H29" i="1"/>
  <c r="K29" i="1" s="1"/>
  <c r="H28" i="1"/>
  <c r="K28" i="1" s="1"/>
  <c r="H27" i="1"/>
  <c r="K27" i="1" s="1"/>
  <c r="H26" i="1"/>
  <c r="K26" i="1" s="1"/>
  <c r="H25" i="1"/>
  <c r="K25" i="1" s="1"/>
  <c r="H19" i="1"/>
  <c r="G18" i="1"/>
  <c r="K18" i="1" s="1"/>
  <c r="G17" i="1"/>
  <c r="K17" i="1" s="1"/>
  <c r="F17" i="1"/>
  <c r="F16" i="1"/>
  <c r="F15" i="1"/>
  <c r="F14" i="1"/>
  <c r="G14" i="1" s="1"/>
  <c r="K14" i="1" s="1"/>
  <c r="G13" i="1"/>
  <c r="K13" i="1" s="1"/>
  <c r="F13" i="1"/>
  <c r="G12" i="1"/>
  <c r="K12" i="1" s="1"/>
  <c r="K11" i="1"/>
  <c r="G11" i="1"/>
  <c r="G10" i="1"/>
  <c r="K10" i="1" s="1"/>
  <c r="F9" i="1"/>
  <c r="G9" i="1" s="1"/>
  <c r="K9" i="1" s="1"/>
  <c r="G8" i="1"/>
  <c r="K8" i="1" s="1"/>
  <c r="F7" i="1"/>
  <c r="K6" i="1"/>
  <c r="G6" i="1"/>
  <c r="G5" i="1"/>
  <c r="K5" i="1" s="1"/>
  <c r="K13" i="2" l="1"/>
  <c r="K15" i="2"/>
  <c r="H41" i="2"/>
  <c r="G16" i="2"/>
  <c r="K16" i="2" s="1"/>
  <c r="G7" i="2"/>
  <c r="K7" i="2" s="1"/>
  <c r="F34" i="2"/>
  <c r="K15" i="1"/>
  <c r="F19" i="1"/>
  <c r="H41" i="1"/>
  <c r="G16" i="1"/>
  <c r="K16" i="1" s="1"/>
  <c r="G7" i="1"/>
  <c r="K7" i="1" s="1"/>
  <c r="K19" i="1" s="1"/>
  <c r="M19" i="1" s="1"/>
  <c r="G15" i="1"/>
  <c r="F34" i="1"/>
  <c r="K19" i="2" l="1"/>
  <c r="M19" i="2" s="1"/>
  <c r="F41" i="2"/>
  <c r="K34" i="2"/>
  <c r="K41" i="2" s="1"/>
  <c r="G19" i="2"/>
  <c r="G21" i="2" s="1"/>
  <c r="G43" i="2" s="1"/>
  <c r="F41" i="1"/>
  <c r="K34" i="1"/>
  <c r="K41" i="1" s="1"/>
  <c r="G19" i="1"/>
  <c r="G21" i="1" s="1"/>
  <c r="G43" i="1" s="1"/>
  <c r="G44" i="2" l="1"/>
  <c r="G46" i="2"/>
  <c r="G44" i="1"/>
  <c r="G46" i="1"/>
</calcChain>
</file>

<file path=xl/sharedStrings.xml><?xml version="1.0" encoding="utf-8"?>
<sst xmlns="http://schemas.openxmlformats.org/spreadsheetml/2006/main" count="323" uniqueCount="79">
  <si>
    <t>Turnover April to June 2017</t>
  </si>
  <si>
    <t>Party Name</t>
  </si>
  <si>
    <t>VATIN</t>
  </si>
  <si>
    <t>Invocie No</t>
  </si>
  <si>
    <t>Invoice Date</t>
  </si>
  <si>
    <t>Net Amount</t>
  </si>
  <si>
    <t>VAT/ST</t>
  </si>
  <si>
    <t>Others</t>
  </si>
  <si>
    <t>Sales/service</t>
  </si>
  <si>
    <t>Tax Rate</t>
  </si>
  <si>
    <t>Total Bill Amount</t>
  </si>
  <si>
    <t>Pratham Education</t>
  </si>
  <si>
    <t>MP/ALC/25/4/4</t>
  </si>
  <si>
    <t>sales</t>
  </si>
  <si>
    <t>MP/ALC/16/17/P-005</t>
  </si>
  <si>
    <t>MP/ALC/45/4/7</t>
  </si>
  <si>
    <t>service</t>
  </si>
  <si>
    <t>K12 Techno Services</t>
  </si>
  <si>
    <t>MP/ALC/45/6/2</t>
  </si>
  <si>
    <t>MP/ALC/45/6/1</t>
  </si>
  <si>
    <t>MP/ALC/45/6/3</t>
  </si>
  <si>
    <t>Pratham</t>
  </si>
  <si>
    <t>MP/ALC/45/5/4</t>
  </si>
  <si>
    <t>Adhiraj Construction</t>
  </si>
  <si>
    <t>MP/ALC/30/2/3</t>
  </si>
  <si>
    <t>Total</t>
  </si>
  <si>
    <t>Purchases</t>
  </si>
  <si>
    <t>CST</t>
  </si>
  <si>
    <t>S L Technologies India</t>
  </si>
  <si>
    <t>17-18-07</t>
  </si>
  <si>
    <t>17-18-42</t>
  </si>
  <si>
    <t>17-18-45</t>
  </si>
  <si>
    <t>17-18-72</t>
  </si>
  <si>
    <t>17-18-101</t>
  </si>
  <si>
    <t>17-18-107</t>
  </si>
  <si>
    <t>17-18-124</t>
  </si>
  <si>
    <t>Regent</t>
  </si>
  <si>
    <t>A1718-007</t>
  </si>
  <si>
    <t>A1718-026</t>
  </si>
  <si>
    <t>A1718-028</t>
  </si>
  <si>
    <t>A1718-034</t>
  </si>
  <si>
    <t>A1718-035</t>
  </si>
  <si>
    <t>A1718-037</t>
  </si>
  <si>
    <t>A1718-043</t>
  </si>
  <si>
    <t>A1718-055</t>
  </si>
  <si>
    <t>Tax Payable</t>
  </si>
  <si>
    <t>Interest</t>
  </si>
  <si>
    <t>Due date 21/7/17</t>
  </si>
  <si>
    <t>Late Fees</t>
  </si>
  <si>
    <t>Tax Payable with int &amp; Penalty</t>
  </si>
  <si>
    <t>Turnover FY 2016-2017</t>
  </si>
  <si>
    <t>Pace Electrical Training Centre</t>
  </si>
  <si>
    <t>MP/ACL/44/3/2</t>
  </si>
  <si>
    <t>MP/ACL/45/3/2</t>
  </si>
  <si>
    <t>MP/ALC/25/3/3</t>
  </si>
  <si>
    <t>MP/ALC/43/3/2</t>
  </si>
  <si>
    <t>Fees</t>
  </si>
  <si>
    <t>URD</t>
  </si>
  <si>
    <t>SrNo</t>
  </si>
  <si>
    <t xml:space="preserve">Bill No </t>
  </si>
  <si>
    <t xml:space="preserve">Date       </t>
  </si>
  <si>
    <t xml:space="preserve">Party Name                          </t>
  </si>
  <si>
    <t xml:space="preserve"> Bill Value</t>
  </si>
  <si>
    <t xml:space="preserve">      VAT-E</t>
  </si>
  <si>
    <t xml:space="preserve">  VAT 13.5%</t>
  </si>
  <si>
    <t>VAT 13.5% Tax</t>
  </si>
  <si>
    <t xml:space="preserve">   VAT 6%</t>
  </si>
  <si>
    <t xml:space="preserve"> VAT 6% Tax</t>
  </si>
  <si>
    <t>Vat Tin</t>
  </si>
  <si>
    <t>TOTAL</t>
  </si>
  <si>
    <t>taxable amt</t>
  </si>
  <si>
    <t>Tax Amt</t>
  </si>
  <si>
    <t xml:space="preserve">tax free </t>
  </si>
  <si>
    <t>other</t>
  </si>
  <si>
    <t>taxable Amt</t>
  </si>
  <si>
    <t xml:space="preserve">Tax free </t>
  </si>
  <si>
    <t>VAT 13.5%</t>
  </si>
  <si>
    <t>CST 2% Tax</t>
  </si>
  <si>
    <t>CST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</si>
</sst>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9.75"/>
      <color theme="1"/>
      <name val="Courier New"/>
      <family val="3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Font="1"/>
    <xf numFmtId="10" fontId="3" fillId="0" borderId="0" xfId="2" applyNumberFormat="1" applyFont="1"/>
    <xf numFmtId="0" fontId="2" fillId="0" borderId="1" xfId="0" applyFont="1" applyBorder="1"/>
    <xf numFmtId="164" fontId="2" fillId="0" borderId="1" xfId="1" applyFont="1" applyBorder="1"/>
    <xf numFmtId="165" fontId="2" fillId="0" borderId="1" xfId="1" applyNumberFormat="1" applyFont="1" applyBorder="1"/>
    <xf numFmtId="10" fontId="2" fillId="0" borderId="1" xfId="2" applyNumberFormat="1" applyFont="1" applyBorder="1"/>
    <xf numFmtId="0" fontId="3" fillId="0" borderId="1" xfId="0" applyFont="1" applyFill="1" applyBorder="1"/>
    <xf numFmtId="0" fontId="3" fillId="0" borderId="1" xfId="0" applyFont="1" applyBorder="1"/>
    <xf numFmtId="14" fontId="3" fillId="0" borderId="1" xfId="0" applyNumberFormat="1" applyFont="1" applyBorder="1"/>
    <xf numFmtId="164" fontId="3" fillId="0" borderId="1" xfId="1" applyFont="1" applyBorder="1"/>
    <xf numFmtId="10" fontId="3" fillId="0" borderId="1" xfId="2" applyNumberFormat="1" applyFont="1" applyBorder="1"/>
    <xf numFmtId="17" fontId="3" fillId="0" borderId="1" xfId="0" applyNumberFormat="1" applyFont="1" applyBorder="1"/>
    <xf numFmtId="164" fontId="3" fillId="2" borderId="1" xfId="1" applyFont="1" applyFill="1" applyBorder="1"/>
    <xf numFmtId="0" fontId="3" fillId="2" borderId="1" xfId="0" applyFont="1" applyFill="1" applyBorder="1"/>
    <xf numFmtId="164" fontId="3" fillId="0" borderId="0" xfId="0" applyNumberFormat="1" applyFont="1"/>
    <xf numFmtId="14" fontId="3" fillId="0" borderId="1" xfId="0" applyNumberFormat="1" applyFont="1" applyFill="1" applyBorder="1" applyAlignment="1">
      <alignment horizontal="right"/>
    </xf>
    <xf numFmtId="39" fontId="3" fillId="0" borderId="1" xfId="1" applyNumberFormat="1" applyFont="1" applyFill="1" applyBorder="1"/>
    <xf numFmtId="14" fontId="4" fillId="0" borderId="1" xfId="0" applyNumberFormat="1" applyFont="1" applyBorder="1"/>
    <xf numFmtId="14" fontId="4" fillId="0" borderId="1" xfId="0" applyNumberFormat="1" applyFont="1" applyFill="1" applyBorder="1" applyAlignment="1">
      <alignment horizontal="right"/>
    </xf>
    <xf numFmtId="39" fontId="4" fillId="0" borderId="1" xfId="1" applyNumberFormat="1" applyFont="1" applyFill="1" applyBorder="1"/>
    <xf numFmtId="14" fontId="4" fillId="0" borderId="1" xfId="0" applyNumberFormat="1" applyFont="1" applyFill="1" applyBorder="1"/>
    <xf numFmtId="164" fontId="2" fillId="0" borderId="0" xfId="1" applyFont="1"/>
    <xf numFmtId="49" fontId="5" fillId="0" borderId="5" xfId="0" applyNumberFormat="1" applyFont="1" applyBorder="1" applyAlignment="1">
      <alignment vertical="top"/>
    </xf>
    <xf numFmtId="10" fontId="7" fillId="0" borderId="1" xfId="2" applyNumberFormat="1" applyFont="1" applyBorder="1"/>
    <xf numFmtId="164" fontId="0" fillId="0" borderId="0" xfId="0" applyNumberFormat="1"/>
    <xf numFmtId="49" fontId="6" fillId="0" borderId="1" xfId="0" applyNumberFormat="1" applyFont="1" applyBorder="1"/>
    <xf numFmtId="0" fontId="6" fillId="0" borderId="1" xfId="0" applyFont="1" applyBorder="1"/>
    <xf numFmtId="0" fontId="0" fillId="0" borderId="1" xfId="0" applyBorder="1"/>
    <xf numFmtId="43" fontId="0" fillId="0" borderId="1" xfId="0" applyNumberFormat="1" applyBorder="1"/>
    <xf numFmtId="164" fontId="0" fillId="0" borderId="1" xfId="0" applyNumberFormat="1" applyBorder="1"/>
    <xf numFmtId="164" fontId="0" fillId="0" borderId="1" xfId="1" applyFont="1" applyBorder="1"/>
    <xf numFmtId="0" fontId="6" fillId="0" borderId="6" xfId="0" applyFont="1" applyFill="1" applyBorder="1"/>
    <xf numFmtId="39" fontId="7" fillId="0" borderId="1" xfId="1" applyNumberFormat="1" applyFont="1" applyFill="1" applyBorder="1"/>
    <xf numFmtId="164" fontId="7" fillId="0" borderId="1" xfId="1" applyFont="1" applyBorder="1"/>
    <xf numFmtId="0" fontId="7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2"/>
  <sheetViews>
    <sheetView topLeftCell="A8" workbookViewId="0">
      <selection activeCell="A8" sqref="A8"/>
    </sheetView>
  </sheetViews>
  <sheetFormatPr defaultRowHeight="12.75" x14ac:dyDescent="0.2"/>
  <cols>
    <col min="1" max="1" width="9.140625" style="2"/>
    <col min="2" max="2" width="27.140625" style="2" bestFit="1" customWidth="1"/>
    <col min="3" max="3" width="6.5703125" style="2" bestFit="1" customWidth="1"/>
    <col min="4" max="4" width="18.85546875" style="2" bestFit="1" customWidth="1"/>
    <col min="5" max="5" width="12.28515625" style="2" bestFit="1" customWidth="1"/>
    <col min="6" max="6" width="12.85546875" style="3" bestFit="1" customWidth="1"/>
    <col min="7" max="8" width="10.28515625" style="3" bestFit="1" customWidth="1"/>
    <col min="9" max="9" width="14.28515625" style="2" bestFit="1" customWidth="1"/>
    <col min="10" max="10" width="9.140625" style="4"/>
    <col min="11" max="11" width="18.140625" style="3" bestFit="1" customWidth="1"/>
    <col min="12" max="12" width="9.140625" style="2"/>
    <col min="13" max="13" width="12.42578125" style="2" bestFit="1" customWidth="1"/>
    <col min="14" max="16384" width="9.140625" style="2"/>
  </cols>
  <sheetData>
    <row r="2" spans="2:11" x14ac:dyDescent="0.2">
      <c r="B2" s="1" t="s">
        <v>0</v>
      </c>
    </row>
    <row r="3" spans="2:11" x14ac:dyDescent="0.2">
      <c r="B3" s="1"/>
    </row>
    <row r="4" spans="2:11" x14ac:dyDescent="0.2"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7" t="s">
        <v>8</v>
      </c>
      <c r="J4" s="8" t="s">
        <v>9</v>
      </c>
      <c r="K4" s="6" t="s">
        <v>10</v>
      </c>
    </row>
    <row r="5" spans="2:11" x14ac:dyDescent="0.2">
      <c r="B5" s="9" t="s">
        <v>11</v>
      </c>
      <c r="C5" s="10"/>
      <c r="D5" s="9" t="s">
        <v>12</v>
      </c>
      <c r="E5" s="11">
        <v>42836</v>
      </c>
      <c r="F5" s="12">
        <v>1600</v>
      </c>
      <c r="G5" s="12">
        <f>+F5*6%</f>
        <v>96</v>
      </c>
      <c r="H5" s="12"/>
      <c r="I5" s="9" t="s">
        <v>13</v>
      </c>
      <c r="J5" s="13">
        <v>0.06</v>
      </c>
      <c r="K5" s="12">
        <f t="shared" ref="K5:K18" si="0">+F5+G5+H5</f>
        <v>1696</v>
      </c>
    </row>
    <row r="6" spans="2:11" x14ac:dyDescent="0.2">
      <c r="B6" s="9" t="s">
        <v>11</v>
      </c>
      <c r="C6" s="10"/>
      <c r="D6" s="9" t="s">
        <v>14</v>
      </c>
      <c r="E6" s="11">
        <v>42861</v>
      </c>
      <c r="F6" s="12">
        <v>33000</v>
      </c>
      <c r="G6" s="12">
        <f>+F6*13.5%</f>
        <v>4455</v>
      </c>
      <c r="H6" s="12">
        <v>9028</v>
      </c>
      <c r="I6" s="9" t="s">
        <v>13</v>
      </c>
      <c r="J6" s="13">
        <v>0.13500000000000001</v>
      </c>
      <c r="K6" s="12">
        <f t="shared" si="0"/>
        <v>46483</v>
      </c>
    </row>
    <row r="7" spans="2:11" x14ac:dyDescent="0.2">
      <c r="B7" s="10"/>
      <c r="C7" s="10"/>
      <c r="D7" s="10"/>
      <c r="E7" s="10"/>
      <c r="F7" s="12">
        <f>(2000+11500+800)</f>
        <v>14300</v>
      </c>
      <c r="G7" s="12">
        <f>+F7*6%</f>
        <v>858</v>
      </c>
      <c r="H7" s="12"/>
      <c r="I7" s="9" t="s">
        <v>13</v>
      </c>
      <c r="J7" s="13">
        <v>0.06</v>
      </c>
      <c r="K7" s="12">
        <f t="shared" si="0"/>
        <v>15158</v>
      </c>
    </row>
    <row r="8" spans="2:11" x14ac:dyDescent="0.2">
      <c r="B8" s="9" t="s">
        <v>11</v>
      </c>
      <c r="C8" s="10"/>
      <c r="D8" s="10" t="s">
        <v>15</v>
      </c>
      <c r="E8" s="14">
        <v>42826</v>
      </c>
      <c r="F8" s="12">
        <v>4700</v>
      </c>
      <c r="G8" s="12">
        <f>F8*13.5%</f>
        <v>634.5</v>
      </c>
      <c r="H8" s="12"/>
      <c r="I8" s="9" t="s">
        <v>13</v>
      </c>
      <c r="J8" s="13">
        <v>0.13500000000000001</v>
      </c>
      <c r="K8" s="12">
        <f t="shared" si="0"/>
        <v>5334.5</v>
      </c>
    </row>
    <row r="9" spans="2:11" x14ac:dyDescent="0.2">
      <c r="B9" s="10"/>
      <c r="C9" s="10"/>
      <c r="D9" s="10"/>
      <c r="E9" s="10"/>
      <c r="F9" s="12">
        <f>1800</f>
        <v>1800</v>
      </c>
      <c r="G9" s="15">
        <f>F9*15%</f>
        <v>270</v>
      </c>
      <c r="H9" s="15"/>
      <c r="I9" s="16" t="s">
        <v>16</v>
      </c>
      <c r="J9" s="13">
        <v>0.15</v>
      </c>
      <c r="K9" s="12">
        <f t="shared" si="0"/>
        <v>2070</v>
      </c>
    </row>
    <row r="10" spans="2:11" x14ac:dyDescent="0.2">
      <c r="B10" s="10" t="s">
        <v>17</v>
      </c>
      <c r="C10" s="10"/>
      <c r="D10" s="10" t="s">
        <v>18</v>
      </c>
      <c r="E10" s="11">
        <v>42889</v>
      </c>
      <c r="F10" s="12">
        <v>11000</v>
      </c>
      <c r="G10" s="12">
        <f>+F10*6%</f>
        <v>660</v>
      </c>
      <c r="H10" s="12"/>
      <c r="I10" s="9" t="s">
        <v>13</v>
      </c>
      <c r="J10" s="13">
        <v>0.06</v>
      </c>
      <c r="K10" s="12">
        <f t="shared" si="0"/>
        <v>11660</v>
      </c>
    </row>
    <row r="11" spans="2:11" x14ac:dyDescent="0.2">
      <c r="B11" s="10" t="s">
        <v>17</v>
      </c>
      <c r="C11" s="10"/>
      <c r="D11" s="10" t="s">
        <v>19</v>
      </c>
      <c r="E11" s="11">
        <v>42887</v>
      </c>
      <c r="F11" s="12">
        <v>3850</v>
      </c>
      <c r="G11" s="12">
        <f>+F11*6%</f>
        <v>231</v>
      </c>
      <c r="H11" s="12"/>
      <c r="I11" s="9" t="s">
        <v>13</v>
      </c>
      <c r="J11" s="13">
        <v>0.06</v>
      </c>
      <c r="K11" s="12">
        <f t="shared" si="0"/>
        <v>4081</v>
      </c>
    </row>
    <row r="12" spans="2:11" x14ac:dyDescent="0.2">
      <c r="B12" s="10" t="s">
        <v>17</v>
      </c>
      <c r="C12" s="10"/>
      <c r="D12" s="10" t="s">
        <v>20</v>
      </c>
      <c r="E12" s="11">
        <v>42889</v>
      </c>
      <c r="F12" s="12">
        <v>36500</v>
      </c>
      <c r="G12" s="12">
        <f>+F12*6%</f>
        <v>2190</v>
      </c>
      <c r="H12" s="12"/>
      <c r="I12" s="9" t="s">
        <v>13</v>
      </c>
      <c r="J12" s="13">
        <v>0.06</v>
      </c>
      <c r="K12" s="12">
        <f t="shared" si="0"/>
        <v>38690</v>
      </c>
    </row>
    <row r="13" spans="2:11" x14ac:dyDescent="0.2">
      <c r="B13" s="10" t="s">
        <v>21</v>
      </c>
      <c r="C13" s="10"/>
      <c r="D13" s="10" t="s">
        <v>18</v>
      </c>
      <c r="E13" s="11">
        <v>42887</v>
      </c>
      <c r="F13" s="12">
        <f>14000+7500</f>
        <v>21500</v>
      </c>
      <c r="G13" s="12">
        <f>+F13*13%</f>
        <v>2795</v>
      </c>
      <c r="H13" s="12"/>
      <c r="I13" s="9" t="s">
        <v>13</v>
      </c>
      <c r="J13" s="13">
        <v>0.13</v>
      </c>
      <c r="K13" s="12">
        <f t="shared" si="0"/>
        <v>24295</v>
      </c>
    </row>
    <row r="14" spans="2:11" x14ac:dyDescent="0.2">
      <c r="B14" s="10"/>
      <c r="C14" s="10"/>
      <c r="D14" s="10"/>
      <c r="E14" s="10"/>
      <c r="F14" s="12">
        <f>(1600+800+1800+6000+5900+2000)</f>
        <v>18100</v>
      </c>
      <c r="G14" s="12">
        <f>+F14*6%</f>
        <v>1086</v>
      </c>
      <c r="H14" s="12"/>
      <c r="I14" s="9" t="s">
        <v>13</v>
      </c>
      <c r="J14" s="13">
        <v>0.06</v>
      </c>
      <c r="K14" s="12">
        <f t="shared" si="0"/>
        <v>19186</v>
      </c>
    </row>
    <row r="15" spans="2:11" x14ac:dyDescent="0.2">
      <c r="B15" s="10" t="s">
        <v>21</v>
      </c>
      <c r="C15" s="10"/>
      <c r="D15" s="10" t="s">
        <v>22</v>
      </c>
      <c r="E15" s="11">
        <v>42877</v>
      </c>
      <c r="F15" s="12">
        <f>(38400+21000+16800+19800)</f>
        <v>96000</v>
      </c>
      <c r="G15" s="12">
        <f>+F15*13.5%</f>
        <v>12960</v>
      </c>
      <c r="H15" s="12">
        <v>8000</v>
      </c>
      <c r="I15" s="9" t="s">
        <v>13</v>
      </c>
      <c r="J15" s="13">
        <v>0.13500000000000001</v>
      </c>
      <c r="K15" s="12">
        <f t="shared" si="0"/>
        <v>116960</v>
      </c>
    </row>
    <row r="16" spans="2:11" x14ac:dyDescent="0.2">
      <c r="B16" s="10"/>
      <c r="C16" s="10"/>
      <c r="D16" s="10"/>
      <c r="E16" s="10"/>
      <c r="F16" s="12">
        <f>(4000+12000+12000+3850+3200)</f>
        <v>35050</v>
      </c>
      <c r="G16" s="12">
        <f>+F16*6%</f>
        <v>2103</v>
      </c>
      <c r="H16" s="12"/>
      <c r="I16" s="9" t="s">
        <v>13</v>
      </c>
      <c r="J16" s="13">
        <v>0.06</v>
      </c>
      <c r="K16" s="12">
        <f t="shared" si="0"/>
        <v>37153</v>
      </c>
    </row>
    <row r="17" spans="2:13" x14ac:dyDescent="0.2">
      <c r="B17" s="10" t="s">
        <v>23</v>
      </c>
      <c r="C17" s="10"/>
      <c r="D17" s="10" t="s">
        <v>24</v>
      </c>
      <c r="E17" s="11">
        <v>42880</v>
      </c>
      <c r="F17" s="12">
        <f>+(4000+2000)</f>
        <v>6000</v>
      </c>
      <c r="G17" s="15">
        <f>+F17*15%</f>
        <v>900</v>
      </c>
      <c r="H17" s="15"/>
      <c r="I17" s="16" t="s">
        <v>16</v>
      </c>
      <c r="J17" s="13">
        <v>0.15</v>
      </c>
      <c r="K17" s="12">
        <f t="shared" si="0"/>
        <v>6900</v>
      </c>
    </row>
    <row r="18" spans="2:13" x14ac:dyDescent="0.2">
      <c r="B18" s="10"/>
      <c r="C18" s="10"/>
      <c r="D18" s="10"/>
      <c r="E18" s="10"/>
      <c r="F18" s="12">
        <v>16000</v>
      </c>
      <c r="G18" s="12">
        <f>+F18*6%</f>
        <v>960</v>
      </c>
      <c r="H18" s="12"/>
      <c r="I18" s="9" t="s">
        <v>13</v>
      </c>
      <c r="J18" s="13">
        <v>0.06</v>
      </c>
      <c r="K18" s="12">
        <f t="shared" si="0"/>
        <v>16960</v>
      </c>
    </row>
    <row r="19" spans="2:13" x14ac:dyDescent="0.2">
      <c r="B19" s="38" t="s">
        <v>25</v>
      </c>
      <c r="C19" s="39"/>
      <c r="D19" s="39"/>
      <c r="E19" s="40"/>
      <c r="F19" s="6">
        <f>SUM(F5:F18)</f>
        <v>299400</v>
      </c>
      <c r="G19" s="6">
        <f t="shared" ref="G19:H19" si="1">SUM(G5:G18)</f>
        <v>30198.5</v>
      </c>
      <c r="H19" s="6">
        <f t="shared" si="1"/>
        <v>17028</v>
      </c>
      <c r="I19" s="5"/>
      <c r="J19" s="8"/>
      <c r="K19" s="6">
        <f t="shared" ref="K19" si="2">SUM(K5:K18)</f>
        <v>346626.5</v>
      </c>
      <c r="M19" s="17">
        <f>K19*4</f>
        <v>1386506</v>
      </c>
    </row>
    <row r="21" spans="2:13" x14ac:dyDescent="0.2">
      <c r="G21" s="3">
        <f>G19-G17-G9</f>
        <v>29028.5</v>
      </c>
    </row>
    <row r="22" spans="2:13" x14ac:dyDescent="0.2">
      <c r="B22" s="1" t="s">
        <v>26</v>
      </c>
    </row>
    <row r="23" spans="2:13" x14ac:dyDescent="0.2">
      <c r="B23" s="1"/>
    </row>
    <row r="24" spans="2:13" x14ac:dyDescent="0.2">
      <c r="B24" s="5" t="s">
        <v>1</v>
      </c>
      <c r="C24" s="5" t="s">
        <v>2</v>
      </c>
      <c r="D24" s="5" t="s">
        <v>3</v>
      </c>
      <c r="E24" s="5" t="s">
        <v>4</v>
      </c>
      <c r="F24" s="6" t="s">
        <v>5</v>
      </c>
      <c r="G24" s="6" t="s">
        <v>6</v>
      </c>
      <c r="H24" s="6" t="s">
        <v>27</v>
      </c>
      <c r="I24" s="7" t="s">
        <v>8</v>
      </c>
      <c r="J24" s="8" t="s">
        <v>9</v>
      </c>
      <c r="K24" s="6" t="s">
        <v>10</v>
      </c>
    </row>
    <row r="25" spans="2:13" x14ac:dyDescent="0.2">
      <c r="B25" s="10" t="s">
        <v>28</v>
      </c>
      <c r="C25" s="10"/>
      <c r="D25" s="10" t="s">
        <v>29</v>
      </c>
      <c r="E25" s="11">
        <v>42828</v>
      </c>
      <c r="F25" s="12">
        <v>11100</v>
      </c>
      <c r="G25" s="12"/>
      <c r="H25" s="12">
        <f>+F25*2%</f>
        <v>222</v>
      </c>
      <c r="I25" s="10"/>
      <c r="J25" s="13">
        <v>0.02</v>
      </c>
      <c r="K25" s="12">
        <f>+F25+H25+G25</f>
        <v>11322</v>
      </c>
    </row>
    <row r="26" spans="2:13" x14ac:dyDescent="0.2">
      <c r="B26" s="10" t="s">
        <v>28</v>
      </c>
      <c r="C26" s="10"/>
      <c r="D26" s="10" t="s">
        <v>30</v>
      </c>
      <c r="E26" s="11">
        <v>42846</v>
      </c>
      <c r="F26" s="12">
        <v>60400</v>
      </c>
      <c r="G26" s="12"/>
      <c r="H26" s="12">
        <f t="shared" ref="H26:H31" si="3">+F26*2%</f>
        <v>1208</v>
      </c>
      <c r="I26" s="10"/>
      <c r="J26" s="13">
        <v>0.02</v>
      </c>
      <c r="K26" s="12">
        <f t="shared" ref="K26:K40" si="4">+F26+H26+G26</f>
        <v>61608</v>
      </c>
    </row>
    <row r="27" spans="2:13" x14ac:dyDescent="0.2">
      <c r="B27" s="10" t="s">
        <v>28</v>
      </c>
      <c r="C27" s="10"/>
      <c r="D27" s="9" t="s">
        <v>31</v>
      </c>
      <c r="E27" s="11">
        <v>42849</v>
      </c>
      <c r="F27" s="12">
        <v>42900</v>
      </c>
      <c r="G27" s="12"/>
      <c r="H27" s="12">
        <f t="shared" si="3"/>
        <v>858</v>
      </c>
      <c r="I27" s="10"/>
      <c r="J27" s="13">
        <v>0.02</v>
      </c>
      <c r="K27" s="12">
        <f t="shared" si="4"/>
        <v>43758</v>
      </c>
    </row>
    <row r="28" spans="2:13" x14ac:dyDescent="0.2">
      <c r="B28" s="10" t="s">
        <v>28</v>
      </c>
      <c r="C28" s="10"/>
      <c r="D28" s="9" t="s">
        <v>32</v>
      </c>
      <c r="E28" s="11">
        <v>42871</v>
      </c>
      <c r="F28" s="12">
        <v>10200</v>
      </c>
      <c r="G28" s="12"/>
      <c r="H28" s="12">
        <f t="shared" si="3"/>
        <v>204</v>
      </c>
      <c r="I28" s="10"/>
      <c r="J28" s="13">
        <v>0.02</v>
      </c>
      <c r="K28" s="12">
        <f t="shared" si="4"/>
        <v>10404</v>
      </c>
    </row>
    <row r="29" spans="2:13" x14ac:dyDescent="0.2">
      <c r="B29" s="10" t="s">
        <v>28</v>
      </c>
      <c r="C29" s="10"/>
      <c r="D29" s="9" t="s">
        <v>33</v>
      </c>
      <c r="E29" s="11">
        <v>42893</v>
      </c>
      <c r="F29" s="12">
        <v>20400</v>
      </c>
      <c r="G29" s="12"/>
      <c r="H29" s="12">
        <f t="shared" si="3"/>
        <v>408</v>
      </c>
      <c r="I29" s="10"/>
      <c r="J29" s="13">
        <v>0.02</v>
      </c>
      <c r="K29" s="12">
        <f t="shared" si="4"/>
        <v>20808</v>
      </c>
    </row>
    <row r="30" spans="2:13" x14ac:dyDescent="0.2">
      <c r="B30" s="10" t="s">
        <v>28</v>
      </c>
      <c r="C30" s="10"/>
      <c r="D30" s="9" t="s">
        <v>34</v>
      </c>
      <c r="E30" s="11">
        <v>42896</v>
      </c>
      <c r="F30" s="12">
        <v>4500</v>
      </c>
      <c r="G30" s="12"/>
      <c r="H30" s="12">
        <f t="shared" si="3"/>
        <v>90</v>
      </c>
      <c r="I30" s="10"/>
      <c r="J30" s="13">
        <v>0.02</v>
      </c>
      <c r="K30" s="12">
        <f t="shared" si="4"/>
        <v>4590</v>
      </c>
    </row>
    <row r="31" spans="2:13" x14ac:dyDescent="0.2">
      <c r="B31" s="10" t="s">
        <v>28</v>
      </c>
      <c r="C31" s="10"/>
      <c r="D31" s="9" t="s">
        <v>35</v>
      </c>
      <c r="E31" s="11">
        <v>42910</v>
      </c>
      <c r="F31" s="12">
        <v>29800</v>
      </c>
      <c r="G31" s="12"/>
      <c r="H31" s="12">
        <f t="shared" si="3"/>
        <v>596</v>
      </c>
      <c r="I31" s="10"/>
      <c r="J31" s="13">
        <v>0.02</v>
      </c>
      <c r="K31" s="12">
        <f t="shared" si="4"/>
        <v>30396</v>
      </c>
    </row>
    <row r="32" spans="2:13" x14ac:dyDescent="0.2">
      <c r="B32" s="10" t="s">
        <v>36</v>
      </c>
      <c r="C32" s="10"/>
      <c r="D32" s="9" t="s">
        <v>37</v>
      </c>
      <c r="E32" s="18">
        <v>42833</v>
      </c>
      <c r="F32" s="19">
        <v>29216.98</v>
      </c>
      <c r="G32" s="19">
        <v>1744.02</v>
      </c>
      <c r="H32" s="12"/>
      <c r="I32" s="10"/>
      <c r="J32" s="13">
        <v>0.06</v>
      </c>
      <c r="K32" s="12">
        <f t="shared" si="4"/>
        <v>30961</v>
      </c>
    </row>
    <row r="33" spans="2:11" x14ac:dyDescent="0.2">
      <c r="B33" s="10" t="s">
        <v>36</v>
      </c>
      <c r="C33" s="10"/>
      <c r="D33" s="9" t="s">
        <v>38</v>
      </c>
      <c r="E33" s="18">
        <v>42872</v>
      </c>
      <c r="F33" s="19">
        <v>24622.63</v>
      </c>
      <c r="G33" s="19">
        <v>1477.36</v>
      </c>
      <c r="H33" s="12"/>
      <c r="I33" s="10"/>
      <c r="J33" s="13">
        <v>0.06</v>
      </c>
      <c r="K33" s="12">
        <f t="shared" si="4"/>
        <v>26099.99</v>
      </c>
    </row>
    <row r="34" spans="2:11" x14ac:dyDescent="0.2">
      <c r="B34" s="10" t="s">
        <v>36</v>
      </c>
      <c r="C34" s="10"/>
      <c r="D34" s="9" t="s">
        <v>39</v>
      </c>
      <c r="E34" s="18">
        <v>42874</v>
      </c>
      <c r="F34" s="19">
        <f>26710.33-F35</f>
        <v>23810.33</v>
      </c>
      <c r="G34" s="19">
        <f>1428.62-G35</f>
        <v>1037.1199999999999</v>
      </c>
      <c r="H34" s="12"/>
      <c r="I34" s="10"/>
      <c r="J34" s="13">
        <v>0.06</v>
      </c>
      <c r="K34" s="12">
        <f t="shared" si="4"/>
        <v>24847.45</v>
      </c>
    </row>
    <row r="35" spans="2:11" x14ac:dyDescent="0.2">
      <c r="B35" s="10"/>
      <c r="C35" s="10"/>
      <c r="D35" s="9"/>
      <c r="E35" s="18"/>
      <c r="F35" s="19">
        <f>G35*100/13.5</f>
        <v>2900</v>
      </c>
      <c r="G35" s="19">
        <v>391.5</v>
      </c>
      <c r="H35" s="12"/>
      <c r="I35" s="10"/>
      <c r="J35" s="13">
        <v>0.13500000000000001</v>
      </c>
      <c r="K35" s="12">
        <f t="shared" si="4"/>
        <v>3291.5</v>
      </c>
    </row>
    <row r="36" spans="2:11" x14ac:dyDescent="0.2">
      <c r="B36" s="10" t="s">
        <v>36</v>
      </c>
      <c r="C36" s="10"/>
      <c r="D36" s="9" t="s">
        <v>40</v>
      </c>
      <c r="E36" s="20">
        <v>42886</v>
      </c>
      <c r="F36" s="19">
        <v>26428.29</v>
      </c>
      <c r="G36" s="19">
        <v>1585.7</v>
      </c>
      <c r="H36" s="12"/>
      <c r="I36" s="10"/>
      <c r="J36" s="13">
        <v>0.06</v>
      </c>
      <c r="K36" s="12">
        <f t="shared" si="4"/>
        <v>28013.99</v>
      </c>
    </row>
    <row r="37" spans="2:11" x14ac:dyDescent="0.2">
      <c r="B37" s="10" t="s">
        <v>36</v>
      </c>
      <c r="C37" s="10"/>
      <c r="D37" s="9" t="s">
        <v>41</v>
      </c>
      <c r="E37" s="20">
        <v>42887</v>
      </c>
      <c r="F37" s="19">
        <v>5122</v>
      </c>
      <c r="G37" s="19">
        <v>307.32</v>
      </c>
      <c r="H37" s="12"/>
      <c r="I37" s="10"/>
      <c r="J37" s="13">
        <v>0.06</v>
      </c>
      <c r="K37" s="12">
        <f t="shared" si="4"/>
        <v>5429.32</v>
      </c>
    </row>
    <row r="38" spans="2:11" x14ac:dyDescent="0.2">
      <c r="B38" s="10" t="s">
        <v>36</v>
      </c>
      <c r="C38" s="10"/>
      <c r="D38" s="9" t="s">
        <v>42</v>
      </c>
      <c r="E38" s="21">
        <v>42896</v>
      </c>
      <c r="F38" s="22">
        <v>3650</v>
      </c>
      <c r="G38" s="22">
        <f>+F38*13.5%</f>
        <v>492.75000000000006</v>
      </c>
      <c r="H38" s="12"/>
      <c r="I38" s="10"/>
      <c r="J38" s="13">
        <v>0.13500000000000001</v>
      </c>
      <c r="K38" s="12">
        <f t="shared" si="4"/>
        <v>4142.75</v>
      </c>
    </row>
    <row r="39" spans="2:11" x14ac:dyDescent="0.2">
      <c r="B39" s="10" t="s">
        <v>36</v>
      </c>
      <c r="C39" s="10"/>
      <c r="D39" s="9" t="s">
        <v>43</v>
      </c>
      <c r="E39" s="23">
        <v>42906</v>
      </c>
      <c r="F39" s="22">
        <v>1657.72</v>
      </c>
      <c r="G39" s="22">
        <v>99.46</v>
      </c>
      <c r="H39" s="12"/>
      <c r="I39" s="10"/>
      <c r="J39" s="13">
        <v>0.06</v>
      </c>
      <c r="K39" s="12">
        <f t="shared" si="4"/>
        <v>1757.18</v>
      </c>
    </row>
    <row r="40" spans="2:11" x14ac:dyDescent="0.2">
      <c r="B40" s="10" t="s">
        <v>36</v>
      </c>
      <c r="C40" s="10"/>
      <c r="D40" s="9" t="s">
        <v>44</v>
      </c>
      <c r="E40" s="21">
        <v>42916</v>
      </c>
      <c r="F40" s="12">
        <v>25000</v>
      </c>
      <c r="G40" s="12">
        <f>+F40*6%</f>
        <v>1500</v>
      </c>
      <c r="H40" s="12"/>
      <c r="I40" s="10"/>
      <c r="J40" s="13">
        <v>0.06</v>
      </c>
      <c r="K40" s="12">
        <f t="shared" si="4"/>
        <v>26500</v>
      </c>
    </row>
    <row r="41" spans="2:11" x14ac:dyDescent="0.2">
      <c r="B41" s="38" t="s">
        <v>25</v>
      </c>
      <c r="C41" s="39"/>
      <c r="D41" s="39"/>
      <c r="E41" s="40"/>
      <c r="F41" s="6">
        <f>SUM(F25:F40)</f>
        <v>321707.94999999995</v>
      </c>
      <c r="G41" s="6">
        <f t="shared" ref="G41:H41" si="5">SUM(G25:G40)</f>
        <v>8635.23</v>
      </c>
      <c r="H41" s="6">
        <f t="shared" si="5"/>
        <v>3586</v>
      </c>
      <c r="I41" s="5"/>
      <c r="J41" s="8"/>
      <c r="K41" s="6">
        <f t="shared" ref="K41" si="6">SUM(K25:K40)</f>
        <v>333929.18</v>
      </c>
    </row>
    <row r="43" spans="2:11" x14ac:dyDescent="0.2">
      <c r="D43" s="41" t="s">
        <v>45</v>
      </c>
      <c r="E43" s="41"/>
      <c r="F43" s="41"/>
      <c r="G43" s="24">
        <f>+G21-G41</f>
        <v>20393.27</v>
      </c>
    </row>
    <row r="44" spans="2:11" x14ac:dyDescent="0.2">
      <c r="D44" s="1" t="s">
        <v>46</v>
      </c>
      <c r="E44" s="1" t="s">
        <v>47</v>
      </c>
      <c r="F44" s="24"/>
      <c r="G44" s="24">
        <f>(G43*1.25%)+(G43*1.5%*2)</f>
        <v>866.713975</v>
      </c>
    </row>
    <row r="45" spans="2:11" x14ac:dyDescent="0.2">
      <c r="D45" s="41" t="s">
        <v>48</v>
      </c>
      <c r="E45" s="41"/>
      <c r="F45" s="41"/>
      <c r="G45" s="24">
        <v>5000</v>
      </c>
    </row>
    <row r="46" spans="2:11" x14ac:dyDescent="0.2">
      <c r="D46" s="41" t="s">
        <v>49</v>
      </c>
      <c r="E46" s="41"/>
      <c r="F46" s="41"/>
      <c r="G46" s="24">
        <f>SUM(G43:G45)</f>
        <v>26259.983974999999</v>
      </c>
    </row>
    <row r="84" spans="2:11" x14ac:dyDescent="0.2">
      <c r="B84" s="1" t="s">
        <v>50</v>
      </c>
    </row>
    <row r="85" spans="2:11" x14ac:dyDescent="0.2">
      <c r="B85" s="1"/>
    </row>
    <row r="86" spans="2:11" x14ac:dyDescent="0.2">
      <c r="B86" s="5" t="s">
        <v>1</v>
      </c>
      <c r="C86" s="5" t="s">
        <v>2</v>
      </c>
      <c r="D86" s="5" t="s">
        <v>3</v>
      </c>
      <c r="E86" s="5" t="s">
        <v>4</v>
      </c>
      <c r="F86" s="6" t="s">
        <v>5</v>
      </c>
      <c r="G86" s="6" t="s">
        <v>6</v>
      </c>
      <c r="H86" s="6" t="s">
        <v>7</v>
      </c>
      <c r="I86" s="7" t="s">
        <v>8</v>
      </c>
      <c r="J86" s="8" t="s">
        <v>9</v>
      </c>
      <c r="K86" s="6" t="s">
        <v>10</v>
      </c>
    </row>
    <row r="87" spans="2:11" x14ac:dyDescent="0.2">
      <c r="B87" s="10" t="s">
        <v>51</v>
      </c>
      <c r="C87" s="10"/>
      <c r="D87" s="10" t="s">
        <v>52</v>
      </c>
      <c r="E87" s="11">
        <v>42818</v>
      </c>
      <c r="F87" s="12">
        <v>1600</v>
      </c>
      <c r="G87" s="12">
        <f>+F87*15%</f>
        <v>240</v>
      </c>
      <c r="H87" s="12"/>
      <c r="I87" s="10" t="s">
        <v>16</v>
      </c>
      <c r="J87" s="13">
        <v>0.15</v>
      </c>
      <c r="K87" s="12">
        <f>+F87+G87</f>
        <v>1840</v>
      </c>
    </row>
    <row r="88" spans="2:11" x14ac:dyDescent="0.2">
      <c r="B88" s="10" t="s">
        <v>51</v>
      </c>
      <c r="C88" s="10"/>
      <c r="D88" s="10" t="s">
        <v>53</v>
      </c>
      <c r="E88" s="14">
        <v>42795</v>
      </c>
      <c r="F88" s="12">
        <v>2900</v>
      </c>
      <c r="G88" s="12">
        <f>+F88*15%</f>
        <v>435</v>
      </c>
      <c r="H88" s="12"/>
      <c r="I88" s="10" t="s">
        <v>16</v>
      </c>
      <c r="J88" s="13">
        <v>0.15</v>
      </c>
      <c r="K88" s="12">
        <f>+F88+G88</f>
        <v>3335</v>
      </c>
    </row>
    <row r="89" spans="2:11" x14ac:dyDescent="0.2">
      <c r="B89" s="9" t="s">
        <v>11</v>
      </c>
      <c r="C89" s="10"/>
      <c r="D89" s="9" t="s">
        <v>54</v>
      </c>
      <c r="E89" s="11">
        <v>42801</v>
      </c>
      <c r="F89" s="12">
        <v>2250</v>
      </c>
      <c r="G89" s="12"/>
      <c r="H89" s="12"/>
      <c r="I89" s="10" t="s">
        <v>16</v>
      </c>
      <c r="J89" s="13"/>
      <c r="K89" s="12">
        <f>+F89+G89</f>
        <v>2250</v>
      </c>
    </row>
    <row r="90" spans="2:11" x14ac:dyDescent="0.2">
      <c r="B90" s="10" t="s">
        <v>51</v>
      </c>
      <c r="C90" s="10"/>
      <c r="D90" s="9" t="s">
        <v>55</v>
      </c>
      <c r="E90" s="11">
        <v>42818</v>
      </c>
      <c r="F90" s="12">
        <v>2500</v>
      </c>
      <c r="G90" s="12">
        <f>+F90*15%</f>
        <v>375</v>
      </c>
      <c r="H90" s="12"/>
      <c r="I90" s="10" t="s">
        <v>16</v>
      </c>
      <c r="J90" s="13">
        <v>0.15</v>
      </c>
      <c r="K90" s="12">
        <f>+F90+G90</f>
        <v>2875</v>
      </c>
    </row>
    <row r="91" spans="2:11" x14ac:dyDescent="0.2">
      <c r="B91" s="10"/>
      <c r="C91" s="10"/>
      <c r="D91" s="10"/>
      <c r="E91" s="10"/>
      <c r="F91" s="12"/>
      <c r="G91" s="12"/>
      <c r="H91" s="12"/>
      <c r="I91" s="10"/>
      <c r="J91" s="13"/>
      <c r="K91" s="12"/>
    </row>
    <row r="92" spans="2:11" x14ac:dyDescent="0.2">
      <c r="B92" s="10"/>
      <c r="C92" s="10"/>
      <c r="D92" s="10"/>
      <c r="E92" s="10"/>
      <c r="F92" s="12"/>
      <c r="G92" s="12"/>
      <c r="H92" s="12"/>
      <c r="I92" s="10"/>
      <c r="J92" s="13"/>
      <c r="K92" s="12"/>
    </row>
  </sheetData>
  <mergeCells count="5">
    <mergeCell ref="B19:E19"/>
    <mergeCell ref="B41:E41"/>
    <mergeCell ref="D43:F43"/>
    <mergeCell ref="D45:F45"/>
    <mergeCell ref="D46:F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2"/>
  <sheetViews>
    <sheetView workbookViewId="0">
      <selection activeCell="C17" sqref="C17"/>
    </sheetView>
  </sheetViews>
  <sheetFormatPr defaultRowHeight="12.75" x14ac:dyDescent="0.2"/>
  <cols>
    <col min="1" max="1" width="9.140625" style="2"/>
    <col min="2" max="2" width="27.140625" style="2" bestFit="1" customWidth="1"/>
    <col min="3" max="3" width="12" style="2" bestFit="1" customWidth="1"/>
    <col min="4" max="4" width="18.85546875" style="2" bestFit="1" customWidth="1"/>
    <col min="5" max="5" width="12.28515625" style="2" bestFit="1" customWidth="1"/>
    <col min="6" max="6" width="12.85546875" style="3" bestFit="1" customWidth="1"/>
    <col min="7" max="8" width="10.28515625" style="3" bestFit="1" customWidth="1"/>
    <col min="9" max="9" width="14.28515625" style="2" bestFit="1" customWidth="1"/>
    <col min="10" max="10" width="9.140625" style="4"/>
    <col min="11" max="11" width="18.140625" style="3" bestFit="1" customWidth="1"/>
    <col min="12" max="12" width="9.140625" style="2"/>
    <col min="13" max="13" width="12.42578125" style="2" bestFit="1" customWidth="1"/>
    <col min="14" max="16384" width="9.140625" style="2"/>
  </cols>
  <sheetData>
    <row r="2" spans="2:13" x14ac:dyDescent="0.2">
      <c r="B2" s="1" t="s">
        <v>0</v>
      </c>
    </row>
    <row r="3" spans="2:13" x14ac:dyDescent="0.2">
      <c r="B3" s="1"/>
    </row>
    <row r="4" spans="2:13" x14ac:dyDescent="0.2">
      <c r="B4" s="5" t="s">
        <v>1</v>
      </c>
      <c r="C4" s="5" t="s">
        <v>2</v>
      </c>
      <c r="D4" s="5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7" t="s">
        <v>8</v>
      </c>
      <c r="J4" s="8" t="s">
        <v>9</v>
      </c>
      <c r="K4" s="6" t="s">
        <v>10</v>
      </c>
    </row>
    <row r="5" spans="2:13" x14ac:dyDescent="0.2">
      <c r="B5" s="9" t="s">
        <v>11</v>
      </c>
      <c r="C5" s="10" t="s">
        <v>57</v>
      </c>
      <c r="D5" s="9" t="s">
        <v>12</v>
      </c>
      <c r="E5" s="11">
        <v>42836</v>
      </c>
      <c r="F5" s="12">
        <v>1600</v>
      </c>
      <c r="G5" s="12">
        <f>+F5*6%</f>
        <v>96</v>
      </c>
      <c r="H5" s="12"/>
      <c r="I5" s="9" t="s">
        <v>13</v>
      </c>
      <c r="J5" s="13">
        <v>0.06</v>
      </c>
      <c r="K5" s="12">
        <f t="shared" ref="K5:K18" si="0">+F5+G5+H5</f>
        <v>1696</v>
      </c>
    </row>
    <row r="6" spans="2:13" x14ac:dyDescent="0.2">
      <c r="B6" s="9" t="s">
        <v>11</v>
      </c>
      <c r="C6" s="10" t="s">
        <v>57</v>
      </c>
      <c r="D6" s="9" t="s">
        <v>14</v>
      </c>
      <c r="E6" s="11">
        <v>42861</v>
      </c>
      <c r="F6" s="12">
        <v>33000</v>
      </c>
      <c r="G6" s="12">
        <f>+F6*6%</f>
        <v>1980</v>
      </c>
      <c r="H6" s="12">
        <f>9028+2475</f>
        <v>11503</v>
      </c>
      <c r="I6" s="9" t="s">
        <v>13</v>
      </c>
      <c r="J6" s="26">
        <v>0.13500000000000001</v>
      </c>
      <c r="K6" s="12">
        <f t="shared" si="0"/>
        <v>46483</v>
      </c>
      <c r="L6" s="17">
        <f>F6*6%</f>
        <v>1980</v>
      </c>
      <c r="M6" s="17">
        <f>+G6-L6</f>
        <v>0</v>
      </c>
    </row>
    <row r="7" spans="2:13" x14ac:dyDescent="0.2">
      <c r="B7" s="10"/>
      <c r="C7" s="10"/>
      <c r="D7" s="10"/>
      <c r="E7" s="10"/>
      <c r="F7" s="12">
        <f>(2000+11500+800)</f>
        <v>14300</v>
      </c>
      <c r="G7" s="12">
        <f>+F7*6%</f>
        <v>858</v>
      </c>
      <c r="H7" s="12"/>
      <c r="I7" s="9" t="s">
        <v>13</v>
      </c>
      <c r="J7" s="13">
        <v>0.06</v>
      </c>
      <c r="K7" s="12">
        <f t="shared" si="0"/>
        <v>15158</v>
      </c>
    </row>
    <row r="8" spans="2:13" x14ac:dyDescent="0.2">
      <c r="B8" s="9" t="s">
        <v>11</v>
      </c>
      <c r="C8" s="10" t="s">
        <v>57</v>
      </c>
      <c r="D8" s="10" t="s">
        <v>15</v>
      </c>
      <c r="E8" s="11">
        <v>42826</v>
      </c>
      <c r="F8" s="12">
        <v>4700</v>
      </c>
      <c r="G8" s="12">
        <f>+F8*6%</f>
        <v>282</v>
      </c>
      <c r="H8" s="12">
        <v>352.5</v>
      </c>
      <c r="I8" s="9" t="s">
        <v>13</v>
      </c>
      <c r="J8" s="26">
        <v>0.13500000000000001</v>
      </c>
      <c r="K8" s="12">
        <f t="shared" si="0"/>
        <v>5334.5</v>
      </c>
      <c r="L8" s="17">
        <f>F8*6%</f>
        <v>282</v>
      </c>
      <c r="M8" s="17">
        <f>+G8-L8</f>
        <v>0</v>
      </c>
    </row>
    <row r="9" spans="2:13" x14ac:dyDescent="0.2">
      <c r="B9" s="10"/>
      <c r="C9" s="10"/>
      <c r="D9" s="10"/>
      <c r="E9" s="10"/>
      <c r="F9" s="12">
        <f>1800</f>
        <v>1800</v>
      </c>
      <c r="G9" s="15">
        <f>F9*15%</f>
        <v>270</v>
      </c>
      <c r="H9" s="15"/>
      <c r="I9" s="16" t="s">
        <v>16</v>
      </c>
      <c r="J9" s="13">
        <v>0.15</v>
      </c>
      <c r="K9" s="12">
        <f t="shared" si="0"/>
        <v>2070</v>
      </c>
    </row>
    <row r="10" spans="2:13" x14ac:dyDescent="0.2">
      <c r="B10" s="10" t="s">
        <v>17</v>
      </c>
      <c r="C10" s="10">
        <v>27365277811</v>
      </c>
      <c r="D10" s="10" t="s">
        <v>18</v>
      </c>
      <c r="E10" s="11">
        <v>42889</v>
      </c>
      <c r="F10" s="12">
        <v>11000</v>
      </c>
      <c r="G10" s="12">
        <f t="shared" ref="G10:G16" si="1">+F10*6%</f>
        <v>660</v>
      </c>
      <c r="H10" s="12"/>
      <c r="I10" s="9" t="s">
        <v>13</v>
      </c>
      <c r="J10" s="13">
        <v>0.06</v>
      </c>
      <c r="K10" s="12">
        <f t="shared" si="0"/>
        <v>11660</v>
      </c>
    </row>
    <row r="11" spans="2:13" x14ac:dyDescent="0.2">
      <c r="B11" s="10" t="s">
        <v>17</v>
      </c>
      <c r="C11" s="10">
        <v>27365277811</v>
      </c>
      <c r="D11" s="10" t="s">
        <v>19</v>
      </c>
      <c r="E11" s="11">
        <v>42887</v>
      </c>
      <c r="F11" s="12">
        <v>3850</v>
      </c>
      <c r="G11" s="12">
        <f t="shared" si="1"/>
        <v>231</v>
      </c>
      <c r="H11" s="12"/>
      <c r="I11" s="9" t="s">
        <v>13</v>
      </c>
      <c r="J11" s="13">
        <v>0.06</v>
      </c>
      <c r="K11" s="12">
        <f t="shared" si="0"/>
        <v>4081</v>
      </c>
    </row>
    <row r="12" spans="2:13" x14ac:dyDescent="0.2">
      <c r="B12" s="10" t="s">
        <v>17</v>
      </c>
      <c r="C12" s="10">
        <v>27365277811</v>
      </c>
      <c r="D12" s="10" t="s">
        <v>20</v>
      </c>
      <c r="E12" s="11">
        <v>42889</v>
      </c>
      <c r="F12" s="12">
        <v>36500</v>
      </c>
      <c r="G12" s="12">
        <f t="shared" si="1"/>
        <v>2190</v>
      </c>
      <c r="H12" s="12"/>
      <c r="I12" s="9" t="s">
        <v>13</v>
      </c>
      <c r="J12" s="13">
        <v>0.06</v>
      </c>
      <c r="K12" s="12">
        <f t="shared" si="0"/>
        <v>38690</v>
      </c>
    </row>
    <row r="13" spans="2:13" x14ac:dyDescent="0.2">
      <c r="B13" s="10" t="s">
        <v>21</v>
      </c>
      <c r="C13" s="10" t="s">
        <v>57</v>
      </c>
      <c r="D13" s="10" t="s">
        <v>18</v>
      </c>
      <c r="E13" s="11">
        <v>42887</v>
      </c>
      <c r="F13" s="12">
        <f>14000+7500</f>
        <v>21500</v>
      </c>
      <c r="G13" s="12">
        <f t="shared" si="1"/>
        <v>1290</v>
      </c>
      <c r="H13" s="12">
        <v>1505</v>
      </c>
      <c r="I13" s="9" t="s">
        <v>13</v>
      </c>
      <c r="J13" s="26">
        <v>0.13</v>
      </c>
      <c r="K13" s="12">
        <f t="shared" si="0"/>
        <v>24295</v>
      </c>
      <c r="L13" s="17">
        <f>F13*6%</f>
        <v>1290</v>
      </c>
      <c r="M13" s="17">
        <f>+G13-L13</f>
        <v>0</v>
      </c>
    </row>
    <row r="14" spans="2:13" x14ac:dyDescent="0.2">
      <c r="B14" s="10"/>
      <c r="C14" s="10"/>
      <c r="D14" s="10"/>
      <c r="E14" s="10"/>
      <c r="F14" s="12">
        <f>(1600+800+1800+6000+5900+2000)</f>
        <v>18100</v>
      </c>
      <c r="G14" s="12">
        <f t="shared" si="1"/>
        <v>1086</v>
      </c>
      <c r="H14" s="12"/>
      <c r="I14" s="9" t="s">
        <v>13</v>
      </c>
      <c r="J14" s="13">
        <v>0.06</v>
      </c>
      <c r="K14" s="12">
        <f t="shared" si="0"/>
        <v>19186</v>
      </c>
    </row>
    <row r="15" spans="2:13" x14ac:dyDescent="0.2">
      <c r="B15" s="10" t="s">
        <v>21</v>
      </c>
      <c r="C15" s="10" t="s">
        <v>57</v>
      </c>
      <c r="D15" s="10" t="s">
        <v>22</v>
      </c>
      <c r="E15" s="11">
        <v>42877</v>
      </c>
      <c r="F15" s="12">
        <f>(38400+21000+16800+19800)</f>
        <v>96000</v>
      </c>
      <c r="G15" s="12">
        <f t="shared" si="1"/>
        <v>5760</v>
      </c>
      <c r="H15" s="12">
        <f>8000+7200</f>
        <v>15200</v>
      </c>
      <c r="I15" s="9" t="s">
        <v>13</v>
      </c>
      <c r="J15" s="26">
        <v>0.13500000000000001</v>
      </c>
      <c r="K15" s="12">
        <f t="shared" si="0"/>
        <v>116960</v>
      </c>
      <c r="L15" s="17">
        <f>F15*6%</f>
        <v>5760</v>
      </c>
      <c r="M15" s="17">
        <f>+G15-L15</f>
        <v>0</v>
      </c>
    </row>
    <row r="16" spans="2:13" x14ac:dyDescent="0.2">
      <c r="B16" s="10"/>
      <c r="C16" s="10"/>
      <c r="D16" s="10"/>
      <c r="E16" s="10"/>
      <c r="F16" s="12">
        <f>(4000+12000+12000+3850+3200)</f>
        <v>35050</v>
      </c>
      <c r="G16" s="12">
        <f t="shared" si="1"/>
        <v>2103</v>
      </c>
      <c r="H16" s="12"/>
      <c r="I16" s="9" t="s">
        <v>13</v>
      </c>
      <c r="J16" s="13">
        <v>0.06</v>
      </c>
      <c r="K16" s="12">
        <f t="shared" si="0"/>
        <v>37153</v>
      </c>
    </row>
    <row r="17" spans="2:13" x14ac:dyDescent="0.2">
      <c r="B17" s="10" t="s">
        <v>23</v>
      </c>
      <c r="C17" s="10"/>
      <c r="D17" s="10" t="s">
        <v>24</v>
      </c>
      <c r="E17" s="11">
        <v>42880</v>
      </c>
      <c r="F17" s="12">
        <f>+(4000+2000)</f>
        <v>6000</v>
      </c>
      <c r="G17" s="15">
        <f>+F17*15%</f>
        <v>900</v>
      </c>
      <c r="H17" s="15"/>
      <c r="I17" s="16" t="s">
        <v>16</v>
      </c>
      <c r="J17" s="13">
        <v>0.15</v>
      </c>
      <c r="K17" s="12">
        <f t="shared" si="0"/>
        <v>6900</v>
      </c>
    </row>
    <row r="18" spans="2:13" x14ac:dyDescent="0.2">
      <c r="B18" s="10"/>
      <c r="C18" s="10"/>
      <c r="D18" s="10"/>
      <c r="E18" s="10"/>
      <c r="F18" s="12">
        <v>16000</v>
      </c>
      <c r="G18" s="12">
        <f>+F18*6%</f>
        <v>960</v>
      </c>
      <c r="H18" s="12"/>
      <c r="I18" s="9" t="s">
        <v>13</v>
      </c>
      <c r="J18" s="13">
        <v>0.06</v>
      </c>
      <c r="K18" s="12">
        <f t="shared" si="0"/>
        <v>16960</v>
      </c>
    </row>
    <row r="19" spans="2:13" x14ac:dyDescent="0.2">
      <c r="B19" s="38" t="s">
        <v>25</v>
      </c>
      <c r="C19" s="39"/>
      <c r="D19" s="39"/>
      <c r="E19" s="40"/>
      <c r="F19" s="6">
        <f>SUM(F5:F18)</f>
        <v>299400</v>
      </c>
      <c r="G19" s="6">
        <f t="shared" ref="G19:H19" si="2">SUM(G5:G18)</f>
        <v>18666</v>
      </c>
      <c r="H19" s="6">
        <f t="shared" si="2"/>
        <v>28560.5</v>
      </c>
      <c r="I19" s="5"/>
      <c r="J19" s="8"/>
      <c r="K19" s="6">
        <f t="shared" ref="K19" si="3">SUM(K5:K18)</f>
        <v>346626.5</v>
      </c>
      <c r="M19" s="17">
        <f>K19*4</f>
        <v>1386506</v>
      </c>
    </row>
    <row r="21" spans="2:13" x14ac:dyDescent="0.2">
      <c r="G21" s="3">
        <f>G19-G17-G9</f>
        <v>17496</v>
      </c>
    </row>
    <row r="22" spans="2:13" x14ac:dyDescent="0.2">
      <c r="B22" s="1" t="s">
        <v>26</v>
      </c>
    </row>
    <row r="23" spans="2:13" x14ac:dyDescent="0.2">
      <c r="B23" s="1"/>
    </row>
    <row r="24" spans="2:13" x14ac:dyDescent="0.2">
      <c r="B24" s="5" t="s">
        <v>1</v>
      </c>
      <c r="C24" s="5" t="s">
        <v>2</v>
      </c>
      <c r="D24" s="5" t="s">
        <v>3</v>
      </c>
      <c r="E24" s="5" t="s">
        <v>4</v>
      </c>
      <c r="F24" s="6" t="s">
        <v>5</v>
      </c>
      <c r="G24" s="6" t="s">
        <v>6</v>
      </c>
      <c r="H24" s="6" t="s">
        <v>27</v>
      </c>
      <c r="I24" s="7" t="s">
        <v>8</v>
      </c>
      <c r="J24" s="8" t="s">
        <v>9</v>
      </c>
      <c r="K24" s="6" t="s">
        <v>10</v>
      </c>
    </row>
    <row r="25" spans="2:13" x14ac:dyDescent="0.2">
      <c r="B25" s="10" t="s">
        <v>28</v>
      </c>
      <c r="C25" s="25"/>
      <c r="D25" s="10" t="s">
        <v>29</v>
      </c>
      <c r="E25" s="11">
        <v>42828</v>
      </c>
      <c r="F25" s="12">
        <v>11100</v>
      </c>
      <c r="G25" s="12"/>
      <c r="H25" s="12">
        <f>+F25*2%</f>
        <v>222</v>
      </c>
      <c r="I25" s="10"/>
      <c r="J25" s="13">
        <v>0.02</v>
      </c>
      <c r="K25" s="12">
        <f>+F25+H25+G25</f>
        <v>11322</v>
      </c>
    </row>
    <row r="26" spans="2:13" x14ac:dyDescent="0.2">
      <c r="B26" s="10" t="s">
        <v>28</v>
      </c>
      <c r="C26" s="10"/>
      <c r="D26" s="10" t="s">
        <v>30</v>
      </c>
      <c r="E26" s="11">
        <v>42846</v>
      </c>
      <c r="F26" s="12">
        <v>60400</v>
      </c>
      <c r="G26" s="12"/>
      <c r="H26" s="12">
        <f t="shared" ref="H26:H31" si="4">+F26*2%</f>
        <v>1208</v>
      </c>
      <c r="I26" s="10"/>
      <c r="J26" s="13">
        <v>0.02</v>
      </c>
      <c r="K26" s="12">
        <f t="shared" ref="K26:K40" si="5">+F26+H26+G26</f>
        <v>61608</v>
      </c>
    </row>
    <row r="27" spans="2:13" x14ac:dyDescent="0.2">
      <c r="B27" s="10" t="s">
        <v>28</v>
      </c>
      <c r="C27" s="10"/>
      <c r="D27" s="9" t="s">
        <v>31</v>
      </c>
      <c r="E27" s="11">
        <v>42849</v>
      </c>
      <c r="F27" s="12">
        <v>42900</v>
      </c>
      <c r="G27" s="12"/>
      <c r="H27" s="12">
        <f t="shared" si="4"/>
        <v>858</v>
      </c>
      <c r="I27" s="10"/>
      <c r="J27" s="13">
        <v>0.02</v>
      </c>
      <c r="K27" s="12">
        <f t="shared" si="5"/>
        <v>43758</v>
      </c>
    </row>
    <row r="28" spans="2:13" x14ac:dyDescent="0.2">
      <c r="B28" s="10" t="s">
        <v>28</v>
      </c>
      <c r="C28" s="10"/>
      <c r="D28" s="9" t="s">
        <v>32</v>
      </c>
      <c r="E28" s="11">
        <v>42871</v>
      </c>
      <c r="F28" s="12">
        <v>10200</v>
      </c>
      <c r="G28" s="12"/>
      <c r="H28" s="12">
        <f t="shared" si="4"/>
        <v>204</v>
      </c>
      <c r="I28" s="10"/>
      <c r="J28" s="13">
        <v>0.02</v>
      </c>
      <c r="K28" s="12">
        <f t="shared" si="5"/>
        <v>10404</v>
      </c>
    </row>
    <row r="29" spans="2:13" x14ac:dyDescent="0.2">
      <c r="B29" s="10" t="s">
        <v>28</v>
      </c>
      <c r="C29" s="10"/>
      <c r="D29" s="9" t="s">
        <v>33</v>
      </c>
      <c r="E29" s="11">
        <v>42893</v>
      </c>
      <c r="F29" s="12">
        <v>20400</v>
      </c>
      <c r="G29" s="12"/>
      <c r="H29" s="12">
        <f t="shared" si="4"/>
        <v>408</v>
      </c>
      <c r="I29" s="10"/>
      <c r="J29" s="13">
        <v>0.02</v>
      </c>
      <c r="K29" s="12">
        <f t="shared" si="5"/>
        <v>20808</v>
      </c>
    </row>
    <row r="30" spans="2:13" x14ac:dyDescent="0.2">
      <c r="B30" s="10" t="s">
        <v>28</v>
      </c>
      <c r="C30" s="10"/>
      <c r="D30" s="9" t="s">
        <v>34</v>
      </c>
      <c r="E30" s="11">
        <v>42896</v>
      </c>
      <c r="F30" s="12">
        <v>4500</v>
      </c>
      <c r="G30" s="12"/>
      <c r="H30" s="12">
        <f t="shared" si="4"/>
        <v>90</v>
      </c>
      <c r="I30" s="10"/>
      <c r="J30" s="13">
        <v>0.02</v>
      </c>
      <c r="K30" s="12">
        <f t="shared" si="5"/>
        <v>4590</v>
      </c>
    </row>
    <row r="31" spans="2:13" x14ac:dyDescent="0.2">
      <c r="B31" s="10" t="s">
        <v>28</v>
      </c>
      <c r="C31" s="10"/>
      <c r="D31" s="9" t="s">
        <v>35</v>
      </c>
      <c r="E31" s="11">
        <v>42910</v>
      </c>
      <c r="F31" s="12">
        <v>29800</v>
      </c>
      <c r="G31" s="12"/>
      <c r="H31" s="12">
        <f t="shared" si="4"/>
        <v>596</v>
      </c>
      <c r="I31" s="10"/>
      <c r="J31" s="13">
        <v>0.02</v>
      </c>
      <c r="K31" s="12">
        <f t="shared" si="5"/>
        <v>30396</v>
      </c>
    </row>
    <row r="32" spans="2:13" x14ac:dyDescent="0.2">
      <c r="B32" s="10" t="s">
        <v>36</v>
      </c>
      <c r="C32" s="10"/>
      <c r="D32" s="9" t="s">
        <v>37</v>
      </c>
      <c r="E32" s="18">
        <v>42833</v>
      </c>
      <c r="F32" s="35">
        <v>29216.98</v>
      </c>
      <c r="G32" s="35">
        <v>1744.02</v>
      </c>
      <c r="H32" s="36"/>
      <c r="I32" s="37"/>
      <c r="J32" s="26">
        <v>0.06</v>
      </c>
      <c r="K32" s="12">
        <f t="shared" si="5"/>
        <v>30961</v>
      </c>
    </row>
    <row r="33" spans="2:11" x14ac:dyDescent="0.2">
      <c r="B33" s="10" t="s">
        <v>36</v>
      </c>
      <c r="C33" s="10"/>
      <c r="D33" s="9" t="s">
        <v>38</v>
      </c>
      <c r="E33" s="18">
        <v>42872</v>
      </c>
      <c r="F33" s="19">
        <v>24622.63</v>
      </c>
      <c r="G33" s="19">
        <v>1477.36</v>
      </c>
      <c r="H33" s="12"/>
      <c r="I33" s="10"/>
      <c r="J33" s="13">
        <v>0.06</v>
      </c>
      <c r="K33" s="12">
        <f t="shared" si="5"/>
        <v>26099.99</v>
      </c>
    </row>
    <row r="34" spans="2:11" x14ac:dyDescent="0.2">
      <c r="B34" s="10" t="s">
        <v>36</v>
      </c>
      <c r="C34" s="10"/>
      <c r="D34" s="9" t="s">
        <v>39</v>
      </c>
      <c r="E34" s="18">
        <v>42874</v>
      </c>
      <c r="F34" s="35">
        <f>26710.33-F35</f>
        <v>23810.33</v>
      </c>
      <c r="G34" s="35">
        <f>1428.62-G35</f>
        <v>1037.1199999999999</v>
      </c>
      <c r="H34" s="36"/>
      <c r="I34" s="37"/>
      <c r="J34" s="26">
        <v>0.06</v>
      </c>
      <c r="K34" s="12">
        <f t="shared" si="5"/>
        <v>24847.45</v>
      </c>
    </row>
    <row r="35" spans="2:11" x14ac:dyDescent="0.2">
      <c r="B35" s="10"/>
      <c r="C35" s="10"/>
      <c r="D35" s="9"/>
      <c r="E35" s="18"/>
      <c r="F35" s="19">
        <f>G35*100/13.5</f>
        <v>2900</v>
      </c>
      <c r="G35" s="19">
        <v>391.5</v>
      </c>
      <c r="H35" s="12"/>
      <c r="I35" s="10"/>
      <c r="J35" s="13">
        <v>0.13500000000000001</v>
      </c>
      <c r="K35" s="12">
        <f t="shared" si="5"/>
        <v>3291.5</v>
      </c>
    </row>
    <row r="36" spans="2:11" x14ac:dyDescent="0.2">
      <c r="B36" s="10" t="s">
        <v>36</v>
      </c>
      <c r="C36" s="10"/>
      <c r="D36" s="9" t="s">
        <v>40</v>
      </c>
      <c r="E36" s="20">
        <v>42886</v>
      </c>
      <c r="F36" s="19">
        <v>26428.29</v>
      </c>
      <c r="G36" s="19">
        <v>1585.7</v>
      </c>
      <c r="H36" s="12"/>
      <c r="I36" s="10"/>
      <c r="J36" s="13">
        <v>0.06</v>
      </c>
      <c r="K36" s="12">
        <f t="shared" si="5"/>
        <v>28013.99</v>
      </c>
    </row>
    <row r="37" spans="2:11" x14ac:dyDescent="0.2">
      <c r="B37" s="10" t="s">
        <v>36</v>
      </c>
      <c r="C37" s="10"/>
      <c r="D37" s="9" t="s">
        <v>41</v>
      </c>
      <c r="E37" s="20">
        <v>42887</v>
      </c>
      <c r="F37" s="19">
        <v>5122</v>
      </c>
      <c r="G37" s="19">
        <v>307.32</v>
      </c>
      <c r="H37" s="12"/>
      <c r="I37" s="10"/>
      <c r="J37" s="13">
        <v>0.06</v>
      </c>
      <c r="K37" s="12">
        <f t="shared" si="5"/>
        <v>5429.32</v>
      </c>
    </row>
    <row r="38" spans="2:11" x14ac:dyDescent="0.2">
      <c r="B38" s="10" t="s">
        <v>36</v>
      </c>
      <c r="C38" s="10"/>
      <c r="D38" s="9" t="s">
        <v>42</v>
      </c>
      <c r="E38" s="21">
        <v>42896</v>
      </c>
      <c r="F38" s="22">
        <v>3650</v>
      </c>
      <c r="G38" s="22">
        <f>+F38*13.5%</f>
        <v>492.75000000000006</v>
      </c>
      <c r="H38" s="12"/>
      <c r="I38" s="10"/>
      <c r="J38" s="13">
        <v>0.13500000000000001</v>
      </c>
      <c r="K38" s="12">
        <f t="shared" si="5"/>
        <v>4142.75</v>
      </c>
    </row>
    <row r="39" spans="2:11" x14ac:dyDescent="0.2">
      <c r="B39" s="10" t="s">
        <v>36</v>
      </c>
      <c r="C39" s="10"/>
      <c r="D39" s="9" t="s">
        <v>43</v>
      </c>
      <c r="E39" s="23">
        <v>42906</v>
      </c>
      <c r="F39" s="22">
        <v>1657.72</v>
      </c>
      <c r="G39" s="22">
        <v>99.46</v>
      </c>
      <c r="H39" s="12"/>
      <c r="I39" s="10"/>
      <c r="J39" s="13">
        <v>0.06</v>
      </c>
      <c r="K39" s="12">
        <f t="shared" si="5"/>
        <v>1757.18</v>
      </c>
    </row>
    <row r="40" spans="2:11" x14ac:dyDescent="0.2">
      <c r="B40" s="10" t="s">
        <v>36</v>
      </c>
      <c r="C40" s="10"/>
      <c r="D40" s="9" t="s">
        <v>44</v>
      </c>
      <c r="E40" s="21">
        <v>42916</v>
      </c>
      <c r="F40" s="12">
        <v>25000</v>
      </c>
      <c r="G40" s="12">
        <f>+F40*6%</f>
        <v>1500</v>
      </c>
      <c r="H40" s="12"/>
      <c r="I40" s="10"/>
      <c r="J40" s="13">
        <v>0.06</v>
      </c>
      <c r="K40" s="12">
        <f t="shared" si="5"/>
        <v>26500</v>
      </c>
    </row>
    <row r="41" spans="2:11" x14ac:dyDescent="0.2">
      <c r="B41" s="38" t="s">
        <v>25</v>
      </c>
      <c r="C41" s="39"/>
      <c r="D41" s="39"/>
      <c r="E41" s="40"/>
      <c r="F41" s="6">
        <f>SUM(F25:F40)</f>
        <v>321707.94999999995</v>
      </c>
      <c r="G41" s="6">
        <f t="shared" ref="G41:H41" si="6">SUM(G25:G40)</f>
        <v>8635.23</v>
      </c>
      <c r="H41" s="6">
        <f t="shared" si="6"/>
        <v>3586</v>
      </c>
      <c r="I41" s="5"/>
      <c r="J41" s="8"/>
      <c r="K41" s="6">
        <f t="shared" ref="K41" si="7">SUM(K25:K40)</f>
        <v>333929.18</v>
      </c>
    </row>
    <row r="43" spans="2:11" x14ac:dyDescent="0.2">
      <c r="D43" s="41" t="s">
        <v>45</v>
      </c>
      <c r="E43" s="41"/>
      <c r="F43" s="41"/>
      <c r="G43" s="24">
        <f>+G21-G41</f>
        <v>8860.77</v>
      </c>
    </row>
    <row r="44" spans="2:11" x14ac:dyDescent="0.2">
      <c r="D44" s="1" t="s">
        <v>46</v>
      </c>
      <c r="E44" s="1" t="s">
        <v>47</v>
      </c>
      <c r="F44" s="24"/>
      <c r="G44" s="24">
        <f>(G43*1.25%)+(G43*1.5%*2)</f>
        <v>376.58272500000004</v>
      </c>
    </row>
    <row r="45" spans="2:11" x14ac:dyDescent="0.2">
      <c r="D45" s="41" t="s">
        <v>48</v>
      </c>
      <c r="E45" s="41"/>
      <c r="F45" s="41"/>
      <c r="G45" s="24">
        <v>5000</v>
      </c>
    </row>
    <row r="46" spans="2:11" x14ac:dyDescent="0.2">
      <c r="D46" s="41" t="s">
        <v>49</v>
      </c>
      <c r="E46" s="41"/>
      <c r="F46" s="41"/>
      <c r="G46" s="24">
        <f>SUM(G43:G45)</f>
        <v>14237.352725000001</v>
      </c>
    </row>
    <row r="47" spans="2:11" x14ac:dyDescent="0.2">
      <c r="E47" s="1" t="s">
        <v>56</v>
      </c>
      <c r="F47" s="24"/>
      <c r="G47" s="24">
        <v>2500</v>
      </c>
    </row>
    <row r="48" spans="2:11" x14ac:dyDescent="0.2">
      <c r="E48" s="1" t="s">
        <v>25</v>
      </c>
      <c r="F48" s="24"/>
      <c r="G48" s="24">
        <f>+G47+G46</f>
        <v>16737.352725000001</v>
      </c>
    </row>
    <row r="84" spans="2:11" x14ac:dyDescent="0.2">
      <c r="B84" s="1" t="s">
        <v>50</v>
      </c>
    </row>
    <row r="85" spans="2:11" x14ac:dyDescent="0.2">
      <c r="B85" s="1"/>
    </row>
    <row r="86" spans="2:11" x14ac:dyDescent="0.2">
      <c r="B86" s="5" t="s">
        <v>1</v>
      </c>
      <c r="C86" s="5" t="s">
        <v>2</v>
      </c>
      <c r="D86" s="5" t="s">
        <v>3</v>
      </c>
      <c r="E86" s="5" t="s">
        <v>4</v>
      </c>
      <c r="F86" s="6" t="s">
        <v>5</v>
      </c>
      <c r="G86" s="6" t="s">
        <v>6</v>
      </c>
      <c r="H86" s="6" t="s">
        <v>7</v>
      </c>
      <c r="I86" s="7" t="s">
        <v>8</v>
      </c>
      <c r="J86" s="8" t="s">
        <v>9</v>
      </c>
      <c r="K86" s="6" t="s">
        <v>10</v>
      </c>
    </row>
    <row r="87" spans="2:11" x14ac:dyDescent="0.2">
      <c r="B87" s="10" t="s">
        <v>51</v>
      </c>
      <c r="C87" s="10"/>
      <c r="D87" s="10" t="s">
        <v>52</v>
      </c>
      <c r="E87" s="11">
        <v>42818</v>
      </c>
      <c r="F87" s="12">
        <v>1600</v>
      </c>
      <c r="G87" s="12">
        <f>+F87*15%</f>
        <v>240</v>
      </c>
      <c r="H87" s="12"/>
      <c r="I87" s="10" t="s">
        <v>16</v>
      </c>
      <c r="J87" s="13">
        <v>0.15</v>
      </c>
      <c r="K87" s="12">
        <f>+F87+G87</f>
        <v>1840</v>
      </c>
    </row>
    <row r="88" spans="2:11" x14ac:dyDescent="0.2">
      <c r="B88" s="10" t="s">
        <v>51</v>
      </c>
      <c r="C88" s="10"/>
      <c r="D88" s="10" t="s">
        <v>53</v>
      </c>
      <c r="E88" s="14">
        <v>42795</v>
      </c>
      <c r="F88" s="12">
        <v>2900</v>
      </c>
      <c r="G88" s="12">
        <f>+F88*15%</f>
        <v>435</v>
      </c>
      <c r="H88" s="12"/>
      <c r="I88" s="10" t="s">
        <v>16</v>
      </c>
      <c r="J88" s="13">
        <v>0.15</v>
      </c>
      <c r="K88" s="12">
        <f>+F88+G88</f>
        <v>3335</v>
      </c>
    </row>
    <row r="89" spans="2:11" x14ac:dyDescent="0.2">
      <c r="B89" s="9" t="s">
        <v>11</v>
      </c>
      <c r="C89" s="10"/>
      <c r="D89" s="9" t="s">
        <v>54</v>
      </c>
      <c r="E89" s="11">
        <v>42801</v>
      </c>
      <c r="F89" s="12">
        <v>2250</v>
      </c>
      <c r="G89" s="12"/>
      <c r="H89" s="12"/>
      <c r="I89" s="10" t="s">
        <v>16</v>
      </c>
      <c r="J89" s="13"/>
      <c r="K89" s="12">
        <f>+F89+G89</f>
        <v>2250</v>
      </c>
    </row>
    <row r="90" spans="2:11" x14ac:dyDescent="0.2">
      <c r="B90" s="10" t="s">
        <v>51</v>
      </c>
      <c r="C90" s="10"/>
      <c r="D90" s="9" t="s">
        <v>55</v>
      </c>
      <c r="E90" s="11">
        <v>42818</v>
      </c>
      <c r="F90" s="12">
        <v>2500</v>
      </c>
      <c r="G90" s="12">
        <f>+F90*15%</f>
        <v>375</v>
      </c>
      <c r="H90" s="12"/>
      <c r="I90" s="10" t="s">
        <v>16</v>
      </c>
      <c r="J90" s="13">
        <v>0.15</v>
      </c>
      <c r="K90" s="12">
        <f>+F90+G90</f>
        <v>2875</v>
      </c>
    </row>
    <row r="91" spans="2:11" x14ac:dyDescent="0.2">
      <c r="B91" s="10"/>
      <c r="C91" s="10"/>
      <c r="D91" s="10"/>
      <c r="E91" s="10"/>
      <c r="F91" s="12"/>
      <c r="G91" s="12"/>
      <c r="H91" s="12"/>
      <c r="I91" s="10"/>
      <c r="J91" s="13"/>
      <c r="K91" s="12"/>
    </row>
    <row r="92" spans="2:11" x14ac:dyDescent="0.2">
      <c r="B92" s="10"/>
      <c r="C92" s="10"/>
      <c r="D92" s="10"/>
      <c r="E92" s="10"/>
      <c r="F92" s="12"/>
      <c r="G92" s="12"/>
      <c r="H92" s="12"/>
      <c r="I92" s="10"/>
      <c r="J92" s="13"/>
      <c r="K92" s="12"/>
    </row>
  </sheetData>
  <mergeCells count="5">
    <mergeCell ref="B19:E19"/>
    <mergeCell ref="B41:E41"/>
    <mergeCell ref="D43:F43"/>
    <mergeCell ref="D45:F45"/>
    <mergeCell ref="D46:F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"/>
  <sheetViews>
    <sheetView topLeftCell="D1" workbookViewId="0">
      <selection activeCell="N3" sqref="N3"/>
    </sheetView>
  </sheetViews>
  <sheetFormatPr defaultRowHeight="15" x14ac:dyDescent="0.25"/>
  <cols>
    <col min="2" max="2" width="18" bestFit="1" customWidth="1"/>
    <col min="3" max="3" width="13.7109375" bestFit="1" customWidth="1"/>
    <col min="4" max="4" width="12" bestFit="1" customWidth="1"/>
    <col min="5" max="5" width="43.28515625" bestFit="1" customWidth="1"/>
    <col min="6" max="7" width="13.7109375" bestFit="1" customWidth="1"/>
    <col min="8" max="8" width="16" bestFit="1" customWidth="1"/>
    <col min="9" max="9" width="13.7109375" bestFit="1" customWidth="1"/>
    <col min="10" max="10" width="16" bestFit="1" customWidth="1"/>
    <col min="11" max="11" width="13.7109375" bestFit="1" customWidth="1"/>
    <col min="12" max="12" width="7.85546875" bestFit="1" customWidth="1"/>
    <col min="13" max="13" width="13.7109375" bestFit="1" customWidth="1"/>
    <col min="14" max="14" width="10.5703125" bestFit="1" customWidth="1"/>
    <col min="15" max="15" width="11.28515625" bestFit="1" customWidth="1"/>
  </cols>
  <sheetData>
    <row r="2" spans="1:16" x14ac:dyDescent="0.25">
      <c r="A2" s="28" t="s">
        <v>58</v>
      </c>
      <c r="B2" s="29" t="s">
        <v>59</v>
      </c>
      <c r="C2" s="29" t="s">
        <v>60</v>
      </c>
      <c r="D2" s="29" t="s">
        <v>68</v>
      </c>
      <c r="E2" s="29" t="s">
        <v>61</v>
      </c>
      <c r="F2" s="29" t="s">
        <v>62</v>
      </c>
      <c r="G2" s="29" t="s">
        <v>64</v>
      </c>
      <c r="H2" s="29" t="s">
        <v>65</v>
      </c>
      <c r="I2" s="29" t="s">
        <v>66</v>
      </c>
      <c r="J2" s="29" t="s">
        <v>67</v>
      </c>
      <c r="K2" s="29" t="s">
        <v>63</v>
      </c>
      <c r="L2" s="29" t="s">
        <v>7</v>
      </c>
      <c r="M2" s="34" t="s">
        <v>70</v>
      </c>
      <c r="N2" s="34" t="s">
        <v>71</v>
      </c>
      <c r="O2" s="34" t="s">
        <v>72</v>
      </c>
      <c r="P2" s="34" t="s">
        <v>73</v>
      </c>
    </row>
    <row r="3" spans="1:16" x14ac:dyDescent="0.25">
      <c r="A3" s="30">
        <v>1</v>
      </c>
      <c r="B3" s="9" t="s">
        <v>12</v>
      </c>
      <c r="C3" s="11">
        <v>42836</v>
      </c>
      <c r="D3" s="30" t="s">
        <v>57</v>
      </c>
      <c r="E3" s="9" t="s">
        <v>11</v>
      </c>
      <c r="F3" s="12">
        <v>1696</v>
      </c>
      <c r="G3" s="33"/>
      <c r="H3" s="33"/>
      <c r="I3" s="33">
        <f>F3*100/106</f>
        <v>1600</v>
      </c>
      <c r="J3" s="33">
        <f>I3*6%</f>
        <v>96</v>
      </c>
      <c r="K3" s="33">
        <v>0</v>
      </c>
      <c r="L3" s="33"/>
      <c r="M3" s="27">
        <f>G3+I3</f>
        <v>1600</v>
      </c>
      <c r="N3" s="27">
        <f>H3+J3</f>
        <v>96</v>
      </c>
      <c r="O3" s="27">
        <f>K3</f>
        <v>0</v>
      </c>
    </row>
    <row r="4" spans="1:16" x14ac:dyDescent="0.25">
      <c r="A4" s="30">
        <v>2</v>
      </c>
      <c r="B4" s="9" t="s">
        <v>14</v>
      </c>
      <c r="C4" s="11">
        <v>42861</v>
      </c>
      <c r="D4" s="30" t="s">
        <v>57</v>
      </c>
      <c r="E4" s="9" t="s">
        <v>11</v>
      </c>
      <c r="F4" s="12">
        <v>61641</v>
      </c>
      <c r="G4" s="33"/>
      <c r="H4" s="33"/>
      <c r="I4" s="33">
        <v>47300</v>
      </c>
      <c r="J4" s="33">
        <f>I4*6%</f>
        <v>2838</v>
      </c>
      <c r="K4" s="33">
        <f>11503</f>
        <v>11503</v>
      </c>
      <c r="L4" s="33"/>
      <c r="M4" s="27">
        <f t="shared" ref="M4:M14" si="0">G4+I4</f>
        <v>47300</v>
      </c>
      <c r="N4" s="27">
        <f t="shared" ref="N4:N14" si="1">H4+J4</f>
        <v>2838</v>
      </c>
      <c r="O4" s="27">
        <f t="shared" ref="O4:O14" si="2">K4</f>
        <v>11503</v>
      </c>
    </row>
    <row r="5" spans="1:16" x14ac:dyDescent="0.25">
      <c r="A5" s="30">
        <v>3</v>
      </c>
      <c r="B5" s="10" t="s">
        <v>15</v>
      </c>
      <c r="C5" s="11">
        <v>42826</v>
      </c>
      <c r="D5" s="30" t="s">
        <v>57</v>
      </c>
      <c r="E5" s="9" t="s">
        <v>11</v>
      </c>
      <c r="F5" s="12">
        <v>5334.5</v>
      </c>
      <c r="G5" s="33"/>
      <c r="H5" s="33">
        <f>G5*13.5%</f>
        <v>0</v>
      </c>
      <c r="I5" s="33">
        <v>4700</v>
      </c>
      <c r="J5" s="33">
        <f>I5*6%</f>
        <v>282</v>
      </c>
      <c r="K5" s="33">
        <v>352.5</v>
      </c>
      <c r="L5" s="33"/>
      <c r="M5" s="27">
        <f t="shared" si="0"/>
        <v>4700</v>
      </c>
      <c r="N5" s="27">
        <f t="shared" si="1"/>
        <v>282</v>
      </c>
      <c r="O5" s="27">
        <f t="shared" si="2"/>
        <v>352.5</v>
      </c>
    </row>
    <row r="6" spans="1:16" x14ac:dyDescent="0.25">
      <c r="A6" s="30">
        <v>4</v>
      </c>
      <c r="B6" s="10" t="s">
        <v>18</v>
      </c>
      <c r="C6" s="11">
        <v>42889</v>
      </c>
      <c r="D6" s="10">
        <v>27365277811</v>
      </c>
      <c r="E6" s="10" t="s">
        <v>17</v>
      </c>
      <c r="F6" s="12">
        <v>11660</v>
      </c>
      <c r="G6" s="33"/>
      <c r="H6" s="33"/>
      <c r="I6" s="33">
        <f>F6*100/106</f>
        <v>11000</v>
      </c>
      <c r="J6" s="33">
        <f>I6*6%</f>
        <v>660</v>
      </c>
      <c r="K6" s="33">
        <v>0</v>
      </c>
      <c r="L6" s="33"/>
      <c r="M6" s="27">
        <f t="shared" si="0"/>
        <v>11000</v>
      </c>
      <c r="N6" s="27">
        <f t="shared" si="1"/>
        <v>660</v>
      </c>
      <c r="O6" s="27">
        <f t="shared" si="2"/>
        <v>0</v>
      </c>
    </row>
    <row r="7" spans="1:16" x14ac:dyDescent="0.25">
      <c r="A7" s="30">
        <v>5</v>
      </c>
      <c r="B7" s="10" t="s">
        <v>19</v>
      </c>
      <c r="C7" s="11">
        <v>42887</v>
      </c>
      <c r="D7" s="10">
        <v>27365277811</v>
      </c>
      <c r="E7" s="10" t="s">
        <v>17</v>
      </c>
      <c r="F7" s="12">
        <v>4081</v>
      </c>
      <c r="G7" s="33"/>
      <c r="H7" s="33"/>
      <c r="I7" s="33">
        <f t="shared" ref="I7:I11" si="3">F7*100/106</f>
        <v>3850</v>
      </c>
      <c r="J7" s="33">
        <f t="shared" ref="J7:J11" si="4">I7*6%</f>
        <v>231</v>
      </c>
      <c r="K7" s="33">
        <v>0</v>
      </c>
      <c r="L7" s="33"/>
      <c r="M7" s="27">
        <f t="shared" si="0"/>
        <v>3850</v>
      </c>
      <c r="N7" s="27">
        <f t="shared" si="1"/>
        <v>231</v>
      </c>
      <c r="O7" s="27">
        <f t="shared" si="2"/>
        <v>0</v>
      </c>
    </row>
    <row r="8" spans="1:16" x14ac:dyDescent="0.25">
      <c r="A8" s="30">
        <v>6</v>
      </c>
      <c r="B8" s="10" t="s">
        <v>20</v>
      </c>
      <c r="C8" s="11">
        <v>42889</v>
      </c>
      <c r="D8" s="10">
        <v>27365277811</v>
      </c>
      <c r="E8" s="10" t="s">
        <v>17</v>
      </c>
      <c r="F8" s="12">
        <v>38690</v>
      </c>
      <c r="G8" s="33"/>
      <c r="H8" s="33"/>
      <c r="I8" s="33">
        <f t="shared" si="3"/>
        <v>36500</v>
      </c>
      <c r="J8" s="33">
        <f t="shared" si="4"/>
        <v>2190</v>
      </c>
      <c r="K8" s="33">
        <v>0</v>
      </c>
      <c r="L8" s="33"/>
      <c r="M8" s="27">
        <f t="shared" si="0"/>
        <v>36500</v>
      </c>
      <c r="N8" s="27">
        <f t="shared" si="1"/>
        <v>2190</v>
      </c>
      <c r="O8" s="27">
        <f t="shared" si="2"/>
        <v>0</v>
      </c>
    </row>
    <row r="9" spans="1:16" x14ac:dyDescent="0.25">
      <c r="A9" s="30">
        <v>7</v>
      </c>
      <c r="B9" s="10" t="s">
        <v>18</v>
      </c>
      <c r="C9" s="11">
        <v>42887</v>
      </c>
      <c r="D9" s="30" t="s">
        <v>57</v>
      </c>
      <c r="E9" s="10" t="s">
        <v>21</v>
      </c>
      <c r="F9" s="12">
        <v>43481</v>
      </c>
      <c r="G9" s="33"/>
      <c r="H9" s="33"/>
      <c r="I9" s="33">
        <v>39600</v>
      </c>
      <c r="J9" s="33">
        <f t="shared" si="4"/>
        <v>2376</v>
      </c>
      <c r="K9" s="33">
        <v>1505</v>
      </c>
      <c r="L9" s="33"/>
      <c r="M9" s="27">
        <f t="shared" si="0"/>
        <v>39600</v>
      </c>
      <c r="N9" s="27">
        <f t="shared" si="1"/>
        <v>2376</v>
      </c>
      <c r="O9" s="27">
        <f t="shared" si="2"/>
        <v>1505</v>
      </c>
    </row>
    <row r="10" spans="1:16" x14ac:dyDescent="0.25">
      <c r="A10" s="30">
        <v>8</v>
      </c>
      <c r="B10" s="10" t="s">
        <v>22</v>
      </c>
      <c r="C10" s="11">
        <v>42877</v>
      </c>
      <c r="D10" s="30" t="s">
        <v>57</v>
      </c>
      <c r="E10" s="10" t="s">
        <v>21</v>
      </c>
      <c r="F10" s="12">
        <v>154113</v>
      </c>
      <c r="G10" s="33"/>
      <c r="H10" s="33"/>
      <c r="I10" s="33">
        <v>131050</v>
      </c>
      <c r="J10" s="33">
        <f t="shared" si="4"/>
        <v>7863</v>
      </c>
      <c r="K10" s="33">
        <v>15200</v>
      </c>
      <c r="L10" s="33"/>
      <c r="M10" s="27">
        <f t="shared" si="0"/>
        <v>131050</v>
      </c>
      <c r="N10" s="27">
        <f t="shared" si="1"/>
        <v>7863</v>
      </c>
      <c r="O10" s="27">
        <f t="shared" si="2"/>
        <v>15200</v>
      </c>
    </row>
    <row r="11" spans="1:16" x14ac:dyDescent="0.25">
      <c r="A11" s="30">
        <v>9</v>
      </c>
      <c r="B11" s="10" t="s">
        <v>24</v>
      </c>
      <c r="C11" s="11">
        <v>42880</v>
      </c>
      <c r="D11" s="30"/>
      <c r="E11" s="10" t="s">
        <v>23</v>
      </c>
      <c r="F11" s="12">
        <v>16960</v>
      </c>
      <c r="G11" s="33"/>
      <c r="H11" s="33"/>
      <c r="I11" s="33">
        <f t="shared" si="3"/>
        <v>16000</v>
      </c>
      <c r="J11" s="33">
        <f t="shared" si="4"/>
        <v>960</v>
      </c>
      <c r="K11" s="33">
        <v>0</v>
      </c>
      <c r="L11" s="33"/>
      <c r="M11" s="27">
        <f t="shared" si="0"/>
        <v>16000</v>
      </c>
      <c r="N11" s="27">
        <f t="shared" si="1"/>
        <v>960</v>
      </c>
      <c r="O11" s="27">
        <f t="shared" si="2"/>
        <v>0</v>
      </c>
    </row>
    <row r="12" spans="1:16" x14ac:dyDescent="0.25">
      <c r="A12" s="30"/>
      <c r="B12" s="30"/>
      <c r="C12" s="30"/>
      <c r="D12" s="30"/>
      <c r="E12" s="10"/>
      <c r="F12" s="12">
        <f t="shared" ref="F12" si="5">+A12+B12+C12</f>
        <v>0</v>
      </c>
      <c r="G12" s="33"/>
      <c r="H12" s="33"/>
      <c r="I12" s="33"/>
      <c r="J12" s="33"/>
      <c r="K12" s="33"/>
      <c r="L12" s="33"/>
      <c r="M12" s="27">
        <f t="shared" si="0"/>
        <v>0</v>
      </c>
      <c r="N12" s="27">
        <f t="shared" si="1"/>
        <v>0</v>
      </c>
      <c r="O12" s="27">
        <f t="shared" si="2"/>
        <v>0</v>
      </c>
    </row>
    <row r="13" spans="1:16" x14ac:dyDescent="0.25">
      <c r="A13" s="30"/>
      <c r="B13" s="30"/>
      <c r="C13" s="30"/>
      <c r="D13" s="30"/>
      <c r="E13" s="30"/>
      <c r="F13" s="33"/>
      <c r="G13" s="33"/>
      <c r="H13" s="33"/>
      <c r="I13" s="33"/>
      <c r="J13" s="33"/>
      <c r="K13" s="33"/>
      <c r="L13" s="33"/>
      <c r="M13" s="27">
        <f t="shared" si="0"/>
        <v>0</v>
      </c>
      <c r="N13" s="27">
        <f t="shared" si="1"/>
        <v>0</v>
      </c>
      <c r="O13" s="27">
        <f t="shared" si="2"/>
        <v>0</v>
      </c>
    </row>
    <row r="14" spans="1:16" x14ac:dyDescent="0.25">
      <c r="A14" s="30"/>
      <c r="B14" s="30"/>
      <c r="C14" s="30"/>
      <c r="D14" s="30"/>
      <c r="E14" s="9" t="s">
        <v>69</v>
      </c>
      <c r="F14" s="33">
        <f>SUM(F3:F11)</f>
        <v>337656.5</v>
      </c>
      <c r="G14" s="33">
        <f t="shared" ref="G14:L14" si="6">SUM(G3:G11)</f>
        <v>0</v>
      </c>
      <c r="H14" s="33">
        <f t="shared" si="6"/>
        <v>0</v>
      </c>
      <c r="I14" s="33">
        <f t="shared" si="6"/>
        <v>291600</v>
      </c>
      <c r="J14" s="33">
        <f t="shared" si="6"/>
        <v>17496</v>
      </c>
      <c r="K14" s="33">
        <f t="shared" si="6"/>
        <v>28560.5</v>
      </c>
      <c r="L14" s="33">
        <f t="shared" si="6"/>
        <v>0</v>
      </c>
      <c r="M14" s="27">
        <f t="shared" si="0"/>
        <v>291600</v>
      </c>
      <c r="N14" s="27">
        <f t="shared" si="1"/>
        <v>17496</v>
      </c>
      <c r="O14" s="27">
        <f t="shared" si="2"/>
        <v>28560.5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topLeftCell="F1" workbookViewId="0">
      <selection activeCell="P21" sqref="P21"/>
    </sheetView>
  </sheetViews>
  <sheetFormatPr defaultRowHeight="15" x14ac:dyDescent="0.25"/>
  <cols>
    <col min="2" max="2" width="10.140625" bestFit="1" customWidth="1"/>
    <col min="3" max="3" width="13.7109375" bestFit="1" customWidth="1"/>
    <col min="4" max="4" width="12" bestFit="1" customWidth="1"/>
    <col min="5" max="5" width="43.28515625" bestFit="1" customWidth="1"/>
    <col min="6" max="6" width="13.7109375" bestFit="1" customWidth="1"/>
    <col min="7" max="10" width="13.7109375" customWidth="1"/>
    <col min="11" max="11" width="12.140625" bestFit="1" customWidth="1"/>
    <col min="12" max="12" width="13.7109375" bestFit="1" customWidth="1"/>
    <col min="15" max="15" width="12.140625" bestFit="1" customWidth="1"/>
    <col min="16" max="16" width="12" bestFit="1" customWidth="1"/>
  </cols>
  <sheetData>
    <row r="1" spans="1:18" x14ac:dyDescent="0.25">
      <c r="A1" s="28" t="s">
        <v>58</v>
      </c>
      <c r="B1" s="29" t="s">
        <v>59</v>
      </c>
      <c r="C1" s="29" t="s">
        <v>60</v>
      </c>
      <c r="D1" s="29" t="s">
        <v>68</v>
      </c>
      <c r="E1" s="29" t="s">
        <v>61</v>
      </c>
      <c r="F1" s="29" t="s">
        <v>62</v>
      </c>
      <c r="G1" s="29" t="s">
        <v>78</v>
      </c>
      <c r="H1" s="29" t="s">
        <v>77</v>
      </c>
      <c r="I1" s="29" t="s">
        <v>76</v>
      </c>
      <c r="J1" s="29" t="s">
        <v>65</v>
      </c>
      <c r="K1" s="29" t="s">
        <v>66</v>
      </c>
      <c r="L1" s="29" t="s">
        <v>67</v>
      </c>
      <c r="M1" s="29" t="s">
        <v>63</v>
      </c>
      <c r="N1" s="29" t="s">
        <v>7</v>
      </c>
      <c r="O1" s="30" t="s">
        <v>74</v>
      </c>
      <c r="P1" s="30" t="s">
        <v>71</v>
      </c>
      <c r="Q1" s="30" t="s">
        <v>75</v>
      </c>
      <c r="R1" s="30"/>
    </row>
    <row r="2" spans="1:18" x14ac:dyDescent="0.25">
      <c r="A2" s="30">
        <v>1</v>
      </c>
      <c r="B2" s="10" t="s">
        <v>29</v>
      </c>
      <c r="C2" s="11">
        <v>42828</v>
      </c>
      <c r="D2" s="30"/>
      <c r="E2" s="10" t="s">
        <v>28</v>
      </c>
      <c r="F2" s="12">
        <v>11322</v>
      </c>
      <c r="G2" s="12">
        <f>F2*100/102</f>
        <v>11100</v>
      </c>
      <c r="H2" s="12">
        <f>G2*2%</f>
        <v>222</v>
      </c>
      <c r="I2" s="12"/>
      <c r="J2" s="12"/>
      <c r="K2" s="30"/>
      <c r="L2" s="30"/>
      <c r="M2" s="30"/>
      <c r="N2" s="30"/>
      <c r="O2" s="33">
        <f t="shared" ref="O2:O18" si="0">G2+I2+K2</f>
        <v>11100</v>
      </c>
      <c r="P2" s="33">
        <f t="shared" ref="P2:P18" si="1">H2+J2+L2</f>
        <v>222</v>
      </c>
      <c r="Q2" s="33">
        <f>M2</f>
        <v>0</v>
      </c>
      <c r="R2" s="30"/>
    </row>
    <row r="3" spans="1:18" x14ac:dyDescent="0.25">
      <c r="A3" s="30">
        <v>2</v>
      </c>
      <c r="B3" s="10" t="s">
        <v>30</v>
      </c>
      <c r="C3" s="11">
        <v>42846</v>
      </c>
      <c r="D3" s="30"/>
      <c r="E3" s="10" t="s">
        <v>28</v>
      </c>
      <c r="F3" s="12">
        <v>61608</v>
      </c>
      <c r="G3" s="12">
        <f t="shared" ref="G3:G8" si="2">F3*100/102</f>
        <v>60400</v>
      </c>
      <c r="H3" s="12">
        <f t="shared" ref="H3:H8" si="3">G3*2%</f>
        <v>1208</v>
      </c>
      <c r="I3" s="12"/>
      <c r="J3" s="12"/>
      <c r="K3" s="30"/>
      <c r="L3" s="30"/>
      <c r="M3" s="30"/>
      <c r="N3" s="30"/>
      <c r="O3" s="33">
        <f t="shared" si="0"/>
        <v>60400</v>
      </c>
      <c r="P3" s="33">
        <f t="shared" si="1"/>
        <v>1208</v>
      </c>
      <c r="Q3" s="33">
        <f t="shared" ref="Q3:Q17" si="4">M3</f>
        <v>0</v>
      </c>
      <c r="R3" s="30"/>
    </row>
    <row r="4" spans="1:18" x14ac:dyDescent="0.25">
      <c r="A4" s="30">
        <v>3</v>
      </c>
      <c r="B4" s="9" t="s">
        <v>31</v>
      </c>
      <c r="C4" s="11">
        <v>42849</v>
      </c>
      <c r="D4" s="30"/>
      <c r="E4" s="10" t="s">
        <v>28</v>
      </c>
      <c r="F4" s="12">
        <v>43758</v>
      </c>
      <c r="G4" s="12">
        <f t="shared" si="2"/>
        <v>42900</v>
      </c>
      <c r="H4" s="12">
        <f t="shared" si="3"/>
        <v>858</v>
      </c>
      <c r="I4" s="12"/>
      <c r="J4" s="12"/>
      <c r="K4" s="30"/>
      <c r="L4" s="30"/>
      <c r="M4" s="30"/>
      <c r="N4" s="30"/>
      <c r="O4" s="33">
        <f t="shared" si="0"/>
        <v>42900</v>
      </c>
      <c r="P4" s="33">
        <f t="shared" si="1"/>
        <v>858</v>
      </c>
      <c r="Q4" s="33">
        <f t="shared" si="4"/>
        <v>0</v>
      </c>
      <c r="R4" s="30"/>
    </row>
    <row r="5" spans="1:18" x14ac:dyDescent="0.25">
      <c r="A5" s="30">
        <v>4</v>
      </c>
      <c r="B5" s="9" t="s">
        <v>32</v>
      </c>
      <c r="C5" s="11">
        <v>42871</v>
      </c>
      <c r="D5" s="30"/>
      <c r="E5" s="10" t="s">
        <v>28</v>
      </c>
      <c r="F5" s="12">
        <v>10404</v>
      </c>
      <c r="G5" s="12">
        <f t="shared" si="2"/>
        <v>10200</v>
      </c>
      <c r="H5" s="12">
        <f t="shared" si="3"/>
        <v>204</v>
      </c>
      <c r="I5" s="12"/>
      <c r="J5" s="12"/>
      <c r="K5" s="30"/>
      <c r="L5" s="30"/>
      <c r="M5" s="30"/>
      <c r="N5" s="30"/>
      <c r="O5" s="33">
        <f t="shared" si="0"/>
        <v>10200</v>
      </c>
      <c r="P5" s="33">
        <f t="shared" si="1"/>
        <v>204</v>
      </c>
      <c r="Q5" s="33">
        <f t="shared" si="4"/>
        <v>0</v>
      </c>
      <c r="R5" s="30"/>
    </row>
    <row r="6" spans="1:18" x14ac:dyDescent="0.25">
      <c r="A6" s="30">
        <v>5</v>
      </c>
      <c r="B6" s="9" t="s">
        <v>33</v>
      </c>
      <c r="C6" s="11">
        <v>42893</v>
      </c>
      <c r="D6" s="30"/>
      <c r="E6" s="10" t="s">
        <v>28</v>
      </c>
      <c r="F6" s="12">
        <v>20808</v>
      </c>
      <c r="G6" s="12">
        <f t="shared" si="2"/>
        <v>20400</v>
      </c>
      <c r="H6" s="12">
        <f t="shared" si="3"/>
        <v>408</v>
      </c>
      <c r="I6" s="12"/>
      <c r="J6" s="12"/>
      <c r="K6" s="30"/>
      <c r="L6" s="30"/>
      <c r="M6" s="30"/>
      <c r="N6" s="30"/>
      <c r="O6" s="33">
        <f t="shared" si="0"/>
        <v>20400</v>
      </c>
      <c r="P6" s="33">
        <f t="shared" si="1"/>
        <v>408</v>
      </c>
      <c r="Q6" s="33">
        <f t="shared" si="4"/>
        <v>0</v>
      </c>
      <c r="R6" s="30"/>
    </row>
    <row r="7" spans="1:18" x14ac:dyDescent="0.25">
      <c r="A7" s="30">
        <v>6</v>
      </c>
      <c r="B7" s="9" t="s">
        <v>34</v>
      </c>
      <c r="C7" s="11">
        <v>42896</v>
      </c>
      <c r="D7" s="30"/>
      <c r="E7" s="10" t="s">
        <v>28</v>
      </c>
      <c r="F7" s="12">
        <v>4590</v>
      </c>
      <c r="G7" s="12">
        <f t="shared" si="2"/>
        <v>4500</v>
      </c>
      <c r="H7" s="12">
        <f t="shared" si="3"/>
        <v>90</v>
      </c>
      <c r="I7" s="12"/>
      <c r="J7" s="12"/>
      <c r="K7" s="30"/>
      <c r="L7" s="30"/>
      <c r="M7" s="30"/>
      <c r="N7" s="30"/>
      <c r="O7" s="33">
        <f t="shared" si="0"/>
        <v>4500</v>
      </c>
      <c r="P7" s="33">
        <f t="shared" si="1"/>
        <v>90</v>
      </c>
      <c r="Q7" s="33">
        <f t="shared" si="4"/>
        <v>0</v>
      </c>
      <c r="R7" s="30"/>
    </row>
    <row r="8" spans="1:18" x14ac:dyDescent="0.25">
      <c r="A8" s="30">
        <v>7</v>
      </c>
      <c r="B8" s="9" t="s">
        <v>35</v>
      </c>
      <c r="C8" s="11">
        <v>42910</v>
      </c>
      <c r="D8" s="30"/>
      <c r="E8" s="10" t="s">
        <v>28</v>
      </c>
      <c r="F8" s="12">
        <v>30396</v>
      </c>
      <c r="G8" s="12">
        <f t="shared" si="2"/>
        <v>29800</v>
      </c>
      <c r="H8" s="12">
        <f t="shared" si="3"/>
        <v>596</v>
      </c>
      <c r="I8" s="12"/>
      <c r="J8" s="12"/>
      <c r="K8" s="30"/>
      <c r="L8" s="30"/>
      <c r="M8" s="30"/>
      <c r="N8" s="30"/>
      <c r="O8" s="33">
        <f t="shared" si="0"/>
        <v>29800</v>
      </c>
      <c r="P8" s="33">
        <f t="shared" si="1"/>
        <v>596</v>
      </c>
      <c r="Q8" s="33">
        <f t="shared" si="4"/>
        <v>0</v>
      </c>
      <c r="R8" s="30"/>
    </row>
    <row r="9" spans="1:18" x14ac:dyDescent="0.25">
      <c r="A9" s="30">
        <v>8</v>
      </c>
      <c r="B9" s="9" t="s">
        <v>37</v>
      </c>
      <c r="C9" s="18">
        <v>42833</v>
      </c>
      <c r="D9" s="30">
        <v>27910330266</v>
      </c>
      <c r="E9" s="10" t="s">
        <v>36</v>
      </c>
      <c r="F9" s="12">
        <v>30961</v>
      </c>
      <c r="G9" s="12"/>
      <c r="H9" s="12"/>
      <c r="I9" s="12"/>
      <c r="J9" s="12"/>
      <c r="K9" s="31">
        <f>F9*100/106</f>
        <v>29208.490566037737</v>
      </c>
      <c r="L9" s="31">
        <f>K9*6%</f>
        <v>1752.5094339622642</v>
      </c>
      <c r="M9" s="30"/>
      <c r="N9" s="30"/>
      <c r="O9" s="33">
        <f t="shared" si="0"/>
        <v>29208.490566037737</v>
      </c>
      <c r="P9" s="33">
        <f t="shared" si="1"/>
        <v>1752.5094339622642</v>
      </c>
      <c r="Q9" s="33">
        <f t="shared" si="4"/>
        <v>0</v>
      </c>
      <c r="R9" s="30"/>
    </row>
    <row r="10" spans="1:18" x14ac:dyDescent="0.25">
      <c r="A10" s="30">
        <v>9</v>
      </c>
      <c r="B10" s="9" t="s">
        <v>38</v>
      </c>
      <c r="C10" s="18">
        <v>42872</v>
      </c>
      <c r="D10" s="30">
        <v>27910330266</v>
      </c>
      <c r="E10" s="10" t="s">
        <v>36</v>
      </c>
      <c r="F10" s="12">
        <v>26099.99</v>
      </c>
      <c r="G10" s="12"/>
      <c r="H10" s="12"/>
      <c r="I10" s="12"/>
      <c r="J10" s="12"/>
      <c r="K10" s="31">
        <f>F10*100/106</f>
        <v>24622.632075471698</v>
      </c>
      <c r="L10" s="31">
        <f t="shared" ref="L10:L16" si="5">K10*6%</f>
        <v>1477.3579245283017</v>
      </c>
      <c r="M10" s="30"/>
      <c r="N10" s="30"/>
      <c r="O10" s="33">
        <f t="shared" si="0"/>
        <v>24622.632075471698</v>
      </c>
      <c r="P10" s="33">
        <f t="shared" si="1"/>
        <v>1477.3579245283017</v>
      </c>
      <c r="Q10" s="33">
        <f t="shared" si="4"/>
        <v>0</v>
      </c>
      <c r="R10" s="30"/>
    </row>
    <row r="11" spans="1:18" x14ac:dyDescent="0.25">
      <c r="A11" s="30">
        <v>10</v>
      </c>
      <c r="B11" s="9" t="s">
        <v>39</v>
      </c>
      <c r="C11" s="18">
        <v>42874</v>
      </c>
      <c r="D11" s="30">
        <v>27910330266</v>
      </c>
      <c r="E11" s="10" t="s">
        <v>36</v>
      </c>
      <c r="F11" s="12">
        <v>28138.95</v>
      </c>
      <c r="G11" s="12"/>
      <c r="H11" s="12"/>
      <c r="I11" s="12">
        <v>2900</v>
      </c>
      <c r="J11" s="12">
        <f>I11*13.5%</f>
        <v>391.5</v>
      </c>
      <c r="K11" s="31">
        <f>24847.45*100/106</f>
        <v>23440.990566037737</v>
      </c>
      <c r="L11" s="31">
        <f t="shared" si="5"/>
        <v>1406.4594339622643</v>
      </c>
      <c r="M11" s="30"/>
      <c r="N11" s="30"/>
      <c r="O11" s="33">
        <f t="shared" si="0"/>
        <v>26340.990566037737</v>
      </c>
      <c r="P11" s="33">
        <f t="shared" si="1"/>
        <v>1797.9594339622643</v>
      </c>
      <c r="Q11" s="33">
        <f t="shared" si="4"/>
        <v>0</v>
      </c>
      <c r="R11" s="30"/>
    </row>
    <row r="12" spans="1:18" x14ac:dyDescent="0.25">
      <c r="A12" s="30">
        <v>11</v>
      </c>
      <c r="B12" s="9" t="s">
        <v>40</v>
      </c>
      <c r="C12" s="20">
        <v>42886</v>
      </c>
      <c r="D12" s="30">
        <v>27910330266</v>
      </c>
      <c r="E12" s="10" t="s">
        <v>36</v>
      </c>
      <c r="F12" s="12">
        <v>28013.99</v>
      </c>
      <c r="G12" s="12"/>
      <c r="H12" s="12"/>
      <c r="I12" s="12"/>
      <c r="J12" s="12"/>
      <c r="K12" s="31">
        <f>F12*100/106</f>
        <v>26428.292452830188</v>
      </c>
      <c r="L12" s="31">
        <f t="shared" si="5"/>
        <v>1585.6975471698113</v>
      </c>
      <c r="M12" s="30"/>
      <c r="N12" s="30"/>
      <c r="O12" s="33">
        <f t="shared" si="0"/>
        <v>26428.292452830188</v>
      </c>
      <c r="P12" s="33">
        <f t="shared" si="1"/>
        <v>1585.6975471698113</v>
      </c>
      <c r="Q12" s="33">
        <f t="shared" si="4"/>
        <v>0</v>
      </c>
      <c r="R12" s="30"/>
    </row>
    <row r="13" spans="1:18" x14ac:dyDescent="0.25">
      <c r="A13" s="30">
        <v>12</v>
      </c>
      <c r="B13" s="9" t="s">
        <v>41</v>
      </c>
      <c r="C13" s="20">
        <v>42887</v>
      </c>
      <c r="D13" s="30">
        <v>27910330266</v>
      </c>
      <c r="E13" s="10" t="s">
        <v>36</v>
      </c>
      <c r="F13" s="12">
        <v>5429.32</v>
      </c>
      <c r="G13" s="12"/>
      <c r="H13" s="12"/>
      <c r="I13" s="12"/>
      <c r="J13" s="12"/>
      <c r="K13" s="31">
        <f>F13*100/106</f>
        <v>5122</v>
      </c>
      <c r="L13" s="31">
        <f t="shared" si="5"/>
        <v>307.32</v>
      </c>
      <c r="M13" s="30"/>
      <c r="N13" s="30"/>
      <c r="O13" s="33">
        <f t="shared" si="0"/>
        <v>5122</v>
      </c>
      <c r="P13" s="33">
        <f t="shared" si="1"/>
        <v>307.32</v>
      </c>
      <c r="Q13" s="33">
        <f t="shared" si="4"/>
        <v>0</v>
      </c>
      <c r="R13" s="30"/>
    </row>
    <row r="14" spans="1:18" x14ac:dyDescent="0.25">
      <c r="A14" s="30">
        <v>13</v>
      </c>
      <c r="B14" s="9" t="s">
        <v>42</v>
      </c>
      <c r="C14" s="21">
        <v>42896</v>
      </c>
      <c r="D14" s="30">
        <v>27910330266</v>
      </c>
      <c r="E14" s="10" t="s">
        <v>36</v>
      </c>
      <c r="F14" s="12">
        <v>4142.75</v>
      </c>
      <c r="G14" s="12"/>
      <c r="H14" s="12"/>
      <c r="I14" s="12">
        <v>3650</v>
      </c>
      <c r="J14" s="12">
        <f>I14*13.5%</f>
        <v>492.75000000000006</v>
      </c>
      <c r="K14" s="31"/>
      <c r="L14" s="31"/>
      <c r="M14" s="30"/>
      <c r="N14" s="30"/>
      <c r="O14" s="33">
        <f t="shared" si="0"/>
        <v>3650</v>
      </c>
      <c r="P14" s="33">
        <f t="shared" si="1"/>
        <v>492.75000000000006</v>
      </c>
      <c r="Q14" s="33">
        <f t="shared" si="4"/>
        <v>0</v>
      </c>
      <c r="R14" s="30"/>
    </row>
    <row r="15" spans="1:18" x14ac:dyDescent="0.25">
      <c r="A15" s="30">
        <v>14</v>
      </c>
      <c r="B15" s="9" t="s">
        <v>43</v>
      </c>
      <c r="C15" s="23">
        <v>42906</v>
      </c>
      <c r="D15" s="30">
        <v>27910330266</v>
      </c>
      <c r="E15" s="10" t="s">
        <v>36</v>
      </c>
      <c r="F15" s="12">
        <v>1757.18</v>
      </c>
      <c r="G15" s="12"/>
      <c r="H15" s="12"/>
      <c r="I15" s="12"/>
      <c r="J15" s="12"/>
      <c r="K15" s="31">
        <f>F15*100/106</f>
        <v>1657.7169811320755</v>
      </c>
      <c r="L15" s="31">
        <f t="shared" si="5"/>
        <v>99.463018867924532</v>
      </c>
      <c r="M15" s="30"/>
      <c r="N15" s="30"/>
      <c r="O15" s="33">
        <f t="shared" si="0"/>
        <v>1657.7169811320755</v>
      </c>
      <c r="P15" s="33">
        <f t="shared" si="1"/>
        <v>99.463018867924532</v>
      </c>
      <c r="Q15" s="33">
        <f t="shared" si="4"/>
        <v>0</v>
      </c>
      <c r="R15" s="30"/>
    </row>
    <row r="16" spans="1:18" x14ac:dyDescent="0.25">
      <c r="A16" s="30">
        <v>15</v>
      </c>
      <c r="B16" s="9" t="s">
        <v>44</v>
      </c>
      <c r="C16" s="21">
        <v>42916</v>
      </c>
      <c r="D16" s="30">
        <v>27910330266</v>
      </c>
      <c r="E16" s="10" t="s">
        <v>36</v>
      </c>
      <c r="F16" s="12">
        <v>26500</v>
      </c>
      <c r="G16" s="12"/>
      <c r="H16" s="12"/>
      <c r="I16" s="12"/>
      <c r="J16" s="12"/>
      <c r="K16" s="31">
        <f>F16*100/106</f>
        <v>25000</v>
      </c>
      <c r="L16" s="31">
        <f t="shared" si="5"/>
        <v>1500</v>
      </c>
      <c r="M16" s="30"/>
      <c r="N16" s="30"/>
      <c r="O16" s="33">
        <f t="shared" si="0"/>
        <v>25000</v>
      </c>
      <c r="P16" s="33">
        <f t="shared" si="1"/>
        <v>1500</v>
      </c>
      <c r="Q16" s="33">
        <f t="shared" si="4"/>
        <v>0</v>
      </c>
      <c r="R16" s="30"/>
    </row>
    <row r="17" spans="1:18" x14ac:dyDescent="0.25">
      <c r="A17" s="30"/>
      <c r="B17" s="30"/>
      <c r="C17" s="30"/>
      <c r="D17" s="30"/>
      <c r="E17" s="30"/>
      <c r="F17" s="12">
        <f t="shared" ref="F17" si="6">+A17+C17+B17</f>
        <v>0</v>
      </c>
      <c r="G17" s="12"/>
      <c r="H17" s="12"/>
      <c r="I17" s="12"/>
      <c r="J17" s="12"/>
      <c r="K17" s="30"/>
      <c r="L17" s="30"/>
      <c r="M17" s="30"/>
      <c r="N17" s="30"/>
      <c r="O17" s="33">
        <f t="shared" si="0"/>
        <v>0</v>
      </c>
      <c r="P17" s="33">
        <f t="shared" si="1"/>
        <v>0</v>
      </c>
      <c r="Q17" s="33">
        <f t="shared" si="4"/>
        <v>0</v>
      </c>
      <c r="R17" s="30"/>
    </row>
    <row r="18" spans="1:18" x14ac:dyDescent="0.25">
      <c r="A18" s="30"/>
      <c r="B18" s="30"/>
      <c r="C18" s="30"/>
      <c r="D18" s="30"/>
      <c r="E18" s="30" t="s">
        <v>25</v>
      </c>
      <c r="F18" s="32">
        <f>SUM(F2:F16)</f>
        <v>333929.18</v>
      </c>
      <c r="G18" s="32">
        <f t="shared" ref="G18:J18" si="7">SUM(G2:G16)</f>
        <v>179300</v>
      </c>
      <c r="H18" s="32">
        <f t="shared" si="7"/>
        <v>3586</v>
      </c>
      <c r="I18" s="32">
        <f t="shared" si="7"/>
        <v>6550</v>
      </c>
      <c r="J18" s="32">
        <f t="shared" si="7"/>
        <v>884.25</v>
      </c>
      <c r="K18" s="32">
        <f t="shared" ref="K18:Q18" si="8">SUM(K2:K16)</f>
        <v>135480.12264150943</v>
      </c>
      <c r="L18" s="32">
        <f t="shared" si="8"/>
        <v>8128.807358490566</v>
      </c>
      <c r="M18" s="32">
        <f t="shared" si="8"/>
        <v>0</v>
      </c>
      <c r="N18" s="32">
        <f t="shared" si="8"/>
        <v>0</v>
      </c>
      <c r="O18" s="33">
        <f t="shared" si="0"/>
        <v>321330.1226415094</v>
      </c>
      <c r="P18" s="33">
        <f t="shared" si="1"/>
        <v>12599.057358490565</v>
      </c>
      <c r="Q18" s="33">
        <f t="shared" si="8"/>
        <v>0</v>
      </c>
      <c r="R18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Original</vt:lpstr>
      <vt:lpstr>Revised</vt:lpstr>
      <vt:lpstr>sales</vt:lpstr>
      <vt:lpstr>PURCHASE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Dhanawade&amp;Associates</dc:creator>
  <cp:lastModifiedBy>User</cp:lastModifiedBy>
  <dcterms:created xsi:type="dcterms:W3CDTF">2017-09-07T11:15:50Z</dcterms:created>
  <dcterms:modified xsi:type="dcterms:W3CDTF">2017-12-13T11:08:10Z</dcterms:modified>
</cp:coreProperties>
</file>