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 defaultThemeVersion="124226"/>
  <bookViews>
    <workbookView xWindow="240" yWindow="285" windowWidth="14805" windowHeight="7830" activeTab="1"/>
  </bookViews>
  <sheets>
    <sheet name="working" sheetId="1" r:id="rId1"/>
    <sheet name="final for vat 704" sheetId="7" r:id="rId2"/>
    <sheet name="as per Ledger INPUT" sheetId="2" state="hidden" r:id="rId3"/>
    <sheet name="as per Ledger Output" sheetId="3" state="hidden" r:id="rId4"/>
    <sheet name="Reduction Working" sheetId="4" state="hidden" r:id="rId5"/>
    <sheet name="J2" sheetId="6" state="hidden" r:id="rId6"/>
  </sheets>
  <definedNames>
    <definedName name="_xlnm._FilterDatabase" localSheetId="3" hidden="1">'as per Ledger Output'!$C$7:$P$7</definedName>
    <definedName name="_xlnm._FilterDatabase" localSheetId="1" hidden="1">'final for vat 704'!$A$6:$AN$6</definedName>
    <definedName name="_xlnm._FilterDatabase" localSheetId="0" hidden="1">working!$A$7:$AO$40</definedName>
    <definedName name="_xlnm.Print_Area" localSheetId="0">working!$A$1:$AM$40</definedName>
  </definedNames>
  <calcPr calcId="152511"/>
</workbook>
</file>

<file path=xl/calcChain.xml><?xml version="1.0" encoding="utf-8"?>
<calcChain xmlns="http://schemas.openxmlformats.org/spreadsheetml/2006/main">
  <c r="AR8" i="1" l="1"/>
  <c r="AR12" i="1" s="1"/>
  <c r="AK30" i="7" l="1"/>
  <c r="AG30" i="7"/>
  <c r="X32" i="7"/>
  <c r="U32" i="7"/>
  <c r="Q32" i="7"/>
  <c r="O32" i="7"/>
  <c r="L32" i="7"/>
  <c r="X52" i="7"/>
  <c r="W52" i="7"/>
  <c r="AJ32" i="7" l="1"/>
  <c r="AG32" i="7"/>
  <c r="AA30" i="7"/>
  <c r="AA32" i="7"/>
  <c r="U30" i="7"/>
  <c r="AJ29" i="7"/>
  <c r="AI29" i="7"/>
  <c r="AG29" i="7"/>
  <c r="AF29" i="7"/>
  <c r="AD29" i="7"/>
  <c r="AC29" i="7"/>
  <c r="AA29" i="7"/>
  <c r="Z29" i="7"/>
  <c r="X29" i="7"/>
  <c r="W29" i="7"/>
  <c r="U29" i="7"/>
  <c r="T29" i="7"/>
  <c r="R29" i="7"/>
  <c r="Q29" i="7"/>
  <c r="O29" i="7"/>
  <c r="N29" i="7"/>
  <c r="L29" i="7"/>
  <c r="K29" i="7"/>
  <c r="I29" i="7"/>
  <c r="H29" i="7"/>
  <c r="F29" i="7"/>
  <c r="E29" i="7"/>
  <c r="Z49" i="7"/>
  <c r="W49" i="7"/>
  <c r="AM29" i="7" l="1"/>
  <c r="AL22" i="7" l="1"/>
  <c r="AJ19" i="7"/>
  <c r="AJ18" i="7"/>
  <c r="AG19" i="7"/>
  <c r="AG20" i="7" s="1"/>
  <c r="AG37" i="7" s="1"/>
  <c r="AG18" i="7"/>
  <c r="AD19" i="7"/>
  <c r="AD18" i="7"/>
  <c r="AA19" i="7"/>
  <c r="AA20" i="7" s="1"/>
  <c r="AA37" i="7" s="1"/>
  <c r="AA18" i="7"/>
  <c r="X19" i="7"/>
  <c r="X18" i="7"/>
  <c r="U19" i="7"/>
  <c r="U20" i="7" s="1"/>
  <c r="U37" i="7" s="1"/>
  <c r="U18" i="7"/>
  <c r="AJ33" i="7"/>
  <c r="AI33" i="7"/>
  <c r="AG33" i="7"/>
  <c r="AF33" i="7"/>
  <c r="AD33" i="7"/>
  <c r="AC33" i="7"/>
  <c r="AA33" i="7"/>
  <c r="Z33" i="7"/>
  <c r="X33" i="7"/>
  <c r="W33" i="7"/>
  <c r="U33" i="7"/>
  <c r="T33" i="7"/>
  <c r="AJ27" i="7"/>
  <c r="AG27" i="7"/>
  <c r="AF27" i="7"/>
  <c r="AD27" i="7"/>
  <c r="AA27" i="7"/>
  <c r="Z27" i="7"/>
  <c r="X27" i="7"/>
  <c r="W27" i="7"/>
  <c r="U27" i="7"/>
  <c r="T27" i="7"/>
  <c r="AI20" i="7"/>
  <c r="AI37" i="7" s="1"/>
  <c r="AF20" i="7"/>
  <c r="AF37" i="7" s="1"/>
  <c r="AC20" i="7"/>
  <c r="AC37" i="7" s="1"/>
  <c r="Z20" i="7"/>
  <c r="Z37" i="7" s="1"/>
  <c r="W20" i="7"/>
  <c r="W37" i="7" s="1"/>
  <c r="T20" i="7"/>
  <c r="T37" i="7" s="1"/>
  <c r="AJ16" i="7"/>
  <c r="AI16" i="7"/>
  <c r="AG16" i="7"/>
  <c r="AF16" i="7"/>
  <c r="AD16" i="7"/>
  <c r="AC16" i="7"/>
  <c r="AA16" i="7"/>
  <c r="Z16" i="7"/>
  <c r="X16" i="7"/>
  <c r="W16" i="7"/>
  <c r="U16" i="7"/>
  <c r="T16" i="7"/>
  <c r="U12" i="7"/>
  <c r="AJ10" i="7"/>
  <c r="AJ12" i="7" s="1"/>
  <c r="AI10" i="7"/>
  <c r="AI12" i="7" s="1"/>
  <c r="AG10" i="7"/>
  <c r="AG12" i="7" s="1"/>
  <c r="AF10" i="7"/>
  <c r="AF12" i="7" s="1"/>
  <c r="AD10" i="7"/>
  <c r="AD12" i="7" s="1"/>
  <c r="AC10" i="7"/>
  <c r="AC12" i="7" s="1"/>
  <c r="AA10" i="7"/>
  <c r="AA12" i="7" s="1"/>
  <c r="Z10" i="7"/>
  <c r="Z12" i="7" s="1"/>
  <c r="Z21" i="7" s="1"/>
  <c r="X10" i="7"/>
  <c r="X12" i="7" s="1"/>
  <c r="W10" i="7"/>
  <c r="W12" i="7" s="1"/>
  <c r="U10" i="7"/>
  <c r="T10" i="7"/>
  <c r="T12" i="7" s="1"/>
  <c r="T21" i="7" s="1"/>
  <c r="R10" i="7"/>
  <c r="AL9" i="7"/>
  <c r="AM9" i="7"/>
  <c r="AL26" i="7"/>
  <c r="AL15" i="7"/>
  <c r="AL14" i="7"/>
  <c r="AL11" i="7"/>
  <c r="AL8" i="7"/>
  <c r="AL7" i="7"/>
  <c r="AF21" i="7" l="1"/>
  <c r="U21" i="7"/>
  <c r="W21" i="7"/>
  <c r="AI21" i="7"/>
  <c r="AL16" i="7"/>
  <c r="AA21" i="7"/>
  <c r="AG21" i="7"/>
  <c r="AC21" i="7"/>
  <c r="X20" i="7"/>
  <c r="X37" i="7" s="1"/>
  <c r="AD20" i="7"/>
  <c r="AD37" i="7" s="1"/>
  <c r="AJ20" i="7"/>
  <c r="AJ37" i="7" s="1"/>
  <c r="AL10" i="7"/>
  <c r="AL12" i="7" s="1"/>
  <c r="X21" i="7" l="1"/>
  <c r="AJ21" i="7"/>
  <c r="AD21" i="7"/>
  <c r="AN53" i="7" l="1"/>
  <c r="AM53" i="7"/>
  <c r="AL53" i="7"/>
  <c r="AK53" i="7"/>
  <c r="AJ53" i="7"/>
  <c r="AH53" i="7"/>
  <c r="AG53" i="7"/>
  <c r="AE53" i="7"/>
  <c r="AD53" i="7"/>
  <c r="AB53" i="7"/>
  <c r="AA53" i="7"/>
  <c r="Y53" i="7"/>
  <c r="V53" i="7"/>
  <c r="AN50" i="7"/>
  <c r="AM50" i="7"/>
  <c r="AL50" i="7"/>
  <c r="AK50" i="7"/>
  <c r="AJ50" i="7"/>
  <c r="AH50" i="7"/>
  <c r="AG50" i="7"/>
  <c r="AF50" i="7"/>
  <c r="AE50" i="7"/>
  <c r="AD50" i="7"/>
  <c r="AC50" i="7"/>
  <c r="AB50" i="7"/>
  <c r="AA50" i="7"/>
  <c r="Y50" i="7"/>
  <c r="X50" i="7"/>
  <c r="V50" i="7"/>
  <c r="U50" i="7"/>
  <c r="AI46" i="7"/>
  <c r="AI50" i="7" s="1"/>
  <c r="T46" i="7"/>
  <c r="T49" i="7" s="1"/>
  <c r="AK32" i="7"/>
  <c r="AK33" i="7" s="1"/>
  <c r="AH32" i="7"/>
  <c r="AH33" i="7" s="1"/>
  <c r="AE32" i="7"/>
  <c r="AE33" i="7" s="1"/>
  <c r="AB32" i="7"/>
  <c r="AB33" i="7" s="1"/>
  <c r="Y32" i="7"/>
  <c r="Y33" i="7" s="1"/>
  <c r="V32" i="7"/>
  <c r="V33" i="7" s="1"/>
  <c r="T30" i="7"/>
  <c r="AK29" i="7"/>
  <c r="AE29" i="7"/>
  <c r="AE30" i="7" s="1"/>
  <c r="Z30" i="7"/>
  <c r="Y29" i="7"/>
  <c r="Y30" i="7" s="1"/>
  <c r="V29" i="7"/>
  <c r="V30" i="7" s="1"/>
  <c r="AK26" i="7"/>
  <c r="AH26" i="7"/>
  <c r="AE26" i="7"/>
  <c r="AB26" i="7"/>
  <c r="Y26" i="7"/>
  <c r="V26" i="7"/>
  <c r="AM25" i="7"/>
  <c r="AI25" i="7"/>
  <c r="AI27" i="7" s="1"/>
  <c r="AC25" i="7"/>
  <c r="AC27" i="7" s="1"/>
  <c r="AB25" i="7"/>
  <c r="AM22" i="7"/>
  <c r="AN22" i="7" s="1"/>
  <c r="AK22" i="7"/>
  <c r="AH22" i="7"/>
  <c r="AB22" i="7"/>
  <c r="AI40" i="7"/>
  <c r="AI45" i="7" s="1"/>
  <c r="AF40" i="7"/>
  <c r="AF45" i="7" s="1"/>
  <c r="AC40" i="7"/>
  <c r="AC45" i="7" s="1"/>
  <c r="Z40" i="7"/>
  <c r="Z45" i="7" s="1"/>
  <c r="W40" i="7"/>
  <c r="W45" i="7" s="1"/>
  <c r="T40" i="7"/>
  <c r="T45" i="7" s="1"/>
  <c r="AK19" i="7"/>
  <c r="AH19" i="7"/>
  <c r="AE19" i="7"/>
  <c r="AB19" i="7"/>
  <c r="Y19" i="7"/>
  <c r="V19" i="7"/>
  <c r="AK18" i="7"/>
  <c r="AH18" i="7"/>
  <c r="AE18" i="7"/>
  <c r="AB18" i="7"/>
  <c r="Y18" i="7"/>
  <c r="V18" i="7"/>
  <c r="AM15" i="7"/>
  <c r="AN15" i="7" s="1"/>
  <c r="AK15" i="7"/>
  <c r="AH15" i="7"/>
  <c r="AE15" i="7"/>
  <c r="AB15" i="7"/>
  <c r="Y15" i="7"/>
  <c r="V15" i="7"/>
  <c r="AK14" i="7"/>
  <c r="AH14" i="7"/>
  <c r="AE14" i="7"/>
  <c r="AB14" i="7"/>
  <c r="Y14" i="7"/>
  <c r="V14" i="7"/>
  <c r="AK11" i="7"/>
  <c r="AH11" i="7"/>
  <c r="AE11" i="7"/>
  <c r="AB11" i="7"/>
  <c r="Y11" i="7"/>
  <c r="V11" i="7"/>
  <c r="AM8" i="7"/>
  <c r="AN8" i="7" s="1"/>
  <c r="AK8" i="7"/>
  <c r="AH8" i="7"/>
  <c r="AE8" i="7"/>
  <c r="AB8" i="7"/>
  <c r="Y8" i="7"/>
  <c r="V8" i="7"/>
  <c r="AM7" i="7"/>
  <c r="AN7" i="7" s="1"/>
  <c r="AK7" i="7"/>
  <c r="AK10" i="7" s="1"/>
  <c r="AH7" i="7"/>
  <c r="AE7" i="7"/>
  <c r="AB7" i="7"/>
  <c r="Y7" i="7"/>
  <c r="V7" i="7"/>
  <c r="AE10" i="7" l="1"/>
  <c r="V16" i="7"/>
  <c r="AH16" i="7"/>
  <c r="AB10" i="7"/>
  <c r="AB12" i="7" s="1"/>
  <c r="V10" i="7"/>
  <c r="V12" i="7" s="1"/>
  <c r="V21" i="7" s="1"/>
  <c r="AH10" i="7"/>
  <c r="AE20" i="7"/>
  <c r="AE37" i="7" s="1"/>
  <c r="AE40" i="7" s="1"/>
  <c r="AE45" i="7" s="1"/>
  <c r="Y16" i="7"/>
  <c r="AH20" i="7"/>
  <c r="AH37" i="7" s="1"/>
  <c r="AH40" i="7" s="1"/>
  <c r="AH45" i="7" s="1"/>
  <c r="AK20" i="7"/>
  <c r="AK37" i="7" s="1"/>
  <c r="AK40" i="7" s="1"/>
  <c r="AK45" i="7" s="1"/>
  <c r="AE16" i="7"/>
  <c r="AB20" i="7"/>
  <c r="AB37" i="7" s="1"/>
  <c r="AB40" i="7" s="1"/>
  <c r="AB45" i="7" s="1"/>
  <c r="Y10" i="7"/>
  <c r="Y12" i="7" s="1"/>
  <c r="AB27" i="7"/>
  <c r="Y20" i="7"/>
  <c r="Y37" i="7" s="1"/>
  <c r="Y40" i="7" s="1"/>
  <c r="Y45" i="7" s="1"/>
  <c r="V20" i="7"/>
  <c r="V37" i="7" s="1"/>
  <c r="V40" i="7" s="1"/>
  <c r="V45" i="7" s="1"/>
  <c r="AK16" i="7"/>
  <c r="AB16" i="7"/>
  <c r="AK25" i="7"/>
  <c r="AK27" i="7" s="1"/>
  <c r="AK12" i="7"/>
  <c r="AH25" i="7"/>
  <c r="AH27" i="7" s="1"/>
  <c r="AH12" i="7"/>
  <c r="AE25" i="7"/>
  <c r="AE27" i="7" s="1"/>
  <c r="AE12" i="7"/>
  <c r="Y25" i="7"/>
  <c r="Y27" i="7" s="1"/>
  <c r="V25" i="7"/>
  <c r="V27" i="7" s="1"/>
  <c r="AL25" i="7"/>
  <c r="AL27" i="7" s="1"/>
  <c r="AB29" i="7"/>
  <c r="AB30" i="7" s="1"/>
  <c r="AN10" i="7"/>
  <c r="AH29" i="7"/>
  <c r="AH30" i="7" s="1"/>
  <c r="AF30" i="7"/>
  <c r="AM10" i="7"/>
  <c r="AE21" i="7" l="1"/>
  <c r="AE23" i="7" s="1"/>
  <c r="AH21" i="7"/>
  <c r="AH23" i="7" s="1"/>
  <c r="AK21" i="7"/>
  <c r="AK23" i="7" s="1"/>
  <c r="Y21" i="7"/>
  <c r="AB21" i="7"/>
  <c r="AN25" i="7"/>
  <c r="AM26" i="7" l="1"/>
  <c r="AM27" i="7" l="1"/>
  <c r="AN26" i="7"/>
  <c r="AN27" i="7" s="1"/>
  <c r="R52" i="7"/>
  <c r="Q52" i="7"/>
  <c r="Q19" i="7"/>
  <c r="Q20" i="7" s="1"/>
  <c r="Q18" i="7"/>
  <c r="O52" i="7"/>
  <c r="N52" i="7"/>
  <c r="L52" i="7"/>
  <c r="K52" i="7"/>
  <c r="F52" i="7"/>
  <c r="N19" i="7"/>
  <c r="N18" i="7"/>
  <c r="N20" i="7" s="1"/>
  <c r="N37" i="7" s="1"/>
  <c r="N39" i="7" s="1"/>
  <c r="K19" i="7"/>
  <c r="K18" i="7"/>
  <c r="H19" i="7"/>
  <c r="H18" i="7"/>
  <c r="AL18" i="7" s="1"/>
  <c r="E46" i="7"/>
  <c r="E49" i="7" s="1"/>
  <c r="E52" i="7"/>
  <c r="G52" i="7" s="1"/>
  <c r="G9" i="7"/>
  <c r="S54" i="7"/>
  <c r="S51" i="7"/>
  <c r="S50" i="7"/>
  <c r="S48" i="7"/>
  <c r="S47" i="7"/>
  <c r="S44" i="7"/>
  <c r="S42" i="7"/>
  <c r="S41" i="7"/>
  <c r="P54" i="7"/>
  <c r="P51" i="7"/>
  <c r="P50" i="7"/>
  <c r="P48" i="7"/>
  <c r="P47" i="7"/>
  <c r="P44" i="7"/>
  <c r="P42" i="7"/>
  <c r="P41" i="7"/>
  <c r="M54" i="7"/>
  <c r="M51" i="7"/>
  <c r="M50" i="7"/>
  <c r="M48" i="7"/>
  <c r="M47" i="7"/>
  <c r="M44" i="7"/>
  <c r="M42" i="7"/>
  <c r="M41" i="7"/>
  <c r="J54" i="7"/>
  <c r="J52" i="7"/>
  <c r="J51" i="7"/>
  <c r="J50" i="7"/>
  <c r="J48" i="7"/>
  <c r="J47" i="7"/>
  <c r="J44" i="7"/>
  <c r="J42" i="7"/>
  <c r="J41" i="7"/>
  <c r="G51" i="7"/>
  <c r="G50" i="7"/>
  <c r="G48" i="7"/>
  <c r="G47" i="7"/>
  <c r="G42" i="7"/>
  <c r="G41" i="7"/>
  <c r="G38" i="7"/>
  <c r="I10" i="7"/>
  <c r="I12" i="7" s="1"/>
  <c r="S26" i="7"/>
  <c r="P26" i="7"/>
  <c r="M26" i="7"/>
  <c r="J26" i="7"/>
  <c r="G26" i="7"/>
  <c r="G22" i="7"/>
  <c r="R19" i="7"/>
  <c r="R18" i="7"/>
  <c r="O19" i="7"/>
  <c r="O18" i="7"/>
  <c r="L19" i="7"/>
  <c r="L18" i="7"/>
  <c r="I19" i="7"/>
  <c r="I18" i="7"/>
  <c r="E33" i="7"/>
  <c r="C33" i="7"/>
  <c r="E23" i="7"/>
  <c r="C23" i="7"/>
  <c r="B23" i="7"/>
  <c r="E20" i="7"/>
  <c r="R16" i="7"/>
  <c r="Q16" i="7"/>
  <c r="O16" i="7"/>
  <c r="N16" i="7"/>
  <c r="L16" i="7"/>
  <c r="K16" i="7"/>
  <c r="I16" i="7"/>
  <c r="H16" i="7"/>
  <c r="F16" i="7"/>
  <c r="E16" i="7"/>
  <c r="R12" i="7"/>
  <c r="Q10" i="7"/>
  <c r="Q12" i="7" s="1"/>
  <c r="O10" i="7"/>
  <c r="O12" i="7" s="1"/>
  <c r="N10" i="7"/>
  <c r="N12" i="7" s="1"/>
  <c r="L10" i="7"/>
  <c r="L12" i="7" s="1"/>
  <c r="K10" i="7"/>
  <c r="K12" i="7" s="1"/>
  <c r="H10" i="7"/>
  <c r="H12" i="7" s="1"/>
  <c r="F10" i="7"/>
  <c r="F12" i="7" s="1"/>
  <c r="E10" i="7"/>
  <c r="E12" i="7" s="1"/>
  <c r="C10" i="7"/>
  <c r="R27" i="7"/>
  <c r="Q27" i="7"/>
  <c r="O27" i="7"/>
  <c r="O33" i="7" s="1"/>
  <c r="N27" i="7"/>
  <c r="N30" i="7" s="1"/>
  <c r="L27" i="7"/>
  <c r="K27" i="7"/>
  <c r="K30" i="7" s="1"/>
  <c r="I27" i="7"/>
  <c r="H27" i="7"/>
  <c r="F27" i="7"/>
  <c r="F30" i="7" s="1"/>
  <c r="E27" i="7"/>
  <c r="E30" i="7" s="1"/>
  <c r="C27" i="7"/>
  <c r="C29" i="7" s="1"/>
  <c r="F19" i="7"/>
  <c r="F18" i="7"/>
  <c r="S52" i="7" l="1"/>
  <c r="K20" i="7"/>
  <c r="K37" i="7" s="1"/>
  <c r="K39" i="7" s="1"/>
  <c r="O20" i="7"/>
  <c r="O37" i="7" s="1"/>
  <c r="R20" i="7"/>
  <c r="R37" i="7" s="1"/>
  <c r="P52" i="7"/>
  <c r="N21" i="7"/>
  <c r="N23" i="7" s="1"/>
  <c r="F20" i="7"/>
  <c r="F21" i="7" s="1"/>
  <c r="Q37" i="7"/>
  <c r="Q39" i="7" s="1"/>
  <c r="O21" i="7"/>
  <c r="O23" i="7" s="1"/>
  <c r="K21" i="7"/>
  <c r="K23" i="7" s="1"/>
  <c r="Q21" i="7"/>
  <c r="Q23" i="7" s="1"/>
  <c r="I20" i="7"/>
  <c r="I37" i="7" s="1"/>
  <c r="M52" i="7"/>
  <c r="H30" i="7"/>
  <c r="H32" i="7"/>
  <c r="H33" i="7" s="1"/>
  <c r="C30" i="7"/>
  <c r="L30" i="7"/>
  <c r="L33" i="7"/>
  <c r="R30" i="7"/>
  <c r="R32" i="7"/>
  <c r="R33" i="7" s="1"/>
  <c r="N32" i="7"/>
  <c r="AL19" i="7"/>
  <c r="AL20" i="7" s="1"/>
  <c r="AL37" i="7" s="1"/>
  <c r="AL40" i="7" s="1"/>
  <c r="AL45" i="7" s="1"/>
  <c r="F37" i="7"/>
  <c r="F39" i="7" s="1"/>
  <c r="H20" i="7"/>
  <c r="H21" i="7" s="1"/>
  <c r="R21" i="7"/>
  <c r="R23" i="7" s="1"/>
  <c r="AM19" i="7"/>
  <c r="L20" i="7"/>
  <c r="L37" i="7" s="1"/>
  <c r="K32" i="7"/>
  <c r="O46" i="7"/>
  <c r="O49" i="7" s="1"/>
  <c r="Q33" i="7"/>
  <c r="Q30" i="7"/>
  <c r="I30" i="7"/>
  <c r="I32" i="7"/>
  <c r="E54" i="7"/>
  <c r="G54" i="7" s="1"/>
  <c r="F32" i="7"/>
  <c r="O30" i="7"/>
  <c r="I21" i="7" l="1"/>
  <c r="I23" i="7" s="1"/>
  <c r="N46" i="7"/>
  <c r="N33" i="7"/>
  <c r="F23" i="7"/>
  <c r="AN19" i="7"/>
  <c r="L21" i="7"/>
  <c r="L23" i="7" s="1"/>
  <c r="H46" i="7"/>
  <c r="H49" i="7" s="1"/>
  <c r="AL32" i="7"/>
  <c r="AL33" i="7" s="1"/>
  <c r="Q46" i="7"/>
  <c r="Q49" i="7" s="1"/>
  <c r="H23" i="7"/>
  <c r="AL21" i="7"/>
  <c r="AL23" i="7" s="1"/>
  <c r="F33" i="7"/>
  <c r="AM32" i="7"/>
  <c r="AM33" i="7" s="1"/>
  <c r="F46" i="7"/>
  <c r="L46" i="7"/>
  <c r="L49" i="7" s="1"/>
  <c r="K46" i="7"/>
  <c r="K49" i="7" s="1"/>
  <c r="K33" i="7"/>
  <c r="R46" i="7"/>
  <c r="R49" i="7" s="1"/>
  <c r="AM30" i="7"/>
  <c r="I33" i="7"/>
  <c r="I46" i="7"/>
  <c r="I49" i="7" s="1"/>
  <c r="P46" i="7" l="1"/>
  <c r="N49" i="7"/>
  <c r="P49" i="7" s="1"/>
  <c r="S49" i="7"/>
  <c r="M49" i="7"/>
  <c r="J49" i="7"/>
  <c r="J46" i="7"/>
  <c r="AM21" i="7"/>
  <c r="AM23" i="7" s="1"/>
  <c r="F49" i="7"/>
  <c r="G49" i="7" s="1"/>
  <c r="G46" i="7"/>
  <c r="AN32" i="7"/>
  <c r="AN33" i="7" s="1"/>
  <c r="M46" i="7"/>
  <c r="S46" i="7"/>
  <c r="D51" i="7"/>
  <c r="D50" i="7"/>
  <c r="D48" i="7"/>
  <c r="D47" i="7"/>
  <c r="D46" i="7"/>
  <c r="D42" i="7"/>
  <c r="D41" i="7"/>
  <c r="C52" i="7"/>
  <c r="C49" i="7"/>
  <c r="C14" i="7"/>
  <c r="C18" i="7"/>
  <c r="C11" i="7"/>
  <c r="AM18" i="7" l="1"/>
  <c r="C20" i="7"/>
  <c r="C37" i="7" s="1"/>
  <c r="AM11" i="7"/>
  <c r="C12" i="7"/>
  <c r="AM14" i="7"/>
  <c r="C16" i="7"/>
  <c r="C54" i="7"/>
  <c r="B52" i="7"/>
  <c r="D52" i="7" s="1"/>
  <c r="B49" i="7"/>
  <c r="D49" i="7" s="1"/>
  <c r="B27" i="7"/>
  <c r="B29" i="7" s="1"/>
  <c r="AL29" i="7" s="1"/>
  <c r="B10" i="7"/>
  <c r="B12" i="7" s="1"/>
  <c r="B33" i="7"/>
  <c r="B20" i="7"/>
  <c r="B37" i="7" s="1"/>
  <c r="B39" i="7" s="1"/>
  <c r="B16" i="7"/>
  <c r="J32" i="7"/>
  <c r="J33" i="7" s="1"/>
  <c r="G32" i="7"/>
  <c r="G33" i="7" s="1"/>
  <c r="D32" i="7"/>
  <c r="D33" i="7" s="1"/>
  <c r="D26" i="7"/>
  <c r="S22" i="7"/>
  <c r="P22" i="7"/>
  <c r="M22" i="7"/>
  <c r="J22" i="7"/>
  <c r="D22" i="7"/>
  <c r="H37" i="7"/>
  <c r="H39" i="7" s="1"/>
  <c r="E37" i="7"/>
  <c r="E39" i="7" s="1"/>
  <c r="E44" i="7" s="1"/>
  <c r="G44" i="7" s="1"/>
  <c r="S19" i="7"/>
  <c r="P19" i="7"/>
  <c r="M19" i="7"/>
  <c r="J19" i="7"/>
  <c r="G19" i="7"/>
  <c r="S18" i="7"/>
  <c r="J18" i="7"/>
  <c r="G18" i="7"/>
  <c r="D18" i="7"/>
  <c r="S15" i="7"/>
  <c r="P15" i="7"/>
  <c r="M15" i="7"/>
  <c r="J15" i="7"/>
  <c r="G15" i="7"/>
  <c r="D15" i="7"/>
  <c r="S14" i="7"/>
  <c r="P14" i="7"/>
  <c r="M14" i="7"/>
  <c r="J14" i="7"/>
  <c r="G14" i="7"/>
  <c r="D14" i="7"/>
  <c r="S11" i="7"/>
  <c r="P11" i="7"/>
  <c r="P25" i="7" s="1"/>
  <c r="P27" i="7" s="1"/>
  <c r="P29" i="7" s="1"/>
  <c r="P30" i="7" s="1"/>
  <c r="M11" i="7"/>
  <c r="M25" i="7" s="1"/>
  <c r="M27" i="7" s="1"/>
  <c r="M29" i="7" s="1"/>
  <c r="M30" i="7" s="1"/>
  <c r="J11" i="7"/>
  <c r="J25" i="7" s="1"/>
  <c r="J27" i="7" s="1"/>
  <c r="J29" i="7" s="1"/>
  <c r="J30" i="7" s="1"/>
  <c r="G11" i="7"/>
  <c r="D11" i="7"/>
  <c r="D25" i="7" s="1"/>
  <c r="S8" i="7"/>
  <c r="P8" i="7"/>
  <c r="M8" i="7"/>
  <c r="J8" i="7"/>
  <c r="G8" i="7"/>
  <c r="D8" i="7"/>
  <c r="S7" i="7"/>
  <c r="P7" i="7"/>
  <c r="M7" i="7"/>
  <c r="J7" i="7"/>
  <c r="G7" i="7"/>
  <c r="D7" i="7"/>
  <c r="D10" i="7" l="1"/>
  <c r="D12" i="7" s="1"/>
  <c r="D27" i="7"/>
  <c r="D29" i="7" s="1"/>
  <c r="D30" i="7" s="1"/>
  <c r="G10" i="7"/>
  <c r="S10" i="7"/>
  <c r="S12" i="7" s="1"/>
  <c r="S20" i="7"/>
  <c r="S37" i="7" s="1"/>
  <c r="S16" i="7"/>
  <c r="S21" i="7" s="1"/>
  <c r="G20" i="7"/>
  <c r="D16" i="7"/>
  <c r="AL30" i="7"/>
  <c r="AN29" i="7"/>
  <c r="AN30" i="7" s="1"/>
  <c r="S25" i="7"/>
  <c r="AN11" i="7"/>
  <c r="AN12" i="7" s="1"/>
  <c r="AM12" i="7"/>
  <c r="AN14" i="7"/>
  <c r="AN16" i="7" s="1"/>
  <c r="AM16" i="7"/>
  <c r="AM20" i="7"/>
  <c r="AM37" i="7" s="1"/>
  <c r="AM40" i="7" s="1"/>
  <c r="AM45" i="7" s="1"/>
  <c r="AN18" i="7"/>
  <c r="AN20" i="7" s="1"/>
  <c r="AN37" i="7" s="1"/>
  <c r="AN40" i="7" s="1"/>
  <c r="P10" i="7"/>
  <c r="P12" i="7" s="1"/>
  <c r="J16" i="7"/>
  <c r="G16" i="7"/>
  <c r="M10" i="7"/>
  <c r="M12" i="7" s="1"/>
  <c r="J10" i="7"/>
  <c r="J12" i="7" s="1"/>
  <c r="G25" i="7"/>
  <c r="G27" i="7" s="1"/>
  <c r="G29" i="7" s="1"/>
  <c r="G30" i="7" s="1"/>
  <c r="G12" i="7"/>
  <c r="J20" i="7"/>
  <c r="J37" i="7" s="1"/>
  <c r="P16" i="7"/>
  <c r="M16" i="7"/>
  <c r="B54" i="7"/>
  <c r="D54" i="7" s="1"/>
  <c r="B44" i="7"/>
  <c r="S32" i="7"/>
  <c r="S33" i="7" s="1"/>
  <c r="B30" i="7"/>
  <c r="P18" i="7"/>
  <c r="P20" i="7" s="1"/>
  <c r="P37" i="7" s="1"/>
  <c r="M18" i="7"/>
  <c r="P32" i="7"/>
  <c r="P33" i="7" s="1"/>
  <c r="G37" i="7"/>
  <c r="G39" i="7" s="1"/>
  <c r="M32" i="7"/>
  <c r="M33" i="7" s="1"/>
  <c r="D19" i="7"/>
  <c r="D20" i="7" s="1"/>
  <c r="AK39" i="1"/>
  <c r="AK35" i="1"/>
  <c r="AK34" i="1"/>
  <c r="AK33" i="1"/>
  <c r="AK31" i="1"/>
  <c r="AK30" i="1"/>
  <c r="AK29" i="1"/>
  <c r="AK27" i="1"/>
  <c r="AK24" i="1"/>
  <c r="AK22" i="1"/>
  <c r="AK21" i="1"/>
  <c r="AK19" i="1"/>
  <c r="AK17" i="1"/>
  <c r="AK15" i="1"/>
  <c r="AK14" i="1"/>
  <c r="AK13" i="1"/>
  <c r="AK11" i="1"/>
  <c r="AK9" i="1"/>
  <c r="AK8" i="1"/>
  <c r="AQ13" i="1" s="1"/>
  <c r="AH39" i="1"/>
  <c r="AH36" i="1"/>
  <c r="AH35" i="1"/>
  <c r="AH34" i="1"/>
  <c r="AH33" i="1"/>
  <c r="AH31" i="1"/>
  <c r="AH30" i="1"/>
  <c r="AH29" i="1"/>
  <c r="AH27" i="1"/>
  <c r="AH24" i="1"/>
  <c r="AH22" i="1"/>
  <c r="AH21" i="1"/>
  <c r="AH19" i="1"/>
  <c r="AH17" i="1"/>
  <c r="AH15" i="1"/>
  <c r="AH14" i="1"/>
  <c r="AH13" i="1"/>
  <c r="AH11" i="1"/>
  <c r="AH9" i="1"/>
  <c r="AH8" i="1"/>
  <c r="AE39" i="1"/>
  <c r="AE35" i="1"/>
  <c r="AE34" i="1"/>
  <c r="AE33" i="1"/>
  <c r="AE31" i="1"/>
  <c r="AE30" i="1"/>
  <c r="AE29" i="1"/>
  <c r="AE24" i="1"/>
  <c r="AE22" i="1"/>
  <c r="AE21" i="1"/>
  <c r="AE19" i="1"/>
  <c r="AE17" i="1"/>
  <c r="AE15" i="1"/>
  <c r="AE14" i="1"/>
  <c r="AE13" i="1"/>
  <c r="AE11" i="1"/>
  <c r="AE9" i="1"/>
  <c r="AE8" i="1"/>
  <c r="AB39" i="1"/>
  <c r="AB35" i="1"/>
  <c r="AB34" i="1"/>
  <c r="AB33" i="1"/>
  <c r="AB31" i="1"/>
  <c r="AB30" i="1"/>
  <c r="AB29" i="1"/>
  <c r="AB24" i="1"/>
  <c r="AB22" i="1"/>
  <c r="AB21" i="1"/>
  <c r="AB19" i="1"/>
  <c r="AB17" i="1"/>
  <c r="AB15" i="1"/>
  <c r="AB14" i="1"/>
  <c r="AB13" i="1"/>
  <c r="AB11" i="1"/>
  <c r="AB9" i="1"/>
  <c r="AB8" i="1"/>
  <c r="Y39" i="1"/>
  <c r="Y36" i="1"/>
  <c r="Y35" i="1"/>
  <c r="Y34" i="1"/>
  <c r="Y33" i="1"/>
  <c r="Y31" i="1"/>
  <c r="Y30" i="1"/>
  <c r="Y29" i="1"/>
  <c r="Y27" i="1"/>
  <c r="Y24" i="1"/>
  <c r="Y22" i="1"/>
  <c r="Y21" i="1"/>
  <c r="Y19" i="1"/>
  <c r="Y17" i="1"/>
  <c r="Y15" i="1"/>
  <c r="Y13" i="1"/>
  <c r="Y11" i="1"/>
  <c r="Y9" i="1"/>
  <c r="Y8" i="1"/>
  <c r="V39" i="1"/>
  <c r="V36" i="1"/>
  <c r="V35" i="1"/>
  <c r="V34" i="1"/>
  <c r="V33" i="1"/>
  <c r="V31" i="1"/>
  <c r="V30" i="1"/>
  <c r="V29" i="1"/>
  <c r="V27" i="1"/>
  <c r="V24" i="1"/>
  <c r="V22" i="1"/>
  <c r="V21" i="1"/>
  <c r="V19" i="1"/>
  <c r="V17" i="1"/>
  <c r="V15" i="1"/>
  <c r="V14" i="1"/>
  <c r="V13" i="1"/>
  <c r="V11" i="1"/>
  <c r="V9" i="1"/>
  <c r="V8" i="1"/>
  <c r="S39" i="1"/>
  <c r="S35" i="1"/>
  <c r="S34" i="1"/>
  <c r="S33" i="1"/>
  <c r="S31" i="1"/>
  <c r="S30" i="1"/>
  <c r="S29" i="1"/>
  <c r="S27" i="1"/>
  <c r="S24" i="1"/>
  <c r="S22" i="1"/>
  <c r="S21" i="1"/>
  <c r="S19" i="1"/>
  <c r="S17" i="1"/>
  <c r="S15" i="1"/>
  <c r="S13" i="1"/>
  <c r="S11" i="1"/>
  <c r="S9" i="1"/>
  <c r="S8" i="1"/>
  <c r="AQ11" i="1" s="1"/>
  <c r="P39" i="1"/>
  <c r="P35" i="1"/>
  <c r="P34" i="1"/>
  <c r="P33" i="1"/>
  <c r="P31" i="1"/>
  <c r="P30" i="1"/>
  <c r="P29" i="1"/>
  <c r="P27" i="1"/>
  <c r="P24" i="1"/>
  <c r="P22" i="1"/>
  <c r="P21" i="1"/>
  <c r="P19" i="1"/>
  <c r="P17" i="1"/>
  <c r="P15" i="1"/>
  <c r="P14" i="1"/>
  <c r="P13" i="1"/>
  <c r="P11" i="1"/>
  <c r="P9" i="1"/>
  <c r="P8" i="1"/>
  <c r="AQ12" i="1" s="1"/>
  <c r="M39" i="1"/>
  <c r="M35" i="1"/>
  <c r="M34" i="1"/>
  <c r="M33" i="1"/>
  <c r="M31" i="1"/>
  <c r="M30" i="1"/>
  <c r="M29" i="1"/>
  <c r="M27" i="1"/>
  <c r="M24" i="1"/>
  <c r="M22" i="1"/>
  <c r="M21" i="1"/>
  <c r="M19" i="1"/>
  <c r="M17" i="1"/>
  <c r="M15" i="1"/>
  <c r="M14" i="1"/>
  <c r="M13" i="1"/>
  <c r="M11" i="1"/>
  <c r="M9" i="1"/>
  <c r="M8" i="1"/>
  <c r="J39" i="1"/>
  <c r="J35" i="1"/>
  <c r="J34" i="1"/>
  <c r="J33" i="1"/>
  <c r="J31" i="1"/>
  <c r="J30" i="1"/>
  <c r="J29" i="1"/>
  <c r="J27" i="1"/>
  <c r="J24" i="1"/>
  <c r="J22" i="1"/>
  <c r="J21" i="1"/>
  <c r="J19" i="1"/>
  <c r="J17" i="1"/>
  <c r="J15" i="1"/>
  <c r="J14" i="1"/>
  <c r="J13" i="1"/>
  <c r="J11" i="1"/>
  <c r="J9" i="1"/>
  <c r="J8" i="1"/>
  <c r="G39" i="1"/>
  <c r="G37" i="1"/>
  <c r="G36" i="1"/>
  <c r="G35" i="1"/>
  <c r="G34" i="1"/>
  <c r="G33" i="1"/>
  <c r="G31" i="1"/>
  <c r="G30" i="1"/>
  <c r="G29" i="1"/>
  <c r="G27" i="1"/>
  <c r="G24" i="1"/>
  <c r="G22" i="1"/>
  <c r="G21" i="1"/>
  <c r="G19" i="1"/>
  <c r="G17" i="1"/>
  <c r="G15" i="1"/>
  <c r="G14" i="1"/>
  <c r="G13" i="1"/>
  <c r="G11" i="1"/>
  <c r="G9" i="1"/>
  <c r="G8" i="1"/>
  <c r="D39" i="1"/>
  <c r="D37" i="1"/>
  <c r="D36" i="1"/>
  <c r="D35" i="1"/>
  <c r="D34" i="1"/>
  <c r="D33" i="1"/>
  <c r="D31" i="1"/>
  <c r="D30" i="1"/>
  <c r="D29" i="1"/>
  <c r="D27" i="1"/>
  <c r="D24" i="1"/>
  <c r="D22" i="1"/>
  <c r="D21" i="1"/>
  <c r="D19" i="1"/>
  <c r="D15" i="1"/>
  <c r="D14" i="1"/>
  <c r="D13" i="1"/>
  <c r="D11" i="1"/>
  <c r="D9" i="1"/>
  <c r="D8" i="1"/>
  <c r="AQ9" i="1" l="1"/>
  <c r="AN11" i="1"/>
  <c r="AN31" i="1"/>
  <c r="AN19" i="1"/>
  <c r="AN13" i="1"/>
  <c r="AN33" i="1"/>
  <c r="AN8" i="1"/>
  <c r="AN29" i="1"/>
  <c r="AN34" i="1"/>
  <c r="AN39" i="1"/>
  <c r="AN15" i="1"/>
  <c r="AN22" i="1"/>
  <c r="AN35" i="1"/>
  <c r="S27" i="7"/>
  <c r="S29" i="7" s="1"/>
  <c r="S30" i="7" s="1"/>
  <c r="J21" i="7"/>
  <c r="P21" i="7"/>
  <c r="P23" i="7" s="1"/>
  <c r="G21" i="7"/>
  <c r="G23" i="7" s="1"/>
  <c r="AN44" i="7"/>
  <c r="AN45" i="7"/>
  <c r="AN21" i="7"/>
  <c r="AN23" i="7" s="1"/>
  <c r="AN9" i="1"/>
  <c r="AN21" i="1"/>
  <c r="M20" i="7"/>
  <c r="M37" i="7" s="1"/>
  <c r="J23" i="7"/>
  <c r="D21" i="7"/>
  <c r="D23" i="7" s="1"/>
  <c r="S23" i="7"/>
  <c r="AQ10" i="1" l="1"/>
  <c r="AQ14" i="1" s="1"/>
  <c r="AR13" i="1"/>
  <c r="AR14" i="1" s="1"/>
  <c r="AP13" i="1"/>
  <c r="M21" i="7"/>
  <c r="M23" i="7" s="1"/>
  <c r="C80" i="1"/>
  <c r="B80" i="1"/>
  <c r="C77" i="1"/>
  <c r="B77" i="1"/>
  <c r="Q36" i="1" l="1"/>
  <c r="N36" i="1"/>
  <c r="L36" i="1"/>
  <c r="M36" i="1" s="1"/>
  <c r="AL36" i="1" l="1"/>
  <c r="AM22" i="1"/>
  <c r="C62" i="1" s="1"/>
  <c r="AL22" i="1"/>
  <c r="B62" i="1" s="1"/>
  <c r="C17" i="1" l="1"/>
  <c r="D17" i="1" s="1"/>
  <c r="AN17" i="1" s="1"/>
  <c r="AL14" i="1" l="1"/>
  <c r="AJ20" i="1" l="1"/>
  <c r="AJ18" i="1"/>
  <c r="AJ36" i="1"/>
  <c r="AK36" i="1" s="1"/>
  <c r="AJ32" i="1"/>
  <c r="AJ38" i="1" s="1"/>
  <c r="AJ12" i="1"/>
  <c r="AJ10" i="1"/>
  <c r="AG20" i="1"/>
  <c r="AG18" i="1"/>
  <c r="AG32" i="1"/>
  <c r="AG38" i="1" s="1"/>
  <c r="AG12" i="1"/>
  <c r="AG10" i="1"/>
  <c r="AD18" i="1"/>
  <c r="AD20" i="1"/>
  <c r="AD36" i="1"/>
  <c r="AE36" i="1" s="1"/>
  <c r="AD32" i="1"/>
  <c r="AD12" i="1"/>
  <c r="AD10" i="1"/>
  <c r="AA20" i="1"/>
  <c r="AA18" i="1"/>
  <c r="AA36" i="1"/>
  <c r="AB36" i="1" s="1"/>
  <c r="AA32" i="1"/>
  <c r="AA12" i="1"/>
  <c r="AA10" i="1"/>
  <c r="X20" i="1"/>
  <c r="X18" i="1"/>
  <c r="X32" i="1"/>
  <c r="X38" i="1" s="1"/>
  <c r="X14" i="1"/>
  <c r="Y14" i="1" s="1"/>
  <c r="X12" i="1"/>
  <c r="X10" i="1"/>
  <c r="U20" i="1"/>
  <c r="U18" i="1"/>
  <c r="U32" i="1"/>
  <c r="U38" i="1" s="1"/>
  <c r="U12" i="1"/>
  <c r="V12" i="1" s="1"/>
  <c r="U10" i="1"/>
  <c r="V10" i="1" s="1"/>
  <c r="R20" i="1"/>
  <c r="R18" i="1"/>
  <c r="R36" i="1"/>
  <c r="S36" i="1" s="1"/>
  <c r="R14" i="1"/>
  <c r="S14" i="1" s="1"/>
  <c r="R32" i="1"/>
  <c r="R38" i="1" s="1"/>
  <c r="R12" i="1"/>
  <c r="R10" i="1"/>
  <c r="AD38" i="1" l="1"/>
  <c r="AN14" i="1"/>
  <c r="AA38" i="1"/>
  <c r="R23" i="1"/>
  <c r="R16" i="1"/>
  <c r="R38" i="7" s="1"/>
  <c r="X23" i="1"/>
  <c r="AA23" i="1"/>
  <c r="AJ23" i="1"/>
  <c r="U16" i="1"/>
  <c r="U38" i="7" s="1"/>
  <c r="U40" i="7" s="1"/>
  <c r="U45" i="7" s="1"/>
  <c r="AJ16" i="1"/>
  <c r="AJ38" i="7" s="1"/>
  <c r="AJ40" i="7" s="1"/>
  <c r="AJ45" i="7" s="1"/>
  <c r="U23" i="1"/>
  <c r="AD16" i="1"/>
  <c r="AD38" i="7" s="1"/>
  <c r="AD40" i="7" s="1"/>
  <c r="AD45" i="7" s="1"/>
  <c r="AD23" i="1"/>
  <c r="AG23" i="1"/>
  <c r="AA16" i="1"/>
  <c r="AA38" i="7" s="1"/>
  <c r="AA40" i="7" s="1"/>
  <c r="AA45" i="7" s="1"/>
  <c r="AG16" i="1"/>
  <c r="AG38" i="7" s="1"/>
  <c r="AG40" i="7" s="1"/>
  <c r="AG45" i="7" s="1"/>
  <c r="X16" i="1"/>
  <c r="X38" i="7" s="1"/>
  <c r="X40" i="7" s="1"/>
  <c r="X45" i="7" s="1"/>
  <c r="AD26" i="1" l="1"/>
  <c r="S38" i="7"/>
  <c r="S39" i="7" s="1"/>
  <c r="R39" i="7"/>
  <c r="AA26" i="1"/>
  <c r="R26" i="1"/>
  <c r="X26" i="1"/>
  <c r="U26" i="1"/>
  <c r="AJ26" i="1"/>
  <c r="AG26" i="1"/>
  <c r="O18" i="1"/>
  <c r="O20" i="1"/>
  <c r="O36" i="1"/>
  <c r="P36" i="1" s="1"/>
  <c r="AM14" i="1"/>
  <c r="I36" i="1"/>
  <c r="J36" i="1" s="1"/>
  <c r="O12" i="1"/>
  <c r="O10" i="1"/>
  <c r="P10" i="1" s="1"/>
  <c r="O32" i="1"/>
  <c r="O38" i="1" l="1"/>
  <c r="AN36" i="1"/>
  <c r="AM36" i="1"/>
  <c r="O23" i="1"/>
  <c r="O16" i="1"/>
  <c r="O38" i="7" s="1"/>
  <c r="L20" i="1"/>
  <c r="L18" i="1"/>
  <c r="L32" i="1"/>
  <c r="L38" i="1" s="1"/>
  <c r="L12" i="1"/>
  <c r="L10" i="1"/>
  <c r="M10" i="1" s="1"/>
  <c r="P38" i="7" l="1"/>
  <c r="P39" i="7" s="1"/>
  <c r="O39" i="7"/>
  <c r="O26" i="1"/>
  <c r="L16" i="1"/>
  <c r="L38" i="7" s="1"/>
  <c r="L23" i="1"/>
  <c r="I18" i="1"/>
  <c r="I23" i="1" s="1"/>
  <c r="I32" i="1"/>
  <c r="I38" i="1" s="1"/>
  <c r="I12" i="1"/>
  <c r="I10" i="1"/>
  <c r="M38" i="7" l="1"/>
  <c r="M39" i="7" s="1"/>
  <c r="L39" i="7"/>
  <c r="L26" i="1"/>
  <c r="I16" i="1"/>
  <c r="I26" i="1" l="1"/>
  <c r="I38" i="7"/>
  <c r="AM21" i="1"/>
  <c r="C61" i="1" s="1"/>
  <c r="C63" i="1" s="1"/>
  <c r="F20" i="1"/>
  <c r="F18" i="1"/>
  <c r="F32" i="1"/>
  <c r="F12" i="1"/>
  <c r="F10" i="1"/>
  <c r="G10" i="1" s="1"/>
  <c r="H12" i="1"/>
  <c r="J12" i="1" s="1"/>
  <c r="AM27" i="1"/>
  <c r="AM29" i="1"/>
  <c r="AM19" i="1"/>
  <c r="C58" i="1" s="1"/>
  <c r="C86" i="1" s="1"/>
  <c r="AM17" i="1"/>
  <c r="C56" i="1" s="1"/>
  <c r="C85" i="1" s="1"/>
  <c r="AM39" i="1"/>
  <c r="AM35" i="1"/>
  <c r="AM34" i="1"/>
  <c r="AM33" i="1"/>
  <c r="C66" i="1" s="1"/>
  <c r="AM31" i="1"/>
  <c r="C64" i="1" s="1"/>
  <c r="C82" i="1" s="1"/>
  <c r="AM15" i="1"/>
  <c r="I63" i="1" s="1"/>
  <c r="AM13" i="1"/>
  <c r="AM11" i="1"/>
  <c r="I60" i="1" s="1"/>
  <c r="AM9" i="1"/>
  <c r="I57" i="1" s="1"/>
  <c r="AM8" i="1"/>
  <c r="AL29" i="1"/>
  <c r="AL21" i="1"/>
  <c r="B61" i="1" s="1"/>
  <c r="B63" i="1" s="1"/>
  <c r="AL19" i="1"/>
  <c r="B58" i="1" s="1"/>
  <c r="B86" i="1" s="1"/>
  <c r="AL17" i="1"/>
  <c r="B56" i="1" s="1"/>
  <c r="AL35" i="1"/>
  <c r="AL34" i="1"/>
  <c r="AL33" i="1"/>
  <c r="B66" i="1" s="1"/>
  <c r="AL31" i="1"/>
  <c r="B64" i="1" s="1"/>
  <c r="AL15" i="1"/>
  <c r="H63" i="1" s="1"/>
  <c r="AL13" i="1"/>
  <c r="AL11" i="1"/>
  <c r="H60" i="1" s="1"/>
  <c r="AL9" i="1"/>
  <c r="H57" i="1" s="1"/>
  <c r="AL8" i="1"/>
  <c r="H56" i="1" s="1"/>
  <c r="I56" i="1" l="1"/>
  <c r="AP8" i="1"/>
  <c r="AP12" i="1" s="1"/>
  <c r="AP14" i="1" s="1"/>
  <c r="B82" i="1"/>
  <c r="B85" i="1"/>
  <c r="B84" i="1" s="1"/>
  <c r="F38" i="1"/>
  <c r="F40" i="1" s="1"/>
  <c r="I37" i="1" s="1"/>
  <c r="I39" i="7"/>
  <c r="J38" i="7"/>
  <c r="J39" i="7" s="1"/>
  <c r="C84" i="1"/>
  <c r="F23" i="1"/>
  <c r="F16" i="1"/>
  <c r="C20" i="1"/>
  <c r="C18" i="1"/>
  <c r="AM18" i="1" s="1"/>
  <c r="C57" i="1" s="1"/>
  <c r="C32" i="1"/>
  <c r="C12" i="1"/>
  <c r="AM12" i="1" s="1"/>
  <c r="I61" i="1" s="1"/>
  <c r="C10" i="1"/>
  <c r="D10" i="1" s="1"/>
  <c r="I40" i="1" l="1"/>
  <c r="L37" i="1" s="1"/>
  <c r="J37" i="1"/>
  <c r="AM32" i="1"/>
  <c r="C65" i="1" s="1"/>
  <c r="C38" i="1"/>
  <c r="F26" i="1"/>
  <c r="C16" i="1"/>
  <c r="C23" i="1"/>
  <c r="AM20" i="1"/>
  <c r="C59" i="1" s="1"/>
  <c r="AM10" i="1"/>
  <c r="I58" i="1" s="1"/>
  <c r="I64" i="1" s="1"/>
  <c r="L40" i="1" l="1"/>
  <c r="O37" i="1" s="1"/>
  <c r="M37" i="1"/>
  <c r="C73" i="1"/>
  <c r="C67" i="1"/>
  <c r="C69" i="1" s="1"/>
  <c r="AM16" i="1"/>
  <c r="C38" i="7"/>
  <c r="C40" i="1"/>
  <c r="AM38" i="1"/>
  <c r="C26" i="1"/>
  <c r="C72" i="1"/>
  <c r="AM23" i="1"/>
  <c r="AI32" i="1"/>
  <c r="AI20" i="1"/>
  <c r="AK20" i="1" s="1"/>
  <c r="AI18" i="1"/>
  <c r="AK18" i="1" s="1"/>
  <c r="AI12" i="1"/>
  <c r="AK12" i="1" s="1"/>
  <c r="AI10" i="1"/>
  <c r="AK10" i="1" s="1"/>
  <c r="C74" i="1" l="1"/>
  <c r="D38" i="7"/>
  <c r="D39" i="7" s="1"/>
  <c r="C39" i="7"/>
  <c r="C44" i="7" s="1"/>
  <c r="D44" i="7" s="1"/>
  <c r="AK32" i="1"/>
  <c r="AI38" i="1"/>
  <c r="P37" i="1"/>
  <c r="O40" i="1"/>
  <c r="R37" i="1" s="1"/>
  <c r="AM26" i="1"/>
  <c r="AI23" i="1"/>
  <c r="AK23" i="1" s="1"/>
  <c r="AI16" i="1"/>
  <c r="AK16" i="1" s="1"/>
  <c r="AF32" i="1"/>
  <c r="AF20" i="1"/>
  <c r="AH20" i="1" s="1"/>
  <c r="AF18" i="1"/>
  <c r="AH18" i="1" s="1"/>
  <c r="AF12" i="1"/>
  <c r="AH12" i="1" s="1"/>
  <c r="AF10" i="1"/>
  <c r="AH10" i="1" s="1"/>
  <c r="AK38" i="1" l="1"/>
  <c r="AI40" i="1"/>
  <c r="AH32" i="1"/>
  <c r="AF38" i="1"/>
  <c r="R40" i="1"/>
  <c r="U37" i="1" s="1"/>
  <c r="S37" i="1"/>
  <c r="AI26" i="1"/>
  <c r="AK26" i="1" s="1"/>
  <c r="AF16" i="1"/>
  <c r="AH16" i="1" s="1"/>
  <c r="AF23" i="1"/>
  <c r="F42" i="3"/>
  <c r="AF26" i="1" l="1"/>
  <c r="AH26" i="1" s="1"/>
  <c r="AH23" i="1"/>
  <c r="AH38" i="1"/>
  <c r="AF40" i="1"/>
  <c r="U40" i="1"/>
  <c r="X37" i="1" s="1"/>
  <c r="V37" i="1"/>
  <c r="M52" i="2"/>
  <c r="L52" i="2"/>
  <c r="X40" i="1" l="1"/>
  <c r="AA37" i="1" s="1"/>
  <c r="Y37" i="1"/>
  <c r="I54" i="2"/>
  <c r="AA40" i="1" l="1"/>
  <c r="AD37" i="1" s="1"/>
  <c r="AB37" i="1"/>
  <c r="H54" i="2"/>
  <c r="G54" i="2"/>
  <c r="AD40" i="1" l="1"/>
  <c r="AG37" i="1" s="1"/>
  <c r="AE37" i="1"/>
  <c r="F54" i="2"/>
  <c r="E54" i="2"/>
  <c r="AG40" i="1" l="1"/>
  <c r="AH37" i="1"/>
  <c r="M12" i="4"/>
  <c r="AJ37" i="1" l="1"/>
  <c r="AH40" i="1"/>
  <c r="L42" i="3"/>
  <c r="D51" i="2"/>
  <c r="D50" i="2"/>
  <c r="A50" i="2" s="1"/>
  <c r="I43" i="3"/>
  <c r="N43" i="3"/>
  <c r="M43" i="3"/>
  <c r="G43" i="3"/>
  <c r="E43" i="3"/>
  <c r="K41" i="3"/>
  <c r="K43" i="3" s="1"/>
  <c r="H41" i="3"/>
  <c r="H43" i="3" s="1"/>
  <c r="F41" i="3"/>
  <c r="J41" i="3"/>
  <c r="J43" i="3" s="1"/>
  <c r="AJ40" i="1" l="1"/>
  <c r="AK40" i="1" s="1"/>
  <c r="AK37" i="1"/>
  <c r="L41" i="3"/>
  <c r="D41" i="3"/>
  <c r="P41" i="3" s="1"/>
  <c r="L43" i="3"/>
  <c r="D42" i="3"/>
  <c r="F43" i="3"/>
  <c r="N39" i="3"/>
  <c r="N40" i="3" s="1"/>
  <c r="M40" i="3"/>
  <c r="L40" i="3"/>
  <c r="K40" i="3"/>
  <c r="H40" i="3"/>
  <c r="G40" i="3"/>
  <c r="F40" i="3"/>
  <c r="E40" i="3"/>
  <c r="D39" i="3" l="1"/>
  <c r="D43" i="3"/>
  <c r="J10" i="3"/>
  <c r="I10" i="3"/>
  <c r="I52" i="2" l="1"/>
  <c r="H52" i="2"/>
  <c r="G52" i="2"/>
  <c r="F52" i="2"/>
  <c r="E52" i="2"/>
  <c r="I48" i="2"/>
  <c r="H48" i="2"/>
  <c r="G48" i="2"/>
  <c r="F48" i="2"/>
  <c r="E48" i="2"/>
  <c r="D47" i="2"/>
  <c r="D46" i="2"/>
  <c r="U164" i="6" l="1"/>
  <c r="T164" i="6"/>
  <c r="R164" i="6"/>
  <c r="S164" i="6" s="1"/>
  <c r="R163" i="6"/>
  <c r="S163" i="6" s="1"/>
  <c r="R162" i="6"/>
  <c r="S162" i="6" s="1"/>
  <c r="U161" i="6"/>
  <c r="R161" i="6"/>
  <c r="S161" i="6" s="1"/>
  <c r="U160" i="6"/>
  <c r="T160" i="6"/>
  <c r="R160" i="6"/>
  <c r="S160" i="6" s="1"/>
  <c r="S159" i="6"/>
  <c r="R159" i="6"/>
  <c r="U158" i="6"/>
  <c r="T158" i="6"/>
  <c r="S158" i="6"/>
  <c r="R158" i="6"/>
  <c r="U157" i="6"/>
  <c r="T157" i="6"/>
  <c r="S157" i="6"/>
  <c r="R157" i="6"/>
  <c r="R156" i="6"/>
  <c r="S156" i="6" s="1"/>
  <c r="U155" i="6"/>
  <c r="T155" i="6"/>
  <c r="R155" i="6"/>
  <c r="S155" i="6" s="1"/>
  <c r="U154" i="6"/>
  <c r="T154" i="6"/>
  <c r="R154" i="6"/>
  <c r="S154" i="6" s="1"/>
  <c r="U153" i="6"/>
  <c r="T153" i="6"/>
  <c r="R153" i="6"/>
  <c r="S153" i="6" s="1"/>
  <c r="U152" i="6"/>
  <c r="T152" i="6"/>
  <c r="R152" i="6"/>
  <c r="S152" i="6" s="1"/>
  <c r="R151" i="6"/>
  <c r="S151" i="6" s="1"/>
  <c r="R150" i="6"/>
  <c r="S150" i="6" s="1"/>
  <c r="U149" i="6"/>
  <c r="T149" i="6"/>
  <c r="R149" i="6"/>
  <c r="S149" i="6" s="1"/>
  <c r="R148" i="6"/>
  <c r="S148" i="6" s="1"/>
  <c r="R147" i="6"/>
  <c r="S147" i="6" s="1"/>
  <c r="S146" i="6"/>
  <c r="R146" i="6"/>
  <c r="R145" i="6"/>
  <c r="S145" i="6" s="1"/>
  <c r="U144" i="6"/>
  <c r="T144" i="6"/>
  <c r="R144" i="6"/>
  <c r="S144" i="6" s="1"/>
  <c r="R143" i="6"/>
  <c r="S143" i="6" s="1"/>
  <c r="R142" i="6"/>
  <c r="S142" i="6" s="1"/>
  <c r="U141" i="6"/>
  <c r="T141" i="6"/>
  <c r="R141" i="6"/>
  <c r="S141" i="6" s="1"/>
  <c r="U140" i="6"/>
  <c r="T140" i="6"/>
  <c r="R140" i="6"/>
  <c r="S140" i="6" s="1"/>
  <c r="R139" i="6"/>
  <c r="S139" i="6" s="1"/>
  <c r="U138" i="6"/>
  <c r="T138" i="6"/>
  <c r="R138" i="6"/>
  <c r="S138" i="6" s="1"/>
  <c r="U137" i="6"/>
  <c r="T137" i="6"/>
  <c r="R137" i="6"/>
  <c r="S137" i="6" s="1"/>
  <c r="U136" i="6"/>
  <c r="T136" i="6"/>
  <c r="R136" i="6"/>
  <c r="S136" i="6" s="1"/>
  <c r="U135" i="6"/>
  <c r="T135" i="6"/>
  <c r="R135" i="6"/>
  <c r="S135" i="6" s="1"/>
  <c r="U134" i="6"/>
  <c r="T134" i="6"/>
  <c r="R134" i="6"/>
  <c r="S134" i="6" s="1"/>
  <c r="R133" i="6"/>
  <c r="S133" i="6" s="1"/>
  <c r="U132" i="6"/>
  <c r="T132" i="6"/>
  <c r="R132" i="6"/>
  <c r="S132" i="6" s="1"/>
  <c r="U131" i="6"/>
  <c r="T131" i="6"/>
  <c r="R131" i="6"/>
  <c r="S131" i="6" s="1"/>
  <c r="S130" i="6"/>
  <c r="R130" i="6"/>
  <c r="R129" i="6"/>
  <c r="S129" i="6" s="1"/>
  <c r="R128" i="6"/>
  <c r="S128" i="6" s="1"/>
  <c r="R127" i="6"/>
  <c r="S127" i="6" s="1"/>
  <c r="R126" i="6"/>
  <c r="S126" i="6" s="1"/>
  <c r="U125" i="6"/>
  <c r="T125" i="6"/>
  <c r="R125" i="6"/>
  <c r="S125" i="6" s="1"/>
  <c r="R124" i="6"/>
  <c r="S124" i="6" s="1"/>
  <c r="R123" i="6"/>
  <c r="S123" i="6" s="1"/>
  <c r="U122" i="6"/>
  <c r="T122" i="6"/>
  <c r="R122" i="6"/>
  <c r="S122" i="6" s="1"/>
  <c r="U121" i="6"/>
  <c r="T121" i="6"/>
  <c r="R121" i="6"/>
  <c r="S121" i="6" s="1"/>
  <c r="R120" i="6"/>
  <c r="S120" i="6" s="1"/>
  <c r="U119" i="6"/>
  <c r="T119" i="6"/>
  <c r="R119" i="6"/>
  <c r="S119" i="6" s="1"/>
  <c r="U118" i="6"/>
  <c r="T118" i="6"/>
  <c r="R118" i="6"/>
  <c r="S118" i="6" s="1"/>
  <c r="U117" i="6"/>
  <c r="T117" i="6"/>
  <c r="R117" i="6"/>
  <c r="S117" i="6" s="1"/>
  <c r="U116" i="6"/>
  <c r="T116" i="6"/>
  <c r="R116" i="6"/>
  <c r="S116" i="6" s="1"/>
  <c r="S115" i="6"/>
  <c r="R115" i="6"/>
  <c r="R114" i="6"/>
  <c r="S114" i="6" s="1"/>
  <c r="U113" i="6"/>
  <c r="T113" i="6"/>
  <c r="R113" i="6"/>
  <c r="S113" i="6" s="1"/>
  <c r="R112" i="6"/>
  <c r="S112" i="6" s="1"/>
  <c r="U111" i="6"/>
  <c r="T111" i="6"/>
  <c r="R111" i="6"/>
  <c r="S111" i="6" s="1"/>
  <c r="R110" i="6"/>
  <c r="S110" i="6" s="1"/>
  <c r="R109" i="6"/>
  <c r="S109" i="6" s="1"/>
  <c r="R108" i="6"/>
  <c r="S108" i="6" s="1"/>
  <c r="S107" i="6"/>
  <c r="R107" i="6"/>
  <c r="R106" i="6"/>
  <c r="S106" i="6" s="1"/>
  <c r="U105" i="6"/>
  <c r="T105" i="6"/>
  <c r="R105" i="6"/>
  <c r="S105" i="6" s="1"/>
  <c r="R104" i="6"/>
  <c r="S104" i="6" s="1"/>
  <c r="U103" i="6"/>
  <c r="T103" i="6"/>
  <c r="R103" i="6"/>
  <c r="S103" i="6" s="1"/>
  <c r="U102" i="6"/>
  <c r="T102" i="6"/>
  <c r="R102" i="6"/>
  <c r="S102" i="6" s="1"/>
  <c r="R101" i="6"/>
  <c r="S101" i="6" s="1"/>
  <c r="U100" i="6"/>
  <c r="T100" i="6"/>
  <c r="R100" i="6"/>
  <c r="S100" i="6" s="1"/>
  <c r="U99" i="6"/>
  <c r="T99" i="6"/>
  <c r="R99" i="6"/>
  <c r="S99" i="6" s="1"/>
  <c r="U98" i="6"/>
  <c r="T98" i="6"/>
  <c r="R98" i="6"/>
  <c r="S98" i="6" s="1"/>
  <c r="U97" i="6"/>
  <c r="T97" i="6"/>
  <c r="R97" i="6"/>
  <c r="S97" i="6" s="1"/>
  <c r="U96" i="6"/>
  <c r="T96" i="6"/>
  <c r="R96" i="6"/>
  <c r="S96" i="6" s="1"/>
  <c r="S95" i="6"/>
  <c r="R95" i="6"/>
  <c r="R94" i="6"/>
  <c r="S94" i="6" s="1"/>
  <c r="R93" i="6"/>
  <c r="S93" i="6" s="1"/>
  <c r="U92" i="6"/>
  <c r="T92" i="6"/>
  <c r="R92" i="6"/>
  <c r="S92" i="6" s="1"/>
  <c r="R91" i="6"/>
  <c r="S91" i="6" s="1"/>
  <c r="U90" i="6"/>
  <c r="T90" i="6"/>
  <c r="R90" i="6"/>
  <c r="S90" i="6" s="1"/>
  <c r="R89" i="6"/>
  <c r="S89" i="6" s="1"/>
  <c r="U88" i="6"/>
  <c r="T88" i="6"/>
  <c r="R88" i="6"/>
  <c r="S88" i="6" s="1"/>
  <c r="U87" i="6"/>
  <c r="T87" i="6"/>
  <c r="R87" i="6"/>
  <c r="S87" i="6" s="1"/>
  <c r="U86" i="6"/>
  <c r="T86" i="6"/>
  <c r="R86" i="6"/>
  <c r="S86" i="6" s="1"/>
  <c r="U85" i="6"/>
  <c r="T85" i="6"/>
  <c r="R85" i="6"/>
  <c r="S85" i="6" s="1"/>
  <c r="R84" i="6"/>
  <c r="S84" i="6" s="1"/>
  <c r="U83" i="6"/>
  <c r="T83" i="6"/>
  <c r="R83" i="6"/>
  <c r="S83" i="6" s="1"/>
  <c r="U82" i="6"/>
  <c r="T82" i="6"/>
  <c r="R82" i="6"/>
  <c r="S82" i="6" s="1"/>
  <c r="R81" i="6"/>
  <c r="S81" i="6" s="1"/>
  <c r="R80" i="6"/>
  <c r="S80" i="6" s="1"/>
  <c r="U79" i="6"/>
  <c r="T79" i="6"/>
  <c r="R79" i="6"/>
  <c r="S79" i="6" s="1"/>
  <c r="U78" i="6"/>
  <c r="T78" i="6"/>
  <c r="R78" i="6"/>
  <c r="S78" i="6" s="1"/>
  <c r="R77" i="6"/>
  <c r="S77" i="6" s="1"/>
  <c r="R76" i="6"/>
  <c r="S76" i="6" s="1"/>
  <c r="R75" i="6"/>
  <c r="S75" i="6" s="1"/>
  <c r="U74" i="6"/>
  <c r="T74" i="6"/>
  <c r="R74" i="6"/>
  <c r="S74" i="6" s="1"/>
  <c r="R73" i="6"/>
  <c r="S73" i="6" s="1"/>
  <c r="U72" i="6"/>
  <c r="T72" i="6"/>
  <c r="R72" i="6"/>
  <c r="S72" i="6" s="1"/>
  <c r="S71" i="6"/>
  <c r="R71" i="6"/>
  <c r="U70" i="6"/>
  <c r="T70" i="6"/>
  <c r="S70" i="6"/>
  <c r="R70" i="6"/>
  <c r="U69" i="6"/>
  <c r="T69" i="6"/>
  <c r="S69" i="6"/>
  <c r="R69" i="6"/>
  <c r="U68" i="6"/>
  <c r="T68" i="6"/>
  <c r="S68" i="6"/>
  <c r="R68" i="6"/>
  <c r="U67" i="6"/>
  <c r="T67" i="6"/>
  <c r="S67" i="6"/>
  <c r="R67" i="6"/>
  <c r="R66" i="6"/>
  <c r="S66" i="6" s="1"/>
  <c r="R65" i="6"/>
  <c r="S65" i="6" s="1"/>
  <c r="R64" i="6"/>
  <c r="S64" i="6" s="1"/>
  <c r="R63" i="6"/>
  <c r="S63" i="6" s="1"/>
  <c r="R62" i="6"/>
  <c r="S62" i="6" s="1"/>
  <c r="U61" i="6"/>
  <c r="T61" i="6"/>
  <c r="R61" i="6"/>
  <c r="S61" i="6" s="1"/>
  <c r="S60" i="6"/>
  <c r="R60" i="6"/>
  <c r="R59" i="6"/>
  <c r="S59" i="6" s="1"/>
  <c r="R58" i="6"/>
  <c r="S58" i="6" s="1"/>
  <c r="U57" i="6"/>
  <c r="T57" i="6"/>
  <c r="R57" i="6"/>
  <c r="S57" i="6" s="1"/>
  <c r="R56" i="6"/>
  <c r="S56" i="6" s="1"/>
  <c r="U55" i="6"/>
  <c r="T55" i="6"/>
  <c r="R55" i="6"/>
  <c r="S55" i="6" s="1"/>
  <c r="R54" i="6"/>
  <c r="S54" i="6" s="1"/>
  <c r="U53" i="6"/>
  <c r="T53" i="6"/>
  <c r="R53" i="6"/>
  <c r="S53" i="6" s="1"/>
  <c r="U52" i="6"/>
  <c r="T52" i="6"/>
  <c r="R52" i="6"/>
  <c r="S52" i="6" s="1"/>
  <c r="R51" i="6"/>
  <c r="S51" i="6" s="1"/>
  <c r="J50" i="6"/>
  <c r="R50" i="6" s="1"/>
  <c r="S50" i="6" s="1"/>
  <c r="R49" i="6"/>
  <c r="S49" i="6" s="1"/>
  <c r="R48" i="6"/>
  <c r="S48" i="6" s="1"/>
  <c r="R47" i="6"/>
  <c r="S47" i="6" s="1"/>
  <c r="U46" i="6"/>
  <c r="T46" i="6"/>
  <c r="R46" i="6"/>
  <c r="S46" i="6" s="1"/>
  <c r="U45" i="6"/>
  <c r="T45" i="6"/>
  <c r="R45" i="6"/>
  <c r="S45" i="6" s="1"/>
  <c r="U44" i="6"/>
  <c r="T44" i="6"/>
  <c r="R44" i="6"/>
  <c r="S44" i="6" s="1"/>
  <c r="R43" i="6"/>
  <c r="S43" i="6" s="1"/>
  <c r="R42" i="6"/>
  <c r="S42" i="6" s="1"/>
  <c r="U41" i="6"/>
  <c r="T41" i="6"/>
  <c r="R41" i="6"/>
  <c r="S41" i="6" s="1"/>
  <c r="R40" i="6"/>
  <c r="S40" i="6" s="1"/>
  <c r="U39" i="6"/>
  <c r="T39" i="6"/>
  <c r="R39" i="6"/>
  <c r="S39" i="6" s="1"/>
  <c r="R38" i="6"/>
  <c r="S38" i="6" s="1"/>
  <c r="U37" i="6"/>
  <c r="T37" i="6"/>
  <c r="R37" i="6"/>
  <c r="S37" i="6" s="1"/>
  <c r="R36" i="6"/>
  <c r="S36" i="6" s="1"/>
  <c r="R35" i="6"/>
  <c r="S35" i="6" s="1"/>
  <c r="U34" i="6"/>
  <c r="T34" i="6"/>
  <c r="R34" i="6"/>
  <c r="S34" i="6" s="1"/>
  <c r="U33" i="6"/>
  <c r="T33" i="6"/>
  <c r="R33" i="6"/>
  <c r="S33" i="6" s="1"/>
  <c r="U32" i="6"/>
  <c r="T32" i="6"/>
  <c r="R32" i="6"/>
  <c r="S32" i="6" s="1"/>
  <c r="V31" i="6"/>
  <c r="U31" i="6"/>
  <c r="R31" i="6"/>
  <c r="S31" i="6" s="1"/>
  <c r="R30" i="6"/>
  <c r="S30" i="6" s="1"/>
  <c r="V29" i="6"/>
  <c r="U29" i="6"/>
  <c r="R29" i="6"/>
  <c r="S29" i="6" s="1"/>
  <c r="S28" i="6"/>
  <c r="R28" i="6"/>
  <c r="R27" i="6"/>
  <c r="S27" i="6" s="1"/>
  <c r="V26" i="6"/>
  <c r="U26" i="6"/>
  <c r="R26" i="6"/>
  <c r="S26" i="6" s="1"/>
  <c r="R25" i="6"/>
  <c r="S25" i="6" s="1"/>
  <c r="V24" i="6"/>
  <c r="U24" i="6"/>
  <c r="R24" i="6"/>
  <c r="S24" i="6" s="1"/>
  <c r="V23" i="6"/>
  <c r="U23" i="6"/>
  <c r="R23" i="6"/>
  <c r="S23" i="6" s="1"/>
  <c r="R22" i="6"/>
  <c r="S22" i="6" s="1"/>
  <c r="V21" i="6"/>
  <c r="U21" i="6"/>
  <c r="R21" i="6"/>
  <c r="S21" i="6" s="1"/>
  <c r="R20" i="6"/>
  <c r="S20" i="6" s="1"/>
  <c r="R19" i="6"/>
  <c r="S19" i="6" s="1"/>
  <c r="R18" i="6"/>
  <c r="S18" i="6" s="1"/>
  <c r="U17" i="6"/>
  <c r="R17" i="6"/>
  <c r="V17" i="6" s="1"/>
  <c r="R16" i="6"/>
  <c r="S16" i="6" s="1"/>
  <c r="R15" i="6"/>
  <c r="S15" i="6" s="1"/>
  <c r="U14" i="6"/>
  <c r="T14" i="6"/>
  <c r="R14" i="6"/>
  <c r="S14" i="6" s="1"/>
  <c r="R13" i="6"/>
  <c r="S13" i="6" s="1"/>
  <c r="R12" i="6"/>
  <c r="S12" i="6" s="1"/>
  <c r="U11" i="6"/>
  <c r="T11" i="6"/>
  <c r="R11" i="6"/>
  <c r="S11" i="6" s="1"/>
  <c r="R10" i="6"/>
  <c r="S10" i="6" s="1"/>
  <c r="U9" i="6"/>
  <c r="R9" i="6"/>
  <c r="U8" i="6"/>
  <c r="T8" i="6"/>
  <c r="R8" i="6"/>
  <c r="S8" i="6" s="1"/>
  <c r="R7" i="6"/>
  <c r="S7" i="6" s="1"/>
  <c r="U6" i="6"/>
  <c r="T6" i="6"/>
  <c r="R6" i="6"/>
  <c r="S6" i="6" s="1"/>
  <c r="Q2" i="6"/>
  <c r="P2" i="6"/>
  <c r="O2" i="6"/>
  <c r="N2" i="6"/>
  <c r="M2" i="6"/>
  <c r="L2" i="6"/>
  <c r="K2" i="6"/>
  <c r="I2" i="6"/>
  <c r="H2" i="6"/>
  <c r="G2" i="6"/>
  <c r="F2" i="6"/>
  <c r="J2" i="6" l="1"/>
  <c r="V9" i="6"/>
  <c r="S9" i="6"/>
  <c r="V6" i="6"/>
  <c r="V14" i="6"/>
  <c r="S17" i="6"/>
  <c r="V8" i="6"/>
  <c r="V11" i="6"/>
  <c r="A46" i="2"/>
  <c r="D42" i="2" l="1"/>
  <c r="A42" i="2" s="1"/>
  <c r="D34" i="2"/>
  <c r="A34" i="2" s="1"/>
  <c r="D30" i="2"/>
  <c r="A30" i="2" s="1"/>
  <c r="D26" i="2"/>
  <c r="A26" i="2" s="1"/>
  <c r="D22" i="2"/>
  <c r="A22" i="2" s="1"/>
  <c r="D18" i="2"/>
  <c r="A18" i="2" s="1"/>
  <c r="D14" i="2"/>
  <c r="A14" i="2" s="1"/>
  <c r="D10" i="2"/>
  <c r="A10" i="2" s="1"/>
  <c r="D6" i="2"/>
  <c r="A6" i="2" s="1"/>
  <c r="N37" i="3"/>
  <c r="N34" i="3"/>
  <c r="M34" i="3"/>
  <c r="N31" i="3"/>
  <c r="N28" i="3"/>
  <c r="N25" i="3"/>
  <c r="M25" i="3"/>
  <c r="N22" i="3"/>
  <c r="M22" i="3"/>
  <c r="N19" i="3"/>
  <c r="M19" i="3"/>
  <c r="N16" i="3"/>
  <c r="M16" i="3"/>
  <c r="N13" i="3"/>
  <c r="N10" i="3"/>
  <c r="M10" i="3"/>
  <c r="D26" i="3"/>
  <c r="P26" i="3" s="1"/>
  <c r="D29" i="3"/>
  <c r="P29" i="3" s="1"/>
  <c r="D32" i="3"/>
  <c r="P32" i="3" s="1"/>
  <c r="D38" i="3"/>
  <c r="P38" i="3" l="1"/>
  <c r="D40" i="3"/>
  <c r="G36" i="3"/>
  <c r="G37" i="3" s="1"/>
  <c r="G33" i="3"/>
  <c r="G34" i="3" s="1"/>
  <c r="G30" i="3"/>
  <c r="G31" i="3" s="1"/>
  <c r="G27" i="3"/>
  <c r="G28" i="3" s="1"/>
  <c r="G24" i="3"/>
  <c r="G25" i="3" s="1"/>
  <c r="G21" i="3"/>
  <c r="G22" i="3" s="1"/>
  <c r="G18" i="3"/>
  <c r="G19" i="3" s="1"/>
  <c r="G15" i="3"/>
  <c r="G16" i="3" s="1"/>
  <c r="G12" i="3"/>
  <c r="G13" i="3" s="1"/>
  <c r="H10" i="3"/>
  <c r="G10" i="3"/>
  <c r="D35" i="3" l="1"/>
  <c r="P35" i="3" s="1"/>
  <c r="M36" i="3"/>
  <c r="M37" i="3" s="1"/>
  <c r="K36" i="3"/>
  <c r="K37" i="3" s="1"/>
  <c r="E36" i="3"/>
  <c r="K33" i="3"/>
  <c r="K34" i="3" s="1"/>
  <c r="E33" i="3"/>
  <c r="M30" i="3"/>
  <c r="M31" i="3" s="1"/>
  <c r="K30" i="3"/>
  <c r="K31" i="3" s="1"/>
  <c r="E30" i="3"/>
  <c r="M27" i="3"/>
  <c r="M28" i="3" s="1"/>
  <c r="M12" i="3"/>
  <c r="M13" i="3" s="1"/>
  <c r="K27" i="3"/>
  <c r="K28" i="3" s="1"/>
  <c r="E27" i="3"/>
  <c r="E28" i="3" l="1"/>
  <c r="E31" i="3"/>
  <c r="E34" i="3"/>
  <c r="E37" i="3"/>
  <c r="K24" i="3"/>
  <c r="K25" i="3" s="1"/>
  <c r="E24" i="3"/>
  <c r="K21" i="3"/>
  <c r="K22" i="3" s="1"/>
  <c r="E21" i="3"/>
  <c r="K18" i="3"/>
  <c r="E18" i="3"/>
  <c r="K15" i="3"/>
  <c r="K16" i="3" s="1"/>
  <c r="E15" i="3"/>
  <c r="K12" i="3"/>
  <c r="K13" i="3" s="1"/>
  <c r="E12" i="3"/>
  <c r="K9" i="3"/>
  <c r="K10" i="3" s="1"/>
  <c r="E9" i="3"/>
  <c r="D23" i="3"/>
  <c r="P23" i="3" s="1"/>
  <c r="D20" i="3"/>
  <c r="P20" i="3" s="1"/>
  <c r="K17" i="3"/>
  <c r="E17" i="3"/>
  <c r="K19" i="3" l="1"/>
  <c r="E10" i="3"/>
  <c r="E13" i="3"/>
  <c r="E16" i="3"/>
  <c r="E19" i="3"/>
  <c r="E22" i="3"/>
  <c r="E25" i="3"/>
  <c r="D17" i="3"/>
  <c r="P17" i="3" s="1"/>
  <c r="D14" i="3"/>
  <c r="P14" i="3" s="1"/>
  <c r="D11" i="3"/>
  <c r="P11" i="3" s="1"/>
  <c r="D8" i="3"/>
  <c r="P8" i="3" s="1"/>
  <c r="N13" i="4"/>
  <c r="O13" i="4" s="1"/>
  <c r="P13" i="4" s="1"/>
  <c r="M10" i="4"/>
  <c r="O10" i="4" s="1"/>
  <c r="P10" i="4" s="1"/>
  <c r="N12" i="4"/>
  <c r="O12" i="4" s="1"/>
  <c r="P12" i="4" s="1"/>
  <c r="Q32" i="2"/>
  <c r="P32" i="2"/>
  <c r="Q8" i="2"/>
  <c r="P8" i="2"/>
  <c r="L38" i="2" l="1"/>
  <c r="M38" i="2" l="1"/>
  <c r="D38" i="2" s="1"/>
  <c r="A38" i="2" s="1"/>
  <c r="G43" i="2"/>
  <c r="G39" i="2"/>
  <c r="G35" i="2"/>
  <c r="H31" i="2"/>
  <c r="G31" i="2"/>
  <c r="G27" i="2"/>
  <c r="G23" i="2"/>
  <c r="G11" i="2"/>
  <c r="G7" i="2"/>
  <c r="P16" i="2"/>
  <c r="P12" i="2"/>
  <c r="E43" i="2" l="1"/>
  <c r="E39" i="2"/>
  <c r="E35" i="2"/>
  <c r="E31" i="2"/>
  <c r="E27" i="2"/>
  <c r="E23" i="2"/>
  <c r="E19" i="2"/>
  <c r="E15" i="2"/>
  <c r="E11" i="2"/>
  <c r="E7" i="2"/>
  <c r="F31" i="2" l="1"/>
  <c r="D31" i="2" s="1"/>
  <c r="F35" i="2"/>
  <c r="F36" i="2" s="1"/>
  <c r="F7" i="2"/>
  <c r="F8" i="2" s="1"/>
  <c r="F23" i="2"/>
  <c r="F24" i="2" s="1"/>
  <c r="F39" i="2"/>
  <c r="F40" i="2" s="1"/>
  <c r="F15" i="2"/>
  <c r="F16" i="2" s="1"/>
  <c r="F19" i="2"/>
  <c r="D19" i="2" s="1"/>
  <c r="F11" i="2"/>
  <c r="F12" i="2" s="1"/>
  <c r="F27" i="2"/>
  <c r="F28" i="2" s="1"/>
  <c r="F43" i="2"/>
  <c r="F44" i="2" s="1"/>
  <c r="R52" i="2"/>
  <c r="O52" i="2"/>
  <c r="N52" i="2"/>
  <c r="R48" i="2"/>
  <c r="O48" i="2"/>
  <c r="N48" i="2"/>
  <c r="R44" i="2"/>
  <c r="O44" i="2"/>
  <c r="N44" i="2"/>
  <c r="I44" i="2"/>
  <c r="G44" i="2"/>
  <c r="E44" i="2"/>
  <c r="R40" i="2"/>
  <c r="O40" i="2"/>
  <c r="N40" i="2"/>
  <c r="I40" i="2"/>
  <c r="G40" i="2"/>
  <c r="E40" i="2"/>
  <c r="R36" i="2"/>
  <c r="O36" i="2"/>
  <c r="N36" i="2"/>
  <c r="I36" i="2"/>
  <c r="G36" i="2"/>
  <c r="E36" i="2"/>
  <c r="R32" i="2"/>
  <c r="O32" i="2"/>
  <c r="N32" i="2"/>
  <c r="I32" i="2"/>
  <c r="H32" i="2"/>
  <c r="G32" i="2"/>
  <c r="F32" i="2"/>
  <c r="E32" i="2"/>
  <c r="R28" i="2"/>
  <c r="O28" i="2"/>
  <c r="N28" i="2"/>
  <c r="I28" i="2"/>
  <c r="G28" i="2"/>
  <c r="E28" i="2"/>
  <c r="R24" i="2"/>
  <c r="O24" i="2"/>
  <c r="N24" i="2"/>
  <c r="I24" i="2"/>
  <c r="G24" i="2"/>
  <c r="E24" i="2"/>
  <c r="R20" i="2"/>
  <c r="O20" i="2"/>
  <c r="N20" i="2"/>
  <c r="I20" i="2"/>
  <c r="H20" i="2"/>
  <c r="G20" i="2"/>
  <c r="E20" i="2"/>
  <c r="R16" i="2"/>
  <c r="O16" i="2"/>
  <c r="N16" i="2"/>
  <c r="I16" i="2"/>
  <c r="H16" i="2"/>
  <c r="G16" i="2"/>
  <c r="E16" i="2"/>
  <c r="R12" i="2"/>
  <c r="O12" i="2"/>
  <c r="N12" i="2"/>
  <c r="I12" i="2"/>
  <c r="G12" i="2"/>
  <c r="E12" i="2"/>
  <c r="R8" i="2"/>
  <c r="O8" i="2"/>
  <c r="N8" i="2"/>
  <c r="G8" i="2"/>
  <c r="E8" i="2"/>
  <c r="I8" i="2"/>
  <c r="F20" i="2" l="1"/>
  <c r="D15" i="2"/>
  <c r="AC32" i="1"/>
  <c r="L36" i="3" l="1"/>
  <c r="L37" i="3" s="1"/>
  <c r="AE32" i="1"/>
  <c r="AC38" i="1"/>
  <c r="Z32" i="1"/>
  <c r="W32" i="1"/>
  <c r="W10" i="1"/>
  <c r="Y10" i="1" s="1"/>
  <c r="T32" i="1"/>
  <c r="Q32" i="1"/>
  <c r="L33" i="3" l="1"/>
  <c r="L34" i="3" s="1"/>
  <c r="AB32" i="1"/>
  <c r="Z38" i="1"/>
  <c r="AE38" i="1"/>
  <c r="AC40" i="1"/>
  <c r="AE40" i="1" s="1"/>
  <c r="S32" i="1"/>
  <c r="Q38" i="1"/>
  <c r="L27" i="3"/>
  <c r="L28" i="3" s="1"/>
  <c r="V32" i="1"/>
  <c r="T38" i="1"/>
  <c r="L30" i="3"/>
  <c r="L31" i="3" s="1"/>
  <c r="Y32" i="1"/>
  <c r="W38" i="1"/>
  <c r="L24" i="3"/>
  <c r="L25" i="3" s="1"/>
  <c r="N32" i="1"/>
  <c r="K32" i="1"/>
  <c r="H32" i="1"/>
  <c r="E32" i="1"/>
  <c r="B32" i="1"/>
  <c r="AC20" i="1"/>
  <c r="AE20" i="1" s="1"/>
  <c r="Z20" i="1"/>
  <c r="AB20" i="1" s="1"/>
  <c r="W20" i="1"/>
  <c r="Y20" i="1" s="1"/>
  <c r="T20" i="1"/>
  <c r="V20" i="1" s="1"/>
  <c r="Q20" i="1"/>
  <c r="S20" i="1" s="1"/>
  <c r="N20" i="1"/>
  <c r="P20" i="1" s="1"/>
  <c r="K20" i="1"/>
  <c r="M20" i="1" s="1"/>
  <c r="H20" i="1"/>
  <c r="J20" i="1" s="1"/>
  <c r="E20" i="1"/>
  <c r="G20" i="1" s="1"/>
  <c r="AC18" i="1"/>
  <c r="Z18" i="1"/>
  <c r="W18" i="1"/>
  <c r="T18" i="1"/>
  <c r="Q18" i="1"/>
  <c r="N18" i="1"/>
  <c r="K18" i="1"/>
  <c r="M18" i="1" s="1"/>
  <c r="H18" i="1"/>
  <c r="J18" i="1" s="1"/>
  <c r="E18" i="1"/>
  <c r="B20" i="1"/>
  <c r="D20" i="1" s="1"/>
  <c r="B18" i="1"/>
  <c r="D18" i="1" s="1"/>
  <c r="AC12" i="1"/>
  <c r="Z12" i="1"/>
  <c r="W12" i="1"/>
  <c r="Q12" i="1"/>
  <c r="N12" i="1"/>
  <c r="K12" i="1"/>
  <c r="M12" i="1" s="1"/>
  <c r="E12" i="1"/>
  <c r="B12" i="1"/>
  <c r="D12" i="1" s="1"/>
  <c r="AC10" i="1"/>
  <c r="AE10" i="1" s="1"/>
  <c r="Z10" i="1"/>
  <c r="AB10" i="1" s="1"/>
  <c r="Q10" i="1"/>
  <c r="S10" i="1" s="1"/>
  <c r="H10" i="1"/>
  <c r="J10" i="1" s="1"/>
  <c r="AN10" i="1" l="1"/>
  <c r="H23" i="2"/>
  <c r="P12" i="1"/>
  <c r="H43" i="2"/>
  <c r="H44" i="2" s="1"/>
  <c r="AE12" i="1"/>
  <c r="F27" i="3"/>
  <c r="V18" i="1"/>
  <c r="M32" i="1"/>
  <c r="K38" i="1"/>
  <c r="H27" i="2"/>
  <c r="S12" i="1"/>
  <c r="F30" i="3"/>
  <c r="F31" i="3" s="1"/>
  <c r="Y18" i="1"/>
  <c r="D32" i="1"/>
  <c r="B38" i="1"/>
  <c r="P32" i="1"/>
  <c r="N38" i="1"/>
  <c r="S38" i="1"/>
  <c r="Q40" i="1"/>
  <c r="S40" i="1" s="1"/>
  <c r="AB38" i="1"/>
  <c r="Z40" i="1"/>
  <c r="AB40" i="1" s="1"/>
  <c r="H11" i="2"/>
  <c r="G12" i="1"/>
  <c r="H35" i="2"/>
  <c r="H36" i="2" s="1"/>
  <c r="Y12" i="1"/>
  <c r="AN20" i="1"/>
  <c r="F21" i="3"/>
  <c r="F22" i="3" s="1"/>
  <c r="P18" i="1"/>
  <c r="F33" i="3"/>
  <c r="F34" i="3" s="1"/>
  <c r="AB18" i="1"/>
  <c r="G32" i="1"/>
  <c r="E38" i="1"/>
  <c r="V38" i="1"/>
  <c r="T40" i="1"/>
  <c r="V40" i="1" s="1"/>
  <c r="H39" i="2"/>
  <c r="D39" i="2" s="1"/>
  <c r="AB12" i="1"/>
  <c r="F12" i="3"/>
  <c r="F13" i="3" s="1"/>
  <c r="G18" i="1"/>
  <c r="F24" i="3"/>
  <c r="S18" i="1"/>
  <c r="F36" i="3"/>
  <c r="F37" i="3" s="1"/>
  <c r="AE18" i="1"/>
  <c r="J32" i="1"/>
  <c r="H38" i="1"/>
  <c r="Y38" i="1"/>
  <c r="W40" i="1"/>
  <c r="Y40" i="1" s="1"/>
  <c r="N16" i="1"/>
  <c r="P16" i="1" s="1"/>
  <c r="AL39" i="1"/>
  <c r="AL20" i="1"/>
  <c r="B59" i="1" s="1"/>
  <c r="F15" i="3"/>
  <c r="F16" i="3" s="1"/>
  <c r="H23" i="1"/>
  <c r="J23" i="1" s="1"/>
  <c r="L18" i="3"/>
  <c r="L19" i="3" s="1"/>
  <c r="F18" i="3"/>
  <c r="F19" i="3" s="1"/>
  <c r="K23" i="1"/>
  <c r="M23" i="1" s="1"/>
  <c r="L21" i="3"/>
  <c r="L22" i="3" s="1"/>
  <c r="L15" i="3"/>
  <c r="L16" i="3" s="1"/>
  <c r="L12" i="3"/>
  <c r="L13" i="3" s="1"/>
  <c r="AL10" i="1"/>
  <c r="H58" i="1" s="1"/>
  <c r="AL12" i="1"/>
  <c r="H61" i="1" s="1"/>
  <c r="AL18" i="1"/>
  <c r="B57" i="1" s="1"/>
  <c r="AL32" i="1"/>
  <c r="B65" i="1" s="1"/>
  <c r="F9" i="3"/>
  <c r="F10" i="3" s="1"/>
  <c r="L9" i="3"/>
  <c r="L10" i="3" s="1"/>
  <c r="D35" i="2"/>
  <c r="H18" i="3"/>
  <c r="H19" i="3" s="1"/>
  <c r="H30" i="3"/>
  <c r="H31" i="3" s="1"/>
  <c r="F25" i="3"/>
  <c r="H21" i="3"/>
  <c r="H22" i="3" s="1"/>
  <c r="H33" i="3"/>
  <c r="H34" i="3" s="1"/>
  <c r="B16" i="1"/>
  <c r="D16" i="1" s="1"/>
  <c r="H7" i="2"/>
  <c r="H24" i="2"/>
  <c r="D23" i="2"/>
  <c r="F28" i="3"/>
  <c r="H12" i="3"/>
  <c r="H13" i="3" s="1"/>
  <c r="H24" i="3"/>
  <c r="H25" i="3" s="1"/>
  <c r="H36" i="3"/>
  <c r="H37" i="3" s="1"/>
  <c r="D11" i="2"/>
  <c r="H12" i="2"/>
  <c r="H28" i="2"/>
  <c r="D27" i="2"/>
  <c r="H15" i="3"/>
  <c r="H16" i="3" s="1"/>
  <c r="H27" i="3"/>
  <c r="H28" i="3" s="1"/>
  <c r="T23" i="1"/>
  <c r="V23" i="1" s="1"/>
  <c r="AC23" i="1"/>
  <c r="N23" i="1"/>
  <c r="Z23" i="1"/>
  <c r="AB23" i="1" s="1"/>
  <c r="E16" i="1"/>
  <c r="G16" i="1" s="1"/>
  <c r="Q16" i="1"/>
  <c r="S16" i="1" s="1"/>
  <c r="AC16" i="1"/>
  <c r="AE16" i="1" s="1"/>
  <c r="T16" i="1"/>
  <c r="V16" i="1" s="1"/>
  <c r="E23" i="1"/>
  <c r="Q23" i="1"/>
  <c r="S23" i="1" s="1"/>
  <c r="B23" i="1"/>
  <c r="D23" i="1" s="1"/>
  <c r="H16" i="1"/>
  <c r="J16" i="1" s="1"/>
  <c r="W23" i="1"/>
  <c r="Y23" i="1" s="1"/>
  <c r="K16" i="1"/>
  <c r="M16" i="1" s="1"/>
  <c r="W16" i="1"/>
  <c r="Y16" i="1" s="1"/>
  <c r="Z16" i="1"/>
  <c r="AB16" i="1" s="1"/>
  <c r="D43" i="2" l="1"/>
  <c r="H40" i="2"/>
  <c r="B72" i="1"/>
  <c r="AN12" i="1"/>
  <c r="H64" i="1"/>
  <c r="AN18" i="1"/>
  <c r="AC26" i="1"/>
  <c r="AE26" i="1" s="1"/>
  <c r="AE23" i="1"/>
  <c r="M38" i="1"/>
  <c r="K40" i="1"/>
  <c r="M40" i="1" s="1"/>
  <c r="E26" i="1"/>
  <c r="G26" i="1" s="1"/>
  <c r="G23" i="1"/>
  <c r="D38" i="1"/>
  <c r="B40" i="1"/>
  <c r="D40" i="1" s="1"/>
  <c r="AN16" i="1"/>
  <c r="B73" i="1"/>
  <c r="B74" i="1" s="1"/>
  <c r="B67" i="1"/>
  <c r="AN32" i="1"/>
  <c r="N26" i="1"/>
  <c r="P23" i="1"/>
  <c r="AN23" i="1" s="1"/>
  <c r="J38" i="1"/>
  <c r="H40" i="1"/>
  <c r="J40" i="1" s="1"/>
  <c r="G38" i="1"/>
  <c r="E40" i="1"/>
  <c r="G40" i="1" s="1"/>
  <c r="P38" i="1"/>
  <c r="N40" i="1"/>
  <c r="P40" i="1" s="1"/>
  <c r="Q26" i="1"/>
  <c r="B26" i="1"/>
  <c r="T26" i="1"/>
  <c r="W26" i="1"/>
  <c r="Z26" i="1"/>
  <c r="AB26" i="1" s="1"/>
  <c r="K26" i="1"/>
  <c r="H26" i="1"/>
  <c r="J26" i="1" s="1"/>
  <c r="AL38" i="1"/>
  <c r="AL23" i="1"/>
  <c r="AL16" i="1"/>
  <c r="D9" i="3"/>
  <c r="D10" i="3" s="1"/>
  <c r="D27" i="3"/>
  <c r="D28" i="3" s="1"/>
  <c r="D24" i="3"/>
  <c r="D25" i="3" s="1"/>
  <c r="D21" i="3"/>
  <c r="D22" i="3" s="1"/>
  <c r="D30" i="3"/>
  <c r="D31" i="3" s="1"/>
  <c r="D15" i="3"/>
  <c r="D16" i="3" s="1"/>
  <c r="D36" i="3"/>
  <c r="D37" i="3" s="1"/>
  <c r="D12" i="3"/>
  <c r="D13" i="3" s="1"/>
  <c r="D33" i="3"/>
  <c r="D34" i="3" s="1"/>
  <c r="H8" i="2"/>
  <c r="D7" i="2"/>
  <c r="D18" i="3"/>
  <c r="D19" i="3" s="1"/>
  <c r="K28" i="1" l="1"/>
  <c r="M26" i="1"/>
  <c r="B28" i="1"/>
  <c r="D26" i="1"/>
  <c r="Q28" i="1"/>
  <c r="S26" i="1"/>
  <c r="AN38" i="1"/>
  <c r="W28" i="1"/>
  <c r="Y26" i="1"/>
  <c r="N28" i="1"/>
  <c r="P26" i="1"/>
  <c r="T28" i="1"/>
  <c r="V26" i="1"/>
  <c r="AL26" i="1"/>
  <c r="AC27" i="1"/>
  <c r="AE27" i="1" s="1"/>
  <c r="Z27" i="1"/>
  <c r="AB27" i="1" s="1"/>
  <c r="AN26" i="1" l="1"/>
  <c r="C25" i="1"/>
  <c r="AN27" i="1"/>
  <c r="AL27" i="1"/>
  <c r="D25" i="1" l="1"/>
  <c r="C28" i="1"/>
  <c r="F25" i="1" l="1"/>
  <c r="D28" i="1"/>
  <c r="G25" i="1" l="1"/>
  <c r="F28" i="1"/>
  <c r="G28" i="1" l="1"/>
  <c r="I25" i="1"/>
  <c r="I28" i="1" l="1"/>
  <c r="J25" i="1"/>
  <c r="L25" i="1" l="1"/>
  <c r="J28" i="1"/>
  <c r="L28" i="1" l="1"/>
  <c r="M25" i="1"/>
  <c r="O25" i="1" l="1"/>
  <c r="M28" i="1"/>
  <c r="P25" i="1" l="1"/>
  <c r="O28" i="1"/>
  <c r="R25" i="1" l="1"/>
  <c r="P28" i="1"/>
  <c r="R28" i="1" l="1"/>
  <c r="S25" i="1"/>
  <c r="U25" i="1" l="1"/>
  <c r="S28" i="1"/>
  <c r="U28" i="1" l="1"/>
  <c r="V25" i="1"/>
  <c r="X25" i="1" l="1"/>
  <c r="V28" i="1"/>
  <c r="X28" i="1" l="1"/>
  <c r="Y25" i="1"/>
  <c r="AA25" i="1" l="1"/>
  <c r="Y28" i="1"/>
  <c r="AA28" i="1" l="1"/>
  <c r="AB25" i="1"/>
  <c r="AD25" i="1" l="1"/>
  <c r="AB28" i="1"/>
  <c r="AD28" i="1" l="1"/>
  <c r="AE25" i="1"/>
  <c r="AG25" i="1" l="1"/>
  <c r="AE28" i="1"/>
  <c r="AG28" i="1" l="1"/>
  <c r="AH25" i="1"/>
  <c r="AJ25" i="1" l="1"/>
  <c r="AH28" i="1"/>
  <c r="AJ28" i="1" l="1"/>
  <c r="AK28" i="1" s="1"/>
  <c r="AK25" i="1"/>
</calcChain>
</file>

<file path=xl/comments1.xml><?xml version="1.0" encoding="utf-8"?>
<comments xmlns="http://schemas.openxmlformats.org/spreadsheetml/2006/main">
  <authors>
    <author>Author</author>
  </authors>
  <commentList>
    <comment ref="P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omited purchase in origional return as under *
</t>
        </r>
      </text>
    </comment>
    <comment ref="S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last two import purchase omited in origional return as under *</t>
        </r>
      </text>
    </comment>
    <comment ref="AK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Omited figures in purchaes import</t>
        </r>
      </text>
    </comment>
  </commentList>
</comments>
</file>

<file path=xl/sharedStrings.xml><?xml version="1.0" encoding="utf-8"?>
<sst xmlns="http://schemas.openxmlformats.org/spreadsheetml/2006/main" count="733" uniqueCount="235">
  <si>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</si>
  <si>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</si>
  <si>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</si>
  <si>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</si>
  <si>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</si>
  <si>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</si>
  <si>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</si>
  <si>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</si>
  <si>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</si>
  <si>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</si>
  <si>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</si>
  <si>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Import</t>
  </si>
  <si>
    <t>MVAT</t>
  </si>
  <si>
    <t>FOC</t>
  </si>
  <si>
    <t>Net 5%</t>
  </si>
  <si>
    <t>Net 12.5%</t>
  </si>
  <si>
    <t>Other Dedu.</t>
  </si>
  <si>
    <t>vat 5%</t>
  </si>
  <si>
    <t>Vat 12.5%</t>
  </si>
  <si>
    <t>Total Vat Input</t>
  </si>
  <si>
    <t>March</t>
  </si>
  <si>
    <t>Total vat Output</t>
  </si>
  <si>
    <t>Mvat Liability</t>
  </si>
  <si>
    <t>Liability paid</t>
  </si>
  <si>
    <t>CST 2%</t>
  </si>
  <si>
    <t>Total</t>
  </si>
  <si>
    <t>As per Return</t>
  </si>
  <si>
    <t>Month</t>
  </si>
  <si>
    <t>INPUT DETAILS</t>
  </si>
  <si>
    <t>Pur 5%</t>
  </si>
  <si>
    <t>Vat 5%</t>
  </si>
  <si>
    <t>Pur 12.5%</t>
  </si>
  <si>
    <t>CST INPT</t>
  </si>
  <si>
    <t>2% CST</t>
  </si>
  <si>
    <t>IMPORT</t>
  </si>
  <si>
    <t>OUTPUT DETAILS</t>
  </si>
  <si>
    <t>Sale 5%</t>
  </si>
  <si>
    <t>Sale 12.5%</t>
  </si>
  <si>
    <t>CST Net</t>
  </si>
  <si>
    <t>2%CST</t>
  </si>
  <si>
    <t>Diff</t>
  </si>
  <si>
    <t>Mvat 5%</t>
  </si>
  <si>
    <t>Other Service</t>
  </si>
  <si>
    <t>Transport</t>
  </si>
  <si>
    <t>Particulars</t>
  </si>
  <si>
    <t>Asset Type</t>
  </si>
  <si>
    <t>Party Name</t>
  </si>
  <si>
    <t>Eligible For Set Off</t>
  </si>
  <si>
    <t>SR.No</t>
  </si>
  <si>
    <t>Date</t>
  </si>
  <si>
    <t>16/10/2014</t>
  </si>
  <si>
    <t>Office Computers</t>
  </si>
  <si>
    <t>VAT TIN</t>
  </si>
  <si>
    <t>Supreme Computers and Softwares</t>
  </si>
  <si>
    <t>Vat  5%</t>
  </si>
  <si>
    <t>27520730557V</t>
  </si>
  <si>
    <t xml:space="preserve">DSS System and Software </t>
  </si>
  <si>
    <t>SPC Software and Modification</t>
  </si>
  <si>
    <t>18/04/2014</t>
  </si>
  <si>
    <t>27880051747V</t>
  </si>
  <si>
    <t>Red 3% (12.5%)</t>
  </si>
  <si>
    <t>Red 3% (5%)</t>
  </si>
  <si>
    <t>Total Reduction</t>
  </si>
  <si>
    <t>TCS</t>
  </si>
  <si>
    <t>Office Equipment Reduction Working 14-15</t>
  </si>
  <si>
    <t>CST Return</t>
  </si>
  <si>
    <t>Tally ERP</t>
  </si>
  <si>
    <t>YoonWoo Automotive India Pvt Ltd</t>
  </si>
  <si>
    <t>27050809725V</t>
  </si>
  <si>
    <t>Tata Toyo Radiator Limited</t>
  </si>
  <si>
    <t>27210000075V</t>
  </si>
  <si>
    <t>Subtotal</t>
  </si>
  <si>
    <t xml:space="preserve">MVAT </t>
  </si>
  <si>
    <t>CST</t>
  </si>
  <si>
    <t>Gross Total</t>
  </si>
  <si>
    <t>Sales  5%</t>
  </si>
  <si>
    <t>Excise Duty 12%- Output (Sales)</t>
  </si>
  <si>
    <t>Education Cess 2% - Output (Sales)</t>
  </si>
  <si>
    <t>Sec. Edu. Cess 1%- Output (Sales)</t>
  </si>
  <si>
    <t>M VAT 5% Output</t>
  </si>
  <si>
    <t>Scrap Sales 12.5%</t>
  </si>
  <si>
    <t>Sales 2%</t>
  </si>
  <si>
    <t>OUTPUT CST 2%</t>
  </si>
  <si>
    <t>Sample Sales 5%</t>
  </si>
  <si>
    <t>TCS on Scrap</t>
  </si>
  <si>
    <t>Chk</t>
  </si>
  <si>
    <t>chk</t>
  </si>
  <si>
    <t>United Indsutrial Enterprises India Pvt Ltd</t>
  </si>
  <si>
    <t>34100003512</t>
  </si>
  <si>
    <t>Super Lubes</t>
  </si>
  <si>
    <t>27730907709V</t>
  </si>
  <si>
    <t>Subros Limited</t>
  </si>
  <si>
    <t>ND-0015702 Dtd 30-11-85</t>
  </si>
  <si>
    <t>S M AUTO ENGINEERING PVT LTD</t>
  </si>
  <si>
    <t>27960316998V</t>
  </si>
  <si>
    <t>Pranav Vikas (India) Private Limited</t>
  </si>
  <si>
    <t>06161314702</t>
  </si>
  <si>
    <t>Pranav Vikas (India) Pvt Ltd</t>
  </si>
  <si>
    <t>06821325591</t>
  </si>
  <si>
    <t>Prakash Metal Suppliers</t>
  </si>
  <si>
    <t>27690017853V</t>
  </si>
  <si>
    <t>DELPHI Automotive Systems Pvt Ltd</t>
  </si>
  <si>
    <t>09566300260</t>
  </si>
  <si>
    <t>Commercial Auto Products Pvt Ltd</t>
  </si>
  <si>
    <t>09150000237</t>
  </si>
  <si>
    <t>Bhairvanath Enterprise</t>
  </si>
  <si>
    <t>27530887837V</t>
  </si>
  <si>
    <t>Varun Radiators Pvt Ltd</t>
  </si>
  <si>
    <t>24060101094</t>
  </si>
  <si>
    <t>Narain Cooling Technologies (P) Ltd</t>
  </si>
  <si>
    <t>09100117635</t>
  </si>
  <si>
    <t>FLUID DYNAMICS PVT LTD</t>
  </si>
  <si>
    <t>29890032842 V</t>
  </si>
  <si>
    <t>Vijayshree Alloys Pune Pvt Ltd</t>
  </si>
  <si>
    <t>Specific Alloys Pvt Ltd</t>
  </si>
  <si>
    <t>27620307194V</t>
  </si>
  <si>
    <t>Special Tools Pvt.Ltd</t>
  </si>
  <si>
    <t>27490561989V</t>
  </si>
  <si>
    <t xml:space="preserve">Laxmi Automobiles	</t>
  </si>
  <si>
    <t xml:space="preserve">27410530361V	</t>
  </si>
  <si>
    <t>29890032842</t>
  </si>
  <si>
    <t>27510351535V</t>
  </si>
  <si>
    <t>LLOYD Electric and Engineering Ltd</t>
  </si>
  <si>
    <t>06182235706</t>
  </si>
  <si>
    <t>HALGONA RADIATORS PVT LTD</t>
  </si>
  <si>
    <t>90951141</t>
  </si>
  <si>
    <t>LK 5147909</t>
  </si>
  <si>
    <t>Banco Products India Limited</t>
  </si>
  <si>
    <t>24191700040</t>
  </si>
  <si>
    <t>Amber Enterprises India Pvt Ltd</t>
  </si>
  <si>
    <t>DD5154052-22/05/03</t>
  </si>
  <si>
    <t>Halla Visteon Climate Systems India Private Limited</t>
  </si>
  <si>
    <t>08570850444</t>
  </si>
  <si>
    <t>Teksons Private Limited</t>
  </si>
  <si>
    <t>27740276961V</t>
  </si>
  <si>
    <t>Visteon Automotive Systems India Pvt Ltd</t>
  </si>
  <si>
    <t>848604/01.08.97</t>
  </si>
  <si>
    <t xml:space="preserve">Zamil Air Conditioners India Pvt Ltd				_x000D_
</t>
  </si>
  <si>
    <t>02030300765C</t>
  </si>
  <si>
    <t>ZOIS Charge Air Cooler Pvt Ltd</t>
  </si>
  <si>
    <t>27800410206V</t>
  </si>
  <si>
    <t>ND-5015707 Dtd 30-11-85</t>
  </si>
  <si>
    <t>FBD/CST/1325591</t>
  </si>
  <si>
    <t>09100117635C</t>
  </si>
  <si>
    <t>0206/00445 - 130392</t>
  </si>
  <si>
    <t>ND-5070703/2.4 96</t>
  </si>
  <si>
    <t>Alcon Heat Exchangers</t>
  </si>
  <si>
    <t>27700824063V</t>
  </si>
  <si>
    <t>27870041206V</t>
  </si>
  <si>
    <t>24691700040 Dt. 20.11.1962</t>
  </si>
  <si>
    <t>Young Industries</t>
  </si>
  <si>
    <t>27870003398V</t>
  </si>
  <si>
    <t>27490561939V</t>
  </si>
  <si>
    <t>Sales  Return (MH)</t>
  </si>
  <si>
    <t>Sales  Return (CST)</t>
  </si>
  <si>
    <t>Scrap Sale 5%</t>
  </si>
  <si>
    <t>As per Audit</t>
  </si>
  <si>
    <t>c/f</t>
  </si>
  <si>
    <t>CST PUR</t>
  </si>
  <si>
    <t xml:space="preserve">C/f </t>
  </si>
  <si>
    <t>b/f</t>
  </si>
  <si>
    <t>CST Payble</t>
  </si>
  <si>
    <t>SALES Returns CST</t>
  </si>
  <si>
    <t>SALES Returns VAT</t>
  </si>
  <si>
    <t>FOC 5%</t>
  </si>
  <si>
    <t>FOC 2%</t>
  </si>
  <si>
    <t>SALES 5%</t>
  </si>
  <si>
    <t>SALES 12.5%</t>
  </si>
  <si>
    <t>PUR 5%</t>
  </si>
  <si>
    <t>PUR 12.5%</t>
  </si>
  <si>
    <t>SALES 2%</t>
  </si>
  <si>
    <t>Input vat 5%</t>
  </si>
  <si>
    <t>Input Vat 12.5%</t>
  </si>
  <si>
    <t>TOTAL</t>
  </si>
  <si>
    <t>CST ON Sales return</t>
  </si>
  <si>
    <t>VAT ON sales return</t>
  </si>
  <si>
    <t>GROSS SALES AS PER TALLY</t>
  </si>
  <si>
    <t>Turnover within state</t>
  </si>
  <si>
    <t>Turnover Interstate</t>
  </si>
  <si>
    <t>Taxable inter state sale</t>
  </si>
  <si>
    <t>Taxble Vat sales 5%</t>
  </si>
  <si>
    <t>Taxble Vat sales 12.5%</t>
  </si>
  <si>
    <t>Taxable Mvat sale</t>
  </si>
  <si>
    <t>sales</t>
  </si>
  <si>
    <t>As per vat Audit</t>
  </si>
  <si>
    <t>As per  Ret</t>
  </si>
  <si>
    <t>As per  P &amp; L</t>
  </si>
  <si>
    <t>Less: BT/Oms Sales</t>
  </si>
  <si>
    <t>Gross Liable to S Tax (local)</t>
  </si>
  <si>
    <t>Total net Sales</t>
  </si>
  <si>
    <t>Taxes 5%</t>
  </si>
  <si>
    <t>Taxes 12.5%</t>
  </si>
  <si>
    <t>Total Taxes</t>
  </si>
  <si>
    <t>Balance</t>
  </si>
  <si>
    <t>Net = 0</t>
  </si>
  <si>
    <t>Net 2 %- OMS</t>
  </si>
  <si>
    <t>Taxes  2% Agst Form C</t>
  </si>
  <si>
    <t>input credit availed -return</t>
  </si>
  <si>
    <t xml:space="preserve">date of challan  paid </t>
  </si>
  <si>
    <t>30.6.14</t>
  </si>
  <si>
    <t>Interest paid if any</t>
  </si>
  <si>
    <t>penalty paid</t>
  </si>
  <si>
    <t>Total Taxes paid by challan</t>
  </si>
  <si>
    <t>CST payable</t>
  </si>
  <si>
    <t>less FOC</t>
  </si>
  <si>
    <t>SAPA- VAT AUDIT 14-15</t>
  </si>
  <si>
    <t>FIGURES AS PER RETURN</t>
  </si>
  <si>
    <t>Less: Allowable Deduction:TCS</t>
  </si>
  <si>
    <t xml:space="preserve">OMS </t>
  </si>
  <si>
    <t>Total Taxes VAT</t>
  </si>
  <si>
    <t>Total Taxes-OMS</t>
  </si>
  <si>
    <t>excess paid</t>
  </si>
  <si>
    <t>VAT payable</t>
  </si>
  <si>
    <t>transferred from VAT</t>
  </si>
  <si>
    <t xml:space="preserve">excess/short </t>
  </si>
  <si>
    <t>Total payable</t>
  </si>
  <si>
    <t>paid by challan</t>
  </si>
  <si>
    <t>Total paid</t>
  </si>
  <si>
    <t>7.11.14</t>
  </si>
  <si>
    <t>22.07.14</t>
  </si>
  <si>
    <t>21.08.14</t>
  </si>
  <si>
    <t>14.10.14</t>
  </si>
  <si>
    <t>28.10.14</t>
  </si>
  <si>
    <t>07.11.14</t>
  </si>
  <si>
    <t>22.08.14</t>
  </si>
  <si>
    <t>Less: Returns MVAT</t>
  </si>
  <si>
    <t>Less: Good Retrun</t>
  </si>
  <si>
    <t>6.12.14</t>
  </si>
  <si>
    <t>22.12.14</t>
  </si>
  <si>
    <t>21.01.15</t>
  </si>
  <si>
    <t>24.02.15</t>
  </si>
  <si>
    <t>26.03.15</t>
  </si>
  <si>
    <t>29.4.15</t>
  </si>
  <si>
    <t>29.04.15</t>
  </si>
  <si>
    <t>06.12.14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</si>
</sst>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&quot;&quot;0.00"/>
    <numFmt numFmtId="167" formatCode="_(* #,##0.0_);_(* \(#,##0.0\);_(* &quot;-&quot;??_);_(@_)"/>
    <numFmt numFmtId="168" formatCode="_ * #,##0_ ;_ * \-#,##0_ ;_ * &quot;-&quot;??_ ;_ @_ "/>
    <numFmt numFmtId="169" formatCode="&quot;&quot;0.00&quot; Dr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0">
    <xf numFmtId="0" fontId="0" fillId="0" borderId="0" xfId="0"/>
    <xf numFmtId="164" fontId="0" fillId="0" borderId="1" xfId="1" applyNumberFormat="1" applyFont="1" applyBorder="1"/>
    <xf numFmtId="164" fontId="0" fillId="0" borderId="0" xfId="0" applyNumberFormat="1"/>
    <xf numFmtId="0" fontId="0" fillId="2" borderId="0" xfId="0" applyFill="1"/>
    <xf numFmtId="0" fontId="0" fillId="0" borderId="3" xfId="0" applyBorder="1"/>
    <xf numFmtId="0" fontId="0" fillId="2" borderId="3" xfId="0" applyFill="1" applyBorder="1"/>
    <xf numFmtId="9" fontId="0" fillId="2" borderId="3" xfId="0" applyNumberFormat="1" applyFill="1" applyBorder="1"/>
    <xf numFmtId="0" fontId="0" fillId="0" borderId="0" xfId="0" applyBorder="1"/>
    <xf numFmtId="164" fontId="0" fillId="0" borderId="0" xfId="1" applyNumberFormat="1" applyFont="1"/>
    <xf numFmtId="164" fontId="0" fillId="2" borderId="3" xfId="1" applyNumberFormat="1" applyFont="1" applyFill="1" applyBorder="1"/>
    <xf numFmtId="164" fontId="0" fillId="0" borderId="3" xfId="1" applyNumberFormat="1" applyFont="1" applyBorder="1"/>
    <xf numFmtId="164" fontId="0" fillId="0" borderId="0" xfId="1" applyNumberFormat="1" applyFont="1" applyBorder="1"/>
    <xf numFmtId="165" fontId="0" fillId="0" borderId="3" xfId="1" applyNumberFormat="1" applyFont="1" applyBorder="1"/>
    <xf numFmtId="0" fontId="0" fillId="0" borderId="3" xfId="0" applyBorder="1" applyAlignment="1">
      <alignment horizontal="center"/>
    </xf>
    <xf numFmtId="166" fontId="2" fillId="0" borderId="0" xfId="0" applyNumberFormat="1" applyFont="1" applyAlignment="1">
      <alignment horizontal="right" vertical="top"/>
    </xf>
    <xf numFmtId="2" fontId="0" fillId="0" borderId="0" xfId="0" applyNumberFormat="1"/>
    <xf numFmtId="43" fontId="0" fillId="0" borderId="0" xfId="1" applyFont="1"/>
    <xf numFmtId="9" fontId="0" fillId="2" borderId="2" xfId="0" applyNumberFormat="1" applyFill="1" applyBorder="1"/>
    <xf numFmtId="166" fontId="2" fillId="0" borderId="3" xfId="0" applyNumberFormat="1" applyFont="1" applyBorder="1" applyAlignment="1">
      <alignment horizontal="right" vertical="top"/>
    </xf>
    <xf numFmtId="49" fontId="3" fillId="2" borderId="3" xfId="0" applyNumberFormat="1" applyFont="1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horizontal="center" vertical="top"/>
    </xf>
    <xf numFmtId="49" fontId="3" fillId="2" borderId="0" xfId="0" applyNumberFormat="1" applyFont="1" applyFill="1" applyBorder="1" applyAlignment="1">
      <alignment horizontal="center" vertical="top"/>
    </xf>
    <xf numFmtId="17" fontId="0" fillId="0" borderId="0" xfId="0" applyNumberFormat="1"/>
    <xf numFmtId="49" fontId="4" fillId="0" borderId="3" xfId="0" applyNumberFormat="1" applyFont="1" applyBorder="1" applyAlignment="1">
      <alignment vertical="top"/>
    </xf>
    <xf numFmtId="49" fontId="3" fillId="0" borderId="4" xfId="0" applyNumberFormat="1" applyFont="1" applyBorder="1" applyAlignment="1">
      <alignment vertical="top"/>
    </xf>
    <xf numFmtId="164" fontId="0" fillId="0" borderId="5" xfId="1" applyNumberFormat="1" applyFont="1" applyFill="1" applyBorder="1" applyAlignment="1"/>
    <xf numFmtId="164" fontId="0" fillId="0" borderId="3" xfId="1" applyNumberFormat="1" applyFont="1" applyFill="1" applyBorder="1" applyAlignment="1"/>
    <xf numFmtId="49" fontId="4" fillId="0" borderId="4" xfId="0" applyNumberFormat="1" applyFont="1" applyBorder="1" applyAlignment="1">
      <alignment vertical="top"/>
    </xf>
    <xf numFmtId="49" fontId="3" fillId="0" borderId="3" xfId="0" applyNumberFormat="1" applyFont="1" applyBorder="1" applyAlignment="1">
      <alignment vertical="top"/>
    </xf>
    <xf numFmtId="164" fontId="5" fillId="0" borderId="5" xfId="1" applyNumberFormat="1" applyFont="1" applyFill="1" applyBorder="1" applyAlignment="1">
      <alignment vertical="top"/>
    </xf>
    <xf numFmtId="164" fontId="5" fillId="0" borderId="3" xfId="1" applyNumberFormat="1" applyFont="1" applyFill="1" applyBorder="1" applyAlignment="1">
      <alignment vertical="top"/>
    </xf>
    <xf numFmtId="0" fontId="0" fillId="0" borderId="5" xfId="0" applyBorder="1" applyAlignment="1"/>
    <xf numFmtId="0" fontId="0" fillId="0" borderId="3" xfId="0" applyBorder="1" applyAlignment="1"/>
    <xf numFmtId="1" fontId="5" fillId="0" borderId="5" xfId="0" applyNumberFormat="1" applyFont="1" applyBorder="1" applyAlignment="1">
      <alignment vertical="top"/>
    </xf>
    <xf numFmtId="1" fontId="5" fillId="0" borderId="3" xfId="0" applyNumberFormat="1" applyFont="1" applyBorder="1" applyAlignment="1">
      <alignment vertical="top"/>
    </xf>
    <xf numFmtId="0" fontId="0" fillId="0" borderId="5" xfId="0" applyFill="1" applyBorder="1" applyAlignment="1"/>
    <xf numFmtId="0" fontId="0" fillId="0" borderId="3" xfId="0" applyFill="1" applyBorder="1" applyAlignment="1"/>
    <xf numFmtId="1" fontId="5" fillId="0" borderId="5" xfId="0" applyNumberFormat="1" applyFont="1" applyFill="1" applyBorder="1" applyAlignment="1">
      <alignment vertical="top"/>
    </xf>
    <xf numFmtId="1" fontId="5" fillId="0" borderId="3" xfId="0" applyNumberFormat="1" applyFont="1" applyFill="1" applyBorder="1" applyAlignment="1">
      <alignment vertical="top"/>
    </xf>
    <xf numFmtId="1" fontId="0" fillId="0" borderId="5" xfId="0" applyNumberFormat="1" applyFill="1" applyBorder="1" applyAlignment="1"/>
    <xf numFmtId="1" fontId="0" fillId="0" borderId="3" xfId="0" applyNumberFormat="1" applyFill="1" applyBorder="1" applyAlignment="1"/>
    <xf numFmtId="0" fontId="5" fillId="0" borderId="3" xfId="0" applyFont="1" applyFill="1" applyBorder="1" applyAlignment="1">
      <alignment vertical="top"/>
    </xf>
    <xf numFmtId="1" fontId="0" fillId="0" borderId="0" xfId="0" applyNumberFormat="1"/>
    <xf numFmtId="164" fontId="5" fillId="0" borderId="5" xfId="1" applyNumberFormat="1" applyFont="1" applyBorder="1" applyAlignment="1">
      <alignment vertical="top"/>
    </xf>
    <xf numFmtId="164" fontId="5" fillId="0" borderId="3" xfId="1" applyNumberFormat="1" applyFont="1" applyBorder="1" applyAlignment="1">
      <alignment vertical="top"/>
    </xf>
    <xf numFmtId="49" fontId="4" fillId="3" borderId="3" xfId="0" applyNumberFormat="1" applyFont="1" applyFill="1" applyBorder="1" applyAlignment="1">
      <alignment vertical="top"/>
    </xf>
    <xf numFmtId="49" fontId="4" fillId="3" borderId="4" xfId="0" applyNumberFormat="1" applyFont="1" applyFill="1" applyBorder="1" applyAlignment="1">
      <alignment vertical="top"/>
    </xf>
    <xf numFmtId="49" fontId="3" fillId="3" borderId="3" xfId="0" applyNumberFormat="1" applyFont="1" applyFill="1" applyBorder="1" applyAlignment="1">
      <alignment vertical="top"/>
    </xf>
    <xf numFmtId="1" fontId="0" fillId="0" borderId="5" xfId="0" applyNumberFormat="1" applyBorder="1" applyAlignment="1"/>
    <xf numFmtId="1" fontId="0" fillId="0" borderId="3" xfId="0" applyNumberFormat="1" applyBorder="1" applyAlignment="1"/>
    <xf numFmtId="0" fontId="5" fillId="0" borderId="5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49" fontId="3" fillId="2" borderId="5" xfId="0" applyNumberFormat="1" applyFont="1" applyFill="1" applyBorder="1" applyAlignment="1">
      <alignment horizontal="right" vertical="top"/>
    </xf>
    <xf numFmtId="49" fontId="3" fillId="2" borderId="3" xfId="0" applyNumberFormat="1" applyFont="1" applyFill="1" applyBorder="1" applyAlignment="1">
      <alignment horizontal="right" vertical="top"/>
    </xf>
    <xf numFmtId="164" fontId="3" fillId="2" borderId="5" xfId="1" applyNumberFormat="1" applyFont="1" applyFill="1" applyBorder="1" applyAlignment="1">
      <alignment horizontal="center" vertical="top"/>
    </xf>
    <xf numFmtId="164" fontId="3" fillId="2" borderId="3" xfId="1" applyNumberFormat="1" applyFont="1" applyFill="1" applyBorder="1" applyAlignment="1">
      <alignment horizontal="center" vertical="top"/>
    </xf>
    <xf numFmtId="164" fontId="0" fillId="0" borderId="5" xfId="1" applyNumberFormat="1" applyFont="1" applyBorder="1" applyAlignment="1"/>
    <xf numFmtId="164" fontId="0" fillId="0" borderId="3" xfId="1" applyNumberFormat="1" applyFont="1" applyBorder="1" applyAlignment="1"/>
    <xf numFmtId="167" fontId="0" fillId="0" borderId="3" xfId="1" applyNumberFormat="1" applyFont="1" applyBorder="1" applyAlignment="1"/>
    <xf numFmtId="164" fontId="5" fillId="2" borderId="5" xfId="1" applyNumberFormat="1" applyFont="1" applyFill="1" applyBorder="1" applyAlignment="1">
      <alignment vertical="top"/>
    </xf>
    <xf numFmtId="0" fontId="0" fillId="0" borderId="3" xfId="0" applyFill="1" applyBorder="1"/>
    <xf numFmtId="164" fontId="0" fillId="0" borderId="3" xfId="1" applyNumberFormat="1" applyFont="1" applyFill="1" applyBorder="1"/>
    <xf numFmtId="0" fontId="0" fillId="0" borderId="0" xfId="0" applyFill="1"/>
    <xf numFmtId="43" fontId="0" fillId="0" borderId="0" xfId="1" applyFont="1" applyFill="1"/>
    <xf numFmtId="164" fontId="0" fillId="0" borderId="0" xfId="1" applyNumberFormat="1" applyFont="1" applyFill="1" applyBorder="1"/>
    <xf numFmtId="43" fontId="0" fillId="0" borderId="0" xfId="0" applyNumberFormat="1" applyFill="1"/>
    <xf numFmtId="164" fontId="5" fillId="0" borderId="0" xfId="1" applyNumberFormat="1" applyFont="1" applyAlignment="1">
      <alignment vertical="top"/>
    </xf>
    <xf numFmtId="164" fontId="5" fillId="0" borderId="0" xfId="1" applyNumberFormat="1" applyFont="1" applyAlignment="1">
      <alignment vertical="top"/>
    </xf>
    <xf numFmtId="164" fontId="5" fillId="0" borderId="0" xfId="1" applyNumberFormat="1" applyFont="1" applyAlignment="1">
      <alignment vertical="top"/>
    </xf>
    <xf numFmtId="164" fontId="5" fillId="0" borderId="0" xfId="1" applyNumberFormat="1" applyFont="1" applyAlignment="1">
      <alignment vertical="top"/>
    </xf>
    <xf numFmtId="164" fontId="0" fillId="0" borderId="0" xfId="1" applyNumberFormat="1" applyFont="1"/>
    <xf numFmtId="164" fontId="5" fillId="0" borderId="0" xfId="1" applyNumberFormat="1" applyFont="1" applyAlignment="1">
      <alignment vertical="top"/>
    </xf>
    <xf numFmtId="164" fontId="5" fillId="0" borderId="0" xfId="1" applyNumberFormat="1" applyFont="1" applyAlignment="1">
      <alignment vertical="top"/>
    </xf>
    <xf numFmtId="164" fontId="5" fillId="0" borderId="0" xfId="1" applyNumberFormat="1" applyFont="1" applyAlignment="1">
      <alignment vertical="top"/>
    </xf>
    <xf numFmtId="164" fontId="5" fillId="0" borderId="0" xfId="1" applyNumberFormat="1" applyFont="1" applyAlignment="1">
      <alignment vertical="top"/>
    </xf>
    <xf numFmtId="164" fontId="5" fillId="0" borderId="0" xfId="1" applyNumberFormat="1" applyFont="1" applyAlignment="1">
      <alignment vertical="top"/>
    </xf>
    <xf numFmtId="164" fontId="5" fillId="0" borderId="0" xfId="1" applyNumberFormat="1" applyFont="1" applyFill="1" applyAlignment="1">
      <alignment vertical="top"/>
    </xf>
    <xf numFmtId="164" fontId="0" fillId="0" borderId="0" xfId="1" applyNumberFormat="1" applyFont="1" applyFill="1"/>
    <xf numFmtId="0" fontId="0" fillId="0" borderId="3" xfId="0" applyFill="1" applyBorder="1" applyAlignment="1">
      <alignment horizontal="left"/>
    </xf>
    <xf numFmtId="164" fontId="0" fillId="0" borderId="3" xfId="0" applyNumberFormat="1" applyFill="1" applyBorder="1"/>
    <xf numFmtId="9" fontId="0" fillId="0" borderId="3" xfId="0" applyNumberFormat="1" applyFill="1" applyBorder="1"/>
    <xf numFmtId="10" fontId="0" fillId="0" borderId="3" xfId="0" applyNumberFormat="1" applyFill="1" applyBorder="1"/>
    <xf numFmtId="164" fontId="0" fillId="0" borderId="3" xfId="1" applyNumberFormat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3" xfId="0" applyFill="1" applyBorder="1"/>
    <xf numFmtId="164" fontId="0" fillId="0" borderId="0" xfId="0" applyNumberFormat="1" applyFill="1"/>
    <xf numFmtId="0" fontId="0" fillId="0" borderId="3" xfId="0" applyFill="1" applyBorder="1" applyAlignment="1">
      <alignment horizontal="right"/>
    </xf>
    <xf numFmtId="0" fontId="0" fillId="0" borderId="0" xfId="0" applyFill="1" applyBorder="1"/>
    <xf numFmtId="164" fontId="0" fillId="3" borderId="3" xfId="1" applyNumberFormat="1" applyFont="1" applyFill="1" applyBorder="1"/>
    <xf numFmtId="168" fontId="6" fillId="0" borderId="2" xfId="1" applyNumberFormat="1" applyFont="1" applyFill="1" applyBorder="1"/>
    <xf numFmtId="168" fontId="6" fillId="0" borderId="7" xfId="1" applyNumberFormat="1" applyFont="1" applyFill="1" applyBorder="1"/>
    <xf numFmtId="168" fontId="6" fillId="0" borderId="0" xfId="1" applyNumberFormat="1" applyFont="1" applyFill="1"/>
    <xf numFmtId="168" fontId="6" fillId="0" borderId="9" xfId="1" applyNumberFormat="1" applyFont="1" applyFill="1" applyBorder="1"/>
    <xf numFmtId="168" fontId="6" fillId="0" borderId="3" xfId="1" applyNumberFormat="1" applyFont="1" applyFill="1" applyBorder="1"/>
    <xf numFmtId="0" fontId="6" fillId="0" borderId="0" xfId="0" applyFont="1" applyFill="1"/>
    <xf numFmtId="0" fontId="6" fillId="0" borderId="3" xfId="0" applyFont="1" applyFill="1" applyBorder="1" applyAlignment="1">
      <alignment horizontal="center"/>
    </xf>
    <xf numFmtId="168" fontId="0" fillId="0" borderId="0" xfId="0" applyNumberFormat="1" applyFill="1"/>
    <xf numFmtId="168" fontId="6" fillId="0" borderId="8" xfId="1" applyNumberFormat="1" applyFont="1" applyFill="1" applyBorder="1"/>
    <xf numFmtId="168" fontId="6" fillId="0" borderId="0" xfId="0" applyNumberFormat="1" applyFont="1" applyFill="1"/>
    <xf numFmtId="168" fontId="6" fillId="0" borderId="0" xfId="0" applyNumberFormat="1" applyFont="1" applyFill="1" applyBorder="1"/>
    <xf numFmtId="0" fontId="6" fillId="0" borderId="0" xfId="0" applyFont="1" applyFill="1" applyBorder="1"/>
    <xf numFmtId="168" fontId="6" fillId="0" borderId="0" xfId="1" applyNumberFormat="1" applyFont="1" applyFill="1" applyBorder="1"/>
    <xf numFmtId="0" fontId="6" fillId="0" borderId="0" xfId="0" applyFont="1" applyFill="1" applyBorder="1" applyAlignment="1">
      <alignment horizontal="right"/>
    </xf>
    <xf numFmtId="168" fontId="6" fillId="0" borderId="10" xfId="0" applyNumberFormat="1" applyFont="1" applyFill="1" applyBorder="1"/>
    <xf numFmtId="0" fontId="6" fillId="0" borderId="10" xfId="0" applyFont="1" applyFill="1" applyBorder="1"/>
    <xf numFmtId="168" fontId="6" fillId="0" borderId="10" xfId="1" applyNumberFormat="1" applyFont="1" applyFill="1" applyBorder="1"/>
    <xf numFmtId="0" fontId="7" fillId="0" borderId="0" xfId="0" applyFont="1" applyFill="1"/>
    <xf numFmtId="168" fontId="7" fillId="0" borderId="0" xfId="1" applyNumberFormat="1" applyFont="1" applyFill="1"/>
    <xf numFmtId="0" fontId="0" fillId="0" borderId="0" xfId="0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7" fillId="0" borderId="14" xfId="0" applyFont="1" applyFill="1" applyBorder="1" applyAlignment="1">
      <alignment horizontal="right"/>
    </xf>
    <xf numFmtId="0" fontId="7" fillId="0" borderId="15" xfId="0" applyFont="1" applyFill="1" applyBorder="1" applyAlignment="1">
      <alignment horizontal="right"/>
    </xf>
    <xf numFmtId="168" fontId="7" fillId="0" borderId="15" xfId="1" applyNumberFormat="1" applyFont="1" applyFill="1" applyBorder="1" applyAlignment="1">
      <alignment horizontal="right"/>
    </xf>
    <xf numFmtId="168" fontId="7" fillId="0" borderId="17" xfId="1" applyNumberFormat="1" applyFont="1" applyFill="1" applyBorder="1"/>
    <xf numFmtId="168" fontId="6" fillId="0" borderId="16" xfId="1" applyNumberFormat="1" applyFont="1" applyFill="1" applyBorder="1"/>
    <xf numFmtId="168" fontId="6" fillId="0" borderId="18" xfId="1" applyNumberFormat="1" applyFont="1" applyFill="1" applyBorder="1"/>
    <xf numFmtId="168" fontId="7" fillId="0" borderId="13" xfId="1" applyNumberFormat="1" applyFont="1" applyFill="1" applyBorder="1"/>
    <xf numFmtId="168" fontId="6" fillId="0" borderId="19" xfId="1" applyNumberFormat="1" applyFont="1" applyFill="1" applyBorder="1"/>
    <xf numFmtId="168" fontId="7" fillId="0" borderId="20" xfId="1" applyNumberFormat="1" applyFont="1" applyFill="1" applyBorder="1"/>
    <xf numFmtId="168" fontId="6" fillId="0" borderId="21" xfId="1" applyNumberFormat="1" applyFont="1" applyFill="1" applyBorder="1"/>
    <xf numFmtId="168" fontId="7" fillId="0" borderId="22" xfId="1" applyNumberFormat="1" applyFont="1" applyFill="1" applyBorder="1"/>
    <xf numFmtId="168" fontId="7" fillId="0" borderId="23" xfId="1" applyNumberFormat="1" applyFont="1" applyFill="1" applyBorder="1"/>
    <xf numFmtId="168" fontId="6" fillId="0" borderId="0" xfId="1" applyNumberFormat="1" applyFont="1" applyFill="1" applyAlignment="1">
      <alignment horizontal="right"/>
    </xf>
    <xf numFmtId="168" fontId="6" fillId="0" borderId="0" xfId="0" applyNumberFormat="1" applyFont="1" applyFill="1" applyAlignment="1">
      <alignment horizontal="right"/>
    </xf>
    <xf numFmtId="0" fontId="6" fillId="0" borderId="2" xfId="1" applyNumberFormat="1" applyFont="1" applyFill="1" applyBorder="1"/>
    <xf numFmtId="168" fontId="8" fillId="0" borderId="17" xfId="1" applyNumberFormat="1" applyFont="1" applyFill="1" applyBorder="1"/>
    <xf numFmtId="169" fontId="3" fillId="2" borderId="16" xfId="0" applyNumberFormat="1" applyFont="1" applyFill="1" applyBorder="1" applyAlignment="1">
      <alignment horizontal="right" vertical="top"/>
    </xf>
    <xf numFmtId="49" fontId="4" fillId="0" borderId="16" xfId="0" applyNumberFormat="1" applyFont="1" applyBorder="1" applyAlignment="1">
      <alignment vertical="top"/>
    </xf>
    <xf numFmtId="49" fontId="3" fillId="0" borderId="16" xfId="0" applyNumberFormat="1" applyFont="1" applyBorder="1" applyAlignment="1">
      <alignment vertical="top"/>
    </xf>
    <xf numFmtId="169" fontId="3" fillId="0" borderId="16" xfId="0" applyNumberFormat="1" applyFont="1" applyBorder="1" applyAlignment="1">
      <alignment horizontal="right" vertical="top"/>
    </xf>
    <xf numFmtId="49" fontId="4" fillId="0" borderId="16" xfId="0" applyNumberFormat="1" applyFont="1" applyFill="1" applyBorder="1" applyAlignment="1">
      <alignment vertical="top"/>
    </xf>
    <xf numFmtId="49" fontId="3" fillId="0" borderId="16" xfId="0" applyNumberFormat="1" applyFont="1" applyFill="1" applyBorder="1" applyAlignment="1">
      <alignment vertical="top"/>
    </xf>
    <xf numFmtId="17" fontId="6" fillId="0" borderId="4" xfId="0" applyNumberFormat="1" applyFont="1" applyFill="1" applyBorder="1" applyAlignment="1">
      <alignment horizontal="center"/>
    </xf>
    <xf numFmtId="17" fontId="6" fillId="0" borderId="6" xfId="0" applyNumberFormat="1" applyFont="1" applyFill="1" applyBorder="1" applyAlignment="1">
      <alignment horizontal="center"/>
    </xf>
    <xf numFmtId="17" fontId="7" fillId="0" borderId="11" xfId="0" applyNumberFormat="1" applyFont="1" applyFill="1" applyBorder="1" applyAlignment="1">
      <alignment horizontal="center"/>
    </xf>
    <xf numFmtId="17" fontId="7" fillId="0" borderId="12" xfId="0" applyNumberFormat="1" applyFont="1" applyFill="1" applyBorder="1" applyAlignment="1">
      <alignment horizontal="center"/>
    </xf>
    <xf numFmtId="17" fontId="7" fillId="0" borderId="13" xfId="0" applyNumberFormat="1" applyFont="1" applyFill="1" applyBorder="1" applyAlignment="1">
      <alignment horizontal="center"/>
    </xf>
    <xf numFmtId="17" fontId="6" fillId="0" borderId="5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3:AS93"/>
  <sheetViews>
    <sheetView zoomScaleNormal="100" workbookViewId="0">
      <pane xSplit="1" topLeftCell="AI1" activePane="topRight" state="frozen"/>
      <selection pane="topRight" activeCell="AS7" sqref="AS7"/>
    </sheetView>
  </sheetViews>
  <sheetFormatPr defaultRowHeight="15" x14ac:dyDescent="0.25"/>
  <cols>
    <col min="1" max="1" width="24.7109375" style="62" bestFit="1" customWidth="1"/>
    <col min="2" max="2" width="14.28515625" style="62" bestFit="1" customWidth="1"/>
    <col min="3" max="3" width="15.140625" style="62" bestFit="1" customWidth="1"/>
    <col min="4" max="4" width="14.28515625" style="62" customWidth="1"/>
    <col min="5" max="5" width="14.42578125" style="62" bestFit="1" customWidth="1"/>
    <col min="6" max="7" width="14.28515625" style="62" customWidth="1"/>
    <col min="8" max="8" width="19.5703125" style="62" bestFit="1" customWidth="1"/>
    <col min="9" max="9" width="19.42578125" style="62" customWidth="1"/>
    <col min="10" max="10" width="14.28515625" style="62" customWidth="1"/>
    <col min="11" max="11" width="14.42578125" style="62" bestFit="1" customWidth="1"/>
    <col min="12" max="13" width="14.28515625" style="62" customWidth="1"/>
    <col min="14" max="14" width="14.42578125" style="62" bestFit="1" customWidth="1"/>
    <col min="15" max="16" width="14.28515625" style="62" customWidth="1"/>
    <col min="17" max="17" width="14.42578125" style="62" bestFit="1" customWidth="1"/>
    <col min="18" max="19" width="14.28515625" style="62" customWidth="1"/>
    <col min="20" max="20" width="14.42578125" style="62" bestFit="1" customWidth="1"/>
    <col min="21" max="22" width="14.28515625" style="62" customWidth="1"/>
    <col min="23" max="23" width="14.42578125" style="62" bestFit="1" customWidth="1"/>
    <col min="24" max="25" width="14.28515625" style="62" customWidth="1"/>
    <col min="26" max="26" width="14.42578125" style="62" bestFit="1" customWidth="1"/>
    <col min="27" max="28" width="14.28515625" style="62" customWidth="1"/>
    <col min="29" max="29" width="14.42578125" style="62" bestFit="1" customWidth="1"/>
    <col min="30" max="31" width="14.28515625" style="62" customWidth="1"/>
    <col min="32" max="32" width="14.28515625" style="62" bestFit="1" customWidth="1"/>
    <col min="33" max="33" width="13.28515625" style="62" customWidth="1"/>
    <col min="34" max="34" width="14.28515625" style="62" customWidth="1"/>
    <col min="35" max="36" width="14.28515625" style="62" bestFit="1" customWidth="1"/>
    <col min="37" max="37" width="14.28515625" style="62" customWidth="1"/>
    <col min="38" max="38" width="15.28515625" style="62" bestFit="1" customWidth="1"/>
    <col min="39" max="40" width="15.42578125" style="62" bestFit="1" customWidth="1"/>
    <col min="41" max="41" width="10.5703125" style="62" bestFit="1" customWidth="1"/>
    <col min="42" max="43" width="15.28515625" style="62" bestFit="1" customWidth="1"/>
    <col min="44" max="44" width="12.5703125" style="62" bestFit="1" customWidth="1"/>
    <col min="45" max="16384" width="9.140625" style="62"/>
  </cols>
  <sheetData>
    <row r="3" spans="1:45" x14ac:dyDescent="0.25">
      <c r="AM3" s="85"/>
      <c r="AN3" s="85"/>
    </row>
    <row r="4" spans="1:45" x14ac:dyDescent="0.25">
      <c r="G4" s="85"/>
      <c r="AM4" s="77"/>
      <c r="AN4" s="77"/>
    </row>
    <row r="5" spans="1:45" x14ac:dyDescent="0.25">
      <c r="AM5" s="77"/>
      <c r="AN5" s="77"/>
    </row>
    <row r="6" spans="1:45" x14ac:dyDescent="0.25">
      <c r="A6" s="5"/>
      <c r="B6" s="5" t="s">
        <v>26</v>
      </c>
      <c r="C6" s="5" t="s">
        <v>184</v>
      </c>
      <c r="D6" s="5"/>
      <c r="E6" s="5" t="s">
        <v>26</v>
      </c>
      <c r="F6" s="5" t="s">
        <v>184</v>
      </c>
      <c r="G6" s="5"/>
      <c r="H6" s="5" t="s">
        <v>26</v>
      </c>
      <c r="I6" s="5" t="s">
        <v>184</v>
      </c>
      <c r="J6" s="5"/>
      <c r="K6" s="5" t="s">
        <v>26</v>
      </c>
      <c r="L6" s="5" t="s">
        <v>184</v>
      </c>
      <c r="M6" s="5"/>
      <c r="N6" s="5" t="s">
        <v>26</v>
      </c>
      <c r="O6" s="5" t="s">
        <v>184</v>
      </c>
      <c r="P6" s="5"/>
      <c r="Q6" s="5" t="s">
        <v>26</v>
      </c>
      <c r="R6" s="5" t="s">
        <v>184</v>
      </c>
      <c r="S6" s="5"/>
      <c r="T6" s="5" t="s">
        <v>26</v>
      </c>
      <c r="U6" s="5" t="s">
        <v>184</v>
      </c>
      <c r="V6" s="5"/>
      <c r="W6" s="5" t="s">
        <v>26</v>
      </c>
      <c r="X6" s="5" t="s">
        <v>184</v>
      </c>
      <c r="Y6" s="5"/>
      <c r="Z6" s="5" t="s">
        <v>26</v>
      </c>
      <c r="AA6" s="5" t="s">
        <v>184</v>
      </c>
      <c r="AB6" s="5"/>
      <c r="AC6" s="5" t="s">
        <v>26</v>
      </c>
      <c r="AD6" s="5" t="s">
        <v>184</v>
      </c>
      <c r="AE6" s="5"/>
      <c r="AF6" s="5" t="s">
        <v>26</v>
      </c>
      <c r="AG6" s="5" t="s">
        <v>184</v>
      </c>
      <c r="AH6" s="5"/>
      <c r="AI6" s="5" t="s">
        <v>26</v>
      </c>
      <c r="AJ6" s="5" t="s">
        <v>184</v>
      </c>
      <c r="AK6" s="5"/>
      <c r="AL6" s="5" t="s">
        <v>26</v>
      </c>
      <c r="AM6" s="5" t="s">
        <v>184</v>
      </c>
      <c r="AN6" s="83" t="s">
        <v>40</v>
      </c>
    </row>
    <row r="7" spans="1:45" x14ac:dyDescent="0.25">
      <c r="A7" s="5" t="s">
        <v>12</v>
      </c>
      <c r="B7" s="83" t="s">
        <v>0</v>
      </c>
      <c r="C7" s="83" t="s">
        <v>0</v>
      </c>
      <c r="D7" s="83"/>
      <c r="E7" s="83" t="s">
        <v>1</v>
      </c>
      <c r="F7" s="83" t="s">
        <v>1</v>
      </c>
      <c r="G7" s="83"/>
      <c r="H7" s="83" t="s">
        <v>2</v>
      </c>
      <c r="I7" s="83" t="s">
        <v>2</v>
      </c>
      <c r="J7" s="83"/>
      <c r="K7" s="83" t="s">
        <v>3</v>
      </c>
      <c r="L7" s="83" t="s">
        <v>3</v>
      </c>
      <c r="M7" s="83"/>
      <c r="N7" s="83" t="s">
        <v>4</v>
      </c>
      <c r="O7" s="83" t="s">
        <v>4</v>
      </c>
      <c r="P7" s="83"/>
      <c r="Q7" s="83" t="s">
        <v>5</v>
      </c>
      <c r="R7" s="83" t="s">
        <v>5</v>
      </c>
      <c r="S7" s="83"/>
      <c r="T7" s="83" t="s">
        <v>6</v>
      </c>
      <c r="U7" s="83" t="s">
        <v>6</v>
      </c>
      <c r="V7" s="83"/>
      <c r="W7" s="83" t="s">
        <v>7</v>
      </c>
      <c r="X7" s="83" t="s">
        <v>7</v>
      </c>
      <c r="Y7" s="83"/>
      <c r="Z7" s="83" t="s">
        <v>8</v>
      </c>
      <c r="AA7" s="83" t="s">
        <v>8</v>
      </c>
      <c r="AB7" s="83"/>
      <c r="AC7" s="83" t="s">
        <v>9</v>
      </c>
      <c r="AD7" s="83" t="s">
        <v>9</v>
      </c>
      <c r="AE7" s="83"/>
      <c r="AF7" s="83" t="s">
        <v>10</v>
      </c>
      <c r="AG7" s="83" t="s">
        <v>10</v>
      </c>
      <c r="AH7" s="83"/>
      <c r="AI7" s="83" t="s">
        <v>20</v>
      </c>
      <c r="AJ7" s="83" t="s">
        <v>20</v>
      </c>
      <c r="AK7" s="83"/>
      <c r="AL7" s="84" t="s">
        <v>25</v>
      </c>
      <c r="AM7" s="84" t="s">
        <v>25</v>
      </c>
      <c r="AN7" s="83" t="s">
        <v>25</v>
      </c>
      <c r="AP7" s="5" t="s">
        <v>184</v>
      </c>
      <c r="AQ7" s="5" t="s">
        <v>26</v>
      </c>
    </row>
    <row r="8" spans="1:45" x14ac:dyDescent="0.25">
      <c r="A8" s="78" t="s">
        <v>11</v>
      </c>
      <c r="B8" s="61">
        <v>24728496</v>
      </c>
      <c r="C8" s="30">
        <v>13399092.199999999</v>
      </c>
      <c r="D8" s="30">
        <f>+B8-C8</f>
        <v>11329403.800000001</v>
      </c>
      <c r="E8" s="61">
        <v>13229206</v>
      </c>
      <c r="F8" s="61">
        <v>13229206</v>
      </c>
      <c r="G8" s="30">
        <f>+E8-F8</f>
        <v>0</v>
      </c>
      <c r="H8" s="61">
        <v>4906266</v>
      </c>
      <c r="I8" s="61">
        <v>4906266</v>
      </c>
      <c r="J8" s="30">
        <f>+H8-I8</f>
        <v>0</v>
      </c>
      <c r="K8" s="61">
        <v>34568262</v>
      </c>
      <c r="L8" s="61">
        <v>34568262</v>
      </c>
      <c r="M8" s="30">
        <f>+K8-L8</f>
        <v>0</v>
      </c>
      <c r="N8" s="61">
        <v>33767239</v>
      </c>
      <c r="O8" s="61">
        <v>34047758</v>
      </c>
      <c r="P8" s="30">
        <f>+N8-O8</f>
        <v>-280519</v>
      </c>
      <c r="Q8" s="61">
        <v>22806691</v>
      </c>
      <c r="R8" s="61">
        <v>26818925</v>
      </c>
      <c r="S8" s="30">
        <f>+Q8-R8</f>
        <v>-4012234</v>
      </c>
      <c r="T8" s="61">
        <v>20009664</v>
      </c>
      <c r="U8" s="61">
        <v>20009664</v>
      </c>
      <c r="V8" s="30">
        <f>+T8-U8</f>
        <v>0</v>
      </c>
      <c r="W8" s="61">
        <v>16089149</v>
      </c>
      <c r="X8" s="61">
        <v>16089149</v>
      </c>
      <c r="Y8" s="30">
        <f>+W8-X8</f>
        <v>0</v>
      </c>
      <c r="Z8" s="61">
        <v>29697116</v>
      </c>
      <c r="AA8" s="61">
        <v>29697116</v>
      </c>
      <c r="AB8" s="30">
        <f>+Z8-AA8</f>
        <v>0</v>
      </c>
      <c r="AC8" s="61">
        <v>11509001</v>
      </c>
      <c r="AD8" s="61">
        <v>11509001</v>
      </c>
      <c r="AE8" s="30">
        <f>+AC8-AD8</f>
        <v>0</v>
      </c>
      <c r="AF8" s="61">
        <v>34577442</v>
      </c>
      <c r="AG8" s="61">
        <v>34577442</v>
      </c>
      <c r="AH8" s="30">
        <f>+AF8-AG8</f>
        <v>0</v>
      </c>
      <c r="AI8" s="61">
        <v>10732059</v>
      </c>
      <c r="AJ8" s="61">
        <v>10740779</v>
      </c>
      <c r="AK8" s="30">
        <f>+AI8-AJ8</f>
        <v>-8720</v>
      </c>
      <c r="AL8" s="61">
        <f>+B8+E8+H8+K8+N8+Q8+T8+W8+Z8+AC8+AF8+AI8</f>
        <v>256620591</v>
      </c>
      <c r="AM8" s="61">
        <f>+C8+F8+I8+L8+O8+R8+U8+X8+AA8+AD8+AG8+AJ8</f>
        <v>249592660.19999999</v>
      </c>
      <c r="AN8" s="61">
        <f>+D8+G8+J8+M8+P8+S8+V8+Y8+AB8+AE8+AH8+AK8</f>
        <v>7027930.8000000007</v>
      </c>
      <c r="AO8" s="85">
        <v>7027930.8000000007</v>
      </c>
      <c r="AP8" s="77">
        <f>AM8</f>
        <v>249592660.19999999</v>
      </c>
      <c r="AQ8" s="77">
        <v>256620591</v>
      </c>
      <c r="AR8" s="77">
        <f>AQ8</f>
        <v>256620591</v>
      </c>
    </row>
    <row r="9" spans="1:45" x14ac:dyDescent="0.25">
      <c r="A9" s="80" t="s">
        <v>168</v>
      </c>
      <c r="B9" s="61">
        <v>426605</v>
      </c>
      <c r="C9" s="61">
        <v>363824</v>
      </c>
      <c r="D9" s="30">
        <f t="shared" ref="D9:D40" si="0">+B9-C9</f>
        <v>62781</v>
      </c>
      <c r="E9" s="61">
        <v>187990</v>
      </c>
      <c r="F9" s="61">
        <v>188022</v>
      </c>
      <c r="G9" s="30">
        <f t="shared" ref="G9:G40" si="1">+E9-F9</f>
        <v>-32</v>
      </c>
      <c r="H9" s="61">
        <v>195894</v>
      </c>
      <c r="I9" s="61">
        <v>478924</v>
      </c>
      <c r="J9" s="30">
        <f t="shared" ref="J9:J40" si="2">+H9-I9</f>
        <v>-283030</v>
      </c>
      <c r="K9" s="61">
        <v>176799</v>
      </c>
      <c r="L9" s="61">
        <v>431618</v>
      </c>
      <c r="M9" s="30">
        <f t="shared" ref="M9:M40" si="3">+K9-L9</f>
        <v>-254819</v>
      </c>
      <c r="N9" s="61">
        <v>526680</v>
      </c>
      <c r="O9" s="61">
        <v>526687</v>
      </c>
      <c r="P9" s="30">
        <f t="shared" ref="P9:P40" si="4">+N9-O9</f>
        <v>-7</v>
      </c>
      <c r="Q9" s="61">
        <v>578207</v>
      </c>
      <c r="R9" s="61">
        <v>599414</v>
      </c>
      <c r="S9" s="30">
        <f t="shared" ref="S9:S40" si="5">+Q9-R9</f>
        <v>-21207</v>
      </c>
      <c r="T9" s="61">
        <v>708946</v>
      </c>
      <c r="U9" s="61">
        <v>563788</v>
      </c>
      <c r="V9" s="30">
        <f t="shared" ref="V9:V40" si="6">+T9-U9</f>
        <v>145158</v>
      </c>
      <c r="W9" s="61">
        <v>494233</v>
      </c>
      <c r="X9" s="61">
        <v>552425</v>
      </c>
      <c r="Y9" s="30">
        <f t="shared" ref="Y9:Y40" si="7">+W9-X9</f>
        <v>-58192</v>
      </c>
      <c r="Z9" s="61">
        <v>575669</v>
      </c>
      <c r="AA9" s="61">
        <v>625720</v>
      </c>
      <c r="AB9" s="30">
        <f t="shared" ref="AB9:AB40" si="8">+Z9-AA9</f>
        <v>-50051</v>
      </c>
      <c r="AC9" s="61">
        <v>633830</v>
      </c>
      <c r="AD9" s="61">
        <v>634232</v>
      </c>
      <c r="AE9" s="30">
        <f t="shared" ref="AE9:AE40" si="9">+AC9-AD9</f>
        <v>-402</v>
      </c>
      <c r="AF9" s="61">
        <v>938063</v>
      </c>
      <c r="AG9" s="61">
        <v>972390</v>
      </c>
      <c r="AH9" s="30">
        <f t="shared" ref="AH9:AH40" si="10">+AF9-AG9</f>
        <v>-34327</v>
      </c>
      <c r="AI9" s="61">
        <v>996106</v>
      </c>
      <c r="AJ9" s="61">
        <v>996106</v>
      </c>
      <c r="AK9" s="30">
        <f t="shared" ref="AK9:AK40" si="11">+AI9-AJ9</f>
        <v>0</v>
      </c>
      <c r="AL9" s="61">
        <f t="shared" ref="AL9:AL29" si="12">+B9+E9+H9+K9+N9+Q9+T9+W9+Z9+AC9+AF9+AI9</f>
        <v>6439022</v>
      </c>
      <c r="AM9" s="61">
        <f t="shared" ref="AM9:AN29" si="13">+C9+F9+I9+L9+O9+R9+U9+X9+AA9+AD9+AG9+AJ9</f>
        <v>6933150</v>
      </c>
      <c r="AN9" s="61">
        <f t="shared" si="13"/>
        <v>-494128</v>
      </c>
      <c r="AP9" s="77">
        <v>-4012234</v>
      </c>
      <c r="AQ9" s="77">
        <f>+D8</f>
        <v>11329403.800000001</v>
      </c>
      <c r="AR9" s="77">
        <v>4012234</v>
      </c>
      <c r="AS9" s="62" t="s">
        <v>5</v>
      </c>
    </row>
    <row r="10" spans="1:45" x14ac:dyDescent="0.25">
      <c r="A10" s="80" t="s">
        <v>171</v>
      </c>
      <c r="B10" s="61">
        <v>21304</v>
      </c>
      <c r="C10" s="61">
        <f>+C9*0.05</f>
        <v>18191.2</v>
      </c>
      <c r="D10" s="30">
        <f t="shared" si="0"/>
        <v>3112.7999999999993</v>
      </c>
      <c r="E10" s="61">
        <v>9399</v>
      </c>
      <c r="F10" s="61">
        <f>+F9*0.05</f>
        <v>9401.1</v>
      </c>
      <c r="G10" s="30">
        <f t="shared" si="1"/>
        <v>-2.1000000000003638</v>
      </c>
      <c r="H10" s="61">
        <f t="shared" ref="H10:AI10" si="14">+H9*0.05</f>
        <v>9794.7000000000007</v>
      </c>
      <c r="I10" s="61">
        <f>+I9*0.05</f>
        <v>23946.2</v>
      </c>
      <c r="J10" s="30">
        <f t="shared" si="2"/>
        <v>-14151.5</v>
      </c>
      <c r="K10" s="61">
        <v>8839</v>
      </c>
      <c r="L10" s="61">
        <f>+L9*0.05</f>
        <v>21580.9</v>
      </c>
      <c r="M10" s="30">
        <f t="shared" si="3"/>
        <v>-12741.900000000001</v>
      </c>
      <c r="N10" s="61">
        <v>26333</v>
      </c>
      <c r="O10" s="61">
        <f>+O9*0.05</f>
        <v>26334.350000000002</v>
      </c>
      <c r="P10" s="30">
        <f t="shared" si="4"/>
        <v>-1.3500000000021828</v>
      </c>
      <c r="Q10" s="61">
        <f t="shared" si="14"/>
        <v>28910.350000000002</v>
      </c>
      <c r="R10" s="61">
        <f>+R9*0.05</f>
        <v>29970.7</v>
      </c>
      <c r="S10" s="30">
        <f t="shared" si="5"/>
        <v>-1060.3499999999985</v>
      </c>
      <c r="T10" s="61">
        <v>38032</v>
      </c>
      <c r="U10" s="61">
        <f>+U9*0.05</f>
        <v>28189.4</v>
      </c>
      <c r="V10" s="30">
        <f t="shared" si="6"/>
        <v>9842.5999999999985</v>
      </c>
      <c r="W10" s="61">
        <f>+W9*0.05-1</f>
        <v>24710.65</v>
      </c>
      <c r="X10" s="61">
        <f>+X9*0.05</f>
        <v>27621.25</v>
      </c>
      <c r="Y10" s="30">
        <f t="shared" si="7"/>
        <v>-2910.5999999999985</v>
      </c>
      <c r="Z10" s="61">
        <f t="shared" si="14"/>
        <v>28783.45</v>
      </c>
      <c r="AA10" s="61">
        <f>+AA9*0.05</f>
        <v>31286</v>
      </c>
      <c r="AB10" s="30">
        <f t="shared" si="8"/>
        <v>-2502.5499999999993</v>
      </c>
      <c r="AC10" s="61">
        <f t="shared" si="14"/>
        <v>31691.5</v>
      </c>
      <c r="AD10" s="61">
        <f>+AD9*0.05</f>
        <v>31711.600000000002</v>
      </c>
      <c r="AE10" s="30">
        <f t="shared" si="9"/>
        <v>-20.100000000002183</v>
      </c>
      <c r="AF10" s="61">
        <f t="shared" si="14"/>
        <v>46903.15</v>
      </c>
      <c r="AG10" s="61">
        <f>+AG9*0.05</f>
        <v>48619.5</v>
      </c>
      <c r="AH10" s="30">
        <f t="shared" si="10"/>
        <v>-1716.3499999999985</v>
      </c>
      <c r="AI10" s="61">
        <f t="shared" si="14"/>
        <v>49805.3</v>
      </c>
      <c r="AJ10" s="61">
        <f>+AJ9*0.05</f>
        <v>49805.3</v>
      </c>
      <c r="AK10" s="30">
        <f t="shared" si="11"/>
        <v>0</v>
      </c>
      <c r="AL10" s="61">
        <f t="shared" si="12"/>
        <v>324506.09999999998</v>
      </c>
      <c r="AM10" s="61">
        <f t="shared" si="13"/>
        <v>346657.5</v>
      </c>
      <c r="AN10" s="61">
        <f t="shared" si="13"/>
        <v>-22151.400000000005</v>
      </c>
      <c r="AP10" s="77">
        <v>-280519</v>
      </c>
      <c r="AQ10" s="77">
        <f>+AQ8-AQ9</f>
        <v>245291187.19999999</v>
      </c>
      <c r="AR10" s="77">
        <v>280519</v>
      </c>
      <c r="AS10" s="62" t="s">
        <v>4</v>
      </c>
    </row>
    <row r="11" spans="1:45" x14ac:dyDescent="0.25">
      <c r="A11" s="81" t="s">
        <v>169</v>
      </c>
      <c r="B11" s="61">
        <v>187976</v>
      </c>
      <c r="C11" s="61">
        <v>180898</v>
      </c>
      <c r="D11" s="30">
        <f t="shared" si="0"/>
        <v>7078</v>
      </c>
      <c r="E11" s="61">
        <v>121344</v>
      </c>
      <c r="F11" s="61">
        <v>117645</v>
      </c>
      <c r="G11" s="30">
        <f t="shared" si="1"/>
        <v>3699</v>
      </c>
      <c r="H11" s="61"/>
      <c r="I11" s="61">
        <v>211136</v>
      </c>
      <c r="J11" s="30">
        <f t="shared" si="2"/>
        <v>-211136</v>
      </c>
      <c r="K11" s="61"/>
      <c r="L11" s="61">
        <v>123622</v>
      </c>
      <c r="M11" s="30">
        <f t="shared" si="3"/>
        <v>-123622</v>
      </c>
      <c r="N11" s="61">
        <v>113056</v>
      </c>
      <c r="O11" s="61">
        <v>113058</v>
      </c>
      <c r="P11" s="30">
        <f t="shared" si="4"/>
        <v>-2</v>
      </c>
      <c r="Q11" s="61">
        <v>59360</v>
      </c>
      <c r="R11" s="61">
        <v>59365</v>
      </c>
      <c r="S11" s="30">
        <f t="shared" si="5"/>
        <v>-5</v>
      </c>
      <c r="T11" s="61">
        <v>243407</v>
      </c>
      <c r="U11" s="61">
        <v>277977</v>
      </c>
      <c r="V11" s="30">
        <f t="shared" si="6"/>
        <v>-34570</v>
      </c>
      <c r="W11" s="61">
        <v>96712</v>
      </c>
      <c r="X11" s="61">
        <v>96716</v>
      </c>
      <c r="Y11" s="30">
        <f t="shared" si="7"/>
        <v>-4</v>
      </c>
      <c r="Z11" s="61">
        <v>156712</v>
      </c>
      <c r="AA11" s="61">
        <v>135549</v>
      </c>
      <c r="AB11" s="30">
        <f t="shared" si="8"/>
        <v>21163</v>
      </c>
      <c r="AC11" s="61">
        <v>114834</v>
      </c>
      <c r="AD11" s="61">
        <v>114828</v>
      </c>
      <c r="AE11" s="30">
        <f t="shared" si="9"/>
        <v>6</v>
      </c>
      <c r="AF11" s="61">
        <v>149815</v>
      </c>
      <c r="AG11" s="61">
        <v>149815</v>
      </c>
      <c r="AH11" s="30">
        <f t="shared" si="10"/>
        <v>0</v>
      </c>
      <c r="AI11" s="61">
        <v>424535</v>
      </c>
      <c r="AJ11" s="61">
        <v>405525</v>
      </c>
      <c r="AK11" s="30">
        <f t="shared" si="11"/>
        <v>19010</v>
      </c>
      <c r="AL11" s="61">
        <f t="shared" si="12"/>
        <v>1667751</v>
      </c>
      <c r="AM11" s="61">
        <f t="shared" si="13"/>
        <v>1986134</v>
      </c>
      <c r="AN11" s="61">
        <f t="shared" si="13"/>
        <v>-318383</v>
      </c>
      <c r="AO11" s="85"/>
      <c r="AP11" s="77">
        <v>-8720</v>
      </c>
      <c r="AQ11" s="77">
        <f>+S8</f>
        <v>-4012234</v>
      </c>
      <c r="AR11" s="77">
        <v>8720</v>
      </c>
      <c r="AS11" s="62" t="s">
        <v>20</v>
      </c>
    </row>
    <row r="12" spans="1:45" x14ac:dyDescent="0.25">
      <c r="A12" s="60" t="s">
        <v>172</v>
      </c>
      <c r="B12" s="61">
        <f>+B11*0.125</f>
        <v>23497</v>
      </c>
      <c r="C12" s="61">
        <f>+C11*0.125</f>
        <v>22612.25</v>
      </c>
      <c r="D12" s="30">
        <f t="shared" si="0"/>
        <v>884.75</v>
      </c>
      <c r="E12" s="61">
        <f t="shared" ref="E12:AI12" si="15">+E11*0.125</f>
        <v>15168</v>
      </c>
      <c r="F12" s="61">
        <f t="shared" si="15"/>
        <v>14705.625</v>
      </c>
      <c r="G12" s="30">
        <f t="shared" si="1"/>
        <v>462.375</v>
      </c>
      <c r="H12" s="61">
        <f t="shared" si="15"/>
        <v>0</v>
      </c>
      <c r="I12" s="61">
        <f>+I11*0.125</f>
        <v>26392</v>
      </c>
      <c r="J12" s="30">
        <f t="shared" si="2"/>
        <v>-26392</v>
      </c>
      <c r="K12" s="61">
        <f t="shared" si="15"/>
        <v>0</v>
      </c>
      <c r="L12" s="61">
        <f>+L11*0.125</f>
        <v>15452.75</v>
      </c>
      <c r="M12" s="30">
        <f t="shared" si="3"/>
        <v>-15452.75</v>
      </c>
      <c r="N12" s="61">
        <f t="shared" si="15"/>
        <v>14132</v>
      </c>
      <c r="O12" s="61">
        <f>+O11*0.125</f>
        <v>14132.25</v>
      </c>
      <c r="P12" s="30">
        <f t="shared" si="4"/>
        <v>-0.25</v>
      </c>
      <c r="Q12" s="61">
        <f t="shared" si="15"/>
        <v>7420</v>
      </c>
      <c r="R12" s="61">
        <f>+R11*0.125</f>
        <v>7420.625</v>
      </c>
      <c r="S12" s="30">
        <f t="shared" si="5"/>
        <v>-0.625</v>
      </c>
      <c r="T12" s="61">
        <v>30048</v>
      </c>
      <c r="U12" s="61">
        <f>+U11*0.125</f>
        <v>34747.125</v>
      </c>
      <c r="V12" s="30">
        <f t="shared" si="6"/>
        <v>-4699.125</v>
      </c>
      <c r="W12" s="61">
        <f t="shared" si="15"/>
        <v>12089</v>
      </c>
      <c r="X12" s="61">
        <f>+X11*0.125</f>
        <v>12089.5</v>
      </c>
      <c r="Y12" s="30">
        <f t="shared" si="7"/>
        <v>-0.5</v>
      </c>
      <c r="Z12" s="61">
        <f t="shared" si="15"/>
        <v>19589</v>
      </c>
      <c r="AA12" s="61">
        <f>+AA11*0.125</f>
        <v>16943.625</v>
      </c>
      <c r="AB12" s="30">
        <f t="shared" si="8"/>
        <v>2645.375</v>
      </c>
      <c r="AC12" s="61">
        <f t="shared" si="15"/>
        <v>14354.25</v>
      </c>
      <c r="AD12" s="61">
        <f>+AD11*0.125</f>
        <v>14353.5</v>
      </c>
      <c r="AE12" s="30">
        <f t="shared" si="9"/>
        <v>0.75</v>
      </c>
      <c r="AF12" s="61">
        <f t="shared" si="15"/>
        <v>18726.875</v>
      </c>
      <c r="AG12" s="61">
        <f>+AG11*0.125</f>
        <v>18726.875</v>
      </c>
      <c r="AH12" s="30">
        <f t="shared" si="10"/>
        <v>0</v>
      </c>
      <c r="AI12" s="61">
        <f t="shared" si="15"/>
        <v>53066.875</v>
      </c>
      <c r="AJ12" s="61">
        <f>+AJ11*0.125</f>
        <v>50690.625</v>
      </c>
      <c r="AK12" s="30">
        <f t="shared" si="11"/>
        <v>2376.25</v>
      </c>
      <c r="AL12" s="61">
        <f t="shared" si="12"/>
        <v>208091</v>
      </c>
      <c r="AM12" s="61">
        <f t="shared" si="13"/>
        <v>248266.75</v>
      </c>
      <c r="AN12" s="61">
        <f t="shared" si="13"/>
        <v>-40175.75</v>
      </c>
      <c r="AP12" s="77">
        <f>+AP8+AP9+AP10+AP11</f>
        <v>245291187.19999999</v>
      </c>
      <c r="AQ12" s="77">
        <f>+P8</f>
        <v>-280519</v>
      </c>
      <c r="AR12" s="77">
        <f>+AR8+AR9+AR10+AR11</f>
        <v>260922064</v>
      </c>
    </row>
    <row r="13" spans="1:45" x14ac:dyDescent="0.25">
      <c r="A13" s="60" t="s">
        <v>163</v>
      </c>
      <c r="B13" s="61"/>
      <c r="C13" s="61"/>
      <c r="D13" s="30">
        <f t="shared" si="0"/>
        <v>0</v>
      </c>
      <c r="E13" s="61"/>
      <c r="F13" s="61"/>
      <c r="G13" s="30">
        <f t="shared" si="1"/>
        <v>0</v>
      </c>
      <c r="H13" s="61"/>
      <c r="I13" s="61">
        <v>176449</v>
      </c>
      <c r="J13" s="30">
        <f t="shared" si="2"/>
        <v>-176449</v>
      </c>
      <c r="K13" s="61"/>
      <c r="L13" s="61"/>
      <c r="M13" s="30">
        <f t="shared" si="3"/>
        <v>0</v>
      </c>
      <c r="N13" s="61"/>
      <c r="O13" s="61"/>
      <c r="P13" s="30">
        <f t="shared" si="4"/>
        <v>0</v>
      </c>
      <c r="Q13" s="61"/>
      <c r="R13" s="61">
        <v>0</v>
      </c>
      <c r="S13" s="30">
        <f t="shared" si="5"/>
        <v>0</v>
      </c>
      <c r="T13" s="61"/>
      <c r="U13" s="61"/>
      <c r="V13" s="30">
        <f t="shared" si="6"/>
        <v>0</v>
      </c>
      <c r="W13" s="61">
        <v>58089</v>
      </c>
      <c r="X13" s="61">
        <v>58089</v>
      </c>
      <c r="Y13" s="30">
        <f t="shared" si="7"/>
        <v>0</v>
      </c>
      <c r="Z13" s="61"/>
      <c r="AA13" s="61"/>
      <c r="AB13" s="30">
        <f t="shared" si="8"/>
        <v>0</v>
      </c>
      <c r="AC13" s="61"/>
      <c r="AD13" s="61"/>
      <c r="AE13" s="30">
        <f t="shared" si="9"/>
        <v>0</v>
      </c>
      <c r="AF13" s="61"/>
      <c r="AG13" s="61"/>
      <c r="AH13" s="30">
        <f t="shared" si="10"/>
        <v>0</v>
      </c>
      <c r="AI13" s="61"/>
      <c r="AJ13" s="61"/>
      <c r="AK13" s="30">
        <f t="shared" si="11"/>
        <v>0</v>
      </c>
      <c r="AL13" s="61">
        <f t="shared" si="12"/>
        <v>58089</v>
      </c>
      <c r="AM13" s="61">
        <f t="shared" si="13"/>
        <v>234538</v>
      </c>
      <c r="AN13" s="61">
        <f t="shared" si="13"/>
        <v>-176449</v>
      </c>
      <c r="AP13" s="77">
        <f>+AQ9</f>
        <v>11329403.800000001</v>
      </c>
      <c r="AQ13" s="77">
        <f>AK8</f>
        <v>-8720</v>
      </c>
      <c r="AR13" s="77">
        <f>+AQ9</f>
        <v>11329403.800000001</v>
      </c>
    </row>
    <row r="14" spans="1:45" x14ac:dyDescent="0.25">
      <c r="A14" s="60" t="s">
        <v>175</v>
      </c>
      <c r="B14" s="61"/>
      <c r="C14" s="61"/>
      <c r="D14" s="30">
        <f t="shared" si="0"/>
        <v>0</v>
      </c>
      <c r="E14" s="61"/>
      <c r="F14" s="61"/>
      <c r="G14" s="30">
        <f t="shared" si="1"/>
        <v>0</v>
      </c>
      <c r="H14" s="61"/>
      <c r="I14" s="61">
        <v>8822</v>
      </c>
      <c r="J14" s="30">
        <f t="shared" si="2"/>
        <v>-8822</v>
      </c>
      <c r="K14" s="61"/>
      <c r="L14" s="61"/>
      <c r="M14" s="30">
        <f t="shared" si="3"/>
        <v>0</v>
      </c>
      <c r="N14" s="61"/>
      <c r="O14" s="61"/>
      <c r="P14" s="30">
        <f t="shared" si="4"/>
        <v>0</v>
      </c>
      <c r="Q14" s="61"/>
      <c r="R14" s="61">
        <f>+R13*0.05</f>
        <v>0</v>
      </c>
      <c r="S14" s="30">
        <f t="shared" si="5"/>
        <v>0</v>
      </c>
      <c r="T14" s="61"/>
      <c r="U14" s="61"/>
      <c r="V14" s="30">
        <f t="shared" si="6"/>
        <v>0</v>
      </c>
      <c r="W14" s="61">
        <v>2904</v>
      </c>
      <c r="X14" s="61">
        <f>+X13*0.05</f>
        <v>2904.4500000000003</v>
      </c>
      <c r="Y14" s="30">
        <f t="shared" si="7"/>
        <v>-0.45000000000027285</v>
      </c>
      <c r="Z14" s="61"/>
      <c r="AA14" s="61"/>
      <c r="AB14" s="30">
        <f t="shared" si="8"/>
        <v>0</v>
      </c>
      <c r="AC14" s="61"/>
      <c r="AD14" s="61"/>
      <c r="AE14" s="30">
        <f t="shared" si="9"/>
        <v>0</v>
      </c>
      <c r="AF14" s="61"/>
      <c r="AG14" s="61"/>
      <c r="AH14" s="30">
        <f t="shared" si="10"/>
        <v>0</v>
      </c>
      <c r="AI14" s="61"/>
      <c r="AJ14" s="61"/>
      <c r="AK14" s="30">
        <f t="shared" si="11"/>
        <v>0</v>
      </c>
      <c r="AL14" s="61">
        <f t="shared" si="12"/>
        <v>2904</v>
      </c>
      <c r="AM14" s="61">
        <f t="shared" si="13"/>
        <v>11726.45</v>
      </c>
      <c r="AN14" s="61">
        <f t="shared" si="13"/>
        <v>-8822.4500000000007</v>
      </c>
      <c r="AP14" s="77">
        <f>+AP12+AP13</f>
        <v>256620591</v>
      </c>
      <c r="AQ14" s="77">
        <f>+AQ10-AQ11-AQ12-AQ13</f>
        <v>249592660.19999999</v>
      </c>
      <c r="AR14" s="77">
        <f>+AR12-AR13</f>
        <v>249592660.19999999</v>
      </c>
    </row>
    <row r="15" spans="1:45" x14ac:dyDescent="0.25">
      <c r="A15" s="60" t="s">
        <v>158</v>
      </c>
      <c r="B15" s="61">
        <v>0</v>
      </c>
      <c r="C15" s="61">
        <v>11177</v>
      </c>
      <c r="D15" s="30">
        <f t="shared" si="0"/>
        <v>-11177</v>
      </c>
      <c r="E15" s="61"/>
      <c r="F15" s="61"/>
      <c r="G15" s="30">
        <f t="shared" si="1"/>
        <v>0</v>
      </c>
      <c r="H15" s="61"/>
      <c r="I15" s="61">
        <v>30141</v>
      </c>
      <c r="J15" s="30">
        <f t="shared" si="2"/>
        <v>-30141</v>
      </c>
      <c r="K15" s="61"/>
      <c r="L15" s="61"/>
      <c r="M15" s="30">
        <f t="shared" si="3"/>
        <v>0</v>
      </c>
      <c r="N15" s="61"/>
      <c r="O15" s="61"/>
      <c r="P15" s="30">
        <f t="shared" si="4"/>
        <v>0</v>
      </c>
      <c r="Q15" s="61"/>
      <c r="R15" s="61"/>
      <c r="S15" s="30">
        <f t="shared" si="5"/>
        <v>0</v>
      </c>
      <c r="T15" s="61"/>
      <c r="U15" s="61">
        <v>7814</v>
      </c>
      <c r="V15" s="30">
        <f t="shared" si="6"/>
        <v>-7814</v>
      </c>
      <c r="W15" s="61"/>
      <c r="X15" s="61">
        <v>39891</v>
      </c>
      <c r="Y15" s="30">
        <f t="shared" si="7"/>
        <v>-39891</v>
      </c>
      <c r="Z15" s="61"/>
      <c r="AA15" s="61">
        <v>10752</v>
      </c>
      <c r="AB15" s="30">
        <f t="shared" si="8"/>
        <v>-10752</v>
      </c>
      <c r="AC15" s="61"/>
      <c r="AD15" s="61"/>
      <c r="AE15" s="30">
        <f t="shared" si="9"/>
        <v>0</v>
      </c>
      <c r="AF15" s="61"/>
      <c r="AG15" s="61"/>
      <c r="AH15" s="30">
        <f t="shared" si="10"/>
        <v>0</v>
      </c>
      <c r="AI15" s="61"/>
      <c r="AJ15" s="61">
        <v>333158</v>
      </c>
      <c r="AK15" s="30">
        <f t="shared" si="11"/>
        <v>-333158</v>
      </c>
      <c r="AL15" s="61">
        <f t="shared" si="12"/>
        <v>0</v>
      </c>
      <c r="AM15" s="61">
        <f t="shared" si="13"/>
        <v>432933</v>
      </c>
      <c r="AN15" s="61">
        <f t="shared" si="13"/>
        <v>-432933</v>
      </c>
      <c r="AP15" s="77"/>
      <c r="AQ15" s="77"/>
    </row>
    <row r="16" spans="1:45" x14ac:dyDescent="0.25">
      <c r="A16" s="60" t="s">
        <v>19</v>
      </c>
      <c r="B16" s="61">
        <f>+B10+B12</f>
        <v>44801</v>
      </c>
      <c r="C16" s="61">
        <f>+C10+C12</f>
        <v>40803.449999999997</v>
      </c>
      <c r="D16" s="30">
        <f t="shared" si="0"/>
        <v>3997.5500000000029</v>
      </c>
      <c r="E16" s="61">
        <f>+E10+E12</f>
        <v>24567</v>
      </c>
      <c r="F16" s="61">
        <f>+F10+F12</f>
        <v>24106.724999999999</v>
      </c>
      <c r="G16" s="30">
        <f t="shared" si="1"/>
        <v>460.27500000000146</v>
      </c>
      <c r="H16" s="61">
        <f t="shared" ref="H16:AJ16" si="16">+H10+H12</f>
        <v>9794.7000000000007</v>
      </c>
      <c r="I16" s="61">
        <f>+I10+I12++I14</f>
        <v>59160.2</v>
      </c>
      <c r="J16" s="30">
        <f t="shared" si="2"/>
        <v>-49365.5</v>
      </c>
      <c r="K16" s="61">
        <f t="shared" si="16"/>
        <v>8839</v>
      </c>
      <c r="L16" s="61">
        <f t="shared" si="16"/>
        <v>37033.65</v>
      </c>
      <c r="M16" s="30">
        <f t="shared" si="3"/>
        <v>-28194.65</v>
      </c>
      <c r="N16" s="61">
        <f t="shared" si="16"/>
        <v>40465</v>
      </c>
      <c r="O16" s="61">
        <f t="shared" si="16"/>
        <v>40466.600000000006</v>
      </c>
      <c r="P16" s="30">
        <f t="shared" si="4"/>
        <v>-1.6000000000058208</v>
      </c>
      <c r="Q16" s="61">
        <f t="shared" si="16"/>
        <v>36330.350000000006</v>
      </c>
      <c r="R16" s="61">
        <f t="shared" si="16"/>
        <v>37391.324999999997</v>
      </c>
      <c r="S16" s="30">
        <f t="shared" si="5"/>
        <v>-1060.9749999999913</v>
      </c>
      <c r="T16" s="61">
        <f t="shared" si="16"/>
        <v>68080</v>
      </c>
      <c r="U16" s="61">
        <f t="shared" si="16"/>
        <v>62936.525000000001</v>
      </c>
      <c r="V16" s="30">
        <f t="shared" si="6"/>
        <v>5143.4749999999985</v>
      </c>
      <c r="W16" s="61">
        <f t="shared" si="16"/>
        <v>36799.65</v>
      </c>
      <c r="X16" s="61">
        <f>+X10+X12+X14</f>
        <v>42615.199999999997</v>
      </c>
      <c r="Y16" s="30">
        <f t="shared" si="7"/>
        <v>-5815.5499999999956</v>
      </c>
      <c r="Z16" s="61">
        <f t="shared" si="16"/>
        <v>48372.45</v>
      </c>
      <c r="AA16" s="61">
        <f t="shared" si="16"/>
        <v>48229.625</v>
      </c>
      <c r="AB16" s="30">
        <f t="shared" si="8"/>
        <v>142.82499999999709</v>
      </c>
      <c r="AC16" s="61">
        <f t="shared" si="16"/>
        <v>46045.75</v>
      </c>
      <c r="AD16" s="61">
        <f t="shared" si="16"/>
        <v>46065.100000000006</v>
      </c>
      <c r="AE16" s="30">
        <f t="shared" si="9"/>
        <v>-19.350000000005821</v>
      </c>
      <c r="AF16" s="61">
        <f t="shared" si="16"/>
        <v>65630.024999999994</v>
      </c>
      <c r="AG16" s="61">
        <f t="shared" si="16"/>
        <v>67346.375</v>
      </c>
      <c r="AH16" s="30">
        <f t="shared" si="10"/>
        <v>-1716.3500000000058</v>
      </c>
      <c r="AI16" s="61">
        <f t="shared" si="16"/>
        <v>102872.175</v>
      </c>
      <c r="AJ16" s="61">
        <f t="shared" si="16"/>
        <v>100495.925</v>
      </c>
      <c r="AK16" s="30">
        <f t="shared" si="11"/>
        <v>2376.25</v>
      </c>
      <c r="AL16" s="61">
        <f t="shared" si="12"/>
        <v>532597.10000000009</v>
      </c>
      <c r="AM16" s="61">
        <f t="shared" si="13"/>
        <v>606650.70000000007</v>
      </c>
      <c r="AN16" s="61">
        <f t="shared" si="13"/>
        <v>-74053.599999999991</v>
      </c>
      <c r="AP16" s="77"/>
    </row>
    <row r="17" spans="1:42" x14ac:dyDescent="0.25">
      <c r="A17" s="80" t="s">
        <v>166</v>
      </c>
      <c r="B17" s="61">
        <v>17728967</v>
      </c>
      <c r="C17" s="61">
        <f>17264189+464778</f>
        <v>17728967</v>
      </c>
      <c r="D17" s="30">
        <f t="shared" si="0"/>
        <v>0</v>
      </c>
      <c r="E17" s="61">
        <v>14490569</v>
      </c>
      <c r="F17" s="61">
        <v>14490569</v>
      </c>
      <c r="G17" s="30">
        <f t="shared" si="1"/>
        <v>0</v>
      </c>
      <c r="H17" s="61">
        <v>19801719</v>
      </c>
      <c r="I17" s="61">
        <v>19801718</v>
      </c>
      <c r="J17" s="30">
        <f t="shared" si="2"/>
        <v>1</v>
      </c>
      <c r="K17" s="61">
        <v>15247693</v>
      </c>
      <c r="L17" s="61">
        <v>15247693</v>
      </c>
      <c r="M17" s="30">
        <f t="shared" si="3"/>
        <v>0</v>
      </c>
      <c r="N17" s="61">
        <v>16752395</v>
      </c>
      <c r="O17" s="61">
        <v>16746572</v>
      </c>
      <c r="P17" s="30">
        <f t="shared" si="4"/>
        <v>5823</v>
      </c>
      <c r="Q17" s="61">
        <v>24772077</v>
      </c>
      <c r="R17" s="61">
        <v>24764420</v>
      </c>
      <c r="S17" s="30">
        <f t="shared" si="5"/>
        <v>7657</v>
      </c>
      <c r="T17" s="61">
        <v>20617802</v>
      </c>
      <c r="U17" s="61">
        <v>20606862</v>
      </c>
      <c r="V17" s="30">
        <f t="shared" si="6"/>
        <v>10940</v>
      </c>
      <c r="W17" s="61">
        <v>27741590</v>
      </c>
      <c r="X17" s="61">
        <v>27799678</v>
      </c>
      <c r="Y17" s="30">
        <f t="shared" si="7"/>
        <v>-58088</v>
      </c>
      <c r="Z17" s="61">
        <v>23076401</v>
      </c>
      <c r="AA17" s="61">
        <v>23076401</v>
      </c>
      <c r="AB17" s="30">
        <f t="shared" si="8"/>
        <v>0</v>
      </c>
      <c r="AC17" s="61">
        <v>25021833</v>
      </c>
      <c r="AD17" s="61">
        <v>25021833</v>
      </c>
      <c r="AE17" s="30">
        <f t="shared" si="9"/>
        <v>0</v>
      </c>
      <c r="AF17" s="61">
        <v>28276190</v>
      </c>
      <c r="AG17" s="61">
        <v>28274985</v>
      </c>
      <c r="AH17" s="30">
        <f t="shared" si="10"/>
        <v>1205</v>
      </c>
      <c r="AI17" s="61">
        <v>29756288</v>
      </c>
      <c r="AJ17" s="61">
        <v>29756204</v>
      </c>
      <c r="AK17" s="30">
        <f t="shared" si="11"/>
        <v>84</v>
      </c>
      <c r="AL17" s="61">
        <f t="shared" si="12"/>
        <v>263283524</v>
      </c>
      <c r="AM17" s="61">
        <f t="shared" si="13"/>
        <v>263315902</v>
      </c>
      <c r="AN17" s="61">
        <f t="shared" si="13"/>
        <v>-32378</v>
      </c>
      <c r="AP17" s="77"/>
    </row>
    <row r="18" spans="1:42" x14ac:dyDescent="0.25">
      <c r="A18" s="80" t="s">
        <v>17</v>
      </c>
      <c r="B18" s="61">
        <f>+B17*0.05</f>
        <v>886448.35000000009</v>
      </c>
      <c r="C18" s="61">
        <f>+C17*0.05</f>
        <v>886448.35000000009</v>
      </c>
      <c r="D18" s="30">
        <f t="shared" si="0"/>
        <v>0</v>
      </c>
      <c r="E18" s="61">
        <f t="shared" ref="E18:AI18" si="17">+E17*0.05</f>
        <v>724528.45000000007</v>
      </c>
      <c r="F18" s="61">
        <f t="shared" si="17"/>
        <v>724528.45000000007</v>
      </c>
      <c r="G18" s="30">
        <f t="shared" si="1"/>
        <v>0</v>
      </c>
      <c r="H18" s="61">
        <f t="shared" si="17"/>
        <v>990085.95000000007</v>
      </c>
      <c r="I18" s="61">
        <f t="shared" si="17"/>
        <v>990085.9</v>
      </c>
      <c r="J18" s="30">
        <f t="shared" si="2"/>
        <v>5.0000000046566129E-2</v>
      </c>
      <c r="K18" s="61">
        <f t="shared" si="17"/>
        <v>762384.65</v>
      </c>
      <c r="L18" s="61">
        <f>+L17*0.05</f>
        <v>762384.65</v>
      </c>
      <c r="M18" s="30">
        <f t="shared" si="3"/>
        <v>0</v>
      </c>
      <c r="N18" s="61">
        <f t="shared" si="17"/>
        <v>837619.75</v>
      </c>
      <c r="O18" s="61">
        <f>+O17*0.05</f>
        <v>837328.60000000009</v>
      </c>
      <c r="P18" s="30">
        <f t="shared" si="4"/>
        <v>291.14999999990687</v>
      </c>
      <c r="Q18" s="61">
        <f t="shared" si="17"/>
        <v>1238603.8500000001</v>
      </c>
      <c r="R18" s="61">
        <f>+R17*0.05</f>
        <v>1238221</v>
      </c>
      <c r="S18" s="30">
        <f t="shared" si="5"/>
        <v>382.85000000009313</v>
      </c>
      <c r="T18" s="61">
        <f t="shared" si="17"/>
        <v>1030890.1000000001</v>
      </c>
      <c r="U18" s="61">
        <f>+U17*0.05</f>
        <v>1030343.1000000001</v>
      </c>
      <c r="V18" s="30">
        <f t="shared" si="6"/>
        <v>547</v>
      </c>
      <c r="W18" s="61">
        <f t="shared" si="17"/>
        <v>1387079.5</v>
      </c>
      <c r="X18" s="61">
        <f>+X17*0.05</f>
        <v>1389983.9000000001</v>
      </c>
      <c r="Y18" s="30">
        <f t="shared" si="7"/>
        <v>-2904.4000000001397</v>
      </c>
      <c r="Z18" s="61">
        <f t="shared" si="17"/>
        <v>1153820.05</v>
      </c>
      <c r="AA18" s="61">
        <f>+AA17*0.05</f>
        <v>1153820.05</v>
      </c>
      <c r="AB18" s="30">
        <f t="shared" si="8"/>
        <v>0</v>
      </c>
      <c r="AC18" s="61">
        <f t="shared" si="17"/>
        <v>1251091.6500000001</v>
      </c>
      <c r="AD18" s="61">
        <f>+AD17*0.05</f>
        <v>1251091.6500000001</v>
      </c>
      <c r="AE18" s="30">
        <f t="shared" si="9"/>
        <v>0</v>
      </c>
      <c r="AF18" s="61">
        <f t="shared" si="17"/>
        <v>1413809.5</v>
      </c>
      <c r="AG18" s="61">
        <f>+AG17*0.05</f>
        <v>1413749.25</v>
      </c>
      <c r="AH18" s="30">
        <f t="shared" si="10"/>
        <v>60.25</v>
      </c>
      <c r="AI18" s="61">
        <f t="shared" si="17"/>
        <v>1487814.4000000001</v>
      </c>
      <c r="AJ18" s="61">
        <f>+AJ17*0.05</f>
        <v>1487810.2000000002</v>
      </c>
      <c r="AK18" s="30">
        <f t="shared" si="11"/>
        <v>4.1999999999534339</v>
      </c>
      <c r="AL18" s="61">
        <f t="shared" si="12"/>
        <v>13164176.200000001</v>
      </c>
      <c r="AM18" s="61">
        <f t="shared" si="13"/>
        <v>13165795.100000001</v>
      </c>
      <c r="AN18" s="61">
        <f t="shared" si="13"/>
        <v>-1618.9000000001397</v>
      </c>
      <c r="AP18" s="77"/>
    </row>
    <row r="19" spans="1:42" x14ac:dyDescent="0.25">
      <c r="A19" s="81" t="s">
        <v>167</v>
      </c>
      <c r="B19" s="61">
        <v>19371</v>
      </c>
      <c r="C19" s="61">
        <v>20125</v>
      </c>
      <c r="D19" s="30">
        <f t="shared" si="0"/>
        <v>-754</v>
      </c>
      <c r="E19" s="61">
        <v>15743</v>
      </c>
      <c r="F19" s="61">
        <v>15743</v>
      </c>
      <c r="G19" s="30">
        <f t="shared" si="1"/>
        <v>0</v>
      </c>
      <c r="H19" s="61">
        <v>15633</v>
      </c>
      <c r="I19" s="61">
        <v>15633</v>
      </c>
      <c r="J19" s="30">
        <f t="shared" si="2"/>
        <v>0</v>
      </c>
      <c r="K19" s="61">
        <v>312</v>
      </c>
      <c r="L19" s="61">
        <v>667</v>
      </c>
      <c r="M19" s="30">
        <f t="shared" si="3"/>
        <v>-355</v>
      </c>
      <c r="N19" s="61">
        <v>22764</v>
      </c>
      <c r="O19" s="61">
        <v>22764</v>
      </c>
      <c r="P19" s="30">
        <f t="shared" si="4"/>
        <v>0</v>
      </c>
      <c r="Q19" s="61">
        <v>46833</v>
      </c>
      <c r="R19" s="61">
        <v>46833</v>
      </c>
      <c r="S19" s="30">
        <f t="shared" si="5"/>
        <v>0</v>
      </c>
      <c r="T19" s="61">
        <v>10436</v>
      </c>
      <c r="U19" s="61">
        <v>10435</v>
      </c>
      <c r="V19" s="30">
        <f t="shared" si="6"/>
        <v>1</v>
      </c>
      <c r="W19" s="61">
        <v>16478</v>
      </c>
      <c r="X19" s="61">
        <v>16479</v>
      </c>
      <c r="Y19" s="30">
        <f t="shared" si="7"/>
        <v>-1</v>
      </c>
      <c r="Z19" s="61">
        <v>16462</v>
      </c>
      <c r="AA19" s="61">
        <v>16462</v>
      </c>
      <c r="AB19" s="30">
        <f t="shared" si="8"/>
        <v>0</v>
      </c>
      <c r="AC19" s="61">
        <v>12215</v>
      </c>
      <c r="AD19" s="61">
        <v>12215</v>
      </c>
      <c r="AE19" s="30">
        <f t="shared" si="9"/>
        <v>0</v>
      </c>
      <c r="AF19" s="61">
        <v>43398</v>
      </c>
      <c r="AG19" s="61">
        <v>43398</v>
      </c>
      <c r="AH19" s="30">
        <f t="shared" si="10"/>
        <v>0</v>
      </c>
      <c r="AI19" s="61">
        <v>19319</v>
      </c>
      <c r="AJ19" s="61">
        <v>19319</v>
      </c>
      <c r="AK19" s="30">
        <f t="shared" si="11"/>
        <v>0</v>
      </c>
      <c r="AL19" s="61">
        <f t="shared" si="12"/>
        <v>238964</v>
      </c>
      <c r="AM19" s="61">
        <f t="shared" si="13"/>
        <v>240073</v>
      </c>
      <c r="AN19" s="61">
        <f t="shared" si="13"/>
        <v>-1109</v>
      </c>
      <c r="AP19" s="77"/>
    </row>
    <row r="20" spans="1:42" x14ac:dyDescent="0.25">
      <c r="A20" s="60" t="s">
        <v>18</v>
      </c>
      <c r="B20" s="61">
        <f>+B19*0.125</f>
        <v>2421.375</v>
      </c>
      <c r="C20" s="61">
        <f>+C19*0.125</f>
        <v>2515.625</v>
      </c>
      <c r="D20" s="30">
        <f t="shared" si="0"/>
        <v>-94.25</v>
      </c>
      <c r="E20" s="61">
        <f t="shared" ref="E20:AI20" si="18">+E19*0.125</f>
        <v>1967.875</v>
      </c>
      <c r="F20" s="61">
        <f t="shared" ref="F20" si="19">+F19*0.125</f>
        <v>1967.875</v>
      </c>
      <c r="G20" s="30">
        <f t="shared" si="1"/>
        <v>0</v>
      </c>
      <c r="H20" s="61">
        <f t="shared" si="18"/>
        <v>1954.125</v>
      </c>
      <c r="I20" s="61">
        <v>1954</v>
      </c>
      <c r="J20" s="30">
        <f t="shared" si="2"/>
        <v>0.125</v>
      </c>
      <c r="K20" s="61">
        <f t="shared" si="18"/>
        <v>39</v>
      </c>
      <c r="L20" s="61">
        <f>+L19*0.125</f>
        <v>83.375</v>
      </c>
      <c r="M20" s="30">
        <f t="shared" si="3"/>
        <v>-44.375</v>
      </c>
      <c r="N20" s="61">
        <f t="shared" si="18"/>
        <v>2845.5</v>
      </c>
      <c r="O20" s="61">
        <f>+O19*0.125</f>
        <v>2845.5</v>
      </c>
      <c r="P20" s="30">
        <f t="shared" si="4"/>
        <v>0</v>
      </c>
      <c r="Q20" s="61">
        <f t="shared" si="18"/>
        <v>5854.125</v>
      </c>
      <c r="R20" s="61">
        <f>+R19*0.125</f>
        <v>5854.125</v>
      </c>
      <c r="S20" s="30">
        <f t="shared" si="5"/>
        <v>0</v>
      </c>
      <c r="T20" s="61">
        <f t="shared" si="18"/>
        <v>1304.5</v>
      </c>
      <c r="U20" s="61">
        <f>+U19*0.125</f>
        <v>1304.375</v>
      </c>
      <c r="V20" s="30">
        <f t="shared" si="6"/>
        <v>0.125</v>
      </c>
      <c r="W20" s="61">
        <f t="shared" si="18"/>
        <v>2059.75</v>
      </c>
      <c r="X20" s="61">
        <f>+X19*0.125</f>
        <v>2059.875</v>
      </c>
      <c r="Y20" s="30">
        <f t="shared" si="7"/>
        <v>-0.125</v>
      </c>
      <c r="Z20" s="61">
        <f t="shared" si="18"/>
        <v>2057.75</v>
      </c>
      <c r="AA20" s="61">
        <f>+AA19*0.125</f>
        <v>2057.75</v>
      </c>
      <c r="AB20" s="30">
        <f t="shared" si="8"/>
        <v>0</v>
      </c>
      <c r="AC20" s="61">
        <f t="shared" si="18"/>
        <v>1526.875</v>
      </c>
      <c r="AD20" s="61">
        <f>+AD19*0.125</f>
        <v>1526.875</v>
      </c>
      <c r="AE20" s="30">
        <f t="shared" si="9"/>
        <v>0</v>
      </c>
      <c r="AF20" s="61">
        <f t="shared" si="18"/>
        <v>5424.75</v>
      </c>
      <c r="AG20" s="61">
        <f>+AG19*0.125</f>
        <v>5424.75</v>
      </c>
      <c r="AH20" s="30">
        <f t="shared" si="10"/>
        <v>0</v>
      </c>
      <c r="AI20" s="61">
        <f t="shared" si="18"/>
        <v>2414.875</v>
      </c>
      <c r="AJ20" s="61">
        <f>+AJ19*0.125</f>
        <v>2414.875</v>
      </c>
      <c r="AK20" s="30">
        <f t="shared" si="11"/>
        <v>0</v>
      </c>
      <c r="AL20" s="61">
        <f t="shared" si="12"/>
        <v>29870.5</v>
      </c>
      <c r="AM20" s="61">
        <f t="shared" si="13"/>
        <v>30009</v>
      </c>
      <c r="AN20" s="61">
        <f t="shared" si="13"/>
        <v>-138.5</v>
      </c>
      <c r="AP20" s="77"/>
    </row>
    <row r="21" spans="1:42" x14ac:dyDescent="0.25">
      <c r="A21" s="60" t="s">
        <v>164</v>
      </c>
      <c r="B21" s="61"/>
      <c r="C21" s="61"/>
      <c r="D21" s="30">
        <f t="shared" si="0"/>
        <v>0</v>
      </c>
      <c r="E21" s="61">
        <v>8180</v>
      </c>
      <c r="F21" s="61">
        <v>4944</v>
      </c>
      <c r="G21" s="30">
        <f t="shared" si="1"/>
        <v>3236</v>
      </c>
      <c r="H21" s="61"/>
      <c r="I21" s="61"/>
      <c r="J21" s="30">
        <f t="shared" si="2"/>
        <v>0</v>
      </c>
      <c r="K21" s="61"/>
      <c r="L21" s="61">
        <v>1203</v>
      </c>
      <c r="M21" s="30">
        <f t="shared" si="3"/>
        <v>-1203</v>
      </c>
      <c r="N21" s="61"/>
      <c r="O21" s="61"/>
      <c r="P21" s="30">
        <f t="shared" si="4"/>
        <v>0</v>
      </c>
      <c r="Q21" s="61"/>
      <c r="R21" s="61">
        <v>7775</v>
      </c>
      <c r="S21" s="30">
        <f t="shared" si="5"/>
        <v>-7775</v>
      </c>
      <c r="T21" s="61"/>
      <c r="U21" s="61">
        <v>140</v>
      </c>
      <c r="V21" s="30">
        <f t="shared" si="6"/>
        <v>-140</v>
      </c>
      <c r="W21" s="61"/>
      <c r="X21" s="61">
        <v>0</v>
      </c>
      <c r="Y21" s="30">
        <f t="shared" si="7"/>
        <v>0</v>
      </c>
      <c r="Z21" s="61"/>
      <c r="AA21" s="61"/>
      <c r="AB21" s="30">
        <f t="shared" si="8"/>
        <v>0</v>
      </c>
      <c r="AC21" s="61"/>
      <c r="AD21" s="61">
        <v>1890</v>
      </c>
      <c r="AE21" s="30">
        <f t="shared" si="9"/>
        <v>-1890</v>
      </c>
      <c r="AF21" s="61"/>
      <c r="AG21" s="61"/>
      <c r="AH21" s="30">
        <f t="shared" si="10"/>
        <v>0</v>
      </c>
      <c r="AI21" s="61"/>
      <c r="AJ21" s="61">
        <v>760</v>
      </c>
      <c r="AK21" s="30">
        <f t="shared" si="11"/>
        <v>-760</v>
      </c>
      <c r="AL21" s="61">
        <f t="shared" si="12"/>
        <v>8180</v>
      </c>
      <c r="AM21" s="61">
        <f t="shared" si="13"/>
        <v>16712</v>
      </c>
      <c r="AN21" s="61">
        <f t="shared" si="13"/>
        <v>-8532</v>
      </c>
      <c r="AP21" s="77"/>
    </row>
    <row r="22" spans="1:42" x14ac:dyDescent="0.25">
      <c r="A22" s="60" t="s">
        <v>63</v>
      </c>
      <c r="B22" s="61"/>
      <c r="C22" s="61"/>
      <c r="D22" s="30">
        <f t="shared" si="0"/>
        <v>0</v>
      </c>
      <c r="E22" s="61"/>
      <c r="F22" s="61">
        <v>3651</v>
      </c>
      <c r="G22" s="30">
        <f t="shared" si="1"/>
        <v>-3651</v>
      </c>
      <c r="H22" s="61"/>
      <c r="I22" s="61">
        <v>3401</v>
      </c>
      <c r="J22" s="30">
        <f t="shared" si="2"/>
        <v>-3401</v>
      </c>
      <c r="K22" s="61"/>
      <c r="L22" s="61">
        <v>6793</v>
      </c>
      <c r="M22" s="30">
        <f t="shared" si="3"/>
        <v>-6793</v>
      </c>
      <c r="N22" s="61"/>
      <c r="O22" s="61">
        <v>5819</v>
      </c>
      <c r="P22" s="30">
        <f t="shared" si="4"/>
        <v>-5819</v>
      </c>
      <c r="Q22" s="61"/>
      <c r="R22" s="61">
        <v>7658</v>
      </c>
      <c r="S22" s="30">
        <f t="shared" si="5"/>
        <v>-7658</v>
      </c>
      <c r="T22" s="61"/>
      <c r="U22" s="61">
        <v>10937</v>
      </c>
      <c r="V22" s="30">
        <f t="shared" si="6"/>
        <v>-10937</v>
      </c>
      <c r="W22" s="61"/>
      <c r="X22" s="61">
        <v>5418</v>
      </c>
      <c r="Y22" s="30">
        <f t="shared" si="7"/>
        <v>-5418</v>
      </c>
      <c r="Z22" s="61"/>
      <c r="AA22" s="61">
        <v>12329</v>
      </c>
      <c r="AB22" s="30">
        <f t="shared" si="8"/>
        <v>-12329</v>
      </c>
      <c r="AC22" s="61"/>
      <c r="AD22" s="61">
        <v>14573</v>
      </c>
      <c r="AE22" s="30">
        <f t="shared" si="9"/>
        <v>-14573</v>
      </c>
      <c r="AF22" s="61"/>
      <c r="AG22" s="61">
        <v>8740</v>
      </c>
      <c r="AH22" s="30">
        <f t="shared" si="10"/>
        <v>-8740</v>
      </c>
      <c r="AI22" s="61"/>
      <c r="AJ22" s="61">
        <v>15899</v>
      </c>
      <c r="AK22" s="30">
        <f t="shared" si="11"/>
        <v>-15899</v>
      </c>
      <c r="AL22" s="61">
        <f t="shared" si="12"/>
        <v>0</v>
      </c>
      <c r="AM22" s="61">
        <f t="shared" si="13"/>
        <v>95218</v>
      </c>
      <c r="AN22" s="61">
        <f t="shared" si="13"/>
        <v>-95218</v>
      </c>
      <c r="AP22" s="77"/>
    </row>
    <row r="23" spans="1:42" x14ac:dyDescent="0.25">
      <c r="A23" s="60" t="s">
        <v>21</v>
      </c>
      <c r="B23" s="61">
        <f>+B18+B20</f>
        <v>888869.72500000009</v>
      </c>
      <c r="C23" s="61">
        <f>+C18+C20</f>
        <v>888963.97500000009</v>
      </c>
      <c r="D23" s="30">
        <f t="shared" si="0"/>
        <v>-94.25</v>
      </c>
      <c r="E23" s="61">
        <f>+E18+E20</f>
        <v>726496.32500000007</v>
      </c>
      <c r="F23" s="61">
        <f>+F18+F20</f>
        <v>726496.32500000007</v>
      </c>
      <c r="G23" s="30">
        <f t="shared" si="1"/>
        <v>0</v>
      </c>
      <c r="H23" s="61">
        <f>+H18+H20</f>
        <v>992040.07500000007</v>
      </c>
      <c r="I23" s="61">
        <f>+I18+I20</f>
        <v>992039.9</v>
      </c>
      <c r="J23" s="30">
        <f t="shared" si="2"/>
        <v>0.17500000004656613</v>
      </c>
      <c r="K23" s="61">
        <f>+K18+K20</f>
        <v>762423.65</v>
      </c>
      <c r="L23" s="61">
        <f>+L18+L20</f>
        <v>762468.02500000002</v>
      </c>
      <c r="M23" s="30">
        <f t="shared" si="3"/>
        <v>-44.375</v>
      </c>
      <c r="N23" s="61">
        <f t="shared" ref="N23:AJ23" si="20">+N18+N20</f>
        <v>840465.25</v>
      </c>
      <c r="O23" s="61">
        <f t="shared" si="20"/>
        <v>840174.10000000009</v>
      </c>
      <c r="P23" s="30">
        <f t="shared" si="4"/>
        <v>291.14999999990687</v>
      </c>
      <c r="Q23" s="61">
        <f t="shared" si="20"/>
        <v>1244457.9750000001</v>
      </c>
      <c r="R23" s="61">
        <f t="shared" si="20"/>
        <v>1244075.125</v>
      </c>
      <c r="S23" s="30">
        <f t="shared" si="5"/>
        <v>382.85000000009313</v>
      </c>
      <c r="T23" s="61">
        <f t="shared" si="20"/>
        <v>1032194.6000000001</v>
      </c>
      <c r="U23" s="61">
        <f t="shared" si="20"/>
        <v>1031647.4750000001</v>
      </c>
      <c r="V23" s="30">
        <f t="shared" si="6"/>
        <v>547.125</v>
      </c>
      <c r="W23" s="61">
        <f t="shared" si="20"/>
        <v>1389139.25</v>
      </c>
      <c r="X23" s="61">
        <f t="shared" si="20"/>
        <v>1392043.7750000001</v>
      </c>
      <c r="Y23" s="30">
        <f t="shared" si="7"/>
        <v>-2904.5250000001397</v>
      </c>
      <c r="Z23" s="61">
        <f t="shared" si="20"/>
        <v>1155877.8</v>
      </c>
      <c r="AA23" s="61">
        <f t="shared" si="20"/>
        <v>1155877.8</v>
      </c>
      <c r="AB23" s="30">
        <f t="shared" si="8"/>
        <v>0</v>
      </c>
      <c r="AC23" s="61">
        <f t="shared" si="20"/>
        <v>1252618.5250000001</v>
      </c>
      <c r="AD23" s="61">
        <f t="shared" si="20"/>
        <v>1252618.5250000001</v>
      </c>
      <c r="AE23" s="30">
        <f t="shared" si="9"/>
        <v>0</v>
      </c>
      <c r="AF23" s="61">
        <f t="shared" si="20"/>
        <v>1419234.25</v>
      </c>
      <c r="AG23" s="61">
        <f t="shared" si="20"/>
        <v>1419174</v>
      </c>
      <c r="AH23" s="30">
        <f t="shared" si="10"/>
        <v>60.25</v>
      </c>
      <c r="AI23" s="61">
        <f t="shared" si="20"/>
        <v>1490229.2750000001</v>
      </c>
      <c r="AJ23" s="61">
        <f t="shared" si="20"/>
        <v>1490225.0750000002</v>
      </c>
      <c r="AK23" s="30">
        <f t="shared" si="11"/>
        <v>4.1999999999534339</v>
      </c>
      <c r="AL23" s="61">
        <f t="shared" si="12"/>
        <v>13194046.700000001</v>
      </c>
      <c r="AM23" s="61">
        <f t="shared" si="13"/>
        <v>13195804.100000001</v>
      </c>
      <c r="AN23" s="61">
        <f t="shared" si="13"/>
        <v>-1757.4000000001397</v>
      </c>
    </row>
    <row r="24" spans="1:42" x14ac:dyDescent="0.25">
      <c r="A24" s="60"/>
      <c r="B24" s="61"/>
      <c r="C24" s="61"/>
      <c r="D24" s="30">
        <f t="shared" si="0"/>
        <v>0</v>
      </c>
      <c r="E24" s="61"/>
      <c r="F24" s="61"/>
      <c r="G24" s="30">
        <f t="shared" si="1"/>
        <v>0</v>
      </c>
      <c r="H24" s="61"/>
      <c r="I24" s="61"/>
      <c r="J24" s="30">
        <f t="shared" si="2"/>
        <v>0</v>
      </c>
      <c r="K24" s="61"/>
      <c r="L24" s="61"/>
      <c r="M24" s="30">
        <f t="shared" si="3"/>
        <v>0</v>
      </c>
      <c r="N24" s="61"/>
      <c r="O24" s="61"/>
      <c r="P24" s="30">
        <f t="shared" si="4"/>
        <v>0</v>
      </c>
      <c r="Q24" s="61"/>
      <c r="R24" s="61"/>
      <c r="S24" s="30">
        <f t="shared" si="5"/>
        <v>0</v>
      </c>
      <c r="T24" s="61"/>
      <c r="U24" s="61"/>
      <c r="V24" s="30">
        <f t="shared" si="6"/>
        <v>0</v>
      </c>
      <c r="W24" s="61"/>
      <c r="X24" s="61"/>
      <c r="Y24" s="30">
        <f t="shared" si="7"/>
        <v>0</v>
      </c>
      <c r="Z24" s="61"/>
      <c r="AA24" s="61"/>
      <c r="AB24" s="30">
        <f t="shared" si="8"/>
        <v>0</v>
      </c>
      <c r="AC24" s="61"/>
      <c r="AD24" s="61"/>
      <c r="AE24" s="30">
        <f t="shared" si="9"/>
        <v>0</v>
      </c>
      <c r="AF24" s="61"/>
      <c r="AG24" s="61"/>
      <c r="AH24" s="30">
        <f t="shared" si="10"/>
        <v>0</v>
      </c>
      <c r="AI24" s="61"/>
      <c r="AJ24" s="61"/>
      <c r="AK24" s="30">
        <f t="shared" si="11"/>
        <v>0</v>
      </c>
      <c r="AL24" s="61"/>
      <c r="AM24" s="61"/>
      <c r="AN24" s="61"/>
    </row>
    <row r="25" spans="1:42" x14ac:dyDescent="0.25">
      <c r="A25" s="60" t="s">
        <v>160</v>
      </c>
      <c r="B25" s="61"/>
      <c r="C25" s="61">
        <f>+B28</f>
        <v>60330.274999999907</v>
      </c>
      <c r="D25" s="30">
        <f t="shared" si="0"/>
        <v>-60330.274999999907</v>
      </c>
      <c r="E25" s="61"/>
      <c r="F25" s="61">
        <f>+C28</f>
        <v>116568.74999999977</v>
      </c>
      <c r="G25" s="30">
        <f t="shared" si="1"/>
        <v>-116568.74999999977</v>
      </c>
      <c r="H25" s="61"/>
      <c r="I25" s="61">
        <f>+F28</f>
        <v>144366.14999999967</v>
      </c>
      <c r="J25" s="30">
        <f t="shared" si="2"/>
        <v>-144366.14999999967</v>
      </c>
      <c r="K25" s="61"/>
      <c r="L25" s="61">
        <f>+I28</f>
        <v>202554.4499999996</v>
      </c>
      <c r="M25" s="30">
        <f t="shared" si="3"/>
        <v>-202554.4499999996</v>
      </c>
      <c r="N25" s="61"/>
      <c r="O25" s="61">
        <f>+L28+N28</f>
        <v>256458.8249999996</v>
      </c>
      <c r="P25" s="30">
        <f t="shared" si="4"/>
        <v>-256458.8249999996</v>
      </c>
      <c r="Q25" s="61">
        <v>8097</v>
      </c>
      <c r="R25" s="61">
        <f>+O28</f>
        <v>282015.3249999996</v>
      </c>
      <c r="S25" s="30">
        <f t="shared" si="5"/>
        <v>-273918.3249999996</v>
      </c>
      <c r="T25" s="61">
        <v>3729</v>
      </c>
      <c r="U25" s="61">
        <f>+R28</f>
        <v>283091.52499999967</v>
      </c>
      <c r="V25" s="30">
        <f t="shared" si="6"/>
        <v>-279362.52499999967</v>
      </c>
      <c r="W25" s="61"/>
      <c r="X25" s="61">
        <f>+U28</f>
        <v>277947.5749999996</v>
      </c>
      <c r="Y25" s="30">
        <f t="shared" si="7"/>
        <v>-277947.5749999996</v>
      </c>
      <c r="Z25" s="61"/>
      <c r="AA25" s="61">
        <f>+X28</f>
        <v>285763.44999999949</v>
      </c>
      <c r="AB25" s="30">
        <f t="shared" si="8"/>
        <v>-285763.44999999949</v>
      </c>
      <c r="AC25" s="61"/>
      <c r="AD25" s="61">
        <f>+AA28</f>
        <v>285621.27499999944</v>
      </c>
      <c r="AE25" s="30">
        <f t="shared" si="9"/>
        <v>-285621.27499999944</v>
      </c>
      <c r="AF25" s="61"/>
      <c r="AG25" s="61">
        <f>+AD28</f>
        <v>285642.84999999939</v>
      </c>
      <c r="AH25" s="30">
        <f t="shared" si="10"/>
        <v>-285642.84999999939</v>
      </c>
      <c r="AI25" s="61"/>
      <c r="AJ25" s="61">
        <f>+AG28</f>
        <v>287429.22499999939</v>
      </c>
      <c r="AK25" s="30">
        <f t="shared" si="11"/>
        <v>-287429.22499999939</v>
      </c>
      <c r="AL25" s="61"/>
      <c r="AM25" s="61"/>
      <c r="AN25" s="61"/>
    </row>
    <row r="26" spans="1:42" x14ac:dyDescent="0.25">
      <c r="A26" s="60" t="s">
        <v>22</v>
      </c>
      <c r="B26" s="61">
        <f>+B23-B16-B14</f>
        <v>844068.72500000009</v>
      </c>
      <c r="C26" s="61">
        <f t="shared" ref="C26:AJ26" si="21">+C23-C16-C14</f>
        <v>848160.52500000014</v>
      </c>
      <c r="D26" s="30">
        <f t="shared" si="0"/>
        <v>-4091.8000000000466</v>
      </c>
      <c r="E26" s="61">
        <f t="shared" si="21"/>
        <v>701929.32500000007</v>
      </c>
      <c r="F26" s="61">
        <f t="shared" si="21"/>
        <v>702389.60000000009</v>
      </c>
      <c r="G26" s="30">
        <f t="shared" si="1"/>
        <v>-460.27500000002328</v>
      </c>
      <c r="H26" s="61">
        <f t="shared" si="21"/>
        <v>982245.37500000012</v>
      </c>
      <c r="I26" s="61">
        <f t="shared" si="21"/>
        <v>924057.70000000007</v>
      </c>
      <c r="J26" s="30">
        <f t="shared" si="2"/>
        <v>58187.675000000047</v>
      </c>
      <c r="K26" s="61">
        <f t="shared" si="21"/>
        <v>753584.65</v>
      </c>
      <c r="L26" s="61">
        <f t="shared" si="21"/>
        <v>725434.375</v>
      </c>
      <c r="M26" s="30">
        <f t="shared" si="3"/>
        <v>28150.275000000023</v>
      </c>
      <c r="N26" s="61">
        <f t="shared" si="21"/>
        <v>800000.25</v>
      </c>
      <c r="O26" s="61">
        <f t="shared" si="21"/>
        <v>799707.50000000012</v>
      </c>
      <c r="P26" s="30">
        <f t="shared" si="4"/>
        <v>292.74999999988358</v>
      </c>
      <c r="Q26" s="61">
        <f t="shared" si="21"/>
        <v>1208127.625</v>
      </c>
      <c r="R26" s="61">
        <f t="shared" si="21"/>
        <v>1206683.8</v>
      </c>
      <c r="S26" s="30">
        <f t="shared" si="5"/>
        <v>1443.8249999999534</v>
      </c>
      <c r="T26" s="61">
        <f t="shared" si="21"/>
        <v>964114.60000000009</v>
      </c>
      <c r="U26" s="61">
        <f t="shared" si="21"/>
        <v>968710.95000000007</v>
      </c>
      <c r="V26" s="30">
        <f t="shared" si="6"/>
        <v>-4596.3499999999767</v>
      </c>
      <c r="W26" s="61">
        <f t="shared" si="21"/>
        <v>1349435.6</v>
      </c>
      <c r="X26" s="61">
        <f t="shared" si="21"/>
        <v>1346524.1250000002</v>
      </c>
      <c r="Y26" s="30">
        <f t="shared" si="7"/>
        <v>2911.4749999998603</v>
      </c>
      <c r="Z26" s="61">
        <f t="shared" si="21"/>
        <v>1107505.3500000001</v>
      </c>
      <c r="AA26" s="61">
        <f t="shared" si="21"/>
        <v>1107648.175</v>
      </c>
      <c r="AB26" s="30">
        <f t="shared" si="8"/>
        <v>-142.82499999995343</v>
      </c>
      <c r="AC26" s="61">
        <f t="shared" si="21"/>
        <v>1206572.7750000001</v>
      </c>
      <c r="AD26" s="61">
        <f t="shared" si="21"/>
        <v>1206553.425</v>
      </c>
      <c r="AE26" s="30">
        <f t="shared" si="9"/>
        <v>19.350000000093132</v>
      </c>
      <c r="AF26" s="61">
        <f t="shared" si="21"/>
        <v>1353604.2250000001</v>
      </c>
      <c r="AG26" s="61">
        <f t="shared" si="21"/>
        <v>1351827.625</v>
      </c>
      <c r="AH26" s="30">
        <f t="shared" si="10"/>
        <v>1776.6000000000931</v>
      </c>
      <c r="AI26" s="61">
        <f t="shared" si="21"/>
        <v>1387357.1</v>
      </c>
      <c r="AJ26" s="61">
        <f t="shared" si="21"/>
        <v>1389729.1500000001</v>
      </c>
      <c r="AK26" s="30">
        <f t="shared" si="11"/>
        <v>-2372.0500000000466</v>
      </c>
      <c r="AL26" s="61">
        <f t="shared" si="12"/>
        <v>12658545.6</v>
      </c>
      <c r="AM26" s="61">
        <f t="shared" si="13"/>
        <v>12577426.950000001</v>
      </c>
      <c r="AN26" s="61">
        <f t="shared" si="13"/>
        <v>81118.649999999907</v>
      </c>
    </row>
    <row r="27" spans="1:42" x14ac:dyDescent="0.25">
      <c r="A27" s="60" t="s">
        <v>23</v>
      </c>
      <c r="B27" s="61">
        <v>904399</v>
      </c>
      <c r="C27" s="61">
        <v>904399</v>
      </c>
      <c r="D27" s="30">
        <f t="shared" si="0"/>
        <v>0</v>
      </c>
      <c r="E27" s="61">
        <v>730187</v>
      </c>
      <c r="F27" s="61">
        <v>730187</v>
      </c>
      <c r="G27" s="30">
        <f t="shared" si="1"/>
        <v>0</v>
      </c>
      <c r="H27" s="61">
        <v>0</v>
      </c>
      <c r="I27" s="61">
        <v>982246</v>
      </c>
      <c r="J27" s="30">
        <f t="shared" si="2"/>
        <v>-982246</v>
      </c>
      <c r="K27" s="61">
        <v>754075</v>
      </c>
      <c r="L27" s="61">
        <v>754075</v>
      </c>
      <c r="M27" s="30">
        <f t="shared" si="3"/>
        <v>0</v>
      </c>
      <c r="N27" s="61">
        <v>825264</v>
      </c>
      <c r="O27" s="61">
        <v>825264</v>
      </c>
      <c r="P27" s="30">
        <f t="shared" si="4"/>
        <v>0</v>
      </c>
      <c r="Q27" s="61">
        <v>1207760</v>
      </c>
      <c r="R27" s="61">
        <v>1207760</v>
      </c>
      <c r="S27" s="30">
        <f t="shared" si="5"/>
        <v>0</v>
      </c>
      <c r="T27" s="61">
        <v>963567</v>
      </c>
      <c r="U27" s="61">
        <v>963567</v>
      </c>
      <c r="V27" s="30">
        <f t="shared" si="6"/>
        <v>0</v>
      </c>
      <c r="W27" s="61">
        <v>1354340</v>
      </c>
      <c r="X27" s="61">
        <v>1354340</v>
      </c>
      <c r="Y27" s="30">
        <f t="shared" si="7"/>
        <v>0</v>
      </c>
      <c r="Z27" s="61">
        <f>+Z26</f>
        <v>1107505.3500000001</v>
      </c>
      <c r="AA27" s="61">
        <v>1107506</v>
      </c>
      <c r="AB27" s="30">
        <f t="shared" si="8"/>
        <v>-0.64999999990686774</v>
      </c>
      <c r="AC27" s="61">
        <f>+AC26</f>
        <v>1206572.7750000001</v>
      </c>
      <c r="AD27" s="61">
        <v>1206575</v>
      </c>
      <c r="AE27" s="30">
        <f t="shared" si="9"/>
        <v>-2.2249999998603016</v>
      </c>
      <c r="AF27" s="61">
        <v>1353614</v>
      </c>
      <c r="AG27" s="61">
        <v>1353614</v>
      </c>
      <c r="AH27" s="30">
        <f t="shared" si="10"/>
        <v>0</v>
      </c>
      <c r="AI27" s="61">
        <v>1389357</v>
      </c>
      <c r="AJ27" s="61">
        <v>1389357</v>
      </c>
      <c r="AK27" s="30">
        <f t="shared" si="11"/>
        <v>0</v>
      </c>
      <c r="AL27" s="61">
        <f>+B27+E27+H27+K27+N27+Q27+T27+W27+Z27+AC27+AF27+AI27</f>
        <v>11796641.125</v>
      </c>
      <c r="AM27" s="61">
        <f>+C27+F27+I27+L27+O27+R27+U27+X27+AA27+AD27+AG27+AJ27</f>
        <v>12778890</v>
      </c>
      <c r="AN27" s="61">
        <f>+D27+G27+J27+M27+P27+S27+V27+Y27+AB27+AE27+AH27+AK27</f>
        <v>-982248.87499999977</v>
      </c>
    </row>
    <row r="28" spans="1:42" x14ac:dyDescent="0.25">
      <c r="A28" s="60" t="s">
        <v>159</v>
      </c>
      <c r="B28" s="61">
        <f>+B27-B26</f>
        <v>60330.274999999907</v>
      </c>
      <c r="C28" s="61">
        <f>+C27+C25-C26</f>
        <v>116568.74999999977</v>
      </c>
      <c r="D28" s="30">
        <f t="shared" si="0"/>
        <v>-56238.47499999986</v>
      </c>
      <c r="E28" s="61"/>
      <c r="F28" s="61">
        <f>+F27+F25-F26</f>
        <v>144366.14999999967</v>
      </c>
      <c r="G28" s="30">
        <f t="shared" si="1"/>
        <v>-144366.14999999967</v>
      </c>
      <c r="H28" s="61">
        <v>0</v>
      </c>
      <c r="I28" s="61">
        <f>+I27+I25-I26</f>
        <v>202554.4499999996</v>
      </c>
      <c r="J28" s="30">
        <f t="shared" si="2"/>
        <v>-202554.4499999996</v>
      </c>
      <c r="K28" s="61">
        <f>+SUM(K25:K26)-SUM(K29:K30)</f>
        <v>753584.65</v>
      </c>
      <c r="L28" s="61">
        <f>+L27+L25-L26</f>
        <v>231195.0749999996</v>
      </c>
      <c r="M28" s="30">
        <f t="shared" si="3"/>
        <v>522389.57500000042</v>
      </c>
      <c r="N28" s="61">
        <f t="shared" ref="N28:O28" si="22">+N27+N25-N26</f>
        <v>25263.75</v>
      </c>
      <c r="O28" s="61">
        <f t="shared" si="22"/>
        <v>282015.3249999996</v>
      </c>
      <c r="P28" s="30">
        <f t="shared" si="4"/>
        <v>-256751.5749999996</v>
      </c>
      <c r="Q28" s="61">
        <f t="shared" ref="Q28" si="23">+Q27+Q25-Q26</f>
        <v>7729.375</v>
      </c>
      <c r="R28" s="61">
        <f t="shared" ref="R28" si="24">+R27+R25-R26</f>
        <v>283091.52499999967</v>
      </c>
      <c r="S28" s="30">
        <f t="shared" si="5"/>
        <v>-275362.14999999967</v>
      </c>
      <c r="T28" s="61">
        <f t="shared" ref="T28" si="25">+T27+T25-T26</f>
        <v>3181.3999999999069</v>
      </c>
      <c r="U28" s="61">
        <f t="shared" ref="U28" si="26">+U27+U25-U26</f>
        <v>277947.5749999996</v>
      </c>
      <c r="V28" s="30">
        <f t="shared" si="6"/>
        <v>-274766.1749999997</v>
      </c>
      <c r="W28" s="61">
        <f t="shared" ref="W28" si="27">+W27+W25-W26</f>
        <v>4904.3999999999069</v>
      </c>
      <c r="X28" s="61">
        <f t="shared" ref="X28" si="28">+X27+X25-X26</f>
        <v>285763.44999999949</v>
      </c>
      <c r="Y28" s="30">
        <f t="shared" si="7"/>
        <v>-280859.04999999958</v>
      </c>
      <c r="Z28" s="61"/>
      <c r="AA28" s="61">
        <f t="shared" ref="AA28" si="29">+AA27+AA25-AA26</f>
        <v>285621.27499999944</v>
      </c>
      <c r="AB28" s="30">
        <f t="shared" si="8"/>
        <v>-285621.27499999944</v>
      </c>
      <c r="AC28" s="61"/>
      <c r="AD28" s="61">
        <f t="shared" ref="AD28" si="30">+AD27+AD25-AD26</f>
        <v>285642.84999999939</v>
      </c>
      <c r="AE28" s="30">
        <f t="shared" si="9"/>
        <v>-285642.84999999939</v>
      </c>
      <c r="AF28" s="61"/>
      <c r="AG28" s="61">
        <f t="shared" ref="AG28" si="31">+AG27+AG25-AG26</f>
        <v>287429.22499999939</v>
      </c>
      <c r="AH28" s="30">
        <f t="shared" si="10"/>
        <v>-287429.22499999939</v>
      </c>
      <c r="AI28" s="61"/>
      <c r="AJ28" s="61">
        <f t="shared" ref="AJ28" si="32">+AJ27+AJ25-AJ26</f>
        <v>287057.07499999925</v>
      </c>
      <c r="AK28" s="30">
        <f t="shared" si="11"/>
        <v>-287057.07499999925</v>
      </c>
      <c r="AL28" s="61"/>
      <c r="AM28" s="61"/>
      <c r="AN28" s="61"/>
    </row>
    <row r="29" spans="1:42" x14ac:dyDescent="0.25">
      <c r="A29" s="60"/>
      <c r="B29" s="61"/>
      <c r="C29" s="61"/>
      <c r="D29" s="30">
        <f t="shared" si="0"/>
        <v>0</v>
      </c>
      <c r="E29" s="61"/>
      <c r="F29" s="61"/>
      <c r="G29" s="30">
        <f t="shared" si="1"/>
        <v>0</v>
      </c>
      <c r="H29" s="61"/>
      <c r="I29" s="61"/>
      <c r="J29" s="30">
        <f t="shared" si="2"/>
        <v>0</v>
      </c>
      <c r="K29" s="61"/>
      <c r="L29" s="61"/>
      <c r="M29" s="30">
        <f t="shared" si="3"/>
        <v>0</v>
      </c>
      <c r="N29" s="61"/>
      <c r="O29" s="61"/>
      <c r="P29" s="30">
        <f t="shared" si="4"/>
        <v>0</v>
      </c>
      <c r="Q29" s="61"/>
      <c r="R29" s="61"/>
      <c r="S29" s="30">
        <f t="shared" si="5"/>
        <v>0</v>
      </c>
      <c r="T29" s="61"/>
      <c r="U29" s="61"/>
      <c r="V29" s="30">
        <f t="shared" si="6"/>
        <v>0</v>
      </c>
      <c r="W29" s="61"/>
      <c r="X29" s="61"/>
      <c r="Y29" s="30">
        <f t="shared" si="7"/>
        <v>0</v>
      </c>
      <c r="Z29" s="61"/>
      <c r="AA29" s="61"/>
      <c r="AB29" s="30">
        <f t="shared" si="8"/>
        <v>0</v>
      </c>
      <c r="AC29" s="61"/>
      <c r="AD29" s="61"/>
      <c r="AE29" s="30">
        <f t="shared" si="9"/>
        <v>0</v>
      </c>
      <c r="AF29" s="61"/>
      <c r="AG29" s="61"/>
      <c r="AH29" s="30">
        <f t="shared" si="10"/>
        <v>0</v>
      </c>
      <c r="AI29" s="61"/>
      <c r="AJ29" s="61"/>
      <c r="AK29" s="30">
        <f t="shared" si="11"/>
        <v>0</v>
      </c>
      <c r="AL29" s="61">
        <f t="shared" si="12"/>
        <v>0</v>
      </c>
      <c r="AM29" s="61">
        <f t="shared" si="13"/>
        <v>0</v>
      </c>
      <c r="AN29" s="61">
        <f t="shared" si="13"/>
        <v>0</v>
      </c>
    </row>
    <row r="30" spans="1:42" x14ac:dyDescent="0.25">
      <c r="B30" s="77"/>
      <c r="C30" s="77"/>
      <c r="D30" s="30">
        <f t="shared" si="0"/>
        <v>0</v>
      </c>
      <c r="E30" s="77"/>
      <c r="F30" s="77"/>
      <c r="G30" s="30">
        <f t="shared" si="1"/>
        <v>0</v>
      </c>
      <c r="H30" s="77"/>
      <c r="I30" s="77"/>
      <c r="J30" s="30">
        <f t="shared" si="2"/>
        <v>0</v>
      </c>
      <c r="K30" s="77"/>
      <c r="L30" s="77"/>
      <c r="M30" s="30">
        <f t="shared" si="3"/>
        <v>0</v>
      </c>
      <c r="N30" s="77"/>
      <c r="O30" s="77"/>
      <c r="P30" s="30">
        <f t="shared" si="4"/>
        <v>0</v>
      </c>
      <c r="Q30" s="77"/>
      <c r="R30" s="77"/>
      <c r="S30" s="30">
        <f t="shared" si="5"/>
        <v>0</v>
      </c>
      <c r="T30" s="77"/>
      <c r="U30" s="77"/>
      <c r="V30" s="30">
        <f t="shared" si="6"/>
        <v>0</v>
      </c>
      <c r="W30" s="77"/>
      <c r="X30" s="77"/>
      <c r="Y30" s="30">
        <f t="shared" si="7"/>
        <v>0</v>
      </c>
      <c r="Z30" s="77"/>
      <c r="AA30" s="77"/>
      <c r="AB30" s="30">
        <f t="shared" si="8"/>
        <v>0</v>
      </c>
      <c r="AC30" s="77"/>
      <c r="AD30" s="77"/>
      <c r="AE30" s="30">
        <f t="shared" si="9"/>
        <v>0</v>
      </c>
      <c r="AF30" s="77"/>
      <c r="AG30" s="77"/>
      <c r="AH30" s="30">
        <f t="shared" si="10"/>
        <v>0</v>
      </c>
      <c r="AI30" s="77"/>
      <c r="AJ30" s="77"/>
      <c r="AK30" s="30">
        <f t="shared" si="11"/>
        <v>0</v>
      </c>
      <c r="AL30" s="77"/>
      <c r="AM30" s="77"/>
      <c r="AN30" s="77"/>
    </row>
    <row r="31" spans="1:42" x14ac:dyDescent="0.25">
      <c r="A31" s="60" t="s">
        <v>170</v>
      </c>
      <c r="B31" s="61">
        <v>9899723</v>
      </c>
      <c r="C31" s="61">
        <v>9899723</v>
      </c>
      <c r="D31" s="30">
        <f t="shared" si="0"/>
        <v>0</v>
      </c>
      <c r="E31" s="61">
        <v>7901399</v>
      </c>
      <c r="F31" s="61">
        <v>7900499</v>
      </c>
      <c r="G31" s="30">
        <f t="shared" si="1"/>
        <v>900</v>
      </c>
      <c r="H31" s="61">
        <v>9016686</v>
      </c>
      <c r="I31" s="61">
        <v>9016686</v>
      </c>
      <c r="J31" s="30">
        <f t="shared" si="2"/>
        <v>0</v>
      </c>
      <c r="K31" s="61">
        <v>17745774</v>
      </c>
      <c r="L31" s="61">
        <v>17749021</v>
      </c>
      <c r="M31" s="30">
        <f t="shared" si="3"/>
        <v>-3247</v>
      </c>
      <c r="N31" s="61">
        <v>10900928</v>
      </c>
      <c r="O31" s="61">
        <v>10924704</v>
      </c>
      <c r="P31" s="30">
        <f t="shared" si="4"/>
        <v>-23776</v>
      </c>
      <c r="Q31" s="61">
        <v>12340588</v>
      </c>
      <c r="R31" s="61">
        <v>12980497</v>
      </c>
      <c r="S31" s="30">
        <f t="shared" si="5"/>
        <v>-639909</v>
      </c>
      <c r="T31" s="61">
        <v>12161541</v>
      </c>
      <c r="U31" s="61">
        <v>12161541</v>
      </c>
      <c r="V31" s="30">
        <f t="shared" si="6"/>
        <v>0</v>
      </c>
      <c r="W31" s="61">
        <v>16387987</v>
      </c>
      <c r="X31" s="61">
        <v>16387987</v>
      </c>
      <c r="Y31" s="30">
        <f t="shared" si="7"/>
        <v>0</v>
      </c>
      <c r="Z31" s="61">
        <v>11333185</v>
      </c>
      <c r="AA31" s="61">
        <v>11336643</v>
      </c>
      <c r="AB31" s="30">
        <f t="shared" si="8"/>
        <v>-3458</v>
      </c>
      <c r="AC31" s="61">
        <v>18098450</v>
      </c>
      <c r="AD31" s="61">
        <v>18256428</v>
      </c>
      <c r="AE31" s="30">
        <f t="shared" si="9"/>
        <v>-157978</v>
      </c>
      <c r="AF31" s="61">
        <v>25817995</v>
      </c>
      <c r="AG31" s="61">
        <v>25817995</v>
      </c>
      <c r="AH31" s="30">
        <f t="shared" si="10"/>
        <v>0</v>
      </c>
      <c r="AI31" s="61">
        <v>20861787</v>
      </c>
      <c r="AJ31" s="61">
        <v>23618537</v>
      </c>
      <c r="AK31" s="30">
        <f t="shared" si="11"/>
        <v>-2756750</v>
      </c>
      <c r="AL31" s="61">
        <f t="shared" ref="AL31:AN36" si="33">+B31+E31+H31+K31+N31+Q31+T31+W31+Z31+AC31+AF31+AI31</f>
        <v>172466043</v>
      </c>
      <c r="AM31" s="61">
        <f t="shared" si="33"/>
        <v>176050261</v>
      </c>
      <c r="AN31" s="61">
        <f t="shared" si="33"/>
        <v>-3584218</v>
      </c>
    </row>
    <row r="32" spans="1:42" x14ac:dyDescent="0.25">
      <c r="A32" s="60" t="s">
        <v>24</v>
      </c>
      <c r="B32" s="61">
        <f t="shared" ref="B32:AI32" si="34">+B31*0.02</f>
        <v>197994.46</v>
      </c>
      <c r="C32" s="61">
        <f t="shared" si="34"/>
        <v>197994.46</v>
      </c>
      <c r="D32" s="30">
        <f t="shared" si="0"/>
        <v>0</v>
      </c>
      <c r="E32" s="61">
        <f t="shared" si="34"/>
        <v>158027.98000000001</v>
      </c>
      <c r="F32" s="61">
        <f t="shared" si="34"/>
        <v>158009.98000000001</v>
      </c>
      <c r="G32" s="30">
        <f t="shared" si="1"/>
        <v>18</v>
      </c>
      <c r="H32" s="61">
        <f t="shared" si="34"/>
        <v>180333.72</v>
      </c>
      <c r="I32" s="61">
        <f t="shared" si="34"/>
        <v>180333.72</v>
      </c>
      <c r="J32" s="30">
        <f t="shared" si="2"/>
        <v>0</v>
      </c>
      <c r="K32" s="61">
        <f t="shared" si="34"/>
        <v>354915.48</v>
      </c>
      <c r="L32" s="61">
        <f>+L31*0.02</f>
        <v>354980.42</v>
      </c>
      <c r="M32" s="30">
        <f t="shared" si="3"/>
        <v>-64.940000000002328</v>
      </c>
      <c r="N32" s="61">
        <f t="shared" si="34"/>
        <v>218018.56</v>
      </c>
      <c r="O32" s="61">
        <f t="shared" si="34"/>
        <v>218494.08000000002</v>
      </c>
      <c r="P32" s="30">
        <f t="shared" si="4"/>
        <v>-475.52000000001863</v>
      </c>
      <c r="Q32" s="61">
        <f t="shared" si="34"/>
        <v>246811.76</v>
      </c>
      <c r="R32" s="61">
        <f t="shared" si="34"/>
        <v>259609.94</v>
      </c>
      <c r="S32" s="30">
        <f t="shared" si="5"/>
        <v>-12798.179999999993</v>
      </c>
      <c r="T32" s="61">
        <f t="shared" si="34"/>
        <v>243230.82</v>
      </c>
      <c r="U32" s="61">
        <f>+U31*0.02</f>
        <v>243230.82</v>
      </c>
      <c r="V32" s="30">
        <f t="shared" si="6"/>
        <v>0</v>
      </c>
      <c r="W32" s="61">
        <f t="shared" si="34"/>
        <v>327759.74</v>
      </c>
      <c r="X32" s="61">
        <f>+X31*0.02</f>
        <v>327759.74</v>
      </c>
      <c r="Y32" s="30">
        <f t="shared" si="7"/>
        <v>0</v>
      </c>
      <c r="Z32" s="61">
        <f t="shared" si="34"/>
        <v>226663.7</v>
      </c>
      <c r="AA32" s="61">
        <f t="shared" si="34"/>
        <v>226732.86000000002</v>
      </c>
      <c r="AB32" s="30">
        <f t="shared" si="8"/>
        <v>-69.160000000003492</v>
      </c>
      <c r="AC32" s="61">
        <f t="shared" si="34"/>
        <v>361969</v>
      </c>
      <c r="AD32" s="61">
        <f>+AD31*0.02</f>
        <v>365128.56</v>
      </c>
      <c r="AE32" s="30">
        <f t="shared" si="9"/>
        <v>-3159.5599999999977</v>
      </c>
      <c r="AF32" s="61">
        <f t="shared" si="34"/>
        <v>516359.9</v>
      </c>
      <c r="AG32" s="61">
        <f>+AG31*0.02</f>
        <v>516359.9</v>
      </c>
      <c r="AH32" s="30">
        <f t="shared" si="10"/>
        <v>0</v>
      </c>
      <c r="AI32" s="61">
        <f t="shared" si="34"/>
        <v>417235.74</v>
      </c>
      <c r="AJ32" s="61">
        <f>+AJ31*0.02</f>
        <v>472370.74</v>
      </c>
      <c r="AK32" s="30">
        <f t="shared" si="11"/>
        <v>-55135</v>
      </c>
      <c r="AL32" s="61">
        <f t="shared" si="33"/>
        <v>3449320.8600000003</v>
      </c>
      <c r="AM32" s="61">
        <f t="shared" si="33"/>
        <v>3521005.2199999997</v>
      </c>
      <c r="AN32" s="61">
        <f t="shared" si="33"/>
        <v>-71684.360000000015</v>
      </c>
      <c r="AO32" s="85"/>
    </row>
    <row r="33" spans="1:40" x14ac:dyDescent="0.25">
      <c r="A33" s="60" t="s">
        <v>165</v>
      </c>
      <c r="B33" s="61">
        <v>0</v>
      </c>
      <c r="C33" s="61"/>
      <c r="D33" s="30">
        <f t="shared" si="0"/>
        <v>0</v>
      </c>
      <c r="E33" s="61">
        <v>0</v>
      </c>
      <c r="F33" s="61">
        <v>3236</v>
      </c>
      <c r="G33" s="30">
        <f t="shared" si="1"/>
        <v>-3236</v>
      </c>
      <c r="H33" s="61">
        <v>0</v>
      </c>
      <c r="I33" s="61"/>
      <c r="J33" s="30">
        <f t="shared" si="2"/>
        <v>0</v>
      </c>
      <c r="K33" s="61">
        <v>2773</v>
      </c>
      <c r="L33" s="61">
        <v>1573</v>
      </c>
      <c r="M33" s="30">
        <f t="shared" si="3"/>
        <v>1200</v>
      </c>
      <c r="N33" s="61"/>
      <c r="O33" s="61"/>
      <c r="P33" s="30">
        <f t="shared" si="4"/>
        <v>0</v>
      </c>
      <c r="Q33" s="61"/>
      <c r="R33" s="61">
        <v>13669</v>
      </c>
      <c r="S33" s="30">
        <f t="shared" si="5"/>
        <v>-13669</v>
      </c>
      <c r="T33" s="61">
        <v>9985</v>
      </c>
      <c r="U33" s="61">
        <v>9845</v>
      </c>
      <c r="V33" s="30">
        <f t="shared" si="6"/>
        <v>140</v>
      </c>
      <c r="W33" s="61">
        <v>678</v>
      </c>
      <c r="X33" s="61">
        <v>678</v>
      </c>
      <c r="Y33" s="30">
        <f t="shared" si="7"/>
        <v>0</v>
      </c>
      <c r="Z33" s="61">
        <v>0</v>
      </c>
      <c r="AA33" s="61">
        <v>1220</v>
      </c>
      <c r="AB33" s="30">
        <f t="shared" si="8"/>
        <v>-1220</v>
      </c>
      <c r="AC33" s="61">
        <v>0</v>
      </c>
      <c r="AD33" s="61"/>
      <c r="AE33" s="30">
        <f t="shared" si="9"/>
        <v>0</v>
      </c>
      <c r="AF33" s="61"/>
      <c r="AG33" s="61">
        <v>10955</v>
      </c>
      <c r="AH33" s="30">
        <f t="shared" si="10"/>
        <v>-10955</v>
      </c>
      <c r="AI33" s="61"/>
      <c r="AJ33" s="61">
        <v>9935</v>
      </c>
      <c r="AK33" s="30">
        <f t="shared" si="11"/>
        <v>-9935</v>
      </c>
      <c r="AL33" s="61">
        <f t="shared" si="33"/>
        <v>13436</v>
      </c>
      <c r="AM33" s="88">
        <f t="shared" si="33"/>
        <v>51111</v>
      </c>
      <c r="AN33" s="88">
        <f t="shared" si="33"/>
        <v>-37675</v>
      </c>
    </row>
    <row r="34" spans="1:40" x14ac:dyDescent="0.25">
      <c r="A34" s="60" t="s">
        <v>16</v>
      </c>
      <c r="B34" s="61">
        <v>0</v>
      </c>
      <c r="C34" s="61"/>
      <c r="D34" s="30">
        <f t="shared" si="0"/>
        <v>0</v>
      </c>
      <c r="E34" s="61">
        <v>0</v>
      </c>
      <c r="F34" s="61"/>
      <c r="G34" s="30">
        <f t="shared" si="1"/>
        <v>0</v>
      </c>
      <c r="H34" s="61">
        <v>0</v>
      </c>
      <c r="I34" s="61"/>
      <c r="J34" s="30">
        <f t="shared" si="2"/>
        <v>0</v>
      </c>
      <c r="K34" s="61">
        <v>0</v>
      </c>
      <c r="L34" s="61"/>
      <c r="M34" s="30">
        <f t="shared" si="3"/>
        <v>0</v>
      </c>
      <c r="N34" s="61">
        <v>0</v>
      </c>
      <c r="O34" s="61"/>
      <c r="P34" s="30">
        <f t="shared" si="4"/>
        <v>0</v>
      </c>
      <c r="Q34" s="61">
        <v>0</v>
      </c>
      <c r="R34" s="61"/>
      <c r="S34" s="30">
        <f t="shared" si="5"/>
        <v>0</v>
      </c>
      <c r="T34" s="61">
        <v>0</v>
      </c>
      <c r="U34" s="61"/>
      <c r="V34" s="30">
        <f t="shared" si="6"/>
        <v>0</v>
      </c>
      <c r="W34" s="61">
        <v>0</v>
      </c>
      <c r="X34" s="61"/>
      <c r="Y34" s="30">
        <f t="shared" si="7"/>
        <v>0</v>
      </c>
      <c r="Z34" s="61">
        <v>0</v>
      </c>
      <c r="AA34" s="61"/>
      <c r="AB34" s="30">
        <f t="shared" si="8"/>
        <v>0</v>
      </c>
      <c r="AC34" s="61">
        <v>1252</v>
      </c>
      <c r="AD34" s="61"/>
      <c r="AE34" s="30">
        <f t="shared" si="9"/>
        <v>1252</v>
      </c>
      <c r="AF34" s="61"/>
      <c r="AG34" s="61"/>
      <c r="AH34" s="30">
        <f t="shared" si="10"/>
        <v>0</v>
      </c>
      <c r="AI34" s="61"/>
      <c r="AJ34" s="61"/>
      <c r="AK34" s="30">
        <f t="shared" si="11"/>
        <v>0</v>
      </c>
      <c r="AL34" s="61">
        <f t="shared" si="33"/>
        <v>1252</v>
      </c>
      <c r="AM34" s="61">
        <f t="shared" si="33"/>
        <v>0</v>
      </c>
      <c r="AN34" s="61">
        <f t="shared" si="33"/>
        <v>1252</v>
      </c>
    </row>
    <row r="35" spans="1:40" x14ac:dyDescent="0.25">
      <c r="A35" s="60" t="s">
        <v>162</v>
      </c>
      <c r="B35" s="61">
        <v>0</v>
      </c>
      <c r="C35" s="61"/>
      <c r="D35" s="30">
        <f t="shared" si="0"/>
        <v>0</v>
      </c>
      <c r="E35" s="61">
        <v>0</v>
      </c>
      <c r="F35" s="61"/>
      <c r="G35" s="30">
        <f t="shared" si="1"/>
        <v>0</v>
      </c>
      <c r="H35" s="61"/>
      <c r="I35" s="61">
        <v>229416</v>
      </c>
      <c r="J35" s="30">
        <f t="shared" si="2"/>
        <v>-229416</v>
      </c>
      <c r="K35" s="61">
        <v>0</v>
      </c>
      <c r="L35" s="61">
        <v>1141578</v>
      </c>
      <c r="M35" s="30">
        <f t="shared" si="3"/>
        <v>-1141578</v>
      </c>
      <c r="N35" s="61">
        <v>23776</v>
      </c>
      <c r="O35" s="61">
        <v>0</v>
      </c>
      <c r="P35" s="30">
        <f t="shared" si="4"/>
        <v>23776</v>
      </c>
      <c r="Q35" s="61">
        <v>21024</v>
      </c>
      <c r="R35" s="61">
        <v>639560</v>
      </c>
      <c r="S35" s="30">
        <f t="shared" si="5"/>
        <v>-618536</v>
      </c>
      <c r="T35" s="61">
        <v>0</v>
      </c>
      <c r="U35" s="61"/>
      <c r="V35" s="30">
        <f t="shared" si="6"/>
        <v>0</v>
      </c>
      <c r="W35" s="61">
        <v>0</v>
      </c>
      <c r="X35" s="61"/>
      <c r="Y35" s="30">
        <f t="shared" si="7"/>
        <v>0</v>
      </c>
      <c r="Z35" s="61">
        <v>0</v>
      </c>
      <c r="AA35" s="61">
        <v>285593</v>
      </c>
      <c r="AB35" s="30">
        <f t="shared" si="8"/>
        <v>-285593</v>
      </c>
      <c r="AC35" s="61">
        <v>157978</v>
      </c>
      <c r="AD35" s="61">
        <v>157978</v>
      </c>
      <c r="AE35" s="30">
        <f t="shared" si="9"/>
        <v>0</v>
      </c>
      <c r="AF35" s="61"/>
      <c r="AG35" s="61"/>
      <c r="AH35" s="30">
        <f t="shared" si="10"/>
        <v>0</v>
      </c>
      <c r="AI35" s="61"/>
      <c r="AJ35" s="61">
        <v>497302</v>
      </c>
      <c r="AK35" s="30">
        <f t="shared" si="11"/>
        <v>-497302</v>
      </c>
      <c r="AL35" s="61">
        <f t="shared" si="33"/>
        <v>202778</v>
      </c>
      <c r="AM35" s="61">
        <f t="shared" si="33"/>
        <v>2951427</v>
      </c>
      <c r="AN35" s="61">
        <f t="shared" si="33"/>
        <v>-2748649</v>
      </c>
    </row>
    <row r="36" spans="1:40" x14ac:dyDescent="0.25">
      <c r="A36" s="60" t="s">
        <v>174</v>
      </c>
      <c r="B36" s="61"/>
      <c r="C36" s="61"/>
      <c r="D36" s="30">
        <f t="shared" si="0"/>
        <v>0</v>
      </c>
      <c r="E36" s="61"/>
      <c r="F36" s="61"/>
      <c r="G36" s="30">
        <f t="shared" si="1"/>
        <v>0</v>
      </c>
      <c r="H36" s="61"/>
      <c r="I36" s="61">
        <f>+I35*0.02</f>
        <v>4588.32</v>
      </c>
      <c r="J36" s="30">
        <f t="shared" si="2"/>
        <v>-4588.32</v>
      </c>
      <c r="K36" s="61"/>
      <c r="L36" s="61">
        <f>+L35*0.02</f>
        <v>22831.56</v>
      </c>
      <c r="M36" s="30">
        <f t="shared" si="3"/>
        <v>-22831.56</v>
      </c>
      <c r="N36" s="61">
        <f>+N35*0.02</f>
        <v>475.52</v>
      </c>
      <c r="O36" s="61">
        <f>+O35*0.02</f>
        <v>0</v>
      </c>
      <c r="P36" s="30">
        <f t="shared" si="4"/>
        <v>475.52</v>
      </c>
      <c r="Q36" s="61">
        <f>+Q35*0.02</f>
        <v>420.48</v>
      </c>
      <c r="R36" s="61">
        <f>+R35*0.02</f>
        <v>12791.2</v>
      </c>
      <c r="S36" s="30">
        <f t="shared" si="5"/>
        <v>-12370.720000000001</v>
      </c>
      <c r="T36" s="61"/>
      <c r="U36" s="61"/>
      <c r="V36" s="30">
        <f t="shared" si="6"/>
        <v>0</v>
      </c>
      <c r="W36" s="61"/>
      <c r="X36" s="61"/>
      <c r="Y36" s="30">
        <f t="shared" si="7"/>
        <v>0</v>
      </c>
      <c r="Z36" s="61"/>
      <c r="AA36" s="61">
        <f>+AA35*0.02</f>
        <v>5711.86</v>
      </c>
      <c r="AB36" s="30">
        <f t="shared" si="8"/>
        <v>-5711.86</v>
      </c>
      <c r="AC36" s="61">
        <v>3160</v>
      </c>
      <c r="AD36" s="61">
        <f>+AD35*0.02</f>
        <v>3159.56</v>
      </c>
      <c r="AE36" s="30">
        <f t="shared" si="9"/>
        <v>0.44000000000005457</v>
      </c>
      <c r="AF36" s="61"/>
      <c r="AG36" s="61"/>
      <c r="AH36" s="30">
        <f t="shared" si="10"/>
        <v>0</v>
      </c>
      <c r="AI36" s="61"/>
      <c r="AJ36" s="61">
        <f>+AJ35*0.02</f>
        <v>9946.0400000000009</v>
      </c>
      <c r="AK36" s="30">
        <f t="shared" si="11"/>
        <v>-9946.0400000000009</v>
      </c>
      <c r="AL36" s="61">
        <f t="shared" si="33"/>
        <v>4056</v>
      </c>
      <c r="AM36" s="61">
        <f t="shared" si="33"/>
        <v>59028.54</v>
      </c>
      <c r="AN36" s="61">
        <f t="shared" si="33"/>
        <v>-54972.54</v>
      </c>
    </row>
    <row r="37" spans="1:40" x14ac:dyDescent="0.25">
      <c r="A37" s="60" t="s">
        <v>160</v>
      </c>
      <c r="B37" s="61"/>
      <c r="C37" s="61"/>
      <c r="D37" s="30">
        <f t="shared" si="0"/>
        <v>0</v>
      </c>
      <c r="E37" s="61"/>
      <c r="F37" s="61"/>
      <c r="G37" s="30">
        <f t="shared" si="1"/>
        <v>0</v>
      </c>
      <c r="H37" s="61"/>
      <c r="I37" s="61">
        <f>+F40</f>
        <v>4740.0199999999895</v>
      </c>
      <c r="J37" s="30">
        <f t="shared" si="2"/>
        <v>-4740.0199999999895</v>
      </c>
      <c r="K37" s="61"/>
      <c r="L37" s="61">
        <f>+I40</f>
        <v>9328.6199999999953</v>
      </c>
      <c r="M37" s="30">
        <f t="shared" si="3"/>
        <v>-9328.6199999999953</v>
      </c>
      <c r="N37" s="61"/>
      <c r="O37" s="61">
        <f>+L40</f>
        <v>32094.760000000009</v>
      </c>
      <c r="P37" s="30">
        <f t="shared" si="4"/>
        <v>-32094.760000000009</v>
      </c>
      <c r="Q37" s="61"/>
      <c r="R37" s="61">
        <f>+O40</f>
        <v>36888.679999999993</v>
      </c>
      <c r="S37" s="30">
        <f t="shared" si="5"/>
        <v>-36888.679999999993</v>
      </c>
      <c r="T37" s="61"/>
      <c r="U37" s="61">
        <f>+R40</f>
        <v>36888.94</v>
      </c>
      <c r="V37" s="30">
        <f t="shared" si="6"/>
        <v>-36888.94</v>
      </c>
      <c r="W37" s="61"/>
      <c r="X37" s="61">
        <f>+U40</f>
        <v>40539.119999999995</v>
      </c>
      <c r="Y37" s="30">
        <f t="shared" si="7"/>
        <v>-40539.119999999995</v>
      </c>
      <c r="Z37" s="61"/>
      <c r="AA37" s="61">
        <f>+X40</f>
        <v>42539.380000000005</v>
      </c>
      <c r="AB37" s="30">
        <f t="shared" si="8"/>
        <v>-42539.380000000005</v>
      </c>
      <c r="AC37" s="61"/>
      <c r="AD37" s="61">
        <f>+AA40</f>
        <v>48182.379999999976</v>
      </c>
      <c r="AE37" s="30">
        <f t="shared" si="9"/>
        <v>-48182.379999999976</v>
      </c>
      <c r="AF37" s="61"/>
      <c r="AG37" s="61">
        <f>+AD40</f>
        <v>48182.380000000005</v>
      </c>
      <c r="AH37" s="30">
        <f t="shared" si="10"/>
        <v>-48182.380000000005</v>
      </c>
      <c r="AI37" s="61"/>
      <c r="AJ37" s="61">
        <f>+AG40</f>
        <v>48182.479999999981</v>
      </c>
      <c r="AK37" s="30">
        <f t="shared" si="11"/>
        <v>-48182.479999999981</v>
      </c>
      <c r="AL37" s="61"/>
      <c r="AM37" s="61"/>
      <c r="AN37" s="61"/>
    </row>
    <row r="38" spans="1:40" x14ac:dyDescent="0.25">
      <c r="A38" s="60" t="s">
        <v>161</v>
      </c>
      <c r="B38" s="61">
        <f>+B32-B36</f>
        <v>197994.46</v>
      </c>
      <c r="C38" s="61">
        <f>+C32-C36</f>
        <v>197994.46</v>
      </c>
      <c r="D38" s="30">
        <f t="shared" si="0"/>
        <v>0</v>
      </c>
      <c r="E38" s="61">
        <f t="shared" ref="E38:AJ38" si="35">+E32-E36</f>
        <v>158027.98000000001</v>
      </c>
      <c r="F38" s="61">
        <f t="shared" si="35"/>
        <v>158009.98000000001</v>
      </c>
      <c r="G38" s="30">
        <f t="shared" si="1"/>
        <v>18</v>
      </c>
      <c r="H38" s="61">
        <f t="shared" si="35"/>
        <v>180333.72</v>
      </c>
      <c r="I38" s="61">
        <f t="shared" si="35"/>
        <v>175745.4</v>
      </c>
      <c r="J38" s="30">
        <f t="shared" si="2"/>
        <v>4588.320000000007</v>
      </c>
      <c r="K38" s="61">
        <f t="shared" si="35"/>
        <v>354915.48</v>
      </c>
      <c r="L38" s="61">
        <f t="shared" si="35"/>
        <v>332148.86</v>
      </c>
      <c r="M38" s="30">
        <f t="shared" si="3"/>
        <v>22766.619999999995</v>
      </c>
      <c r="N38" s="61">
        <f t="shared" si="35"/>
        <v>217543.04000000001</v>
      </c>
      <c r="O38" s="61">
        <f t="shared" si="35"/>
        <v>218494.08000000002</v>
      </c>
      <c r="P38" s="30">
        <f t="shared" si="4"/>
        <v>-951.04000000000815</v>
      </c>
      <c r="Q38" s="61">
        <f t="shared" si="35"/>
        <v>246391.28</v>
      </c>
      <c r="R38" s="61">
        <f t="shared" si="35"/>
        <v>246818.74</v>
      </c>
      <c r="S38" s="30">
        <f t="shared" si="5"/>
        <v>-427.45999999999185</v>
      </c>
      <c r="T38" s="61">
        <f t="shared" si="35"/>
        <v>243230.82</v>
      </c>
      <c r="U38" s="61">
        <f t="shared" si="35"/>
        <v>243230.82</v>
      </c>
      <c r="V38" s="30">
        <f t="shared" si="6"/>
        <v>0</v>
      </c>
      <c r="W38" s="61">
        <f t="shared" si="35"/>
        <v>327759.74</v>
      </c>
      <c r="X38" s="61">
        <f t="shared" si="35"/>
        <v>327759.74</v>
      </c>
      <c r="Y38" s="30">
        <f t="shared" si="7"/>
        <v>0</v>
      </c>
      <c r="Z38" s="61">
        <f t="shared" si="35"/>
        <v>226663.7</v>
      </c>
      <c r="AA38" s="61">
        <f t="shared" si="35"/>
        <v>221021.00000000003</v>
      </c>
      <c r="AB38" s="30">
        <f t="shared" si="8"/>
        <v>5642.6999999999825</v>
      </c>
      <c r="AC38" s="61">
        <f t="shared" si="35"/>
        <v>358809</v>
      </c>
      <c r="AD38" s="61">
        <f t="shared" si="35"/>
        <v>361969</v>
      </c>
      <c r="AE38" s="30">
        <f t="shared" si="9"/>
        <v>-3160</v>
      </c>
      <c r="AF38" s="61">
        <f t="shared" si="35"/>
        <v>516359.9</v>
      </c>
      <c r="AG38" s="61">
        <f t="shared" si="35"/>
        <v>516359.9</v>
      </c>
      <c r="AH38" s="30">
        <f t="shared" si="10"/>
        <v>0</v>
      </c>
      <c r="AI38" s="61">
        <f t="shared" si="35"/>
        <v>417235.74</v>
      </c>
      <c r="AJ38" s="61">
        <f t="shared" si="35"/>
        <v>462424.7</v>
      </c>
      <c r="AK38" s="30">
        <f t="shared" si="11"/>
        <v>-45188.960000000021</v>
      </c>
      <c r="AL38" s="61">
        <f t="shared" ref="AL38:AN38" si="36">+B38+E38+H38+K38+N38+Q38+T38+W38+Z38+AC38+AF38+AI38</f>
        <v>3445264.8600000003</v>
      </c>
      <c r="AM38" s="61">
        <f t="shared" si="36"/>
        <v>3461976.68</v>
      </c>
      <c r="AN38" s="61">
        <f t="shared" si="36"/>
        <v>-16711.820000000036</v>
      </c>
    </row>
    <row r="39" spans="1:40" x14ac:dyDescent="0.25">
      <c r="A39" s="60" t="s">
        <v>23</v>
      </c>
      <c r="B39" s="61">
        <v>197994</v>
      </c>
      <c r="C39" s="61">
        <v>197994</v>
      </c>
      <c r="D39" s="30">
        <f t="shared" si="0"/>
        <v>0</v>
      </c>
      <c r="E39" s="82">
        <v>162750</v>
      </c>
      <c r="F39" s="82">
        <v>162750</v>
      </c>
      <c r="G39" s="30">
        <f t="shared" si="1"/>
        <v>0</v>
      </c>
      <c r="H39" s="61">
        <v>180334</v>
      </c>
      <c r="I39" s="61">
        <v>180334</v>
      </c>
      <c r="J39" s="30">
        <f t="shared" si="2"/>
        <v>0</v>
      </c>
      <c r="K39" s="61">
        <v>354915</v>
      </c>
      <c r="L39" s="61">
        <v>354915</v>
      </c>
      <c r="M39" s="30">
        <f t="shared" si="3"/>
        <v>0</v>
      </c>
      <c r="N39" s="61">
        <v>223288</v>
      </c>
      <c r="O39" s="61">
        <v>223288</v>
      </c>
      <c r="P39" s="30">
        <f t="shared" si="4"/>
        <v>0</v>
      </c>
      <c r="Q39" s="61">
        <v>246819</v>
      </c>
      <c r="R39" s="61">
        <v>246819</v>
      </c>
      <c r="S39" s="30">
        <f t="shared" si="5"/>
        <v>0</v>
      </c>
      <c r="T39" s="61">
        <v>246881</v>
      </c>
      <c r="U39" s="61">
        <v>246881</v>
      </c>
      <c r="V39" s="30">
        <f t="shared" si="6"/>
        <v>0</v>
      </c>
      <c r="W39" s="61">
        <v>327760</v>
      </c>
      <c r="X39" s="61">
        <v>329760</v>
      </c>
      <c r="Y39" s="30">
        <f t="shared" si="7"/>
        <v>-2000</v>
      </c>
      <c r="Z39" s="61">
        <v>226664</v>
      </c>
      <c r="AA39" s="61">
        <v>226664</v>
      </c>
      <c r="AB39" s="30">
        <f t="shared" si="8"/>
        <v>0</v>
      </c>
      <c r="AC39" s="61">
        <v>361969</v>
      </c>
      <c r="AD39" s="61">
        <v>361969</v>
      </c>
      <c r="AE39" s="30">
        <f t="shared" si="9"/>
        <v>0</v>
      </c>
      <c r="AF39" s="61">
        <v>516360</v>
      </c>
      <c r="AG39" s="61">
        <v>516360</v>
      </c>
      <c r="AH39" s="30">
        <f t="shared" si="10"/>
        <v>0</v>
      </c>
      <c r="AI39" s="61">
        <v>417236</v>
      </c>
      <c r="AJ39" s="61">
        <v>417236</v>
      </c>
      <c r="AK39" s="30">
        <f t="shared" si="11"/>
        <v>0</v>
      </c>
      <c r="AL39" s="61">
        <f t="shared" ref="AL39:AN39" si="37">+B39+E39+H39+K39+N39+Q39+T39+W39+Z39+AC39+AF39+AI39</f>
        <v>3462970</v>
      </c>
      <c r="AM39" s="61">
        <f t="shared" si="37"/>
        <v>3464970</v>
      </c>
      <c r="AN39" s="61">
        <f t="shared" si="37"/>
        <v>-2000</v>
      </c>
    </row>
    <row r="40" spans="1:40" x14ac:dyDescent="0.25">
      <c r="A40" s="60" t="s">
        <v>157</v>
      </c>
      <c r="B40" s="61">
        <f>+B39-B38</f>
        <v>-0.45999999999185093</v>
      </c>
      <c r="C40" s="61">
        <f>+C39-C38</f>
        <v>-0.45999999999185093</v>
      </c>
      <c r="D40" s="30">
        <f t="shared" si="0"/>
        <v>0</v>
      </c>
      <c r="E40" s="61">
        <f t="shared" ref="E40:H40" si="38">+E39-E38</f>
        <v>4722.0199999999895</v>
      </c>
      <c r="F40" s="61">
        <f t="shared" si="38"/>
        <v>4740.0199999999895</v>
      </c>
      <c r="G40" s="30">
        <f t="shared" si="1"/>
        <v>-18</v>
      </c>
      <c r="H40" s="61">
        <f t="shared" si="38"/>
        <v>0.27999999999883585</v>
      </c>
      <c r="I40" s="61">
        <f>+I39+I37-I38</f>
        <v>9328.6199999999953</v>
      </c>
      <c r="J40" s="30">
        <f t="shared" si="2"/>
        <v>-9328.3399999999965</v>
      </c>
      <c r="K40" s="61">
        <f t="shared" ref="K40:AJ40" si="39">+K39+K37-K38</f>
        <v>-0.47999999998137355</v>
      </c>
      <c r="L40" s="61">
        <f>+L39+L37-L38</f>
        <v>32094.760000000009</v>
      </c>
      <c r="M40" s="30">
        <f t="shared" si="3"/>
        <v>-32095.239999999991</v>
      </c>
      <c r="N40" s="61">
        <f t="shared" si="39"/>
        <v>5744.9599999999919</v>
      </c>
      <c r="O40" s="61">
        <f t="shared" si="39"/>
        <v>36888.679999999993</v>
      </c>
      <c r="P40" s="30">
        <f t="shared" si="4"/>
        <v>-31143.72</v>
      </c>
      <c r="Q40" s="61">
        <f t="shared" si="39"/>
        <v>427.72000000000116</v>
      </c>
      <c r="R40" s="61">
        <f t="shared" si="39"/>
        <v>36888.94</v>
      </c>
      <c r="S40" s="30">
        <f t="shared" si="5"/>
        <v>-36461.22</v>
      </c>
      <c r="T40" s="61">
        <f t="shared" si="39"/>
        <v>3650.179999999993</v>
      </c>
      <c r="U40" s="61">
        <f t="shared" si="39"/>
        <v>40539.119999999995</v>
      </c>
      <c r="V40" s="30">
        <f t="shared" si="6"/>
        <v>-36888.94</v>
      </c>
      <c r="W40" s="61">
        <f t="shared" si="39"/>
        <v>0.26000000000931323</v>
      </c>
      <c r="X40" s="61">
        <f t="shared" si="39"/>
        <v>42539.380000000005</v>
      </c>
      <c r="Y40" s="30">
        <f t="shared" si="7"/>
        <v>-42539.119999999995</v>
      </c>
      <c r="Z40" s="61">
        <f t="shared" si="39"/>
        <v>0.29999999998835847</v>
      </c>
      <c r="AA40" s="61">
        <f t="shared" si="39"/>
        <v>48182.379999999976</v>
      </c>
      <c r="AB40" s="30">
        <f t="shared" si="8"/>
        <v>-48182.079999999987</v>
      </c>
      <c r="AC40" s="61">
        <f t="shared" si="39"/>
        <v>3160</v>
      </c>
      <c r="AD40" s="61">
        <f t="shared" si="39"/>
        <v>48182.380000000005</v>
      </c>
      <c r="AE40" s="30">
        <f t="shared" si="9"/>
        <v>-45022.380000000005</v>
      </c>
      <c r="AF40" s="61">
        <f t="shared" si="39"/>
        <v>9.9999999976716936E-2</v>
      </c>
      <c r="AG40" s="61">
        <f t="shared" si="39"/>
        <v>48182.479999999981</v>
      </c>
      <c r="AH40" s="30">
        <f t="shared" si="10"/>
        <v>-48182.380000000005</v>
      </c>
      <c r="AI40" s="61">
        <f t="shared" si="39"/>
        <v>0.26000000000931323</v>
      </c>
      <c r="AJ40" s="61">
        <f t="shared" si="39"/>
        <v>2993.7799999999697</v>
      </c>
      <c r="AK40" s="30">
        <f t="shared" si="11"/>
        <v>-2993.5199999999604</v>
      </c>
      <c r="AL40" s="61"/>
      <c r="AM40" s="61"/>
      <c r="AN40" s="61"/>
    </row>
    <row r="43" spans="1:40" x14ac:dyDescent="0.25">
      <c r="A43" s="87"/>
    </row>
    <row r="44" spans="1:40" x14ac:dyDescent="0.25">
      <c r="A44" s="87"/>
    </row>
    <row r="45" spans="1:40" x14ac:dyDescent="0.25">
      <c r="A45" s="129"/>
      <c r="B45" s="130"/>
      <c r="AK45" s="77">
        <v>8720</v>
      </c>
    </row>
    <row r="46" spans="1:40" x14ac:dyDescent="0.25">
      <c r="A46" s="87"/>
    </row>
    <row r="47" spans="1:40" x14ac:dyDescent="0.25">
      <c r="A47" s="129"/>
      <c r="B47" s="130"/>
      <c r="P47" s="131">
        <v>272467.13</v>
      </c>
    </row>
    <row r="48" spans="1:40" x14ac:dyDescent="0.25">
      <c r="A48" s="129"/>
      <c r="B48" s="130"/>
      <c r="P48" s="131">
        <v>8051.7</v>
      </c>
    </row>
    <row r="49" spans="1:19" x14ac:dyDescent="0.25">
      <c r="A49" s="87"/>
    </row>
    <row r="50" spans="1:19" x14ac:dyDescent="0.25">
      <c r="A50" s="132"/>
      <c r="B50" s="133"/>
      <c r="S50" s="128">
        <v>148564.81</v>
      </c>
    </row>
    <row r="51" spans="1:19" x14ac:dyDescent="0.25">
      <c r="A51" s="132"/>
      <c r="B51" s="133"/>
      <c r="S51" s="128">
        <v>3861119.24</v>
      </c>
    </row>
    <row r="55" spans="1:19" x14ac:dyDescent="0.25">
      <c r="A55" s="5" t="s">
        <v>183</v>
      </c>
      <c r="B55" s="5" t="s">
        <v>26</v>
      </c>
      <c r="C55" s="5" t="s">
        <v>156</v>
      </c>
      <c r="H55" s="5" t="s">
        <v>26</v>
      </c>
      <c r="I55" s="5" t="s">
        <v>156</v>
      </c>
    </row>
    <row r="56" spans="1:19" x14ac:dyDescent="0.25">
      <c r="A56" s="80" t="s">
        <v>166</v>
      </c>
      <c r="B56" s="79">
        <f t="shared" ref="B56:C59" si="40">+AL17</f>
        <v>263283524</v>
      </c>
      <c r="C56" s="79">
        <f t="shared" si="40"/>
        <v>263315902</v>
      </c>
      <c r="G56" s="78" t="s">
        <v>11</v>
      </c>
      <c r="H56" s="79">
        <f t="shared" ref="H56:I58" si="41">+AL8</f>
        <v>256620591</v>
      </c>
      <c r="I56" s="79">
        <f t="shared" si="41"/>
        <v>249592660.19999999</v>
      </c>
    </row>
    <row r="57" spans="1:19" x14ac:dyDescent="0.25">
      <c r="A57" s="80" t="s">
        <v>17</v>
      </c>
      <c r="B57" s="79">
        <f t="shared" si="40"/>
        <v>13164176.200000001</v>
      </c>
      <c r="C57" s="79">
        <f t="shared" si="40"/>
        <v>13165795.100000001</v>
      </c>
      <c r="G57" s="80" t="s">
        <v>168</v>
      </c>
      <c r="H57" s="79">
        <f t="shared" si="41"/>
        <v>6439022</v>
      </c>
      <c r="I57" s="79">
        <f t="shared" si="41"/>
        <v>6933150</v>
      </c>
    </row>
    <row r="58" spans="1:19" x14ac:dyDescent="0.25">
      <c r="A58" s="81" t="s">
        <v>167</v>
      </c>
      <c r="B58" s="79">
        <f t="shared" si="40"/>
        <v>238964</v>
      </c>
      <c r="C58" s="79">
        <f t="shared" si="40"/>
        <v>240073</v>
      </c>
      <c r="G58" s="80" t="s">
        <v>171</v>
      </c>
      <c r="H58" s="79">
        <f t="shared" si="41"/>
        <v>324506.09999999998</v>
      </c>
      <c r="I58" s="79">
        <f t="shared" si="41"/>
        <v>346657.5</v>
      </c>
    </row>
    <row r="59" spans="1:19" x14ac:dyDescent="0.25">
      <c r="A59" s="60" t="s">
        <v>18</v>
      </c>
      <c r="B59" s="79">
        <f t="shared" si="40"/>
        <v>29870.5</v>
      </c>
      <c r="C59" s="79">
        <f t="shared" si="40"/>
        <v>30009</v>
      </c>
      <c r="G59" s="60"/>
      <c r="H59" s="79"/>
      <c r="I59" s="79"/>
    </row>
    <row r="60" spans="1:19" x14ac:dyDescent="0.25">
      <c r="A60" s="60"/>
      <c r="B60" s="79"/>
      <c r="C60" s="79"/>
      <c r="G60" s="81" t="s">
        <v>169</v>
      </c>
      <c r="H60" s="79">
        <f>+AL11</f>
        <v>1667751</v>
      </c>
      <c r="I60" s="79">
        <f>+AM11</f>
        <v>1986134</v>
      </c>
    </row>
    <row r="61" spans="1:19" x14ac:dyDescent="0.25">
      <c r="A61" s="60" t="s">
        <v>164</v>
      </c>
      <c r="B61" s="79">
        <f>+AL21</f>
        <v>8180</v>
      </c>
      <c r="C61" s="79">
        <f>+AM21</f>
        <v>16712</v>
      </c>
      <c r="G61" s="60" t="s">
        <v>172</v>
      </c>
      <c r="H61" s="79">
        <f>+AL12</f>
        <v>208091</v>
      </c>
      <c r="I61" s="79">
        <f>+AM12</f>
        <v>248266.75</v>
      </c>
    </row>
    <row r="62" spans="1:19" x14ac:dyDescent="0.25">
      <c r="A62" s="60" t="s">
        <v>63</v>
      </c>
      <c r="B62" s="79">
        <f>+AL22</f>
        <v>0</v>
      </c>
      <c r="C62" s="79">
        <f>+AM22</f>
        <v>95218</v>
      </c>
      <c r="G62" s="60"/>
      <c r="H62" s="79"/>
      <c r="I62" s="79"/>
    </row>
    <row r="63" spans="1:19" x14ac:dyDescent="0.25">
      <c r="A63" s="60"/>
      <c r="B63" s="79">
        <f>+B61+B62</f>
        <v>8180</v>
      </c>
      <c r="C63" s="79">
        <f>+C61+C62</f>
        <v>111930</v>
      </c>
      <c r="G63" s="60" t="s">
        <v>158</v>
      </c>
      <c r="H63" s="79">
        <f>+AL15</f>
        <v>0</v>
      </c>
      <c r="I63" s="79">
        <f>+AM15</f>
        <v>432933</v>
      </c>
    </row>
    <row r="64" spans="1:19" x14ac:dyDescent="0.25">
      <c r="A64" s="60" t="s">
        <v>170</v>
      </c>
      <c r="B64" s="79">
        <f t="shared" ref="B64:C66" si="42">+AL31</f>
        <v>172466043</v>
      </c>
      <c r="C64" s="79">
        <f t="shared" si="42"/>
        <v>176050261</v>
      </c>
      <c r="E64" s="85"/>
      <c r="H64" s="85">
        <f>+SUM(H56:H63)</f>
        <v>265259961.09999999</v>
      </c>
      <c r="I64" s="85">
        <f>+SUM(I56:I63)</f>
        <v>259539801.44999999</v>
      </c>
    </row>
    <row r="65" spans="1:8" x14ac:dyDescent="0.25">
      <c r="A65" s="60" t="s">
        <v>24</v>
      </c>
      <c r="B65" s="79">
        <f t="shared" si="42"/>
        <v>3449320.8600000003</v>
      </c>
      <c r="C65" s="79">
        <f t="shared" si="42"/>
        <v>3521005.2199999997</v>
      </c>
      <c r="E65" s="85"/>
    </row>
    <row r="66" spans="1:8" x14ac:dyDescent="0.25">
      <c r="A66" s="60" t="s">
        <v>165</v>
      </c>
      <c r="B66" s="79">
        <f t="shared" si="42"/>
        <v>13436</v>
      </c>
      <c r="C66" s="79">
        <f t="shared" si="42"/>
        <v>51111</v>
      </c>
    </row>
    <row r="67" spans="1:8" x14ac:dyDescent="0.25">
      <c r="A67" s="60" t="s">
        <v>173</v>
      </c>
      <c r="B67" s="79">
        <f>+B66+B65+B64+B62+B61+B56+B57+B58+B59</f>
        <v>452653514.56</v>
      </c>
      <c r="C67" s="79">
        <f>+C66+C65+C64+C62+C61+C56+C57+C58+C59</f>
        <v>456486086.32000005</v>
      </c>
    </row>
    <row r="68" spans="1:8" x14ac:dyDescent="0.25">
      <c r="A68" s="60" t="s">
        <v>176</v>
      </c>
      <c r="B68" s="79"/>
      <c r="C68" s="79">
        <v>456486320</v>
      </c>
    </row>
    <row r="69" spans="1:8" x14ac:dyDescent="0.25">
      <c r="A69" s="86" t="s">
        <v>40</v>
      </c>
      <c r="B69" s="60"/>
      <c r="C69" s="79">
        <f>+C67-C68</f>
        <v>-233.67999994754791</v>
      </c>
    </row>
    <row r="71" spans="1:8" x14ac:dyDescent="0.25">
      <c r="H71" s="85"/>
    </row>
    <row r="72" spans="1:8" x14ac:dyDescent="0.25">
      <c r="A72" s="60" t="s">
        <v>177</v>
      </c>
      <c r="B72" s="79">
        <f>+B56+B57+B58+B59+B61+B62</f>
        <v>276724714.69999999</v>
      </c>
      <c r="C72" s="79">
        <f>+C56+C57+C58+C59+C61+C62</f>
        <v>276863709.10000002</v>
      </c>
      <c r="H72" s="85"/>
    </row>
    <row r="73" spans="1:8" x14ac:dyDescent="0.25">
      <c r="A73" s="60" t="s">
        <v>178</v>
      </c>
      <c r="B73" s="79">
        <f>+B64+B65+B66</f>
        <v>175928799.86000001</v>
      </c>
      <c r="C73" s="79">
        <f>+C64+C65+C66</f>
        <v>179622377.22</v>
      </c>
    </row>
    <row r="74" spans="1:8" x14ac:dyDescent="0.25">
      <c r="A74" s="86" t="s">
        <v>25</v>
      </c>
      <c r="B74" s="79">
        <f>+B72+B73</f>
        <v>452653514.56</v>
      </c>
      <c r="C74" s="79">
        <f>+C72+C73</f>
        <v>456486086.32000005</v>
      </c>
    </row>
    <row r="75" spans="1:8" x14ac:dyDescent="0.25">
      <c r="A75" s="60" t="s">
        <v>163</v>
      </c>
      <c r="B75" s="79">
        <v>58089</v>
      </c>
      <c r="C75" s="79">
        <v>234538</v>
      </c>
    </row>
    <row r="76" spans="1:8" x14ac:dyDescent="0.25">
      <c r="A76" s="60" t="s">
        <v>175</v>
      </c>
      <c r="B76" s="79">
        <v>2904</v>
      </c>
      <c r="C76" s="79">
        <v>11726.45</v>
      </c>
    </row>
    <row r="77" spans="1:8" x14ac:dyDescent="0.25">
      <c r="A77" s="86" t="s">
        <v>25</v>
      </c>
      <c r="B77" s="79">
        <f>+B75+B76</f>
        <v>60993</v>
      </c>
      <c r="C77" s="79">
        <f>+C75+C76</f>
        <v>246264.45</v>
      </c>
    </row>
    <row r="78" spans="1:8" x14ac:dyDescent="0.25">
      <c r="A78" s="60" t="s">
        <v>162</v>
      </c>
      <c r="B78" s="79">
        <v>202778</v>
      </c>
      <c r="C78" s="79">
        <v>2951427</v>
      </c>
    </row>
    <row r="79" spans="1:8" x14ac:dyDescent="0.25">
      <c r="A79" s="60" t="s">
        <v>174</v>
      </c>
      <c r="B79" s="79">
        <v>4056</v>
      </c>
      <c r="C79" s="79">
        <v>59028.54</v>
      </c>
    </row>
    <row r="80" spans="1:8" x14ac:dyDescent="0.25">
      <c r="A80" s="86" t="s">
        <v>25</v>
      </c>
      <c r="B80" s="79">
        <f>+B78+B79</f>
        <v>206834</v>
      </c>
      <c r="C80" s="79">
        <f>+C78+C79</f>
        <v>3010455.54</v>
      </c>
    </row>
    <row r="81" spans="1:37" x14ac:dyDescent="0.25">
      <c r="A81" s="60"/>
      <c r="B81" s="60"/>
      <c r="C81" s="60"/>
    </row>
    <row r="82" spans="1:37" x14ac:dyDescent="0.25">
      <c r="A82" s="60" t="s">
        <v>179</v>
      </c>
      <c r="B82" s="79">
        <f>+B64-B78</f>
        <v>172263265</v>
      </c>
      <c r="C82" s="79">
        <f>+C64-C78+229</f>
        <v>173099063</v>
      </c>
    </row>
    <row r="83" spans="1:37" x14ac:dyDescent="0.25">
      <c r="A83" s="60"/>
      <c r="B83" s="60"/>
      <c r="C83" s="60"/>
    </row>
    <row r="84" spans="1:37" x14ac:dyDescent="0.25">
      <c r="A84" s="60" t="s">
        <v>182</v>
      </c>
      <c r="B84" s="79">
        <f>+B85+B86</f>
        <v>263464399</v>
      </c>
      <c r="C84" s="79">
        <f>+C85+C86</f>
        <v>263321437</v>
      </c>
    </row>
    <row r="85" spans="1:37" x14ac:dyDescent="0.25">
      <c r="A85" s="60" t="s">
        <v>180</v>
      </c>
      <c r="B85" s="79">
        <f>+B56-B75</f>
        <v>263225435</v>
      </c>
      <c r="C85" s="79">
        <f>+C56-C75</f>
        <v>263081364</v>
      </c>
    </row>
    <row r="86" spans="1:37" x14ac:dyDescent="0.25">
      <c r="A86" s="60" t="s">
        <v>181</v>
      </c>
      <c r="B86" s="79">
        <f>+B58</f>
        <v>238964</v>
      </c>
      <c r="C86" s="79">
        <f>+C58</f>
        <v>240073</v>
      </c>
    </row>
    <row r="87" spans="1:37" x14ac:dyDescent="0.25">
      <c r="A87" s="87"/>
    </row>
    <row r="88" spans="1:37" x14ac:dyDescent="0.25">
      <c r="A88" s="87"/>
    </row>
    <row r="89" spans="1:37" x14ac:dyDescent="0.25">
      <c r="A89" s="87"/>
    </row>
    <row r="90" spans="1:37" x14ac:dyDescent="0.25">
      <c r="B90" s="85"/>
    </row>
    <row r="91" spans="1:37" x14ac:dyDescent="0.25">
      <c r="B91" s="85"/>
    </row>
    <row r="93" spans="1:37" x14ac:dyDescent="0.25">
      <c r="D93" s="85"/>
      <c r="G93" s="85"/>
      <c r="J93" s="85"/>
      <c r="M93" s="85"/>
      <c r="P93" s="85"/>
      <c r="S93" s="85"/>
      <c r="V93" s="85"/>
      <c r="Y93" s="85"/>
      <c r="AB93" s="85"/>
      <c r="AE93" s="85"/>
      <c r="AH93" s="85"/>
      <c r="AK93" s="85"/>
    </row>
  </sheetData>
  <autoFilter ref="A7:AO40"/>
  <pageMargins left="0.7" right="0.7" top="0.75" bottom="0.75" header="0.3" footer="0.3"/>
  <pageSetup paperSize="9" scale="76" orientation="landscape" r:id="rId1"/>
  <rowBreaks count="1" manualBreakCount="1">
    <brk id="40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6"/>
  <sheetViews>
    <sheetView tabSelected="1" workbookViewId="0">
      <pane xSplit="1" topLeftCell="B1" activePane="topRight" state="frozen"/>
      <selection pane="topRight" activeCell="H1" sqref="H1"/>
    </sheetView>
  </sheetViews>
  <sheetFormatPr defaultRowHeight="15.75" x14ac:dyDescent="0.25"/>
  <cols>
    <col min="1" max="1" width="28.5703125" style="94" customWidth="1"/>
    <col min="2" max="2" width="14.42578125" style="94" customWidth="1"/>
    <col min="3" max="3" width="13.140625" style="94" customWidth="1"/>
    <col min="4" max="5" width="11.5703125" style="94" bestFit="1" customWidth="1"/>
    <col min="6" max="6" width="12.28515625" style="94" bestFit="1" customWidth="1"/>
    <col min="7" max="8" width="11.5703125" style="94" bestFit="1" customWidth="1"/>
    <col min="9" max="9" width="12.28515625" style="94" bestFit="1" customWidth="1"/>
    <col min="10" max="10" width="11.5703125" style="94" bestFit="1" customWidth="1"/>
    <col min="11" max="11" width="12.5703125" style="94" bestFit="1" customWidth="1"/>
    <col min="12" max="12" width="12.28515625" style="94" bestFit="1" customWidth="1"/>
    <col min="13" max="14" width="11.5703125" style="94" bestFit="1" customWidth="1"/>
    <col min="15" max="15" width="12.28515625" style="94" bestFit="1" customWidth="1"/>
    <col min="16" max="17" width="11.5703125" style="94" bestFit="1" customWidth="1"/>
    <col min="18" max="18" width="12.28515625" style="94" bestFit="1" customWidth="1"/>
    <col min="19" max="20" width="11.5703125" style="94" bestFit="1" customWidth="1"/>
    <col min="21" max="22" width="12.28515625" style="94" bestFit="1" customWidth="1"/>
    <col min="23" max="23" width="11.5703125" style="94" bestFit="1" customWidth="1"/>
    <col min="24" max="24" width="12.28515625" style="94" bestFit="1" customWidth="1"/>
    <col min="25" max="25" width="11.5703125" style="94" bestFit="1" customWidth="1"/>
    <col min="26" max="26" width="13" style="94" customWidth="1"/>
    <col min="27" max="28" width="12.28515625" style="94" bestFit="1" customWidth="1"/>
    <col min="29" max="29" width="12.5703125" style="94" bestFit="1" customWidth="1"/>
    <col min="30" max="30" width="12.28515625" style="94" bestFit="1" customWidth="1"/>
    <col min="31" max="31" width="11.5703125" style="94" bestFit="1" customWidth="1"/>
    <col min="32" max="33" width="12.28515625" style="94" bestFit="1" customWidth="1"/>
    <col min="34" max="34" width="11.5703125" style="94" bestFit="1" customWidth="1"/>
    <col min="35" max="35" width="14.28515625" style="94" bestFit="1" customWidth="1"/>
    <col min="36" max="36" width="12.28515625" style="94" bestFit="1" customWidth="1"/>
    <col min="37" max="37" width="14.28515625" style="94" bestFit="1" customWidth="1"/>
    <col min="38" max="38" width="14.42578125" style="106" bestFit="1" customWidth="1"/>
    <col min="39" max="39" width="14.28515625" style="106" bestFit="1" customWidth="1"/>
    <col min="40" max="40" width="14.42578125" style="107" bestFit="1" customWidth="1"/>
    <col min="41" max="41" width="10" style="62" bestFit="1" customWidth="1"/>
    <col min="42" max="42" width="13.28515625" style="62" bestFit="1" customWidth="1"/>
    <col min="43" max="234" width="9.140625" style="62"/>
    <col min="235" max="235" width="5.28515625" style="62" bestFit="1" customWidth="1"/>
    <col min="236" max="236" width="28.5703125" style="62" customWidth="1"/>
    <col min="237" max="237" width="14.42578125" style="62" customWidth="1"/>
    <col min="238" max="238" width="13.140625" style="62" customWidth="1"/>
    <col min="239" max="240" width="11.5703125" style="62" bestFit="1" customWidth="1"/>
    <col min="241" max="241" width="12.28515625" style="62" bestFit="1" customWidth="1"/>
    <col min="242" max="243" width="11.5703125" style="62" bestFit="1" customWidth="1"/>
    <col min="244" max="244" width="12.28515625" style="62" bestFit="1" customWidth="1"/>
    <col min="245" max="245" width="11.5703125" style="62" bestFit="1" customWidth="1"/>
    <col min="246" max="246" width="12.5703125" style="62" bestFit="1" customWidth="1"/>
    <col min="247" max="247" width="12.28515625" style="62" bestFit="1" customWidth="1"/>
    <col min="248" max="249" width="11.5703125" style="62" bestFit="1" customWidth="1"/>
    <col min="250" max="250" width="12.28515625" style="62" bestFit="1" customWidth="1"/>
    <col min="251" max="252" width="11.5703125" style="62" bestFit="1" customWidth="1"/>
    <col min="253" max="253" width="12.28515625" style="62" bestFit="1" customWidth="1"/>
    <col min="254" max="255" width="11.5703125" style="62" bestFit="1" customWidth="1"/>
    <col min="256" max="256" width="12.28515625" style="62" bestFit="1" customWidth="1"/>
    <col min="257" max="258" width="11.5703125" style="62" bestFit="1" customWidth="1"/>
    <col min="259" max="259" width="12.28515625" style="62" bestFit="1" customWidth="1"/>
    <col min="260" max="260" width="11.5703125" style="62" bestFit="1" customWidth="1"/>
    <col min="261" max="261" width="13" style="62" customWidth="1"/>
    <col min="262" max="262" width="12.28515625" style="62" bestFit="1" customWidth="1"/>
    <col min="263" max="263" width="11.5703125" style="62" bestFit="1" customWidth="1"/>
    <col min="264" max="264" width="12.5703125" style="62" bestFit="1" customWidth="1"/>
    <col min="265" max="265" width="12.28515625" style="62" bestFit="1" customWidth="1"/>
    <col min="266" max="267" width="11.5703125" style="62" bestFit="1" customWidth="1"/>
    <col min="268" max="268" width="12.28515625" style="62" bestFit="1" customWidth="1"/>
    <col min="269" max="269" width="11.5703125" style="62" bestFit="1" customWidth="1"/>
    <col min="270" max="270" width="14.28515625" style="62" bestFit="1" customWidth="1"/>
    <col min="271" max="271" width="12.28515625" style="62" bestFit="1" customWidth="1"/>
    <col min="272" max="272" width="14.28515625" style="62" bestFit="1" customWidth="1"/>
    <col min="273" max="273" width="14.42578125" style="62" bestFit="1" customWidth="1"/>
    <col min="274" max="274" width="14.28515625" style="62" bestFit="1" customWidth="1"/>
    <col min="275" max="275" width="14.42578125" style="62" bestFit="1" customWidth="1"/>
    <col min="276" max="276" width="10.7109375" style="62" bestFit="1" customWidth="1"/>
    <col min="277" max="277" width="11.5703125" style="62" bestFit="1" customWidth="1"/>
    <col min="278" max="490" width="9.140625" style="62"/>
    <col min="491" max="491" width="5.28515625" style="62" bestFit="1" customWidth="1"/>
    <col min="492" max="492" width="28.5703125" style="62" customWidth="1"/>
    <col min="493" max="493" width="14.42578125" style="62" customWidth="1"/>
    <col min="494" max="494" width="13.140625" style="62" customWidth="1"/>
    <col min="495" max="496" width="11.5703125" style="62" bestFit="1" customWidth="1"/>
    <col min="497" max="497" width="12.28515625" style="62" bestFit="1" customWidth="1"/>
    <col min="498" max="499" width="11.5703125" style="62" bestFit="1" customWidth="1"/>
    <col min="500" max="500" width="12.28515625" style="62" bestFit="1" customWidth="1"/>
    <col min="501" max="501" width="11.5703125" style="62" bestFit="1" customWidth="1"/>
    <col min="502" max="502" width="12.5703125" style="62" bestFit="1" customWidth="1"/>
    <col min="503" max="503" width="12.28515625" style="62" bestFit="1" customWidth="1"/>
    <col min="504" max="505" width="11.5703125" style="62" bestFit="1" customWidth="1"/>
    <col min="506" max="506" width="12.28515625" style="62" bestFit="1" customWidth="1"/>
    <col min="507" max="508" width="11.5703125" style="62" bestFit="1" customWidth="1"/>
    <col min="509" max="509" width="12.28515625" style="62" bestFit="1" customWidth="1"/>
    <col min="510" max="511" width="11.5703125" style="62" bestFit="1" customWidth="1"/>
    <col min="512" max="512" width="12.28515625" style="62" bestFit="1" customWidth="1"/>
    <col min="513" max="514" width="11.5703125" style="62" bestFit="1" customWidth="1"/>
    <col min="515" max="515" width="12.28515625" style="62" bestFit="1" customWidth="1"/>
    <col min="516" max="516" width="11.5703125" style="62" bestFit="1" customWidth="1"/>
    <col min="517" max="517" width="13" style="62" customWidth="1"/>
    <col min="518" max="518" width="12.28515625" style="62" bestFit="1" customWidth="1"/>
    <col min="519" max="519" width="11.5703125" style="62" bestFit="1" customWidth="1"/>
    <col min="520" max="520" width="12.5703125" style="62" bestFit="1" customWidth="1"/>
    <col min="521" max="521" width="12.28515625" style="62" bestFit="1" customWidth="1"/>
    <col min="522" max="523" width="11.5703125" style="62" bestFit="1" customWidth="1"/>
    <col min="524" max="524" width="12.28515625" style="62" bestFit="1" customWidth="1"/>
    <col min="525" max="525" width="11.5703125" style="62" bestFit="1" customWidth="1"/>
    <col min="526" max="526" width="14.28515625" style="62" bestFit="1" customWidth="1"/>
    <col min="527" max="527" width="12.28515625" style="62" bestFit="1" customWidth="1"/>
    <col min="528" max="528" width="14.28515625" style="62" bestFit="1" customWidth="1"/>
    <col min="529" max="529" width="14.42578125" style="62" bestFit="1" customWidth="1"/>
    <col min="530" max="530" width="14.28515625" style="62" bestFit="1" customWidth="1"/>
    <col min="531" max="531" width="14.42578125" style="62" bestFit="1" customWidth="1"/>
    <col min="532" max="532" width="10.7109375" style="62" bestFit="1" customWidth="1"/>
    <col min="533" max="533" width="11.5703125" style="62" bestFit="1" customWidth="1"/>
    <col min="534" max="746" width="9.140625" style="62"/>
    <col min="747" max="747" width="5.28515625" style="62" bestFit="1" customWidth="1"/>
    <col min="748" max="748" width="28.5703125" style="62" customWidth="1"/>
    <col min="749" max="749" width="14.42578125" style="62" customWidth="1"/>
    <col min="750" max="750" width="13.140625" style="62" customWidth="1"/>
    <col min="751" max="752" width="11.5703125" style="62" bestFit="1" customWidth="1"/>
    <col min="753" max="753" width="12.28515625" style="62" bestFit="1" customWidth="1"/>
    <col min="754" max="755" width="11.5703125" style="62" bestFit="1" customWidth="1"/>
    <col min="756" max="756" width="12.28515625" style="62" bestFit="1" customWidth="1"/>
    <col min="757" max="757" width="11.5703125" style="62" bestFit="1" customWidth="1"/>
    <col min="758" max="758" width="12.5703125" style="62" bestFit="1" customWidth="1"/>
    <col min="759" max="759" width="12.28515625" style="62" bestFit="1" customWidth="1"/>
    <col min="760" max="761" width="11.5703125" style="62" bestFit="1" customWidth="1"/>
    <col min="762" max="762" width="12.28515625" style="62" bestFit="1" customWidth="1"/>
    <col min="763" max="764" width="11.5703125" style="62" bestFit="1" customWidth="1"/>
    <col min="765" max="765" width="12.28515625" style="62" bestFit="1" customWidth="1"/>
    <col min="766" max="767" width="11.5703125" style="62" bestFit="1" customWidth="1"/>
    <col min="768" max="768" width="12.28515625" style="62" bestFit="1" customWidth="1"/>
    <col min="769" max="770" width="11.5703125" style="62" bestFit="1" customWidth="1"/>
    <col min="771" max="771" width="12.28515625" style="62" bestFit="1" customWidth="1"/>
    <col min="772" max="772" width="11.5703125" style="62" bestFit="1" customWidth="1"/>
    <col min="773" max="773" width="13" style="62" customWidth="1"/>
    <col min="774" max="774" width="12.28515625" style="62" bestFit="1" customWidth="1"/>
    <col min="775" max="775" width="11.5703125" style="62" bestFit="1" customWidth="1"/>
    <col min="776" max="776" width="12.5703125" style="62" bestFit="1" customWidth="1"/>
    <col min="777" max="777" width="12.28515625" style="62" bestFit="1" customWidth="1"/>
    <col min="778" max="779" width="11.5703125" style="62" bestFit="1" customWidth="1"/>
    <col min="780" max="780" width="12.28515625" style="62" bestFit="1" customWidth="1"/>
    <col min="781" max="781" width="11.5703125" style="62" bestFit="1" customWidth="1"/>
    <col min="782" max="782" width="14.28515625" style="62" bestFit="1" customWidth="1"/>
    <col min="783" max="783" width="12.28515625" style="62" bestFit="1" customWidth="1"/>
    <col min="784" max="784" width="14.28515625" style="62" bestFit="1" customWidth="1"/>
    <col min="785" max="785" width="14.42578125" style="62" bestFit="1" customWidth="1"/>
    <col min="786" max="786" width="14.28515625" style="62" bestFit="1" customWidth="1"/>
    <col min="787" max="787" width="14.42578125" style="62" bestFit="1" customWidth="1"/>
    <col min="788" max="788" width="10.7109375" style="62" bestFit="1" customWidth="1"/>
    <col min="789" max="789" width="11.5703125" style="62" bestFit="1" customWidth="1"/>
    <col min="790" max="1002" width="9.140625" style="62"/>
    <col min="1003" max="1003" width="5.28515625" style="62" bestFit="1" customWidth="1"/>
    <col min="1004" max="1004" width="28.5703125" style="62" customWidth="1"/>
    <col min="1005" max="1005" width="14.42578125" style="62" customWidth="1"/>
    <col min="1006" max="1006" width="13.140625" style="62" customWidth="1"/>
    <col min="1007" max="1008" width="11.5703125" style="62" bestFit="1" customWidth="1"/>
    <col min="1009" max="1009" width="12.28515625" style="62" bestFit="1" customWidth="1"/>
    <col min="1010" max="1011" width="11.5703125" style="62" bestFit="1" customWidth="1"/>
    <col min="1012" max="1012" width="12.28515625" style="62" bestFit="1" customWidth="1"/>
    <col min="1013" max="1013" width="11.5703125" style="62" bestFit="1" customWidth="1"/>
    <col min="1014" max="1014" width="12.5703125" style="62" bestFit="1" customWidth="1"/>
    <col min="1015" max="1015" width="12.28515625" style="62" bestFit="1" customWidth="1"/>
    <col min="1016" max="1017" width="11.5703125" style="62" bestFit="1" customWidth="1"/>
    <col min="1018" max="1018" width="12.28515625" style="62" bestFit="1" customWidth="1"/>
    <col min="1019" max="1020" width="11.5703125" style="62" bestFit="1" customWidth="1"/>
    <col min="1021" max="1021" width="12.28515625" style="62" bestFit="1" customWidth="1"/>
    <col min="1022" max="1023" width="11.5703125" style="62" bestFit="1" customWidth="1"/>
    <col min="1024" max="1024" width="12.28515625" style="62" bestFit="1" customWidth="1"/>
    <col min="1025" max="1026" width="11.5703125" style="62" bestFit="1" customWidth="1"/>
    <col min="1027" max="1027" width="12.28515625" style="62" bestFit="1" customWidth="1"/>
    <col min="1028" max="1028" width="11.5703125" style="62" bestFit="1" customWidth="1"/>
    <col min="1029" max="1029" width="13" style="62" customWidth="1"/>
    <col min="1030" max="1030" width="12.28515625" style="62" bestFit="1" customWidth="1"/>
    <col min="1031" max="1031" width="11.5703125" style="62" bestFit="1" customWidth="1"/>
    <col min="1032" max="1032" width="12.5703125" style="62" bestFit="1" customWidth="1"/>
    <col min="1033" max="1033" width="12.28515625" style="62" bestFit="1" customWidth="1"/>
    <col min="1034" max="1035" width="11.5703125" style="62" bestFit="1" customWidth="1"/>
    <col min="1036" max="1036" width="12.28515625" style="62" bestFit="1" customWidth="1"/>
    <col min="1037" max="1037" width="11.5703125" style="62" bestFit="1" customWidth="1"/>
    <col min="1038" max="1038" width="14.28515625" style="62" bestFit="1" customWidth="1"/>
    <col min="1039" max="1039" width="12.28515625" style="62" bestFit="1" customWidth="1"/>
    <col min="1040" max="1040" width="14.28515625" style="62" bestFit="1" customWidth="1"/>
    <col min="1041" max="1041" width="14.42578125" style="62" bestFit="1" customWidth="1"/>
    <col min="1042" max="1042" width="14.28515625" style="62" bestFit="1" customWidth="1"/>
    <col min="1043" max="1043" width="14.42578125" style="62" bestFit="1" customWidth="1"/>
    <col min="1044" max="1044" width="10.7109375" style="62" bestFit="1" customWidth="1"/>
    <col min="1045" max="1045" width="11.5703125" style="62" bestFit="1" customWidth="1"/>
    <col min="1046" max="1258" width="9.140625" style="62"/>
    <col min="1259" max="1259" width="5.28515625" style="62" bestFit="1" customWidth="1"/>
    <col min="1260" max="1260" width="28.5703125" style="62" customWidth="1"/>
    <col min="1261" max="1261" width="14.42578125" style="62" customWidth="1"/>
    <col min="1262" max="1262" width="13.140625" style="62" customWidth="1"/>
    <col min="1263" max="1264" width="11.5703125" style="62" bestFit="1" customWidth="1"/>
    <col min="1265" max="1265" width="12.28515625" style="62" bestFit="1" customWidth="1"/>
    <col min="1266" max="1267" width="11.5703125" style="62" bestFit="1" customWidth="1"/>
    <col min="1268" max="1268" width="12.28515625" style="62" bestFit="1" customWidth="1"/>
    <col min="1269" max="1269" width="11.5703125" style="62" bestFit="1" customWidth="1"/>
    <col min="1270" max="1270" width="12.5703125" style="62" bestFit="1" customWidth="1"/>
    <col min="1271" max="1271" width="12.28515625" style="62" bestFit="1" customWidth="1"/>
    <col min="1272" max="1273" width="11.5703125" style="62" bestFit="1" customWidth="1"/>
    <col min="1274" max="1274" width="12.28515625" style="62" bestFit="1" customWidth="1"/>
    <col min="1275" max="1276" width="11.5703125" style="62" bestFit="1" customWidth="1"/>
    <col min="1277" max="1277" width="12.28515625" style="62" bestFit="1" customWidth="1"/>
    <col min="1278" max="1279" width="11.5703125" style="62" bestFit="1" customWidth="1"/>
    <col min="1280" max="1280" width="12.28515625" style="62" bestFit="1" customWidth="1"/>
    <col min="1281" max="1282" width="11.5703125" style="62" bestFit="1" customWidth="1"/>
    <col min="1283" max="1283" width="12.28515625" style="62" bestFit="1" customWidth="1"/>
    <col min="1284" max="1284" width="11.5703125" style="62" bestFit="1" customWidth="1"/>
    <col min="1285" max="1285" width="13" style="62" customWidth="1"/>
    <col min="1286" max="1286" width="12.28515625" style="62" bestFit="1" customWidth="1"/>
    <col min="1287" max="1287" width="11.5703125" style="62" bestFit="1" customWidth="1"/>
    <col min="1288" max="1288" width="12.5703125" style="62" bestFit="1" customWidth="1"/>
    <col min="1289" max="1289" width="12.28515625" style="62" bestFit="1" customWidth="1"/>
    <col min="1290" max="1291" width="11.5703125" style="62" bestFit="1" customWidth="1"/>
    <col min="1292" max="1292" width="12.28515625" style="62" bestFit="1" customWidth="1"/>
    <col min="1293" max="1293" width="11.5703125" style="62" bestFit="1" customWidth="1"/>
    <col min="1294" max="1294" width="14.28515625" style="62" bestFit="1" customWidth="1"/>
    <col min="1295" max="1295" width="12.28515625" style="62" bestFit="1" customWidth="1"/>
    <col min="1296" max="1296" width="14.28515625" style="62" bestFit="1" customWidth="1"/>
    <col min="1297" max="1297" width="14.42578125" style="62" bestFit="1" customWidth="1"/>
    <col min="1298" max="1298" width="14.28515625" style="62" bestFit="1" customWidth="1"/>
    <col min="1299" max="1299" width="14.42578125" style="62" bestFit="1" customWidth="1"/>
    <col min="1300" max="1300" width="10.7109375" style="62" bestFit="1" customWidth="1"/>
    <col min="1301" max="1301" width="11.5703125" style="62" bestFit="1" customWidth="1"/>
    <col min="1302" max="1514" width="9.140625" style="62"/>
    <col min="1515" max="1515" width="5.28515625" style="62" bestFit="1" customWidth="1"/>
    <col min="1516" max="1516" width="28.5703125" style="62" customWidth="1"/>
    <col min="1517" max="1517" width="14.42578125" style="62" customWidth="1"/>
    <col min="1518" max="1518" width="13.140625" style="62" customWidth="1"/>
    <col min="1519" max="1520" width="11.5703125" style="62" bestFit="1" customWidth="1"/>
    <col min="1521" max="1521" width="12.28515625" style="62" bestFit="1" customWidth="1"/>
    <col min="1522" max="1523" width="11.5703125" style="62" bestFit="1" customWidth="1"/>
    <col min="1524" max="1524" width="12.28515625" style="62" bestFit="1" customWidth="1"/>
    <col min="1525" max="1525" width="11.5703125" style="62" bestFit="1" customWidth="1"/>
    <col min="1526" max="1526" width="12.5703125" style="62" bestFit="1" customWidth="1"/>
    <col min="1527" max="1527" width="12.28515625" style="62" bestFit="1" customWidth="1"/>
    <col min="1528" max="1529" width="11.5703125" style="62" bestFit="1" customWidth="1"/>
    <col min="1530" max="1530" width="12.28515625" style="62" bestFit="1" customWidth="1"/>
    <col min="1531" max="1532" width="11.5703125" style="62" bestFit="1" customWidth="1"/>
    <col min="1533" max="1533" width="12.28515625" style="62" bestFit="1" customWidth="1"/>
    <col min="1534" max="1535" width="11.5703125" style="62" bestFit="1" customWidth="1"/>
    <col min="1536" max="1536" width="12.28515625" style="62" bestFit="1" customWidth="1"/>
    <col min="1537" max="1538" width="11.5703125" style="62" bestFit="1" customWidth="1"/>
    <col min="1539" max="1539" width="12.28515625" style="62" bestFit="1" customWidth="1"/>
    <col min="1540" max="1540" width="11.5703125" style="62" bestFit="1" customWidth="1"/>
    <col min="1541" max="1541" width="13" style="62" customWidth="1"/>
    <col min="1542" max="1542" width="12.28515625" style="62" bestFit="1" customWidth="1"/>
    <col min="1543" max="1543" width="11.5703125" style="62" bestFit="1" customWidth="1"/>
    <col min="1544" max="1544" width="12.5703125" style="62" bestFit="1" customWidth="1"/>
    <col min="1545" max="1545" width="12.28515625" style="62" bestFit="1" customWidth="1"/>
    <col min="1546" max="1547" width="11.5703125" style="62" bestFit="1" customWidth="1"/>
    <col min="1548" max="1548" width="12.28515625" style="62" bestFit="1" customWidth="1"/>
    <col min="1549" max="1549" width="11.5703125" style="62" bestFit="1" customWidth="1"/>
    <col min="1550" max="1550" width="14.28515625" style="62" bestFit="1" customWidth="1"/>
    <col min="1551" max="1551" width="12.28515625" style="62" bestFit="1" customWidth="1"/>
    <col min="1552" max="1552" width="14.28515625" style="62" bestFit="1" customWidth="1"/>
    <col min="1553" max="1553" width="14.42578125" style="62" bestFit="1" customWidth="1"/>
    <col min="1554" max="1554" width="14.28515625" style="62" bestFit="1" customWidth="1"/>
    <col min="1555" max="1555" width="14.42578125" style="62" bestFit="1" customWidth="1"/>
    <col min="1556" max="1556" width="10.7109375" style="62" bestFit="1" customWidth="1"/>
    <col min="1557" max="1557" width="11.5703125" style="62" bestFit="1" customWidth="1"/>
    <col min="1558" max="1770" width="9.140625" style="62"/>
    <col min="1771" max="1771" width="5.28515625" style="62" bestFit="1" customWidth="1"/>
    <col min="1772" max="1772" width="28.5703125" style="62" customWidth="1"/>
    <col min="1773" max="1773" width="14.42578125" style="62" customWidth="1"/>
    <col min="1774" max="1774" width="13.140625" style="62" customWidth="1"/>
    <col min="1775" max="1776" width="11.5703125" style="62" bestFit="1" customWidth="1"/>
    <col min="1777" max="1777" width="12.28515625" style="62" bestFit="1" customWidth="1"/>
    <col min="1778" max="1779" width="11.5703125" style="62" bestFit="1" customWidth="1"/>
    <col min="1780" max="1780" width="12.28515625" style="62" bestFit="1" customWidth="1"/>
    <col min="1781" max="1781" width="11.5703125" style="62" bestFit="1" customWidth="1"/>
    <col min="1782" max="1782" width="12.5703125" style="62" bestFit="1" customWidth="1"/>
    <col min="1783" max="1783" width="12.28515625" style="62" bestFit="1" customWidth="1"/>
    <col min="1784" max="1785" width="11.5703125" style="62" bestFit="1" customWidth="1"/>
    <col min="1786" max="1786" width="12.28515625" style="62" bestFit="1" customWidth="1"/>
    <col min="1787" max="1788" width="11.5703125" style="62" bestFit="1" customWidth="1"/>
    <col min="1789" max="1789" width="12.28515625" style="62" bestFit="1" customWidth="1"/>
    <col min="1790" max="1791" width="11.5703125" style="62" bestFit="1" customWidth="1"/>
    <col min="1792" max="1792" width="12.28515625" style="62" bestFit="1" customWidth="1"/>
    <col min="1793" max="1794" width="11.5703125" style="62" bestFit="1" customWidth="1"/>
    <col min="1795" max="1795" width="12.28515625" style="62" bestFit="1" customWidth="1"/>
    <col min="1796" max="1796" width="11.5703125" style="62" bestFit="1" customWidth="1"/>
    <col min="1797" max="1797" width="13" style="62" customWidth="1"/>
    <col min="1798" max="1798" width="12.28515625" style="62" bestFit="1" customWidth="1"/>
    <col min="1799" max="1799" width="11.5703125" style="62" bestFit="1" customWidth="1"/>
    <col min="1800" max="1800" width="12.5703125" style="62" bestFit="1" customWidth="1"/>
    <col min="1801" max="1801" width="12.28515625" style="62" bestFit="1" customWidth="1"/>
    <col min="1802" max="1803" width="11.5703125" style="62" bestFit="1" customWidth="1"/>
    <col min="1804" max="1804" width="12.28515625" style="62" bestFit="1" customWidth="1"/>
    <col min="1805" max="1805" width="11.5703125" style="62" bestFit="1" customWidth="1"/>
    <col min="1806" max="1806" width="14.28515625" style="62" bestFit="1" customWidth="1"/>
    <col min="1807" max="1807" width="12.28515625" style="62" bestFit="1" customWidth="1"/>
    <col min="1808" max="1808" width="14.28515625" style="62" bestFit="1" customWidth="1"/>
    <col min="1809" max="1809" width="14.42578125" style="62" bestFit="1" customWidth="1"/>
    <col min="1810" max="1810" width="14.28515625" style="62" bestFit="1" customWidth="1"/>
    <col min="1811" max="1811" width="14.42578125" style="62" bestFit="1" customWidth="1"/>
    <col min="1812" max="1812" width="10.7109375" style="62" bestFit="1" customWidth="1"/>
    <col min="1813" max="1813" width="11.5703125" style="62" bestFit="1" customWidth="1"/>
    <col min="1814" max="2026" width="9.140625" style="62"/>
    <col min="2027" max="2027" width="5.28515625" style="62" bestFit="1" customWidth="1"/>
    <col min="2028" max="2028" width="28.5703125" style="62" customWidth="1"/>
    <col min="2029" max="2029" width="14.42578125" style="62" customWidth="1"/>
    <col min="2030" max="2030" width="13.140625" style="62" customWidth="1"/>
    <col min="2031" max="2032" width="11.5703125" style="62" bestFit="1" customWidth="1"/>
    <col min="2033" max="2033" width="12.28515625" style="62" bestFit="1" customWidth="1"/>
    <col min="2034" max="2035" width="11.5703125" style="62" bestFit="1" customWidth="1"/>
    <col min="2036" max="2036" width="12.28515625" style="62" bestFit="1" customWidth="1"/>
    <col min="2037" max="2037" width="11.5703125" style="62" bestFit="1" customWidth="1"/>
    <col min="2038" max="2038" width="12.5703125" style="62" bestFit="1" customWidth="1"/>
    <col min="2039" max="2039" width="12.28515625" style="62" bestFit="1" customWidth="1"/>
    <col min="2040" max="2041" width="11.5703125" style="62" bestFit="1" customWidth="1"/>
    <col min="2042" max="2042" width="12.28515625" style="62" bestFit="1" customWidth="1"/>
    <col min="2043" max="2044" width="11.5703125" style="62" bestFit="1" customWidth="1"/>
    <col min="2045" max="2045" width="12.28515625" style="62" bestFit="1" customWidth="1"/>
    <col min="2046" max="2047" width="11.5703125" style="62" bestFit="1" customWidth="1"/>
    <col min="2048" max="2048" width="12.28515625" style="62" bestFit="1" customWidth="1"/>
    <col min="2049" max="2050" width="11.5703125" style="62" bestFit="1" customWidth="1"/>
    <col min="2051" max="2051" width="12.28515625" style="62" bestFit="1" customWidth="1"/>
    <col min="2052" max="2052" width="11.5703125" style="62" bestFit="1" customWidth="1"/>
    <col min="2053" max="2053" width="13" style="62" customWidth="1"/>
    <col min="2054" max="2054" width="12.28515625" style="62" bestFit="1" customWidth="1"/>
    <col min="2055" max="2055" width="11.5703125" style="62" bestFit="1" customWidth="1"/>
    <col min="2056" max="2056" width="12.5703125" style="62" bestFit="1" customWidth="1"/>
    <col min="2057" max="2057" width="12.28515625" style="62" bestFit="1" customWidth="1"/>
    <col min="2058" max="2059" width="11.5703125" style="62" bestFit="1" customWidth="1"/>
    <col min="2060" max="2060" width="12.28515625" style="62" bestFit="1" customWidth="1"/>
    <col min="2061" max="2061" width="11.5703125" style="62" bestFit="1" customWidth="1"/>
    <col min="2062" max="2062" width="14.28515625" style="62" bestFit="1" customWidth="1"/>
    <col min="2063" max="2063" width="12.28515625" style="62" bestFit="1" customWidth="1"/>
    <col min="2064" max="2064" width="14.28515625" style="62" bestFit="1" customWidth="1"/>
    <col min="2065" max="2065" width="14.42578125" style="62" bestFit="1" customWidth="1"/>
    <col min="2066" max="2066" width="14.28515625" style="62" bestFit="1" customWidth="1"/>
    <col min="2067" max="2067" width="14.42578125" style="62" bestFit="1" customWidth="1"/>
    <col min="2068" max="2068" width="10.7109375" style="62" bestFit="1" customWidth="1"/>
    <col min="2069" max="2069" width="11.5703125" style="62" bestFit="1" customWidth="1"/>
    <col min="2070" max="2282" width="9.140625" style="62"/>
    <col min="2283" max="2283" width="5.28515625" style="62" bestFit="1" customWidth="1"/>
    <col min="2284" max="2284" width="28.5703125" style="62" customWidth="1"/>
    <col min="2285" max="2285" width="14.42578125" style="62" customWidth="1"/>
    <col min="2286" max="2286" width="13.140625" style="62" customWidth="1"/>
    <col min="2287" max="2288" width="11.5703125" style="62" bestFit="1" customWidth="1"/>
    <col min="2289" max="2289" width="12.28515625" style="62" bestFit="1" customWidth="1"/>
    <col min="2290" max="2291" width="11.5703125" style="62" bestFit="1" customWidth="1"/>
    <col min="2292" max="2292" width="12.28515625" style="62" bestFit="1" customWidth="1"/>
    <col min="2293" max="2293" width="11.5703125" style="62" bestFit="1" customWidth="1"/>
    <col min="2294" max="2294" width="12.5703125" style="62" bestFit="1" customWidth="1"/>
    <col min="2295" max="2295" width="12.28515625" style="62" bestFit="1" customWidth="1"/>
    <col min="2296" max="2297" width="11.5703125" style="62" bestFit="1" customWidth="1"/>
    <col min="2298" max="2298" width="12.28515625" style="62" bestFit="1" customWidth="1"/>
    <col min="2299" max="2300" width="11.5703125" style="62" bestFit="1" customWidth="1"/>
    <col min="2301" max="2301" width="12.28515625" style="62" bestFit="1" customWidth="1"/>
    <col min="2302" max="2303" width="11.5703125" style="62" bestFit="1" customWidth="1"/>
    <col min="2304" max="2304" width="12.28515625" style="62" bestFit="1" customWidth="1"/>
    <col min="2305" max="2306" width="11.5703125" style="62" bestFit="1" customWidth="1"/>
    <col min="2307" max="2307" width="12.28515625" style="62" bestFit="1" customWidth="1"/>
    <col min="2308" max="2308" width="11.5703125" style="62" bestFit="1" customWidth="1"/>
    <col min="2309" max="2309" width="13" style="62" customWidth="1"/>
    <col min="2310" max="2310" width="12.28515625" style="62" bestFit="1" customWidth="1"/>
    <col min="2311" max="2311" width="11.5703125" style="62" bestFit="1" customWidth="1"/>
    <col min="2312" max="2312" width="12.5703125" style="62" bestFit="1" customWidth="1"/>
    <col min="2313" max="2313" width="12.28515625" style="62" bestFit="1" customWidth="1"/>
    <col min="2314" max="2315" width="11.5703125" style="62" bestFit="1" customWidth="1"/>
    <col min="2316" max="2316" width="12.28515625" style="62" bestFit="1" customWidth="1"/>
    <col min="2317" max="2317" width="11.5703125" style="62" bestFit="1" customWidth="1"/>
    <col min="2318" max="2318" width="14.28515625" style="62" bestFit="1" customWidth="1"/>
    <col min="2319" max="2319" width="12.28515625" style="62" bestFit="1" customWidth="1"/>
    <col min="2320" max="2320" width="14.28515625" style="62" bestFit="1" customWidth="1"/>
    <col min="2321" max="2321" width="14.42578125" style="62" bestFit="1" customWidth="1"/>
    <col min="2322" max="2322" width="14.28515625" style="62" bestFit="1" customWidth="1"/>
    <col min="2323" max="2323" width="14.42578125" style="62" bestFit="1" customWidth="1"/>
    <col min="2324" max="2324" width="10.7109375" style="62" bestFit="1" customWidth="1"/>
    <col min="2325" max="2325" width="11.5703125" style="62" bestFit="1" customWidth="1"/>
    <col min="2326" max="2538" width="9.140625" style="62"/>
    <col min="2539" max="2539" width="5.28515625" style="62" bestFit="1" customWidth="1"/>
    <col min="2540" max="2540" width="28.5703125" style="62" customWidth="1"/>
    <col min="2541" max="2541" width="14.42578125" style="62" customWidth="1"/>
    <col min="2542" max="2542" width="13.140625" style="62" customWidth="1"/>
    <col min="2543" max="2544" width="11.5703125" style="62" bestFit="1" customWidth="1"/>
    <col min="2545" max="2545" width="12.28515625" style="62" bestFit="1" customWidth="1"/>
    <col min="2546" max="2547" width="11.5703125" style="62" bestFit="1" customWidth="1"/>
    <col min="2548" max="2548" width="12.28515625" style="62" bestFit="1" customWidth="1"/>
    <col min="2549" max="2549" width="11.5703125" style="62" bestFit="1" customWidth="1"/>
    <col min="2550" max="2550" width="12.5703125" style="62" bestFit="1" customWidth="1"/>
    <col min="2551" max="2551" width="12.28515625" style="62" bestFit="1" customWidth="1"/>
    <col min="2552" max="2553" width="11.5703125" style="62" bestFit="1" customWidth="1"/>
    <col min="2554" max="2554" width="12.28515625" style="62" bestFit="1" customWidth="1"/>
    <col min="2555" max="2556" width="11.5703125" style="62" bestFit="1" customWidth="1"/>
    <col min="2557" max="2557" width="12.28515625" style="62" bestFit="1" customWidth="1"/>
    <col min="2558" max="2559" width="11.5703125" style="62" bestFit="1" customWidth="1"/>
    <col min="2560" max="2560" width="12.28515625" style="62" bestFit="1" customWidth="1"/>
    <col min="2561" max="2562" width="11.5703125" style="62" bestFit="1" customWidth="1"/>
    <col min="2563" max="2563" width="12.28515625" style="62" bestFit="1" customWidth="1"/>
    <col min="2564" max="2564" width="11.5703125" style="62" bestFit="1" customWidth="1"/>
    <col min="2565" max="2565" width="13" style="62" customWidth="1"/>
    <col min="2566" max="2566" width="12.28515625" style="62" bestFit="1" customWidth="1"/>
    <col min="2567" max="2567" width="11.5703125" style="62" bestFit="1" customWidth="1"/>
    <col min="2568" max="2568" width="12.5703125" style="62" bestFit="1" customWidth="1"/>
    <col min="2569" max="2569" width="12.28515625" style="62" bestFit="1" customWidth="1"/>
    <col min="2570" max="2571" width="11.5703125" style="62" bestFit="1" customWidth="1"/>
    <col min="2572" max="2572" width="12.28515625" style="62" bestFit="1" customWidth="1"/>
    <col min="2573" max="2573" width="11.5703125" style="62" bestFit="1" customWidth="1"/>
    <col min="2574" max="2574" width="14.28515625" style="62" bestFit="1" customWidth="1"/>
    <col min="2575" max="2575" width="12.28515625" style="62" bestFit="1" customWidth="1"/>
    <col min="2576" max="2576" width="14.28515625" style="62" bestFit="1" customWidth="1"/>
    <col min="2577" max="2577" width="14.42578125" style="62" bestFit="1" customWidth="1"/>
    <col min="2578" max="2578" width="14.28515625" style="62" bestFit="1" customWidth="1"/>
    <col min="2579" max="2579" width="14.42578125" style="62" bestFit="1" customWidth="1"/>
    <col min="2580" max="2580" width="10.7109375" style="62" bestFit="1" customWidth="1"/>
    <col min="2581" max="2581" width="11.5703125" style="62" bestFit="1" customWidth="1"/>
    <col min="2582" max="2794" width="9.140625" style="62"/>
    <col min="2795" max="2795" width="5.28515625" style="62" bestFit="1" customWidth="1"/>
    <col min="2796" max="2796" width="28.5703125" style="62" customWidth="1"/>
    <col min="2797" max="2797" width="14.42578125" style="62" customWidth="1"/>
    <col min="2798" max="2798" width="13.140625" style="62" customWidth="1"/>
    <col min="2799" max="2800" width="11.5703125" style="62" bestFit="1" customWidth="1"/>
    <col min="2801" max="2801" width="12.28515625" style="62" bestFit="1" customWidth="1"/>
    <col min="2802" max="2803" width="11.5703125" style="62" bestFit="1" customWidth="1"/>
    <col min="2804" max="2804" width="12.28515625" style="62" bestFit="1" customWidth="1"/>
    <col min="2805" max="2805" width="11.5703125" style="62" bestFit="1" customWidth="1"/>
    <col min="2806" max="2806" width="12.5703125" style="62" bestFit="1" customWidth="1"/>
    <col min="2807" max="2807" width="12.28515625" style="62" bestFit="1" customWidth="1"/>
    <col min="2808" max="2809" width="11.5703125" style="62" bestFit="1" customWidth="1"/>
    <col min="2810" max="2810" width="12.28515625" style="62" bestFit="1" customWidth="1"/>
    <col min="2811" max="2812" width="11.5703125" style="62" bestFit="1" customWidth="1"/>
    <col min="2813" max="2813" width="12.28515625" style="62" bestFit="1" customWidth="1"/>
    <col min="2814" max="2815" width="11.5703125" style="62" bestFit="1" customWidth="1"/>
    <col min="2816" max="2816" width="12.28515625" style="62" bestFit="1" customWidth="1"/>
    <col min="2817" max="2818" width="11.5703125" style="62" bestFit="1" customWidth="1"/>
    <col min="2819" max="2819" width="12.28515625" style="62" bestFit="1" customWidth="1"/>
    <col min="2820" max="2820" width="11.5703125" style="62" bestFit="1" customWidth="1"/>
    <col min="2821" max="2821" width="13" style="62" customWidth="1"/>
    <col min="2822" max="2822" width="12.28515625" style="62" bestFit="1" customWidth="1"/>
    <col min="2823" max="2823" width="11.5703125" style="62" bestFit="1" customWidth="1"/>
    <col min="2824" max="2824" width="12.5703125" style="62" bestFit="1" customWidth="1"/>
    <col min="2825" max="2825" width="12.28515625" style="62" bestFit="1" customWidth="1"/>
    <col min="2826" max="2827" width="11.5703125" style="62" bestFit="1" customWidth="1"/>
    <col min="2828" max="2828" width="12.28515625" style="62" bestFit="1" customWidth="1"/>
    <col min="2829" max="2829" width="11.5703125" style="62" bestFit="1" customWidth="1"/>
    <col min="2830" max="2830" width="14.28515625" style="62" bestFit="1" customWidth="1"/>
    <col min="2831" max="2831" width="12.28515625" style="62" bestFit="1" customWidth="1"/>
    <col min="2832" max="2832" width="14.28515625" style="62" bestFit="1" customWidth="1"/>
    <col min="2833" max="2833" width="14.42578125" style="62" bestFit="1" customWidth="1"/>
    <col min="2834" max="2834" width="14.28515625" style="62" bestFit="1" customWidth="1"/>
    <col min="2835" max="2835" width="14.42578125" style="62" bestFit="1" customWidth="1"/>
    <col min="2836" max="2836" width="10.7109375" style="62" bestFit="1" customWidth="1"/>
    <col min="2837" max="2837" width="11.5703125" style="62" bestFit="1" customWidth="1"/>
    <col min="2838" max="3050" width="9.140625" style="62"/>
    <col min="3051" max="3051" width="5.28515625" style="62" bestFit="1" customWidth="1"/>
    <col min="3052" max="3052" width="28.5703125" style="62" customWidth="1"/>
    <col min="3053" max="3053" width="14.42578125" style="62" customWidth="1"/>
    <col min="3054" max="3054" width="13.140625" style="62" customWidth="1"/>
    <col min="3055" max="3056" width="11.5703125" style="62" bestFit="1" customWidth="1"/>
    <col min="3057" max="3057" width="12.28515625" style="62" bestFit="1" customWidth="1"/>
    <col min="3058" max="3059" width="11.5703125" style="62" bestFit="1" customWidth="1"/>
    <col min="3060" max="3060" width="12.28515625" style="62" bestFit="1" customWidth="1"/>
    <col min="3061" max="3061" width="11.5703125" style="62" bestFit="1" customWidth="1"/>
    <col min="3062" max="3062" width="12.5703125" style="62" bestFit="1" customWidth="1"/>
    <col min="3063" max="3063" width="12.28515625" style="62" bestFit="1" customWidth="1"/>
    <col min="3064" max="3065" width="11.5703125" style="62" bestFit="1" customWidth="1"/>
    <col min="3066" max="3066" width="12.28515625" style="62" bestFit="1" customWidth="1"/>
    <col min="3067" max="3068" width="11.5703125" style="62" bestFit="1" customWidth="1"/>
    <col min="3069" max="3069" width="12.28515625" style="62" bestFit="1" customWidth="1"/>
    <col min="3070" max="3071" width="11.5703125" style="62" bestFit="1" customWidth="1"/>
    <col min="3072" max="3072" width="12.28515625" style="62" bestFit="1" customWidth="1"/>
    <col min="3073" max="3074" width="11.5703125" style="62" bestFit="1" customWidth="1"/>
    <col min="3075" max="3075" width="12.28515625" style="62" bestFit="1" customWidth="1"/>
    <col min="3076" max="3076" width="11.5703125" style="62" bestFit="1" customWidth="1"/>
    <col min="3077" max="3077" width="13" style="62" customWidth="1"/>
    <col min="3078" max="3078" width="12.28515625" style="62" bestFit="1" customWidth="1"/>
    <col min="3079" max="3079" width="11.5703125" style="62" bestFit="1" customWidth="1"/>
    <col min="3080" max="3080" width="12.5703125" style="62" bestFit="1" customWidth="1"/>
    <col min="3081" max="3081" width="12.28515625" style="62" bestFit="1" customWidth="1"/>
    <col min="3082" max="3083" width="11.5703125" style="62" bestFit="1" customWidth="1"/>
    <col min="3084" max="3084" width="12.28515625" style="62" bestFit="1" customWidth="1"/>
    <col min="3085" max="3085" width="11.5703125" style="62" bestFit="1" customWidth="1"/>
    <col min="3086" max="3086" width="14.28515625" style="62" bestFit="1" customWidth="1"/>
    <col min="3087" max="3087" width="12.28515625" style="62" bestFit="1" customWidth="1"/>
    <col min="3088" max="3088" width="14.28515625" style="62" bestFit="1" customWidth="1"/>
    <col min="3089" max="3089" width="14.42578125" style="62" bestFit="1" customWidth="1"/>
    <col min="3090" max="3090" width="14.28515625" style="62" bestFit="1" customWidth="1"/>
    <col min="3091" max="3091" width="14.42578125" style="62" bestFit="1" customWidth="1"/>
    <col min="3092" max="3092" width="10.7109375" style="62" bestFit="1" customWidth="1"/>
    <col min="3093" max="3093" width="11.5703125" style="62" bestFit="1" customWidth="1"/>
    <col min="3094" max="3306" width="9.140625" style="62"/>
    <col min="3307" max="3307" width="5.28515625" style="62" bestFit="1" customWidth="1"/>
    <col min="3308" max="3308" width="28.5703125" style="62" customWidth="1"/>
    <col min="3309" max="3309" width="14.42578125" style="62" customWidth="1"/>
    <col min="3310" max="3310" width="13.140625" style="62" customWidth="1"/>
    <col min="3311" max="3312" width="11.5703125" style="62" bestFit="1" customWidth="1"/>
    <col min="3313" max="3313" width="12.28515625" style="62" bestFit="1" customWidth="1"/>
    <col min="3314" max="3315" width="11.5703125" style="62" bestFit="1" customWidth="1"/>
    <col min="3316" max="3316" width="12.28515625" style="62" bestFit="1" customWidth="1"/>
    <col min="3317" max="3317" width="11.5703125" style="62" bestFit="1" customWidth="1"/>
    <col min="3318" max="3318" width="12.5703125" style="62" bestFit="1" customWidth="1"/>
    <col min="3319" max="3319" width="12.28515625" style="62" bestFit="1" customWidth="1"/>
    <col min="3320" max="3321" width="11.5703125" style="62" bestFit="1" customWidth="1"/>
    <col min="3322" max="3322" width="12.28515625" style="62" bestFit="1" customWidth="1"/>
    <col min="3323" max="3324" width="11.5703125" style="62" bestFit="1" customWidth="1"/>
    <col min="3325" max="3325" width="12.28515625" style="62" bestFit="1" customWidth="1"/>
    <col min="3326" max="3327" width="11.5703125" style="62" bestFit="1" customWidth="1"/>
    <col min="3328" max="3328" width="12.28515625" style="62" bestFit="1" customWidth="1"/>
    <col min="3329" max="3330" width="11.5703125" style="62" bestFit="1" customWidth="1"/>
    <col min="3331" max="3331" width="12.28515625" style="62" bestFit="1" customWidth="1"/>
    <col min="3332" max="3332" width="11.5703125" style="62" bestFit="1" customWidth="1"/>
    <col min="3333" max="3333" width="13" style="62" customWidth="1"/>
    <col min="3334" max="3334" width="12.28515625" style="62" bestFit="1" customWidth="1"/>
    <col min="3335" max="3335" width="11.5703125" style="62" bestFit="1" customWidth="1"/>
    <col min="3336" max="3336" width="12.5703125" style="62" bestFit="1" customWidth="1"/>
    <col min="3337" max="3337" width="12.28515625" style="62" bestFit="1" customWidth="1"/>
    <col min="3338" max="3339" width="11.5703125" style="62" bestFit="1" customWidth="1"/>
    <col min="3340" max="3340" width="12.28515625" style="62" bestFit="1" customWidth="1"/>
    <col min="3341" max="3341" width="11.5703125" style="62" bestFit="1" customWidth="1"/>
    <col min="3342" max="3342" width="14.28515625" style="62" bestFit="1" customWidth="1"/>
    <col min="3343" max="3343" width="12.28515625" style="62" bestFit="1" customWidth="1"/>
    <col min="3344" max="3344" width="14.28515625" style="62" bestFit="1" customWidth="1"/>
    <col min="3345" max="3345" width="14.42578125" style="62" bestFit="1" customWidth="1"/>
    <col min="3346" max="3346" width="14.28515625" style="62" bestFit="1" customWidth="1"/>
    <col min="3347" max="3347" width="14.42578125" style="62" bestFit="1" customWidth="1"/>
    <col min="3348" max="3348" width="10.7109375" style="62" bestFit="1" customWidth="1"/>
    <col min="3349" max="3349" width="11.5703125" style="62" bestFit="1" customWidth="1"/>
    <col min="3350" max="3562" width="9.140625" style="62"/>
    <col min="3563" max="3563" width="5.28515625" style="62" bestFit="1" customWidth="1"/>
    <col min="3564" max="3564" width="28.5703125" style="62" customWidth="1"/>
    <col min="3565" max="3565" width="14.42578125" style="62" customWidth="1"/>
    <col min="3566" max="3566" width="13.140625" style="62" customWidth="1"/>
    <col min="3567" max="3568" width="11.5703125" style="62" bestFit="1" customWidth="1"/>
    <col min="3569" max="3569" width="12.28515625" style="62" bestFit="1" customWidth="1"/>
    <col min="3570" max="3571" width="11.5703125" style="62" bestFit="1" customWidth="1"/>
    <col min="3572" max="3572" width="12.28515625" style="62" bestFit="1" customWidth="1"/>
    <col min="3573" max="3573" width="11.5703125" style="62" bestFit="1" customWidth="1"/>
    <col min="3574" max="3574" width="12.5703125" style="62" bestFit="1" customWidth="1"/>
    <col min="3575" max="3575" width="12.28515625" style="62" bestFit="1" customWidth="1"/>
    <col min="3576" max="3577" width="11.5703125" style="62" bestFit="1" customWidth="1"/>
    <col min="3578" max="3578" width="12.28515625" style="62" bestFit="1" customWidth="1"/>
    <col min="3579" max="3580" width="11.5703125" style="62" bestFit="1" customWidth="1"/>
    <col min="3581" max="3581" width="12.28515625" style="62" bestFit="1" customWidth="1"/>
    <col min="3582" max="3583" width="11.5703125" style="62" bestFit="1" customWidth="1"/>
    <col min="3584" max="3584" width="12.28515625" style="62" bestFit="1" customWidth="1"/>
    <col min="3585" max="3586" width="11.5703125" style="62" bestFit="1" customWidth="1"/>
    <col min="3587" max="3587" width="12.28515625" style="62" bestFit="1" customWidth="1"/>
    <col min="3588" max="3588" width="11.5703125" style="62" bestFit="1" customWidth="1"/>
    <col min="3589" max="3589" width="13" style="62" customWidth="1"/>
    <col min="3590" max="3590" width="12.28515625" style="62" bestFit="1" customWidth="1"/>
    <col min="3591" max="3591" width="11.5703125" style="62" bestFit="1" customWidth="1"/>
    <col min="3592" max="3592" width="12.5703125" style="62" bestFit="1" customWidth="1"/>
    <col min="3593" max="3593" width="12.28515625" style="62" bestFit="1" customWidth="1"/>
    <col min="3594" max="3595" width="11.5703125" style="62" bestFit="1" customWidth="1"/>
    <col min="3596" max="3596" width="12.28515625" style="62" bestFit="1" customWidth="1"/>
    <col min="3597" max="3597" width="11.5703125" style="62" bestFit="1" customWidth="1"/>
    <col min="3598" max="3598" width="14.28515625" style="62" bestFit="1" customWidth="1"/>
    <col min="3599" max="3599" width="12.28515625" style="62" bestFit="1" customWidth="1"/>
    <col min="3600" max="3600" width="14.28515625" style="62" bestFit="1" customWidth="1"/>
    <col min="3601" max="3601" width="14.42578125" style="62" bestFit="1" customWidth="1"/>
    <col min="3602" max="3602" width="14.28515625" style="62" bestFit="1" customWidth="1"/>
    <col min="3603" max="3603" width="14.42578125" style="62" bestFit="1" customWidth="1"/>
    <col min="3604" max="3604" width="10.7109375" style="62" bestFit="1" customWidth="1"/>
    <col min="3605" max="3605" width="11.5703125" style="62" bestFit="1" customWidth="1"/>
    <col min="3606" max="3818" width="9.140625" style="62"/>
    <col min="3819" max="3819" width="5.28515625" style="62" bestFit="1" customWidth="1"/>
    <col min="3820" max="3820" width="28.5703125" style="62" customWidth="1"/>
    <col min="3821" max="3821" width="14.42578125" style="62" customWidth="1"/>
    <col min="3822" max="3822" width="13.140625" style="62" customWidth="1"/>
    <col min="3823" max="3824" width="11.5703125" style="62" bestFit="1" customWidth="1"/>
    <col min="3825" max="3825" width="12.28515625" style="62" bestFit="1" customWidth="1"/>
    <col min="3826" max="3827" width="11.5703125" style="62" bestFit="1" customWidth="1"/>
    <col min="3828" max="3828" width="12.28515625" style="62" bestFit="1" customWidth="1"/>
    <col min="3829" max="3829" width="11.5703125" style="62" bestFit="1" customWidth="1"/>
    <col min="3830" max="3830" width="12.5703125" style="62" bestFit="1" customWidth="1"/>
    <col min="3831" max="3831" width="12.28515625" style="62" bestFit="1" customWidth="1"/>
    <col min="3832" max="3833" width="11.5703125" style="62" bestFit="1" customWidth="1"/>
    <col min="3834" max="3834" width="12.28515625" style="62" bestFit="1" customWidth="1"/>
    <col min="3835" max="3836" width="11.5703125" style="62" bestFit="1" customWidth="1"/>
    <col min="3837" max="3837" width="12.28515625" style="62" bestFit="1" customWidth="1"/>
    <col min="3838" max="3839" width="11.5703125" style="62" bestFit="1" customWidth="1"/>
    <col min="3840" max="3840" width="12.28515625" style="62" bestFit="1" customWidth="1"/>
    <col min="3841" max="3842" width="11.5703125" style="62" bestFit="1" customWidth="1"/>
    <col min="3843" max="3843" width="12.28515625" style="62" bestFit="1" customWidth="1"/>
    <col min="3844" max="3844" width="11.5703125" style="62" bestFit="1" customWidth="1"/>
    <col min="3845" max="3845" width="13" style="62" customWidth="1"/>
    <col min="3846" max="3846" width="12.28515625" style="62" bestFit="1" customWidth="1"/>
    <col min="3847" max="3847" width="11.5703125" style="62" bestFit="1" customWidth="1"/>
    <col min="3848" max="3848" width="12.5703125" style="62" bestFit="1" customWidth="1"/>
    <col min="3849" max="3849" width="12.28515625" style="62" bestFit="1" customWidth="1"/>
    <col min="3850" max="3851" width="11.5703125" style="62" bestFit="1" customWidth="1"/>
    <col min="3852" max="3852" width="12.28515625" style="62" bestFit="1" customWidth="1"/>
    <col min="3853" max="3853" width="11.5703125" style="62" bestFit="1" customWidth="1"/>
    <col min="3854" max="3854" width="14.28515625" style="62" bestFit="1" customWidth="1"/>
    <col min="3855" max="3855" width="12.28515625" style="62" bestFit="1" customWidth="1"/>
    <col min="3856" max="3856" width="14.28515625" style="62" bestFit="1" customWidth="1"/>
    <col min="3857" max="3857" width="14.42578125" style="62" bestFit="1" customWidth="1"/>
    <col min="3858" max="3858" width="14.28515625" style="62" bestFit="1" customWidth="1"/>
    <col min="3859" max="3859" width="14.42578125" style="62" bestFit="1" customWidth="1"/>
    <col min="3860" max="3860" width="10.7109375" style="62" bestFit="1" customWidth="1"/>
    <col min="3861" max="3861" width="11.5703125" style="62" bestFit="1" customWidth="1"/>
    <col min="3862" max="4074" width="9.140625" style="62"/>
    <col min="4075" max="4075" width="5.28515625" style="62" bestFit="1" customWidth="1"/>
    <col min="4076" max="4076" width="28.5703125" style="62" customWidth="1"/>
    <col min="4077" max="4077" width="14.42578125" style="62" customWidth="1"/>
    <col min="4078" max="4078" width="13.140625" style="62" customWidth="1"/>
    <col min="4079" max="4080" width="11.5703125" style="62" bestFit="1" customWidth="1"/>
    <col min="4081" max="4081" width="12.28515625" style="62" bestFit="1" customWidth="1"/>
    <col min="4082" max="4083" width="11.5703125" style="62" bestFit="1" customWidth="1"/>
    <col min="4084" max="4084" width="12.28515625" style="62" bestFit="1" customWidth="1"/>
    <col min="4085" max="4085" width="11.5703125" style="62" bestFit="1" customWidth="1"/>
    <col min="4086" max="4086" width="12.5703125" style="62" bestFit="1" customWidth="1"/>
    <col min="4087" max="4087" width="12.28515625" style="62" bestFit="1" customWidth="1"/>
    <col min="4088" max="4089" width="11.5703125" style="62" bestFit="1" customWidth="1"/>
    <col min="4090" max="4090" width="12.28515625" style="62" bestFit="1" customWidth="1"/>
    <col min="4091" max="4092" width="11.5703125" style="62" bestFit="1" customWidth="1"/>
    <col min="4093" max="4093" width="12.28515625" style="62" bestFit="1" customWidth="1"/>
    <col min="4094" max="4095" width="11.5703125" style="62" bestFit="1" customWidth="1"/>
    <col min="4096" max="4096" width="12.28515625" style="62" bestFit="1" customWidth="1"/>
    <col min="4097" max="4098" width="11.5703125" style="62" bestFit="1" customWidth="1"/>
    <col min="4099" max="4099" width="12.28515625" style="62" bestFit="1" customWidth="1"/>
    <col min="4100" max="4100" width="11.5703125" style="62" bestFit="1" customWidth="1"/>
    <col min="4101" max="4101" width="13" style="62" customWidth="1"/>
    <col min="4102" max="4102" width="12.28515625" style="62" bestFit="1" customWidth="1"/>
    <col min="4103" max="4103" width="11.5703125" style="62" bestFit="1" customWidth="1"/>
    <col min="4104" max="4104" width="12.5703125" style="62" bestFit="1" customWidth="1"/>
    <col min="4105" max="4105" width="12.28515625" style="62" bestFit="1" customWidth="1"/>
    <col min="4106" max="4107" width="11.5703125" style="62" bestFit="1" customWidth="1"/>
    <col min="4108" max="4108" width="12.28515625" style="62" bestFit="1" customWidth="1"/>
    <col min="4109" max="4109" width="11.5703125" style="62" bestFit="1" customWidth="1"/>
    <col min="4110" max="4110" width="14.28515625" style="62" bestFit="1" customWidth="1"/>
    <col min="4111" max="4111" width="12.28515625" style="62" bestFit="1" customWidth="1"/>
    <col min="4112" max="4112" width="14.28515625" style="62" bestFit="1" customWidth="1"/>
    <col min="4113" max="4113" width="14.42578125" style="62" bestFit="1" customWidth="1"/>
    <col min="4114" max="4114" width="14.28515625" style="62" bestFit="1" customWidth="1"/>
    <col min="4115" max="4115" width="14.42578125" style="62" bestFit="1" customWidth="1"/>
    <col min="4116" max="4116" width="10.7109375" style="62" bestFit="1" customWidth="1"/>
    <col min="4117" max="4117" width="11.5703125" style="62" bestFit="1" customWidth="1"/>
    <col min="4118" max="4330" width="9.140625" style="62"/>
    <col min="4331" max="4331" width="5.28515625" style="62" bestFit="1" customWidth="1"/>
    <col min="4332" max="4332" width="28.5703125" style="62" customWidth="1"/>
    <col min="4333" max="4333" width="14.42578125" style="62" customWidth="1"/>
    <col min="4334" max="4334" width="13.140625" style="62" customWidth="1"/>
    <col min="4335" max="4336" width="11.5703125" style="62" bestFit="1" customWidth="1"/>
    <col min="4337" max="4337" width="12.28515625" style="62" bestFit="1" customWidth="1"/>
    <col min="4338" max="4339" width="11.5703125" style="62" bestFit="1" customWidth="1"/>
    <col min="4340" max="4340" width="12.28515625" style="62" bestFit="1" customWidth="1"/>
    <col min="4341" max="4341" width="11.5703125" style="62" bestFit="1" customWidth="1"/>
    <col min="4342" max="4342" width="12.5703125" style="62" bestFit="1" customWidth="1"/>
    <col min="4343" max="4343" width="12.28515625" style="62" bestFit="1" customWidth="1"/>
    <col min="4344" max="4345" width="11.5703125" style="62" bestFit="1" customWidth="1"/>
    <col min="4346" max="4346" width="12.28515625" style="62" bestFit="1" customWidth="1"/>
    <col min="4347" max="4348" width="11.5703125" style="62" bestFit="1" customWidth="1"/>
    <col min="4349" max="4349" width="12.28515625" style="62" bestFit="1" customWidth="1"/>
    <col min="4350" max="4351" width="11.5703125" style="62" bestFit="1" customWidth="1"/>
    <col min="4352" max="4352" width="12.28515625" style="62" bestFit="1" customWidth="1"/>
    <col min="4353" max="4354" width="11.5703125" style="62" bestFit="1" customWidth="1"/>
    <col min="4355" max="4355" width="12.28515625" style="62" bestFit="1" customWidth="1"/>
    <col min="4356" max="4356" width="11.5703125" style="62" bestFit="1" customWidth="1"/>
    <col min="4357" max="4357" width="13" style="62" customWidth="1"/>
    <col min="4358" max="4358" width="12.28515625" style="62" bestFit="1" customWidth="1"/>
    <col min="4359" max="4359" width="11.5703125" style="62" bestFit="1" customWidth="1"/>
    <col min="4360" max="4360" width="12.5703125" style="62" bestFit="1" customWidth="1"/>
    <col min="4361" max="4361" width="12.28515625" style="62" bestFit="1" customWidth="1"/>
    <col min="4362" max="4363" width="11.5703125" style="62" bestFit="1" customWidth="1"/>
    <col min="4364" max="4364" width="12.28515625" style="62" bestFit="1" customWidth="1"/>
    <col min="4365" max="4365" width="11.5703125" style="62" bestFit="1" customWidth="1"/>
    <col min="4366" max="4366" width="14.28515625" style="62" bestFit="1" customWidth="1"/>
    <col min="4367" max="4367" width="12.28515625" style="62" bestFit="1" customWidth="1"/>
    <col min="4368" max="4368" width="14.28515625" style="62" bestFit="1" customWidth="1"/>
    <col min="4369" max="4369" width="14.42578125" style="62" bestFit="1" customWidth="1"/>
    <col min="4370" max="4370" width="14.28515625" style="62" bestFit="1" customWidth="1"/>
    <col min="4371" max="4371" width="14.42578125" style="62" bestFit="1" customWidth="1"/>
    <col min="4372" max="4372" width="10.7109375" style="62" bestFit="1" customWidth="1"/>
    <col min="4373" max="4373" width="11.5703125" style="62" bestFit="1" customWidth="1"/>
    <col min="4374" max="4586" width="9.140625" style="62"/>
    <col min="4587" max="4587" width="5.28515625" style="62" bestFit="1" customWidth="1"/>
    <col min="4588" max="4588" width="28.5703125" style="62" customWidth="1"/>
    <col min="4589" max="4589" width="14.42578125" style="62" customWidth="1"/>
    <col min="4590" max="4590" width="13.140625" style="62" customWidth="1"/>
    <col min="4591" max="4592" width="11.5703125" style="62" bestFit="1" customWidth="1"/>
    <col min="4593" max="4593" width="12.28515625" style="62" bestFit="1" customWidth="1"/>
    <col min="4594" max="4595" width="11.5703125" style="62" bestFit="1" customWidth="1"/>
    <col min="4596" max="4596" width="12.28515625" style="62" bestFit="1" customWidth="1"/>
    <col min="4597" max="4597" width="11.5703125" style="62" bestFit="1" customWidth="1"/>
    <col min="4598" max="4598" width="12.5703125" style="62" bestFit="1" customWidth="1"/>
    <col min="4599" max="4599" width="12.28515625" style="62" bestFit="1" customWidth="1"/>
    <col min="4600" max="4601" width="11.5703125" style="62" bestFit="1" customWidth="1"/>
    <col min="4602" max="4602" width="12.28515625" style="62" bestFit="1" customWidth="1"/>
    <col min="4603" max="4604" width="11.5703125" style="62" bestFit="1" customWidth="1"/>
    <col min="4605" max="4605" width="12.28515625" style="62" bestFit="1" customWidth="1"/>
    <col min="4606" max="4607" width="11.5703125" style="62" bestFit="1" customWidth="1"/>
    <col min="4608" max="4608" width="12.28515625" style="62" bestFit="1" customWidth="1"/>
    <col min="4609" max="4610" width="11.5703125" style="62" bestFit="1" customWidth="1"/>
    <col min="4611" max="4611" width="12.28515625" style="62" bestFit="1" customWidth="1"/>
    <col min="4612" max="4612" width="11.5703125" style="62" bestFit="1" customWidth="1"/>
    <col min="4613" max="4613" width="13" style="62" customWidth="1"/>
    <col min="4614" max="4614" width="12.28515625" style="62" bestFit="1" customWidth="1"/>
    <col min="4615" max="4615" width="11.5703125" style="62" bestFit="1" customWidth="1"/>
    <col min="4616" max="4616" width="12.5703125" style="62" bestFit="1" customWidth="1"/>
    <col min="4617" max="4617" width="12.28515625" style="62" bestFit="1" customWidth="1"/>
    <col min="4618" max="4619" width="11.5703125" style="62" bestFit="1" customWidth="1"/>
    <col min="4620" max="4620" width="12.28515625" style="62" bestFit="1" customWidth="1"/>
    <col min="4621" max="4621" width="11.5703125" style="62" bestFit="1" customWidth="1"/>
    <col min="4622" max="4622" width="14.28515625" style="62" bestFit="1" customWidth="1"/>
    <col min="4623" max="4623" width="12.28515625" style="62" bestFit="1" customWidth="1"/>
    <col min="4624" max="4624" width="14.28515625" style="62" bestFit="1" customWidth="1"/>
    <col min="4625" max="4625" width="14.42578125" style="62" bestFit="1" customWidth="1"/>
    <col min="4626" max="4626" width="14.28515625" style="62" bestFit="1" customWidth="1"/>
    <col min="4627" max="4627" width="14.42578125" style="62" bestFit="1" customWidth="1"/>
    <col min="4628" max="4628" width="10.7109375" style="62" bestFit="1" customWidth="1"/>
    <col min="4629" max="4629" width="11.5703125" style="62" bestFit="1" customWidth="1"/>
    <col min="4630" max="4842" width="9.140625" style="62"/>
    <col min="4843" max="4843" width="5.28515625" style="62" bestFit="1" customWidth="1"/>
    <col min="4844" max="4844" width="28.5703125" style="62" customWidth="1"/>
    <col min="4845" max="4845" width="14.42578125" style="62" customWidth="1"/>
    <col min="4846" max="4846" width="13.140625" style="62" customWidth="1"/>
    <col min="4847" max="4848" width="11.5703125" style="62" bestFit="1" customWidth="1"/>
    <col min="4849" max="4849" width="12.28515625" style="62" bestFit="1" customWidth="1"/>
    <col min="4850" max="4851" width="11.5703125" style="62" bestFit="1" customWidth="1"/>
    <col min="4852" max="4852" width="12.28515625" style="62" bestFit="1" customWidth="1"/>
    <col min="4853" max="4853" width="11.5703125" style="62" bestFit="1" customWidth="1"/>
    <col min="4854" max="4854" width="12.5703125" style="62" bestFit="1" customWidth="1"/>
    <col min="4855" max="4855" width="12.28515625" style="62" bestFit="1" customWidth="1"/>
    <col min="4856" max="4857" width="11.5703125" style="62" bestFit="1" customWidth="1"/>
    <col min="4858" max="4858" width="12.28515625" style="62" bestFit="1" customWidth="1"/>
    <col min="4859" max="4860" width="11.5703125" style="62" bestFit="1" customWidth="1"/>
    <col min="4861" max="4861" width="12.28515625" style="62" bestFit="1" customWidth="1"/>
    <col min="4862" max="4863" width="11.5703125" style="62" bestFit="1" customWidth="1"/>
    <col min="4864" max="4864" width="12.28515625" style="62" bestFit="1" customWidth="1"/>
    <col min="4865" max="4866" width="11.5703125" style="62" bestFit="1" customWidth="1"/>
    <col min="4867" max="4867" width="12.28515625" style="62" bestFit="1" customWidth="1"/>
    <col min="4868" max="4868" width="11.5703125" style="62" bestFit="1" customWidth="1"/>
    <col min="4869" max="4869" width="13" style="62" customWidth="1"/>
    <col min="4870" max="4870" width="12.28515625" style="62" bestFit="1" customWidth="1"/>
    <col min="4871" max="4871" width="11.5703125" style="62" bestFit="1" customWidth="1"/>
    <col min="4872" max="4872" width="12.5703125" style="62" bestFit="1" customWidth="1"/>
    <col min="4873" max="4873" width="12.28515625" style="62" bestFit="1" customWidth="1"/>
    <col min="4874" max="4875" width="11.5703125" style="62" bestFit="1" customWidth="1"/>
    <col min="4876" max="4876" width="12.28515625" style="62" bestFit="1" customWidth="1"/>
    <col min="4877" max="4877" width="11.5703125" style="62" bestFit="1" customWidth="1"/>
    <col min="4878" max="4878" width="14.28515625" style="62" bestFit="1" customWidth="1"/>
    <col min="4879" max="4879" width="12.28515625" style="62" bestFit="1" customWidth="1"/>
    <col min="4880" max="4880" width="14.28515625" style="62" bestFit="1" customWidth="1"/>
    <col min="4881" max="4881" width="14.42578125" style="62" bestFit="1" customWidth="1"/>
    <col min="4882" max="4882" width="14.28515625" style="62" bestFit="1" customWidth="1"/>
    <col min="4883" max="4883" width="14.42578125" style="62" bestFit="1" customWidth="1"/>
    <col min="4884" max="4884" width="10.7109375" style="62" bestFit="1" customWidth="1"/>
    <col min="4885" max="4885" width="11.5703125" style="62" bestFit="1" customWidth="1"/>
    <col min="4886" max="5098" width="9.140625" style="62"/>
    <col min="5099" max="5099" width="5.28515625" style="62" bestFit="1" customWidth="1"/>
    <col min="5100" max="5100" width="28.5703125" style="62" customWidth="1"/>
    <col min="5101" max="5101" width="14.42578125" style="62" customWidth="1"/>
    <col min="5102" max="5102" width="13.140625" style="62" customWidth="1"/>
    <col min="5103" max="5104" width="11.5703125" style="62" bestFit="1" customWidth="1"/>
    <col min="5105" max="5105" width="12.28515625" style="62" bestFit="1" customWidth="1"/>
    <col min="5106" max="5107" width="11.5703125" style="62" bestFit="1" customWidth="1"/>
    <col min="5108" max="5108" width="12.28515625" style="62" bestFit="1" customWidth="1"/>
    <col min="5109" max="5109" width="11.5703125" style="62" bestFit="1" customWidth="1"/>
    <col min="5110" max="5110" width="12.5703125" style="62" bestFit="1" customWidth="1"/>
    <col min="5111" max="5111" width="12.28515625" style="62" bestFit="1" customWidth="1"/>
    <col min="5112" max="5113" width="11.5703125" style="62" bestFit="1" customWidth="1"/>
    <col min="5114" max="5114" width="12.28515625" style="62" bestFit="1" customWidth="1"/>
    <col min="5115" max="5116" width="11.5703125" style="62" bestFit="1" customWidth="1"/>
    <col min="5117" max="5117" width="12.28515625" style="62" bestFit="1" customWidth="1"/>
    <col min="5118" max="5119" width="11.5703125" style="62" bestFit="1" customWidth="1"/>
    <col min="5120" max="5120" width="12.28515625" style="62" bestFit="1" customWidth="1"/>
    <col min="5121" max="5122" width="11.5703125" style="62" bestFit="1" customWidth="1"/>
    <col min="5123" max="5123" width="12.28515625" style="62" bestFit="1" customWidth="1"/>
    <col min="5124" max="5124" width="11.5703125" style="62" bestFit="1" customWidth="1"/>
    <col min="5125" max="5125" width="13" style="62" customWidth="1"/>
    <col min="5126" max="5126" width="12.28515625" style="62" bestFit="1" customWidth="1"/>
    <col min="5127" max="5127" width="11.5703125" style="62" bestFit="1" customWidth="1"/>
    <col min="5128" max="5128" width="12.5703125" style="62" bestFit="1" customWidth="1"/>
    <col min="5129" max="5129" width="12.28515625" style="62" bestFit="1" customWidth="1"/>
    <col min="5130" max="5131" width="11.5703125" style="62" bestFit="1" customWidth="1"/>
    <col min="5132" max="5132" width="12.28515625" style="62" bestFit="1" customWidth="1"/>
    <col min="5133" max="5133" width="11.5703125" style="62" bestFit="1" customWidth="1"/>
    <col min="5134" max="5134" width="14.28515625" style="62" bestFit="1" customWidth="1"/>
    <col min="5135" max="5135" width="12.28515625" style="62" bestFit="1" customWidth="1"/>
    <col min="5136" max="5136" width="14.28515625" style="62" bestFit="1" customWidth="1"/>
    <col min="5137" max="5137" width="14.42578125" style="62" bestFit="1" customWidth="1"/>
    <col min="5138" max="5138" width="14.28515625" style="62" bestFit="1" customWidth="1"/>
    <col min="5139" max="5139" width="14.42578125" style="62" bestFit="1" customWidth="1"/>
    <col min="5140" max="5140" width="10.7109375" style="62" bestFit="1" customWidth="1"/>
    <col min="5141" max="5141" width="11.5703125" style="62" bestFit="1" customWidth="1"/>
    <col min="5142" max="5354" width="9.140625" style="62"/>
    <col min="5355" max="5355" width="5.28515625" style="62" bestFit="1" customWidth="1"/>
    <col min="5356" max="5356" width="28.5703125" style="62" customWidth="1"/>
    <col min="5357" max="5357" width="14.42578125" style="62" customWidth="1"/>
    <col min="5358" max="5358" width="13.140625" style="62" customWidth="1"/>
    <col min="5359" max="5360" width="11.5703125" style="62" bestFit="1" customWidth="1"/>
    <col min="5361" max="5361" width="12.28515625" style="62" bestFit="1" customWidth="1"/>
    <col min="5362" max="5363" width="11.5703125" style="62" bestFit="1" customWidth="1"/>
    <col min="5364" max="5364" width="12.28515625" style="62" bestFit="1" customWidth="1"/>
    <col min="5365" max="5365" width="11.5703125" style="62" bestFit="1" customWidth="1"/>
    <col min="5366" max="5366" width="12.5703125" style="62" bestFit="1" customWidth="1"/>
    <col min="5367" max="5367" width="12.28515625" style="62" bestFit="1" customWidth="1"/>
    <col min="5368" max="5369" width="11.5703125" style="62" bestFit="1" customWidth="1"/>
    <col min="5370" max="5370" width="12.28515625" style="62" bestFit="1" customWidth="1"/>
    <col min="5371" max="5372" width="11.5703125" style="62" bestFit="1" customWidth="1"/>
    <col min="5373" max="5373" width="12.28515625" style="62" bestFit="1" customWidth="1"/>
    <col min="5374" max="5375" width="11.5703125" style="62" bestFit="1" customWidth="1"/>
    <col min="5376" max="5376" width="12.28515625" style="62" bestFit="1" customWidth="1"/>
    <col min="5377" max="5378" width="11.5703125" style="62" bestFit="1" customWidth="1"/>
    <col min="5379" max="5379" width="12.28515625" style="62" bestFit="1" customWidth="1"/>
    <col min="5380" max="5380" width="11.5703125" style="62" bestFit="1" customWidth="1"/>
    <col min="5381" max="5381" width="13" style="62" customWidth="1"/>
    <col min="5382" max="5382" width="12.28515625" style="62" bestFit="1" customWidth="1"/>
    <col min="5383" max="5383" width="11.5703125" style="62" bestFit="1" customWidth="1"/>
    <col min="5384" max="5384" width="12.5703125" style="62" bestFit="1" customWidth="1"/>
    <col min="5385" max="5385" width="12.28515625" style="62" bestFit="1" customWidth="1"/>
    <col min="5386" max="5387" width="11.5703125" style="62" bestFit="1" customWidth="1"/>
    <col min="5388" max="5388" width="12.28515625" style="62" bestFit="1" customWidth="1"/>
    <col min="5389" max="5389" width="11.5703125" style="62" bestFit="1" customWidth="1"/>
    <col min="5390" max="5390" width="14.28515625" style="62" bestFit="1" customWidth="1"/>
    <col min="5391" max="5391" width="12.28515625" style="62" bestFit="1" customWidth="1"/>
    <col min="5392" max="5392" width="14.28515625" style="62" bestFit="1" customWidth="1"/>
    <col min="5393" max="5393" width="14.42578125" style="62" bestFit="1" customWidth="1"/>
    <col min="5394" max="5394" width="14.28515625" style="62" bestFit="1" customWidth="1"/>
    <col min="5395" max="5395" width="14.42578125" style="62" bestFit="1" customWidth="1"/>
    <col min="5396" max="5396" width="10.7109375" style="62" bestFit="1" customWidth="1"/>
    <col min="5397" max="5397" width="11.5703125" style="62" bestFit="1" customWidth="1"/>
    <col min="5398" max="5610" width="9.140625" style="62"/>
    <col min="5611" max="5611" width="5.28515625" style="62" bestFit="1" customWidth="1"/>
    <col min="5612" max="5612" width="28.5703125" style="62" customWidth="1"/>
    <col min="5613" max="5613" width="14.42578125" style="62" customWidth="1"/>
    <col min="5614" max="5614" width="13.140625" style="62" customWidth="1"/>
    <col min="5615" max="5616" width="11.5703125" style="62" bestFit="1" customWidth="1"/>
    <col min="5617" max="5617" width="12.28515625" style="62" bestFit="1" customWidth="1"/>
    <col min="5618" max="5619" width="11.5703125" style="62" bestFit="1" customWidth="1"/>
    <col min="5620" max="5620" width="12.28515625" style="62" bestFit="1" customWidth="1"/>
    <col min="5621" max="5621" width="11.5703125" style="62" bestFit="1" customWidth="1"/>
    <col min="5622" max="5622" width="12.5703125" style="62" bestFit="1" customWidth="1"/>
    <col min="5623" max="5623" width="12.28515625" style="62" bestFit="1" customWidth="1"/>
    <col min="5624" max="5625" width="11.5703125" style="62" bestFit="1" customWidth="1"/>
    <col min="5626" max="5626" width="12.28515625" style="62" bestFit="1" customWidth="1"/>
    <col min="5627" max="5628" width="11.5703125" style="62" bestFit="1" customWidth="1"/>
    <col min="5629" max="5629" width="12.28515625" style="62" bestFit="1" customWidth="1"/>
    <col min="5630" max="5631" width="11.5703125" style="62" bestFit="1" customWidth="1"/>
    <col min="5632" max="5632" width="12.28515625" style="62" bestFit="1" customWidth="1"/>
    <col min="5633" max="5634" width="11.5703125" style="62" bestFit="1" customWidth="1"/>
    <col min="5635" max="5635" width="12.28515625" style="62" bestFit="1" customWidth="1"/>
    <col min="5636" max="5636" width="11.5703125" style="62" bestFit="1" customWidth="1"/>
    <col min="5637" max="5637" width="13" style="62" customWidth="1"/>
    <col min="5638" max="5638" width="12.28515625" style="62" bestFit="1" customWidth="1"/>
    <col min="5639" max="5639" width="11.5703125" style="62" bestFit="1" customWidth="1"/>
    <col min="5640" max="5640" width="12.5703125" style="62" bestFit="1" customWidth="1"/>
    <col min="5641" max="5641" width="12.28515625" style="62" bestFit="1" customWidth="1"/>
    <col min="5642" max="5643" width="11.5703125" style="62" bestFit="1" customWidth="1"/>
    <col min="5644" max="5644" width="12.28515625" style="62" bestFit="1" customWidth="1"/>
    <col min="5645" max="5645" width="11.5703125" style="62" bestFit="1" customWidth="1"/>
    <col min="5646" max="5646" width="14.28515625" style="62" bestFit="1" customWidth="1"/>
    <col min="5647" max="5647" width="12.28515625" style="62" bestFit="1" customWidth="1"/>
    <col min="5648" max="5648" width="14.28515625" style="62" bestFit="1" customWidth="1"/>
    <col min="5649" max="5649" width="14.42578125" style="62" bestFit="1" customWidth="1"/>
    <col min="5650" max="5650" width="14.28515625" style="62" bestFit="1" customWidth="1"/>
    <col min="5651" max="5651" width="14.42578125" style="62" bestFit="1" customWidth="1"/>
    <col min="5652" max="5652" width="10.7109375" style="62" bestFit="1" customWidth="1"/>
    <col min="5653" max="5653" width="11.5703125" style="62" bestFit="1" customWidth="1"/>
    <col min="5654" max="5866" width="9.140625" style="62"/>
    <col min="5867" max="5867" width="5.28515625" style="62" bestFit="1" customWidth="1"/>
    <col min="5868" max="5868" width="28.5703125" style="62" customWidth="1"/>
    <col min="5869" max="5869" width="14.42578125" style="62" customWidth="1"/>
    <col min="5870" max="5870" width="13.140625" style="62" customWidth="1"/>
    <col min="5871" max="5872" width="11.5703125" style="62" bestFit="1" customWidth="1"/>
    <col min="5873" max="5873" width="12.28515625" style="62" bestFit="1" customWidth="1"/>
    <col min="5874" max="5875" width="11.5703125" style="62" bestFit="1" customWidth="1"/>
    <col min="5876" max="5876" width="12.28515625" style="62" bestFit="1" customWidth="1"/>
    <col min="5877" max="5877" width="11.5703125" style="62" bestFit="1" customWidth="1"/>
    <col min="5878" max="5878" width="12.5703125" style="62" bestFit="1" customWidth="1"/>
    <col min="5879" max="5879" width="12.28515625" style="62" bestFit="1" customWidth="1"/>
    <col min="5880" max="5881" width="11.5703125" style="62" bestFit="1" customWidth="1"/>
    <col min="5882" max="5882" width="12.28515625" style="62" bestFit="1" customWidth="1"/>
    <col min="5883" max="5884" width="11.5703125" style="62" bestFit="1" customWidth="1"/>
    <col min="5885" max="5885" width="12.28515625" style="62" bestFit="1" customWidth="1"/>
    <col min="5886" max="5887" width="11.5703125" style="62" bestFit="1" customWidth="1"/>
    <col min="5888" max="5888" width="12.28515625" style="62" bestFit="1" customWidth="1"/>
    <col min="5889" max="5890" width="11.5703125" style="62" bestFit="1" customWidth="1"/>
    <col min="5891" max="5891" width="12.28515625" style="62" bestFit="1" customWidth="1"/>
    <col min="5892" max="5892" width="11.5703125" style="62" bestFit="1" customWidth="1"/>
    <col min="5893" max="5893" width="13" style="62" customWidth="1"/>
    <col min="5894" max="5894" width="12.28515625" style="62" bestFit="1" customWidth="1"/>
    <col min="5895" max="5895" width="11.5703125" style="62" bestFit="1" customWidth="1"/>
    <col min="5896" max="5896" width="12.5703125" style="62" bestFit="1" customWidth="1"/>
    <col min="5897" max="5897" width="12.28515625" style="62" bestFit="1" customWidth="1"/>
    <col min="5898" max="5899" width="11.5703125" style="62" bestFit="1" customWidth="1"/>
    <col min="5900" max="5900" width="12.28515625" style="62" bestFit="1" customWidth="1"/>
    <col min="5901" max="5901" width="11.5703125" style="62" bestFit="1" customWidth="1"/>
    <col min="5902" max="5902" width="14.28515625" style="62" bestFit="1" customWidth="1"/>
    <col min="5903" max="5903" width="12.28515625" style="62" bestFit="1" customWidth="1"/>
    <col min="5904" max="5904" width="14.28515625" style="62" bestFit="1" customWidth="1"/>
    <col min="5905" max="5905" width="14.42578125" style="62" bestFit="1" customWidth="1"/>
    <col min="5906" max="5906" width="14.28515625" style="62" bestFit="1" customWidth="1"/>
    <col min="5907" max="5907" width="14.42578125" style="62" bestFit="1" customWidth="1"/>
    <col min="5908" max="5908" width="10.7109375" style="62" bestFit="1" customWidth="1"/>
    <col min="5909" max="5909" width="11.5703125" style="62" bestFit="1" customWidth="1"/>
    <col min="5910" max="6122" width="9.140625" style="62"/>
    <col min="6123" max="6123" width="5.28515625" style="62" bestFit="1" customWidth="1"/>
    <col min="6124" max="6124" width="28.5703125" style="62" customWidth="1"/>
    <col min="6125" max="6125" width="14.42578125" style="62" customWidth="1"/>
    <col min="6126" max="6126" width="13.140625" style="62" customWidth="1"/>
    <col min="6127" max="6128" width="11.5703125" style="62" bestFit="1" customWidth="1"/>
    <col min="6129" max="6129" width="12.28515625" style="62" bestFit="1" customWidth="1"/>
    <col min="6130" max="6131" width="11.5703125" style="62" bestFit="1" customWidth="1"/>
    <col min="6132" max="6132" width="12.28515625" style="62" bestFit="1" customWidth="1"/>
    <col min="6133" max="6133" width="11.5703125" style="62" bestFit="1" customWidth="1"/>
    <col min="6134" max="6134" width="12.5703125" style="62" bestFit="1" customWidth="1"/>
    <col min="6135" max="6135" width="12.28515625" style="62" bestFit="1" customWidth="1"/>
    <col min="6136" max="6137" width="11.5703125" style="62" bestFit="1" customWidth="1"/>
    <col min="6138" max="6138" width="12.28515625" style="62" bestFit="1" customWidth="1"/>
    <col min="6139" max="6140" width="11.5703125" style="62" bestFit="1" customWidth="1"/>
    <col min="6141" max="6141" width="12.28515625" style="62" bestFit="1" customWidth="1"/>
    <col min="6142" max="6143" width="11.5703125" style="62" bestFit="1" customWidth="1"/>
    <col min="6144" max="6144" width="12.28515625" style="62" bestFit="1" customWidth="1"/>
    <col min="6145" max="6146" width="11.5703125" style="62" bestFit="1" customWidth="1"/>
    <col min="6147" max="6147" width="12.28515625" style="62" bestFit="1" customWidth="1"/>
    <col min="6148" max="6148" width="11.5703125" style="62" bestFit="1" customWidth="1"/>
    <col min="6149" max="6149" width="13" style="62" customWidth="1"/>
    <col min="6150" max="6150" width="12.28515625" style="62" bestFit="1" customWidth="1"/>
    <col min="6151" max="6151" width="11.5703125" style="62" bestFit="1" customWidth="1"/>
    <col min="6152" max="6152" width="12.5703125" style="62" bestFit="1" customWidth="1"/>
    <col min="6153" max="6153" width="12.28515625" style="62" bestFit="1" customWidth="1"/>
    <col min="6154" max="6155" width="11.5703125" style="62" bestFit="1" customWidth="1"/>
    <col min="6156" max="6156" width="12.28515625" style="62" bestFit="1" customWidth="1"/>
    <col min="6157" max="6157" width="11.5703125" style="62" bestFit="1" customWidth="1"/>
    <col min="6158" max="6158" width="14.28515625" style="62" bestFit="1" customWidth="1"/>
    <col min="6159" max="6159" width="12.28515625" style="62" bestFit="1" customWidth="1"/>
    <col min="6160" max="6160" width="14.28515625" style="62" bestFit="1" customWidth="1"/>
    <col min="6161" max="6161" width="14.42578125" style="62" bestFit="1" customWidth="1"/>
    <col min="6162" max="6162" width="14.28515625" style="62" bestFit="1" customWidth="1"/>
    <col min="6163" max="6163" width="14.42578125" style="62" bestFit="1" customWidth="1"/>
    <col min="6164" max="6164" width="10.7109375" style="62" bestFit="1" customWidth="1"/>
    <col min="6165" max="6165" width="11.5703125" style="62" bestFit="1" customWidth="1"/>
    <col min="6166" max="6378" width="9.140625" style="62"/>
    <col min="6379" max="6379" width="5.28515625" style="62" bestFit="1" customWidth="1"/>
    <col min="6380" max="6380" width="28.5703125" style="62" customWidth="1"/>
    <col min="6381" max="6381" width="14.42578125" style="62" customWidth="1"/>
    <col min="6382" max="6382" width="13.140625" style="62" customWidth="1"/>
    <col min="6383" max="6384" width="11.5703125" style="62" bestFit="1" customWidth="1"/>
    <col min="6385" max="6385" width="12.28515625" style="62" bestFit="1" customWidth="1"/>
    <col min="6386" max="6387" width="11.5703125" style="62" bestFit="1" customWidth="1"/>
    <col min="6388" max="6388" width="12.28515625" style="62" bestFit="1" customWidth="1"/>
    <col min="6389" max="6389" width="11.5703125" style="62" bestFit="1" customWidth="1"/>
    <col min="6390" max="6390" width="12.5703125" style="62" bestFit="1" customWidth="1"/>
    <col min="6391" max="6391" width="12.28515625" style="62" bestFit="1" customWidth="1"/>
    <col min="6392" max="6393" width="11.5703125" style="62" bestFit="1" customWidth="1"/>
    <col min="6394" max="6394" width="12.28515625" style="62" bestFit="1" customWidth="1"/>
    <col min="6395" max="6396" width="11.5703125" style="62" bestFit="1" customWidth="1"/>
    <col min="6397" max="6397" width="12.28515625" style="62" bestFit="1" customWidth="1"/>
    <col min="6398" max="6399" width="11.5703125" style="62" bestFit="1" customWidth="1"/>
    <col min="6400" max="6400" width="12.28515625" style="62" bestFit="1" customWidth="1"/>
    <col min="6401" max="6402" width="11.5703125" style="62" bestFit="1" customWidth="1"/>
    <col min="6403" max="6403" width="12.28515625" style="62" bestFit="1" customWidth="1"/>
    <col min="6404" max="6404" width="11.5703125" style="62" bestFit="1" customWidth="1"/>
    <col min="6405" max="6405" width="13" style="62" customWidth="1"/>
    <col min="6406" max="6406" width="12.28515625" style="62" bestFit="1" customWidth="1"/>
    <col min="6407" max="6407" width="11.5703125" style="62" bestFit="1" customWidth="1"/>
    <col min="6408" max="6408" width="12.5703125" style="62" bestFit="1" customWidth="1"/>
    <col min="6409" max="6409" width="12.28515625" style="62" bestFit="1" customWidth="1"/>
    <col min="6410" max="6411" width="11.5703125" style="62" bestFit="1" customWidth="1"/>
    <col min="6412" max="6412" width="12.28515625" style="62" bestFit="1" customWidth="1"/>
    <col min="6413" max="6413" width="11.5703125" style="62" bestFit="1" customWidth="1"/>
    <col min="6414" max="6414" width="14.28515625" style="62" bestFit="1" customWidth="1"/>
    <col min="6415" max="6415" width="12.28515625" style="62" bestFit="1" customWidth="1"/>
    <col min="6416" max="6416" width="14.28515625" style="62" bestFit="1" customWidth="1"/>
    <col min="6417" max="6417" width="14.42578125" style="62" bestFit="1" customWidth="1"/>
    <col min="6418" max="6418" width="14.28515625" style="62" bestFit="1" customWidth="1"/>
    <col min="6419" max="6419" width="14.42578125" style="62" bestFit="1" customWidth="1"/>
    <col min="6420" max="6420" width="10.7109375" style="62" bestFit="1" customWidth="1"/>
    <col min="6421" max="6421" width="11.5703125" style="62" bestFit="1" customWidth="1"/>
    <col min="6422" max="6634" width="9.140625" style="62"/>
    <col min="6635" max="6635" width="5.28515625" style="62" bestFit="1" customWidth="1"/>
    <col min="6636" max="6636" width="28.5703125" style="62" customWidth="1"/>
    <col min="6637" max="6637" width="14.42578125" style="62" customWidth="1"/>
    <col min="6638" max="6638" width="13.140625" style="62" customWidth="1"/>
    <col min="6639" max="6640" width="11.5703125" style="62" bestFit="1" customWidth="1"/>
    <col min="6641" max="6641" width="12.28515625" style="62" bestFit="1" customWidth="1"/>
    <col min="6642" max="6643" width="11.5703125" style="62" bestFit="1" customWidth="1"/>
    <col min="6644" max="6644" width="12.28515625" style="62" bestFit="1" customWidth="1"/>
    <col min="6645" max="6645" width="11.5703125" style="62" bestFit="1" customWidth="1"/>
    <col min="6646" max="6646" width="12.5703125" style="62" bestFit="1" customWidth="1"/>
    <col min="6647" max="6647" width="12.28515625" style="62" bestFit="1" customWidth="1"/>
    <col min="6648" max="6649" width="11.5703125" style="62" bestFit="1" customWidth="1"/>
    <col min="6650" max="6650" width="12.28515625" style="62" bestFit="1" customWidth="1"/>
    <col min="6651" max="6652" width="11.5703125" style="62" bestFit="1" customWidth="1"/>
    <col min="6653" max="6653" width="12.28515625" style="62" bestFit="1" customWidth="1"/>
    <col min="6654" max="6655" width="11.5703125" style="62" bestFit="1" customWidth="1"/>
    <col min="6656" max="6656" width="12.28515625" style="62" bestFit="1" customWidth="1"/>
    <col min="6657" max="6658" width="11.5703125" style="62" bestFit="1" customWidth="1"/>
    <col min="6659" max="6659" width="12.28515625" style="62" bestFit="1" customWidth="1"/>
    <col min="6660" max="6660" width="11.5703125" style="62" bestFit="1" customWidth="1"/>
    <col min="6661" max="6661" width="13" style="62" customWidth="1"/>
    <col min="6662" max="6662" width="12.28515625" style="62" bestFit="1" customWidth="1"/>
    <col min="6663" max="6663" width="11.5703125" style="62" bestFit="1" customWidth="1"/>
    <col min="6664" max="6664" width="12.5703125" style="62" bestFit="1" customWidth="1"/>
    <col min="6665" max="6665" width="12.28515625" style="62" bestFit="1" customWidth="1"/>
    <col min="6666" max="6667" width="11.5703125" style="62" bestFit="1" customWidth="1"/>
    <col min="6668" max="6668" width="12.28515625" style="62" bestFit="1" customWidth="1"/>
    <col min="6669" max="6669" width="11.5703125" style="62" bestFit="1" customWidth="1"/>
    <col min="6670" max="6670" width="14.28515625" style="62" bestFit="1" customWidth="1"/>
    <col min="6671" max="6671" width="12.28515625" style="62" bestFit="1" customWidth="1"/>
    <col min="6672" max="6672" width="14.28515625" style="62" bestFit="1" customWidth="1"/>
    <col min="6673" max="6673" width="14.42578125" style="62" bestFit="1" customWidth="1"/>
    <col min="6674" max="6674" width="14.28515625" style="62" bestFit="1" customWidth="1"/>
    <col min="6675" max="6675" width="14.42578125" style="62" bestFit="1" customWidth="1"/>
    <col min="6676" max="6676" width="10.7109375" style="62" bestFit="1" customWidth="1"/>
    <col min="6677" max="6677" width="11.5703125" style="62" bestFit="1" customWidth="1"/>
    <col min="6678" max="6890" width="9.140625" style="62"/>
    <col min="6891" max="6891" width="5.28515625" style="62" bestFit="1" customWidth="1"/>
    <col min="6892" max="6892" width="28.5703125" style="62" customWidth="1"/>
    <col min="6893" max="6893" width="14.42578125" style="62" customWidth="1"/>
    <col min="6894" max="6894" width="13.140625" style="62" customWidth="1"/>
    <col min="6895" max="6896" width="11.5703125" style="62" bestFit="1" customWidth="1"/>
    <col min="6897" max="6897" width="12.28515625" style="62" bestFit="1" customWidth="1"/>
    <col min="6898" max="6899" width="11.5703125" style="62" bestFit="1" customWidth="1"/>
    <col min="6900" max="6900" width="12.28515625" style="62" bestFit="1" customWidth="1"/>
    <col min="6901" max="6901" width="11.5703125" style="62" bestFit="1" customWidth="1"/>
    <col min="6902" max="6902" width="12.5703125" style="62" bestFit="1" customWidth="1"/>
    <col min="6903" max="6903" width="12.28515625" style="62" bestFit="1" customWidth="1"/>
    <col min="6904" max="6905" width="11.5703125" style="62" bestFit="1" customWidth="1"/>
    <col min="6906" max="6906" width="12.28515625" style="62" bestFit="1" customWidth="1"/>
    <col min="6907" max="6908" width="11.5703125" style="62" bestFit="1" customWidth="1"/>
    <col min="6909" max="6909" width="12.28515625" style="62" bestFit="1" customWidth="1"/>
    <col min="6910" max="6911" width="11.5703125" style="62" bestFit="1" customWidth="1"/>
    <col min="6912" max="6912" width="12.28515625" style="62" bestFit="1" customWidth="1"/>
    <col min="6913" max="6914" width="11.5703125" style="62" bestFit="1" customWidth="1"/>
    <col min="6915" max="6915" width="12.28515625" style="62" bestFit="1" customWidth="1"/>
    <col min="6916" max="6916" width="11.5703125" style="62" bestFit="1" customWidth="1"/>
    <col min="6917" max="6917" width="13" style="62" customWidth="1"/>
    <col min="6918" max="6918" width="12.28515625" style="62" bestFit="1" customWidth="1"/>
    <col min="6919" max="6919" width="11.5703125" style="62" bestFit="1" customWidth="1"/>
    <col min="6920" max="6920" width="12.5703125" style="62" bestFit="1" customWidth="1"/>
    <col min="6921" max="6921" width="12.28515625" style="62" bestFit="1" customWidth="1"/>
    <col min="6922" max="6923" width="11.5703125" style="62" bestFit="1" customWidth="1"/>
    <col min="6924" max="6924" width="12.28515625" style="62" bestFit="1" customWidth="1"/>
    <col min="6925" max="6925" width="11.5703125" style="62" bestFit="1" customWidth="1"/>
    <col min="6926" max="6926" width="14.28515625" style="62" bestFit="1" customWidth="1"/>
    <col min="6927" max="6927" width="12.28515625" style="62" bestFit="1" customWidth="1"/>
    <col min="6928" max="6928" width="14.28515625" style="62" bestFit="1" customWidth="1"/>
    <col min="6929" max="6929" width="14.42578125" style="62" bestFit="1" customWidth="1"/>
    <col min="6930" max="6930" width="14.28515625" style="62" bestFit="1" customWidth="1"/>
    <col min="6931" max="6931" width="14.42578125" style="62" bestFit="1" customWidth="1"/>
    <col min="6932" max="6932" width="10.7109375" style="62" bestFit="1" customWidth="1"/>
    <col min="6933" max="6933" width="11.5703125" style="62" bestFit="1" customWidth="1"/>
    <col min="6934" max="7146" width="9.140625" style="62"/>
    <col min="7147" max="7147" width="5.28515625" style="62" bestFit="1" customWidth="1"/>
    <col min="7148" max="7148" width="28.5703125" style="62" customWidth="1"/>
    <col min="7149" max="7149" width="14.42578125" style="62" customWidth="1"/>
    <col min="7150" max="7150" width="13.140625" style="62" customWidth="1"/>
    <col min="7151" max="7152" width="11.5703125" style="62" bestFit="1" customWidth="1"/>
    <col min="7153" max="7153" width="12.28515625" style="62" bestFit="1" customWidth="1"/>
    <col min="7154" max="7155" width="11.5703125" style="62" bestFit="1" customWidth="1"/>
    <col min="7156" max="7156" width="12.28515625" style="62" bestFit="1" customWidth="1"/>
    <col min="7157" max="7157" width="11.5703125" style="62" bestFit="1" customWidth="1"/>
    <col min="7158" max="7158" width="12.5703125" style="62" bestFit="1" customWidth="1"/>
    <col min="7159" max="7159" width="12.28515625" style="62" bestFit="1" customWidth="1"/>
    <col min="7160" max="7161" width="11.5703125" style="62" bestFit="1" customWidth="1"/>
    <col min="7162" max="7162" width="12.28515625" style="62" bestFit="1" customWidth="1"/>
    <col min="7163" max="7164" width="11.5703125" style="62" bestFit="1" customWidth="1"/>
    <col min="7165" max="7165" width="12.28515625" style="62" bestFit="1" customWidth="1"/>
    <col min="7166" max="7167" width="11.5703125" style="62" bestFit="1" customWidth="1"/>
    <col min="7168" max="7168" width="12.28515625" style="62" bestFit="1" customWidth="1"/>
    <col min="7169" max="7170" width="11.5703125" style="62" bestFit="1" customWidth="1"/>
    <col min="7171" max="7171" width="12.28515625" style="62" bestFit="1" customWidth="1"/>
    <col min="7172" max="7172" width="11.5703125" style="62" bestFit="1" customWidth="1"/>
    <col min="7173" max="7173" width="13" style="62" customWidth="1"/>
    <col min="7174" max="7174" width="12.28515625" style="62" bestFit="1" customWidth="1"/>
    <col min="7175" max="7175" width="11.5703125" style="62" bestFit="1" customWidth="1"/>
    <col min="7176" max="7176" width="12.5703125" style="62" bestFit="1" customWidth="1"/>
    <col min="7177" max="7177" width="12.28515625" style="62" bestFit="1" customWidth="1"/>
    <col min="7178" max="7179" width="11.5703125" style="62" bestFit="1" customWidth="1"/>
    <col min="7180" max="7180" width="12.28515625" style="62" bestFit="1" customWidth="1"/>
    <col min="7181" max="7181" width="11.5703125" style="62" bestFit="1" customWidth="1"/>
    <col min="7182" max="7182" width="14.28515625" style="62" bestFit="1" customWidth="1"/>
    <col min="7183" max="7183" width="12.28515625" style="62" bestFit="1" customWidth="1"/>
    <col min="7184" max="7184" width="14.28515625" style="62" bestFit="1" customWidth="1"/>
    <col min="7185" max="7185" width="14.42578125" style="62" bestFit="1" customWidth="1"/>
    <col min="7186" max="7186" width="14.28515625" style="62" bestFit="1" customWidth="1"/>
    <col min="7187" max="7187" width="14.42578125" style="62" bestFit="1" customWidth="1"/>
    <col min="7188" max="7188" width="10.7109375" style="62" bestFit="1" customWidth="1"/>
    <col min="7189" max="7189" width="11.5703125" style="62" bestFit="1" customWidth="1"/>
    <col min="7190" max="7402" width="9.140625" style="62"/>
    <col min="7403" max="7403" width="5.28515625" style="62" bestFit="1" customWidth="1"/>
    <col min="7404" max="7404" width="28.5703125" style="62" customWidth="1"/>
    <col min="7405" max="7405" width="14.42578125" style="62" customWidth="1"/>
    <col min="7406" max="7406" width="13.140625" style="62" customWidth="1"/>
    <col min="7407" max="7408" width="11.5703125" style="62" bestFit="1" customWidth="1"/>
    <col min="7409" max="7409" width="12.28515625" style="62" bestFit="1" customWidth="1"/>
    <col min="7410" max="7411" width="11.5703125" style="62" bestFit="1" customWidth="1"/>
    <col min="7412" max="7412" width="12.28515625" style="62" bestFit="1" customWidth="1"/>
    <col min="7413" max="7413" width="11.5703125" style="62" bestFit="1" customWidth="1"/>
    <col min="7414" max="7414" width="12.5703125" style="62" bestFit="1" customWidth="1"/>
    <col min="7415" max="7415" width="12.28515625" style="62" bestFit="1" customWidth="1"/>
    <col min="7416" max="7417" width="11.5703125" style="62" bestFit="1" customWidth="1"/>
    <col min="7418" max="7418" width="12.28515625" style="62" bestFit="1" customWidth="1"/>
    <col min="7419" max="7420" width="11.5703125" style="62" bestFit="1" customWidth="1"/>
    <col min="7421" max="7421" width="12.28515625" style="62" bestFit="1" customWidth="1"/>
    <col min="7422" max="7423" width="11.5703125" style="62" bestFit="1" customWidth="1"/>
    <col min="7424" max="7424" width="12.28515625" style="62" bestFit="1" customWidth="1"/>
    <col min="7425" max="7426" width="11.5703125" style="62" bestFit="1" customWidth="1"/>
    <col min="7427" max="7427" width="12.28515625" style="62" bestFit="1" customWidth="1"/>
    <col min="7428" max="7428" width="11.5703125" style="62" bestFit="1" customWidth="1"/>
    <col min="7429" max="7429" width="13" style="62" customWidth="1"/>
    <col min="7430" max="7430" width="12.28515625" style="62" bestFit="1" customWidth="1"/>
    <col min="7431" max="7431" width="11.5703125" style="62" bestFit="1" customWidth="1"/>
    <col min="7432" max="7432" width="12.5703125" style="62" bestFit="1" customWidth="1"/>
    <col min="7433" max="7433" width="12.28515625" style="62" bestFit="1" customWidth="1"/>
    <col min="7434" max="7435" width="11.5703125" style="62" bestFit="1" customWidth="1"/>
    <col min="7436" max="7436" width="12.28515625" style="62" bestFit="1" customWidth="1"/>
    <col min="7437" max="7437" width="11.5703125" style="62" bestFit="1" customWidth="1"/>
    <col min="7438" max="7438" width="14.28515625" style="62" bestFit="1" customWidth="1"/>
    <col min="7439" max="7439" width="12.28515625" style="62" bestFit="1" customWidth="1"/>
    <col min="7440" max="7440" width="14.28515625" style="62" bestFit="1" customWidth="1"/>
    <col min="7441" max="7441" width="14.42578125" style="62" bestFit="1" customWidth="1"/>
    <col min="7442" max="7442" width="14.28515625" style="62" bestFit="1" customWidth="1"/>
    <col min="7443" max="7443" width="14.42578125" style="62" bestFit="1" customWidth="1"/>
    <col min="7444" max="7444" width="10.7109375" style="62" bestFit="1" customWidth="1"/>
    <col min="7445" max="7445" width="11.5703125" style="62" bestFit="1" customWidth="1"/>
    <col min="7446" max="7658" width="9.140625" style="62"/>
    <col min="7659" max="7659" width="5.28515625" style="62" bestFit="1" customWidth="1"/>
    <col min="7660" max="7660" width="28.5703125" style="62" customWidth="1"/>
    <col min="7661" max="7661" width="14.42578125" style="62" customWidth="1"/>
    <col min="7662" max="7662" width="13.140625" style="62" customWidth="1"/>
    <col min="7663" max="7664" width="11.5703125" style="62" bestFit="1" customWidth="1"/>
    <col min="7665" max="7665" width="12.28515625" style="62" bestFit="1" customWidth="1"/>
    <col min="7666" max="7667" width="11.5703125" style="62" bestFit="1" customWidth="1"/>
    <col min="7668" max="7668" width="12.28515625" style="62" bestFit="1" customWidth="1"/>
    <col min="7669" max="7669" width="11.5703125" style="62" bestFit="1" customWidth="1"/>
    <col min="7670" max="7670" width="12.5703125" style="62" bestFit="1" customWidth="1"/>
    <col min="7671" max="7671" width="12.28515625" style="62" bestFit="1" customWidth="1"/>
    <col min="7672" max="7673" width="11.5703125" style="62" bestFit="1" customWidth="1"/>
    <col min="7674" max="7674" width="12.28515625" style="62" bestFit="1" customWidth="1"/>
    <col min="7675" max="7676" width="11.5703125" style="62" bestFit="1" customWidth="1"/>
    <col min="7677" max="7677" width="12.28515625" style="62" bestFit="1" customWidth="1"/>
    <col min="7678" max="7679" width="11.5703125" style="62" bestFit="1" customWidth="1"/>
    <col min="7680" max="7680" width="12.28515625" style="62" bestFit="1" customWidth="1"/>
    <col min="7681" max="7682" width="11.5703125" style="62" bestFit="1" customWidth="1"/>
    <col min="7683" max="7683" width="12.28515625" style="62" bestFit="1" customWidth="1"/>
    <col min="7684" max="7684" width="11.5703125" style="62" bestFit="1" customWidth="1"/>
    <col min="7685" max="7685" width="13" style="62" customWidth="1"/>
    <col min="7686" max="7686" width="12.28515625" style="62" bestFit="1" customWidth="1"/>
    <col min="7687" max="7687" width="11.5703125" style="62" bestFit="1" customWidth="1"/>
    <col min="7688" max="7688" width="12.5703125" style="62" bestFit="1" customWidth="1"/>
    <col min="7689" max="7689" width="12.28515625" style="62" bestFit="1" customWidth="1"/>
    <col min="7690" max="7691" width="11.5703125" style="62" bestFit="1" customWidth="1"/>
    <col min="7692" max="7692" width="12.28515625" style="62" bestFit="1" customWidth="1"/>
    <col min="7693" max="7693" width="11.5703125" style="62" bestFit="1" customWidth="1"/>
    <col min="7694" max="7694" width="14.28515625" style="62" bestFit="1" customWidth="1"/>
    <col min="7695" max="7695" width="12.28515625" style="62" bestFit="1" customWidth="1"/>
    <col min="7696" max="7696" width="14.28515625" style="62" bestFit="1" customWidth="1"/>
    <col min="7697" max="7697" width="14.42578125" style="62" bestFit="1" customWidth="1"/>
    <col min="7698" max="7698" width="14.28515625" style="62" bestFit="1" customWidth="1"/>
    <col min="7699" max="7699" width="14.42578125" style="62" bestFit="1" customWidth="1"/>
    <col min="7700" max="7700" width="10.7109375" style="62" bestFit="1" customWidth="1"/>
    <col min="7701" max="7701" width="11.5703125" style="62" bestFit="1" customWidth="1"/>
    <col min="7702" max="7914" width="9.140625" style="62"/>
    <col min="7915" max="7915" width="5.28515625" style="62" bestFit="1" customWidth="1"/>
    <col min="7916" max="7916" width="28.5703125" style="62" customWidth="1"/>
    <col min="7917" max="7917" width="14.42578125" style="62" customWidth="1"/>
    <col min="7918" max="7918" width="13.140625" style="62" customWidth="1"/>
    <col min="7919" max="7920" width="11.5703125" style="62" bestFit="1" customWidth="1"/>
    <col min="7921" max="7921" width="12.28515625" style="62" bestFit="1" customWidth="1"/>
    <col min="7922" max="7923" width="11.5703125" style="62" bestFit="1" customWidth="1"/>
    <col min="7924" max="7924" width="12.28515625" style="62" bestFit="1" customWidth="1"/>
    <col min="7925" max="7925" width="11.5703125" style="62" bestFit="1" customWidth="1"/>
    <col min="7926" max="7926" width="12.5703125" style="62" bestFit="1" customWidth="1"/>
    <col min="7927" max="7927" width="12.28515625" style="62" bestFit="1" customWidth="1"/>
    <col min="7928" max="7929" width="11.5703125" style="62" bestFit="1" customWidth="1"/>
    <col min="7930" max="7930" width="12.28515625" style="62" bestFit="1" customWidth="1"/>
    <col min="7931" max="7932" width="11.5703125" style="62" bestFit="1" customWidth="1"/>
    <col min="7933" max="7933" width="12.28515625" style="62" bestFit="1" customWidth="1"/>
    <col min="7934" max="7935" width="11.5703125" style="62" bestFit="1" customWidth="1"/>
    <col min="7936" max="7936" width="12.28515625" style="62" bestFit="1" customWidth="1"/>
    <col min="7937" max="7938" width="11.5703125" style="62" bestFit="1" customWidth="1"/>
    <col min="7939" max="7939" width="12.28515625" style="62" bestFit="1" customWidth="1"/>
    <col min="7940" max="7940" width="11.5703125" style="62" bestFit="1" customWidth="1"/>
    <col min="7941" max="7941" width="13" style="62" customWidth="1"/>
    <col min="7942" max="7942" width="12.28515625" style="62" bestFit="1" customWidth="1"/>
    <col min="7943" max="7943" width="11.5703125" style="62" bestFit="1" customWidth="1"/>
    <col min="7944" max="7944" width="12.5703125" style="62" bestFit="1" customWidth="1"/>
    <col min="7945" max="7945" width="12.28515625" style="62" bestFit="1" customWidth="1"/>
    <col min="7946" max="7947" width="11.5703125" style="62" bestFit="1" customWidth="1"/>
    <col min="7948" max="7948" width="12.28515625" style="62" bestFit="1" customWidth="1"/>
    <col min="7949" max="7949" width="11.5703125" style="62" bestFit="1" customWidth="1"/>
    <col min="7950" max="7950" width="14.28515625" style="62" bestFit="1" customWidth="1"/>
    <col min="7951" max="7951" width="12.28515625" style="62" bestFit="1" customWidth="1"/>
    <col min="7952" max="7952" width="14.28515625" style="62" bestFit="1" customWidth="1"/>
    <col min="7953" max="7953" width="14.42578125" style="62" bestFit="1" customWidth="1"/>
    <col min="7954" max="7954" width="14.28515625" style="62" bestFit="1" customWidth="1"/>
    <col min="7955" max="7955" width="14.42578125" style="62" bestFit="1" customWidth="1"/>
    <col min="7956" max="7956" width="10.7109375" style="62" bestFit="1" customWidth="1"/>
    <col min="7957" max="7957" width="11.5703125" style="62" bestFit="1" customWidth="1"/>
    <col min="7958" max="8170" width="9.140625" style="62"/>
    <col min="8171" max="8171" width="5.28515625" style="62" bestFit="1" customWidth="1"/>
    <col min="8172" max="8172" width="28.5703125" style="62" customWidth="1"/>
    <col min="8173" max="8173" width="14.42578125" style="62" customWidth="1"/>
    <col min="8174" max="8174" width="13.140625" style="62" customWidth="1"/>
    <col min="8175" max="8176" width="11.5703125" style="62" bestFit="1" customWidth="1"/>
    <col min="8177" max="8177" width="12.28515625" style="62" bestFit="1" customWidth="1"/>
    <col min="8178" max="8179" width="11.5703125" style="62" bestFit="1" customWidth="1"/>
    <col min="8180" max="8180" width="12.28515625" style="62" bestFit="1" customWidth="1"/>
    <col min="8181" max="8181" width="11.5703125" style="62" bestFit="1" customWidth="1"/>
    <col min="8182" max="8182" width="12.5703125" style="62" bestFit="1" customWidth="1"/>
    <col min="8183" max="8183" width="12.28515625" style="62" bestFit="1" customWidth="1"/>
    <col min="8184" max="8185" width="11.5703125" style="62" bestFit="1" customWidth="1"/>
    <col min="8186" max="8186" width="12.28515625" style="62" bestFit="1" customWidth="1"/>
    <col min="8187" max="8188" width="11.5703125" style="62" bestFit="1" customWidth="1"/>
    <col min="8189" max="8189" width="12.28515625" style="62" bestFit="1" customWidth="1"/>
    <col min="8190" max="8191" width="11.5703125" style="62" bestFit="1" customWidth="1"/>
    <col min="8192" max="8192" width="12.28515625" style="62" bestFit="1" customWidth="1"/>
    <col min="8193" max="8194" width="11.5703125" style="62" bestFit="1" customWidth="1"/>
    <col min="8195" max="8195" width="12.28515625" style="62" bestFit="1" customWidth="1"/>
    <col min="8196" max="8196" width="11.5703125" style="62" bestFit="1" customWidth="1"/>
    <col min="8197" max="8197" width="13" style="62" customWidth="1"/>
    <col min="8198" max="8198" width="12.28515625" style="62" bestFit="1" customWidth="1"/>
    <col min="8199" max="8199" width="11.5703125" style="62" bestFit="1" customWidth="1"/>
    <col min="8200" max="8200" width="12.5703125" style="62" bestFit="1" customWidth="1"/>
    <col min="8201" max="8201" width="12.28515625" style="62" bestFit="1" customWidth="1"/>
    <col min="8202" max="8203" width="11.5703125" style="62" bestFit="1" customWidth="1"/>
    <col min="8204" max="8204" width="12.28515625" style="62" bestFit="1" customWidth="1"/>
    <col min="8205" max="8205" width="11.5703125" style="62" bestFit="1" customWidth="1"/>
    <col min="8206" max="8206" width="14.28515625" style="62" bestFit="1" customWidth="1"/>
    <col min="8207" max="8207" width="12.28515625" style="62" bestFit="1" customWidth="1"/>
    <col min="8208" max="8208" width="14.28515625" style="62" bestFit="1" customWidth="1"/>
    <col min="8209" max="8209" width="14.42578125" style="62" bestFit="1" customWidth="1"/>
    <col min="8210" max="8210" width="14.28515625" style="62" bestFit="1" customWidth="1"/>
    <col min="8211" max="8211" width="14.42578125" style="62" bestFit="1" customWidth="1"/>
    <col min="8212" max="8212" width="10.7109375" style="62" bestFit="1" customWidth="1"/>
    <col min="8213" max="8213" width="11.5703125" style="62" bestFit="1" customWidth="1"/>
    <col min="8214" max="8426" width="9.140625" style="62"/>
    <col min="8427" max="8427" width="5.28515625" style="62" bestFit="1" customWidth="1"/>
    <col min="8428" max="8428" width="28.5703125" style="62" customWidth="1"/>
    <col min="8429" max="8429" width="14.42578125" style="62" customWidth="1"/>
    <col min="8430" max="8430" width="13.140625" style="62" customWidth="1"/>
    <col min="8431" max="8432" width="11.5703125" style="62" bestFit="1" customWidth="1"/>
    <col min="8433" max="8433" width="12.28515625" style="62" bestFit="1" customWidth="1"/>
    <col min="8434" max="8435" width="11.5703125" style="62" bestFit="1" customWidth="1"/>
    <col min="8436" max="8436" width="12.28515625" style="62" bestFit="1" customWidth="1"/>
    <col min="8437" max="8437" width="11.5703125" style="62" bestFit="1" customWidth="1"/>
    <col min="8438" max="8438" width="12.5703125" style="62" bestFit="1" customWidth="1"/>
    <col min="8439" max="8439" width="12.28515625" style="62" bestFit="1" customWidth="1"/>
    <col min="8440" max="8441" width="11.5703125" style="62" bestFit="1" customWidth="1"/>
    <col min="8442" max="8442" width="12.28515625" style="62" bestFit="1" customWidth="1"/>
    <col min="8443" max="8444" width="11.5703125" style="62" bestFit="1" customWidth="1"/>
    <col min="8445" max="8445" width="12.28515625" style="62" bestFit="1" customWidth="1"/>
    <col min="8446" max="8447" width="11.5703125" style="62" bestFit="1" customWidth="1"/>
    <col min="8448" max="8448" width="12.28515625" style="62" bestFit="1" customWidth="1"/>
    <col min="8449" max="8450" width="11.5703125" style="62" bestFit="1" customWidth="1"/>
    <col min="8451" max="8451" width="12.28515625" style="62" bestFit="1" customWidth="1"/>
    <col min="8452" max="8452" width="11.5703125" style="62" bestFit="1" customWidth="1"/>
    <col min="8453" max="8453" width="13" style="62" customWidth="1"/>
    <col min="8454" max="8454" width="12.28515625" style="62" bestFit="1" customWidth="1"/>
    <col min="8455" max="8455" width="11.5703125" style="62" bestFit="1" customWidth="1"/>
    <col min="8456" max="8456" width="12.5703125" style="62" bestFit="1" customWidth="1"/>
    <col min="8457" max="8457" width="12.28515625" style="62" bestFit="1" customWidth="1"/>
    <col min="8458" max="8459" width="11.5703125" style="62" bestFit="1" customWidth="1"/>
    <col min="8460" max="8460" width="12.28515625" style="62" bestFit="1" customWidth="1"/>
    <col min="8461" max="8461" width="11.5703125" style="62" bestFit="1" customWidth="1"/>
    <col min="8462" max="8462" width="14.28515625" style="62" bestFit="1" customWidth="1"/>
    <col min="8463" max="8463" width="12.28515625" style="62" bestFit="1" customWidth="1"/>
    <col min="8464" max="8464" width="14.28515625" style="62" bestFit="1" customWidth="1"/>
    <col min="8465" max="8465" width="14.42578125" style="62" bestFit="1" customWidth="1"/>
    <col min="8466" max="8466" width="14.28515625" style="62" bestFit="1" customWidth="1"/>
    <col min="8467" max="8467" width="14.42578125" style="62" bestFit="1" customWidth="1"/>
    <col min="8468" max="8468" width="10.7109375" style="62" bestFit="1" customWidth="1"/>
    <col min="8469" max="8469" width="11.5703125" style="62" bestFit="1" customWidth="1"/>
    <col min="8470" max="8682" width="9.140625" style="62"/>
    <col min="8683" max="8683" width="5.28515625" style="62" bestFit="1" customWidth="1"/>
    <col min="8684" max="8684" width="28.5703125" style="62" customWidth="1"/>
    <col min="8685" max="8685" width="14.42578125" style="62" customWidth="1"/>
    <col min="8686" max="8686" width="13.140625" style="62" customWidth="1"/>
    <col min="8687" max="8688" width="11.5703125" style="62" bestFit="1" customWidth="1"/>
    <col min="8689" max="8689" width="12.28515625" style="62" bestFit="1" customWidth="1"/>
    <col min="8690" max="8691" width="11.5703125" style="62" bestFit="1" customWidth="1"/>
    <col min="8692" max="8692" width="12.28515625" style="62" bestFit="1" customWidth="1"/>
    <col min="8693" max="8693" width="11.5703125" style="62" bestFit="1" customWidth="1"/>
    <col min="8694" max="8694" width="12.5703125" style="62" bestFit="1" customWidth="1"/>
    <col min="8695" max="8695" width="12.28515625" style="62" bestFit="1" customWidth="1"/>
    <col min="8696" max="8697" width="11.5703125" style="62" bestFit="1" customWidth="1"/>
    <col min="8698" max="8698" width="12.28515625" style="62" bestFit="1" customWidth="1"/>
    <col min="8699" max="8700" width="11.5703125" style="62" bestFit="1" customWidth="1"/>
    <col min="8701" max="8701" width="12.28515625" style="62" bestFit="1" customWidth="1"/>
    <col min="8702" max="8703" width="11.5703125" style="62" bestFit="1" customWidth="1"/>
    <col min="8704" max="8704" width="12.28515625" style="62" bestFit="1" customWidth="1"/>
    <col min="8705" max="8706" width="11.5703125" style="62" bestFit="1" customWidth="1"/>
    <col min="8707" max="8707" width="12.28515625" style="62" bestFit="1" customWidth="1"/>
    <col min="8708" max="8708" width="11.5703125" style="62" bestFit="1" customWidth="1"/>
    <col min="8709" max="8709" width="13" style="62" customWidth="1"/>
    <col min="8710" max="8710" width="12.28515625" style="62" bestFit="1" customWidth="1"/>
    <col min="8711" max="8711" width="11.5703125" style="62" bestFit="1" customWidth="1"/>
    <col min="8712" max="8712" width="12.5703125" style="62" bestFit="1" customWidth="1"/>
    <col min="8713" max="8713" width="12.28515625" style="62" bestFit="1" customWidth="1"/>
    <col min="8714" max="8715" width="11.5703125" style="62" bestFit="1" customWidth="1"/>
    <col min="8716" max="8716" width="12.28515625" style="62" bestFit="1" customWidth="1"/>
    <col min="8717" max="8717" width="11.5703125" style="62" bestFit="1" customWidth="1"/>
    <col min="8718" max="8718" width="14.28515625" style="62" bestFit="1" customWidth="1"/>
    <col min="8719" max="8719" width="12.28515625" style="62" bestFit="1" customWidth="1"/>
    <col min="8720" max="8720" width="14.28515625" style="62" bestFit="1" customWidth="1"/>
    <col min="8721" max="8721" width="14.42578125" style="62" bestFit="1" customWidth="1"/>
    <col min="8722" max="8722" width="14.28515625" style="62" bestFit="1" customWidth="1"/>
    <col min="8723" max="8723" width="14.42578125" style="62" bestFit="1" customWidth="1"/>
    <col min="8724" max="8724" width="10.7109375" style="62" bestFit="1" customWidth="1"/>
    <col min="8725" max="8725" width="11.5703125" style="62" bestFit="1" customWidth="1"/>
    <col min="8726" max="8938" width="9.140625" style="62"/>
    <col min="8939" max="8939" width="5.28515625" style="62" bestFit="1" customWidth="1"/>
    <col min="8940" max="8940" width="28.5703125" style="62" customWidth="1"/>
    <col min="8941" max="8941" width="14.42578125" style="62" customWidth="1"/>
    <col min="8942" max="8942" width="13.140625" style="62" customWidth="1"/>
    <col min="8943" max="8944" width="11.5703125" style="62" bestFit="1" customWidth="1"/>
    <col min="8945" max="8945" width="12.28515625" style="62" bestFit="1" customWidth="1"/>
    <col min="8946" max="8947" width="11.5703125" style="62" bestFit="1" customWidth="1"/>
    <col min="8948" max="8948" width="12.28515625" style="62" bestFit="1" customWidth="1"/>
    <col min="8949" max="8949" width="11.5703125" style="62" bestFit="1" customWidth="1"/>
    <col min="8950" max="8950" width="12.5703125" style="62" bestFit="1" customWidth="1"/>
    <col min="8951" max="8951" width="12.28515625" style="62" bestFit="1" customWidth="1"/>
    <col min="8952" max="8953" width="11.5703125" style="62" bestFit="1" customWidth="1"/>
    <col min="8954" max="8954" width="12.28515625" style="62" bestFit="1" customWidth="1"/>
    <col min="8955" max="8956" width="11.5703125" style="62" bestFit="1" customWidth="1"/>
    <col min="8957" max="8957" width="12.28515625" style="62" bestFit="1" customWidth="1"/>
    <col min="8958" max="8959" width="11.5703125" style="62" bestFit="1" customWidth="1"/>
    <col min="8960" max="8960" width="12.28515625" style="62" bestFit="1" customWidth="1"/>
    <col min="8961" max="8962" width="11.5703125" style="62" bestFit="1" customWidth="1"/>
    <col min="8963" max="8963" width="12.28515625" style="62" bestFit="1" customWidth="1"/>
    <col min="8964" max="8964" width="11.5703125" style="62" bestFit="1" customWidth="1"/>
    <col min="8965" max="8965" width="13" style="62" customWidth="1"/>
    <col min="8966" max="8966" width="12.28515625" style="62" bestFit="1" customWidth="1"/>
    <col min="8967" max="8967" width="11.5703125" style="62" bestFit="1" customWidth="1"/>
    <col min="8968" max="8968" width="12.5703125" style="62" bestFit="1" customWidth="1"/>
    <col min="8969" max="8969" width="12.28515625" style="62" bestFit="1" customWidth="1"/>
    <col min="8970" max="8971" width="11.5703125" style="62" bestFit="1" customWidth="1"/>
    <col min="8972" max="8972" width="12.28515625" style="62" bestFit="1" customWidth="1"/>
    <col min="8973" max="8973" width="11.5703125" style="62" bestFit="1" customWidth="1"/>
    <col min="8974" max="8974" width="14.28515625" style="62" bestFit="1" customWidth="1"/>
    <col min="8975" max="8975" width="12.28515625" style="62" bestFit="1" customWidth="1"/>
    <col min="8976" max="8976" width="14.28515625" style="62" bestFit="1" customWidth="1"/>
    <col min="8977" max="8977" width="14.42578125" style="62" bestFit="1" customWidth="1"/>
    <col min="8978" max="8978" width="14.28515625" style="62" bestFit="1" customWidth="1"/>
    <col min="8979" max="8979" width="14.42578125" style="62" bestFit="1" customWidth="1"/>
    <col min="8980" max="8980" width="10.7109375" style="62" bestFit="1" customWidth="1"/>
    <col min="8981" max="8981" width="11.5703125" style="62" bestFit="1" customWidth="1"/>
    <col min="8982" max="9194" width="9.140625" style="62"/>
    <col min="9195" max="9195" width="5.28515625" style="62" bestFit="1" customWidth="1"/>
    <col min="9196" max="9196" width="28.5703125" style="62" customWidth="1"/>
    <col min="9197" max="9197" width="14.42578125" style="62" customWidth="1"/>
    <col min="9198" max="9198" width="13.140625" style="62" customWidth="1"/>
    <col min="9199" max="9200" width="11.5703125" style="62" bestFit="1" customWidth="1"/>
    <col min="9201" max="9201" width="12.28515625" style="62" bestFit="1" customWidth="1"/>
    <col min="9202" max="9203" width="11.5703125" style="62" bestFit="1" customWidth="1"/>
    <col min="9204" max="9204" width="12.28515625" style="62" bestFit="1" customWidth="1"/>
    <col min="9205" max="9205" width="11.5703125" style="62" bestFit="1" customWidth="1"/>
    <col min="9206" max="9206" width="12.5703125" style="62" bestFit="1" customWidth="1"/>
    <col min="9207" max="9207" width="12.28515625" style="62" bestFit="1" customWidth="1"/>
    <col min="9208" max="9209" width="11.5703125" style="62" bestFit="1" customWidth="1"/>
    <col min="9210" max="9210" width="12.28515625" style="62" bestFit="1" customWidth="1"/>
    <col min="9211" max="9212" width="11.5703125" style="62" bestFit="1" customWidth="1"/>
    <col min="9213" max="9213" width="12.28515625" style="62" bestFit="1" customWidth="1"/>
    <col min="9214" max="9215" width="11.5703125" style="62" bestFit="1" customWidth="1"/>
    <col min="9216" max="9216" width="12.28515625" style="62" bestFit="1" customWidth="1"/>
    <col min="9217" max="9218" width="11.5703125" style="62" bestFit="1" customWidth="1"/>
    <col min="9219" max="9219" width="12.28515625" style="62" bestFit="1" customWidth="1"/>
    <col min="9220" max="9220" width="11.5703125" style="62" bestFit="1" customWidth="1"/>
    <col min="9221" max="9221" width="13" style="62" customWidth="1"/>
    <col min="9222" max="9222" width="12.28515625" style="62" bestFit="1" customWidth="1"/>
    <col min="9223" max="9223" width="11.5703125" style="62" bestFit="1" customWidth="1"/>
    <col min="9224" max="9224" width="12.5703125" style="62" bestFit="1" customWidth="1"/>
    <col min="9225" max="9225" width="12.28515625" style="62" bestFit="1" customWidth="1"/>
    <col min="9226" max="9227" width="11.5703125" style="62" bestFit="1" customWidth="1"/>
    <col min="9228" max="9228" width="12.28515625" style="62" bestFit="1" customWidth="1"/>
    <col min="9229" max="9229" width="11.5703125" style="62" bestFit="1" customWidth="1"/>
    <col min="9230" max="9230" width="14.28515625" style="62" bestFit="1" customWidth="1"/>
    <col min="9231" max="9231" width="12.28515625" style="62" bestFit="1" customWidth="1"/>
    <col min="9232" max="9232" width="14.28515625" style="62" bestFit="1" customWidth="1"/>
    <col min="9233" max="9233" width="14.42578125" style="62" bestFit="1" customWidth="1"/>
    <col min="9234" max="9234" width="14.28515625" style="62" bestFit="1" customWidth="1"/>
    <col min="9235" max="9235" width="14.42578125" style="62" bestFit="1" customWidth="1"/>
    <col min="9236" max="9236" width="10.7109375" style="62" bestFit="1" customWidth="1"/>
    <col min="9237" max="9237" width="11.5703125" style="62" bestFit="1" customWidth="1"/>
    <col min="9238" max="9450" width="9.140625" style="62"/>
    <col min="9451" max="9451" width="5.28515625" style="62" bestFit="1" customWidth="1"/>
    <col min="9452" max="9452" width="28.5703125" style="62" customWidth="1"/>
    <col min="9453" max="9453" width="14.42578125" style="62" customWidth="1"/>
    <col min="9454" max="9454" width="13.140625" style="62" customWidth="1"/>
    <col min="9455" max="9456" width="11.5703125" style="62" bestFit="1" customWidth="1"/>
    <col min="9457" max="9457" width="12.28515625" style="62" bestFit="1" customWidth="1"/>
    <col min="9458" max="9459" width="11.5703125" style="62" bestFit="1" customWidth="1"/>
    <col min="9460" max="9460" width="12.28515625" style="62" bestFit="1" customWidth="1"/>
    <col min="9461" max="9461" width="11.5703125" style="62" bestFit="1" customWidth="1"/>
    <col min="9462" max="9462" width="12.5703125" style="62" bestFit="1" customWidth="1"/>
    <col min="9463" max="9463" width="12.28515625" style="62" bestFit="1" customWidth="1"/>
    <col min="9464" max="9465" width="11.5703125" style="62" bestFit="1" customWidth="1"/>
    <col min="9466" max="9466" width="12.28515625" style="62" bestFit="1" customWidth="1"/>
    <col min="9467" max="9468" width="11.5703125" style="62" bestFit="1" customWidth="1"/>
    <col min="9469" max="9469" width="12.28515625" style="62" bestFit="1" customWidth="1"/>
    <col min="9470" max="9471" width="11.5703125" style="62" bestFit="1" customWidth="1"/>
    <col min="9472" max="9472" width="12.28515625" style="62" bestFit="1" customWidth="1"/>
    <col min="9473" max="9474" width="11.5703125" style="62" bestFit="1" customWidth="1"/>
    <col min="9475" max="9475" width="12.28515625" style="62" bestFit="1" customWidth="1"/>
    <col min="9476" max="9476" width="11.5703125" style="62" bestFit="1" customWidth="1"/>
    <col min="9477" max="9477" width="13" style="62" customWidth="1"/>
    <col min="9478" max="9478" width="12.28515625" style="62" bestFit="1" customWidth="1"/>
    <col min="9479" max="9479" width="11.5703125" style="62" bestFit="1" customWidth="1"/>
    <col min="9480" max="9480" width="12.5703125" style="62" bestFit="1" customWidth="1"/>
    <col min="9481" max="9481" width="12.28515625" style="62" bestFit="1" customWidth="1"/>
    <col min="9482" max="9483" width="11.5703125" style="62" bestFit="1" customWidth="1"/>
    <col min="9484" max="9484" width="12.28515625" style="62" bestFit="1" customWidth="1"/>
    <col min="9485" max="9485" width="11.5703125" style="62" bestFit="1" customWidth="1"/>
    <col min="9486" max="9486" width="14.28515625" style="62" bestFit="1" customWidth="1"/>
    <col min="9487" max="9487" width="12.28515625" style="62" bestFit="1" customWidth="1"/>
    <col min="9488" max="9488" width="14.28515625" style="62" bestFit="1" customWidth="1"/>
    <col min="9489" max="9489" width="14.42578125" style="62" bestFit="1" customWidth="1"/>
    <col min="9490" max="9490" width="14.28515625" style="62" bestFit="1" customWidth="1"/>
    <col min="9491" max="9491" width="14.42578125" style="62" bestFit="1" customWidth="1"/>
    <col min="9492" max="9492" width="10.7109375" style="62" bestFit="1" customWidth="1"/>
    <col min="9493" max="9493" width="11.5703125" style="62" bestFit="1" customWidth="1"/>
    <col min="9494" max="9706" width="9.140625" style="62"/>
    <col min="9707" max="9707" width="5.28515625" style="62" bestFit="1" customWidth="1"/>
    <col min="9708" max="9708" width="28.5703125" style="62" customWidth="1"/>
    <col min="9709" max="9709" width="14.42578125" style="62" customWidth="1"/>
    <col min="9710" max="9710" width="13.140625" style="62" customWidth="1"/>
    <col min="9711" max="9712" width="11.5703125" style="62" bestFit="1" customWidth="1"/>
    <col min="9713" max="9713" width="12.28515625" style="62" bestFit="1" customWidth="1"/>
    <col min="9714" max="9715" width="11.5703125" style="62" bestFit="1" customWidth="1"/>
    <col min="9716" max="9716" width="12.28515625" style="62" bestFit="1" customWidth="1"/>
    <col min="9717" max="9717" width="11.5703125" style="62" bestFit="1" customWidth="1"/>
    <col min="9718" max="9718" width="12.5703125" style="62" bestFit="1" customWidth="1"/>
    <col min="9719" max="9719" width="12.28515625" style="62" bestFit="1" customWidth="1"/>
    <col min="9720" max="9721" width="11.5703125" style="62" bestFit="1" customWidth="1"/>
    <col min="9722" max="9722" width="12.28515625" style="62" bestFit="1" customWidth="1"/>
    <col min="9723" max="9724" width="11.5703125" style="62" bestFit="1" customWidth="1"/>
    <col min="9725" max="9725" width="12.28515625" style="62" bestFit="1" customWidth="1"/>
    <col min="9726" max="9727" width="11.5703125" style="62" bestFit="1" customWidth="1"/>
    <col min="9728" max="9728" width="12.28515625" style="62" bestFit="1" customWidth="1"/>
    <col min="9729" max="9730" width="11.5703125" style="62" bestFit="1" customWidth="1"/>
    <col min="9731" max="9731" width="12.28515625" style="62" bestFit="1" customWidth="1"/>
    <col min="9732" max="9732" width="11.5703125" style="62" bestFit="1" customWidth="1"/>
    <col min="9733" max="9733" width="13" style="62" customWidth="1"/>
    <col min="9734" max="9734" width="12.28515625" style="62" bestFit="1" customWidth="1"/>
    <col min="9735" max="9735" width="11.5703125" style="62" bestFit="1" customWidth="1"/>
    <col min="9736" max="9736" width="12.5703125" style="62" bestFit="1" customWidth="1"/>
    <col min="9737" max="9737" width="12.28515625" style="62" bestFit="1" customWidth="1"/>
    <col min="9738" max="9739" width="11.5703125" style="62" bestFit="1" customWidth="1"/>
    <col min="9740" max="9740" width="12.28515625" style="62" bestFit="1" customWidth="1"/>
    <col min="9741" max="9741" width="11.5703125" style="62" bestFit="1" customWidth="1"/>
    <col min="9742" max="9742" width="14.28515625" style="62" bestFit="1" customWidth="1"/>
    <col min="9743" max="9743" width="12.28515625" style="62" bestFit="1" customWidth="1"/>
    <col min="9744" max="9744" width="14.28515625" style="62" bestFit="1" customWidth="1"/>
    <col min="9745" max="9745" width="14.42578125" style="62" bestFit="1" customWidth="1"/>
    <col min="9746" max="9746" width="14.28515625" style="62" bestFit="1" customWidth="1"/>
    <col min="9747" max="9747" width="14.42578125" style="62" bestFit="1" customWidth="1"/>
    <col min="9748" max="9748" width="10.7109375" style="62" bestFit="1" customWidth="1"/>
    <col min="9749" max="9749" width="11.5703125" style="62" bestFit="1" customWidth="1"/>
    <col min="9750" max="9962" width="9.140625" style="62"/>
    <col min="9963" max="9963" width="5.28515625" style="62" bestFit="1" customWidth="1"/>
    <col min="9964" max="9964" width="28.5703125" style="62" customWidth="1"/>
    <col min="9965" max="9965" width="14.42578125" style="62" customWidth="1"/>
    <col min="9966" max="9966" width="13.140625" style="62" customWidth="1"/>
    <col min="9967" max="9968" width="11.5703125" style="62" bestFit="1" customWidth="1"/>
    <col min="9969" max="9969" width="12.28515625" style="62" bestFit="1" customWidth="1"/>
    <col min="9970" max="9971" width="11.5703125" style="62" bestFit="1" customWidth="1"/>
    <col min="9972" max="9972" width="12.28515625" style="62" bestFit="1" customWidth="1"/>
    <col min="9973" max="9973" width="11.5703125" style="62" bestFit="1" customWidth="1"/>
    <col min="9974" max="9974" width="12.5703125" style="62" bestFit="1" customWidth="1"/>
    <col min="9975" max="9975" width="12.28515625" style="62" bestFit="1" customWidth="1"/>
    <col min="9976" max="9977" width="11.5703125" style="62" bestFit="1" customWidth="1"/>
    <col min="9978" max="9978" width="12.28515625" style="62" bestFit="1" customWidth="1"/>
    <col min="9979" max="9980" width="11.5703125" style="62" bestFit="1" customWidth="1"/>
    <col min="9981" max="9981" width="12.28515625" style="62" bestFit="1" customWidth="1"/>
    <col min="9982" max="9983" width="11.5703125" style="62" bestFit="1" customWidth="1"/>
    <col min="9984" max="9984" width="12.28515625" style="62" bestFit="1" customWidth="1"/>
    <col min="9985" max="9986" width="11.5703125" style="62" bestFit="1" customWidth="1"/>
    <col min="9987" max="9987" width="12.28515625" style="62" bestFit="1" customWidth="1"/>
    <col min="9988" max="9988" width="11.5703125" style="62" bestFit="1" customWidth="1"/>
    <col min="9989" max="9989" width="13" style="62" customWidth="1"/>
    <col min="9990" max="9990" width="12.28515625" style="62" bestFit="1" customWidth="1"/>
    <col min="9991" max="9991" width="11.5703125" style="62" bestFit="1" customWidth="1"/>
    <col min="9992" max="9992" width="12.5703125" style="62" bestFit="1" customWidth="1"/>
    <col min="9993" max="9993" width="12.28515625" style="62" bestFit="1" customWidth="1"/>
    <col min="9994" max="9995" width="11.5703125" style="62" bestFit="1" customWidth="1"/>
    <col min="9996" max="9996" width="12.28515625" style="62" bestFit="1" customWidth="1"/>
    <col min="9997" max="9997" width="11.5703125" style="62" bestFit="1" customWidth="1"/>
    <col min="9998" max="9998" width="14.28515625" style="62" bestFit="1" customWidth="1"/>
    <col min="9999" max="9999" width="12.28515625" style="62" bestFit="1" customWidth="1"/>
    <col min="10000" max="10000" width="14.28515625" style="62" bestFit="1" customWidth="1"/>
    <col min="10001" max="10001" width="14.42578125" style="62" bestFit="1" customWidth="1"/>
    <col min="10002" max="10002" width="14.28515625" style="62" bestFit="1" customWidth="1"/>
    <col min="10003" max="10003" width="14.42578125" style="62" bestFit="1" customWidth="1"/>
    <col min="10004" max="10004" width="10.7109375" style="62" bestFit="1" customWidth="1"/>
    <col min="10005" max="10005" width="11.5703125" style="62" bestFit="1" customWidth="1"/>
    <col min="10006" max="10218" width="9.140625" style="62"/>
    <col min="10219" max="10219" width="5.28515625" style="62" bestFit="1" customWidth="1"/>
    <col min="10220" max="10220" width="28.5703125" style="62" customWidth="1"/>
    <col min="10221" max="10221" width="14.42578125" style="62" customWidth="1"/>
    <col min="10222" max="10222" width="13.140625" style="62" customWidth="1"/>
    <col min="10223" max="10224" width="11.5703125" style="62" bestFit="1" customWidth="1"/>
    <col min="10225" max="10225" width="12.28515625" style="62" bestFit="1" customWidth="1"/>
    <col min="10226" max="10227" width="11.5703125" style="62" bestFit="1" customWidth="1"/>
    <col min="10228" max="10228" width="12.28515625" style="62" bestFit="1" customWidth="1"/>
    <col min="10229" max="10229" width="11.5703125" style="62" bestFit="1" customWidth="1"/>
    <col min="10230" max="10230" width="12.5703125" style="62" bestFit="1" customWidth="1"/>
    <col min="10231" max="10231" width="12.28515625" style="62" bestFit="1" customWidth="1"/>
    <col min="10232" max="10233" width="11.5703125" style="62" bestFit="1" customWidth="1"/>
    <col min="10234" max="10234" width="12.28515625" style="62" bestFit="1" customWidth="1"/>
    <col min="10235" max="10236" width="11.5703125" style="62" bestFit="1" customWidth="1"/>
    <col min="10237" max="10237" width="12.28515625" style="62" bestFit="1" customWidth="1"/>
    <col min="10238" max="10239" width="11.5703125" style="62" bestFit="1" customWidth="1"/>
    <col min="10240" max="10240" width="12.28515625" style="62" bestFit="1" customWidth="1"/>
    <col min="10241" max="10242" width="11.5703125" style="62" bestFit="1" customWidth="1"/>
    <col min="10243" max="10243" width="12.28515625" style="62" bestFit="1" customWidth="1"/>
    <col min="10244" max="10244" width="11.5703125" style="62" bestFit="1" customWidth="1"/>
    <col min="10245" max="10245" width="13" style="62" customWidth="1"/>
    <col min="10246" max="10246" width="12.28515625" style="62" bestFit="1" customWidth="1"/>
    <col min="10247" max="10247" width="11.5703125" style="62" bestFit="1" customWidth="1"/>
    <col min="10248" max="10248" width="12.5703125" style="62" bestFit="1" customWidth="1"/>
    <col min="10249" max="10249" width="12.28515625" style="62" bestFit="1" customWidth="1"/>
    <col min="10250" max="10251" width="11.5703125" style="62" bestFit="1" customWidth="1"/>
    <col min="10252" max="10252" width="12.28515625" style="62" bestFit="1" customWidth="1"/>
    <col min="10253" max="10253" width="11.5703125" style="62" bestFit="1" customWidth="1"/>
    <col min="10254" max="10254" width="14.28515625" style="62" bestFit="1" customWidth="1"/>
    <col min="10255" max="10255" width="12.28515625" style="62" bestFit="1" customWidth="1"/>
    <col min="10256" max="10256" width="14.28515625" style="62" bestFit="1" customWidth="1"/>
    <col min="10257" max="10257" width="14.42578125" style="62" bestFit="1" customWidth="1"/>
    <col min="10258" max="10258" width="14.28515625" style="62" bestFit="1" customWidth="1"/>
    <col min="10259" max="10259" width="14.42578125" style="62" bestFit="1" customWidth="1"/>
    <col min="10260" max="10260" width="10.7109375" style="62" bestFit="1" customWidth="1"/>
    <col min="10261" max="10261" width="11.5703125" style="62" bestFit="1" customWidth="1"/>
    <col min="10262" max="10474" width="9.140625" style="62"/>
    <col min="10475" max="10475" width="5.28515625" style="62" bestFit="1" customWidth="1"/>
    <col min="10476" max="10476" width="28.5703125" style="62" customWidth="1"/>
    <col min="10477" max="10477" width="14.42578125" style="62" customWidth="1"/>
    <col min="10478" max="10478" width="13.140625" style="62" customWidth="1"/>
    <col min="10479" max="10480" width="11.5703125" style="62" bestFit="1" customWidth="1"/>
    <col min="10481" max="10481" width="12.28515625" style="62" bestFit="1" customWidth="1"/>
    <col min="10482" max="10483" width="11.5703125" style="62" bestFit="1" customWidth="1"/>
    <col min="10484" max="10484" width="12.28515625" style="62" bestFit="1" customWidth="1"/>
    <col min="10485" max="10485" width="11.5703125" style="62" bestFit="1" customWidth="1"/>
    <col min="10486" max="10486" width="12.5703125" style="62" bestFit="1" customWidth="1"/>
    <col min="10487" max="10487" width="12.28515625" style="62" bestFit="1" customWidth="1"/>
    <col min="10488" max="10489" width="11.5703125" style="62" bestFit="1" customWidth="1"/>
    <col min="10490" max="10490" width="12.28515625" style="62" bestFit="1" customWidth="1"/>
    <col min="10491" max="10492" width="11.5703125" style="62" bestFit="1" customWidth="1"/>
    <col min="10493" max="10493" width="12.28515625" style="62" bestFit="1" customWidth="1"/>
    <col min="10494" max="10495" width="11.5703125" style="62" bestFit="1" customWidth="1"/>
    <col min="10496" max="10496" width="12.28515625" style="62" bestFit="1" customWidth="1"/>
    <col min="10497" max="10498" width="11.5703125" style="62" bestFit="1" customWidth="1"/>
    <col min="10499" max="10499" width="12.28515625" style="62" bestFit="1" customWidth="1"/>
    <col min="10500" max="10500" width="11.5703125" style="62" bestFit="1" customWidth="1"/>
    <col min="10501" max="10501" width="13" style="62" customWidth="1"/>
    <col min="10502" max="10502" width="12.28515625" style="62" bestFit="1" customWidth="1"/>
    <col min="10503" max="10503" width="11.5703125" style="62" bestFit="1" customWidth="1"/>
    <col min="10504" max="10504" width="12.5703125" style="62" bestFit="1" customWidth="1"/>
    <col min="10505" max="10505" width="12.28515625" style="62" bestFit="1" customWidth="1"/>
    <col min="10506" max="10507" width="11.5703125" style="62" bestFit="1" customWidth="1"/>
    <col min="10508" max="10508" width="12.28515625" style="62" bestFit="1" customWidth="1"/>
    <col min="10509" max="10509" width="11.5703125" style="62" bestFit="1" customWidth="1"/>
    <col min="10510" max="10510" width="14.28515625" style="62" bestFit="1" customWidth="1"/>
    <col min="10511" max="10511" width="12.28515625" style="62" bestFit="1" customWidth="1"/>
    <col min="10512" max="10512" width="14.28515625" style="62" bestFit="1" customWidth="1"/>
    <col min="10513" max="10513" width="14.42578125" style="62" bestFit="1" customWidth="1"/>
    <col min="10514" max="10514" width="14.28515625" style="62" bestFit="1" customWidth="1"/>
    <col min="10515" max="10515" width="14.42578125" style="62" bestFit="1" customWidth="1"/>
    <col min="10516" max="10516" width="10.7109375" style="62" bestFit="1" customWidth="1"/>
    <col min="10517" max="10517" width="11.5703125" style="62" bestFit="1" customWidth="1"/>
    <col min="10518" max="10730" width="9.140625" style="62"/>
    <col min="10731" max="10731" width="5.28515625" style="62" bestFit="1" customWidth="1"/>
    <col min="10732" max="10732" width="28.5703125" style="62" customWidth="1"/>
    <col min="10733" max="10733" width="14.42578125" style="62" customWidth="1"/>
    <col min="10734" max="10734" width="13.140625" style="62" customWidth="1"/>
    <col min="10735" max="10736" width="11.5703125" style="62" bestFit="1" customWidth="1"/>
    <col min="10737" max="10737" width="12.28515625" style="62" bestFit="1" customWidth="1"/>
    <col min="10738" max="10739" width="11.5703125" style="62" bestFit="1" customWidth="1"/>
    <col min="10740" max="10740" width="12.28515625" style="62" bestFit="1" customWidth="1"/>
    <col min="10741" max="10741" width="11.5703125" style="62" bestFit="1" customWidth="1"/>
    <col min="10742" max="10742" width="12.5703125" style="62" bestFit="1" customWidth="1"/>
    <col min="10743" max="10743" width="12.28515625" style="62" bestFit="1" customWidth="1"/>
    <col min="10744" max="10745" width="11.5703125" style="62" bestFit="1" customWidth="1"/>
    <col min="10746" max="10746" width="12.28515625" style="62" bestFit="1" customWidth="1"/>
    <col min="10747" max="10748" width="11.5703125" style="62" bestFit="1" customWidth="1"/>
    <col min="10749" max="10749" width="12.28515625" style="62" bestFit="1" customWidth="1"/>
    <col min="10750" max="10751" width="11.5703125" style="62" bestFit="1" customWidth="1"/>
    <col min="10752" max="10752" width="12.28515625" style="62" bestFit="1" customWidth="1"/>
    <col min="10753" max="10754" width="11.5703125" style="62" bestFit="1" customWidth="1"/>
    <col min="10755" max="10755" width="12.28515625" style="62" bestFit="1" customWidth="1"/>
    <col min="10756" max="10756" width="11.5703125" style="62" bestFit="1" customWidth="1"/>
    <col min="10757" max="10757" width="13" style="62" customWidth="1"/>
    <col min="10758" max="10758" width="12.28515625" style="62" bestFit="1" customWidth="1"/>
    <col min="10759" max="10759" width="11.5703125" style="62" bestFit="1" customWidth="1"/>
    <col min="10760" max="10760" width="12.5703125" style="62" bestFit="1" customWidth="1"/>
    <col min="10761" max="10761" width="12.28515625" style="62" bestFit="1" customWidth="1"/>
    <col min="10762" max="10763" width="11.5703125" style="62" bestFit="1" customWidth="1"/>
    <col min="10764" max="10764" width="12.28515625" style="62" bestFit="1" customWidth="1"/>
    <col min="10765" max="10765" width="11.5703125" style="62" bestFit="1" customWidth="1"/>
    <col min="10766" max="10766" width="14.28515625" style="62" bestFit="1" customWidth="1"/>
    <col min="10767" max="10767" width="12.28515625" style="62" bestFit="1" customWidth="1"/>
    <col min="10768" max="10768" width="14.28515625" style="62" bestFit="1" customWidth="1"/>
    <col min="10769" max="10769" width="14.42578125" style="62" bestFit="1" customWidth="1"/>
    <col min="10770" max="10770" width="14.28515625" style="62" bestFit="1" customWidth="1"/>
    <col min="10771" max="10771" width="14.42578125" style="62" bestFit="1" customWidth="1"/>
    <col min="10772" max="10772" width="10.7109375" style="62" bestFit="1" customWidth="1"/>
    <col min="10773" max="10773" width="11.5703125" style="62" bestFit="1" customWidth="1"/>
    <col min="10774" max="10986" width="9.140625" style="62"/>
    <col min="10987" max="10987" width="5.28515625" style="62" bestFit="1" customWidth="1"/>
    <col min="10988" max="10988" width="28.5703125" style="62" customWidth="1"/>
    <col min="10989" max="10989" width="14.42578125" style="62" customWidth="1"/>
    <col min="10990" max="10990" width="13.140625" style="62" customWidth="1"/>
    <col min="10991" max="10992" width="11.5703125" style="62" bestFit="1" customWidth="1"/>
    <col min="10993" max="10993" width="12.28515625" style="62" bestFit="1" customWidth="1"/>
    <col min="10994" max="10995" width="11.5703125" style="62" bestFit="1" customWidth="1"/>
    <col min="10996" max="10996" width="12.28515625" style="62" bestFit="1" customWidth="1"/>
    <col min="10997" max="10997" width="11.5703125" style="62" bestFit="1" customWidth="1"/>
    <col min="10998" max="10998" width="12.5703125" style="62" bestFit="1" customWidth="1"/>
    <col min="10999" max="10999" width="12.28515625" style="62" bestFit="1" customWidth="1"/>
    <col min="11000" max="11001" width="11.5703125" style="62" bestFit="1" customWidth="1"/>
    <col min="11002" max="11002" width="12.28515625" style="62" bestFit="1" customWidth="1"/>
    <col min="11003" max="11004" width="11.5703125" style="62" bestFit="1" customWidth="1"/>
    <col min="11005" max="11005" width="12.28515625" style="62" bestFit="1" customWidth="1"/>
    <col min="11006" max="11007" width="11.5703125" style="62" bestFit="1" customWidth="1"/>
    <col min="11008" max="11008" width="12.28515625" style="62" bestFit="1" customWidth="1"/>
    <col min="11009" max="11010" width="11.5703125" style="62" bestFit="1" customWidth="1"/>
    <col min="11011" max="11011" width="12.28515625" style="62" bestFit="1" customWidth="1"/>
    <col min="11012" max="11012" width="11.5703125" style="62" bestFit="1" customWidth="1"/>
    <col min="11013" max="11013" width="13" style="62" customWidth="1"/>
    <col min="11014" max="11014" width="12.28515625" style="62" bestFit="1" customWidth="1"/>
    <col min="11015" max="11015" width="11.5703125" style="62" bestFit="1" customWidth="1"/>
    <col min="11016" max="11016" width="12.5703125" style="62" bestFit="1" customWidth="1"/>
    <col min="11017" max="11017" width="12.28515625" style="62" bestFit="1" customWidth="1"/>
    <col min="11018" max="11019" width="11.5703125" style="62" bestFit="1" customWidth="1"/>
    <col min="11020" max="11020" width="12.28515625" style="62" bestFit="1" customWidth="1"/>
    <col min="11021" max="11021" width="11.5703125" style="62" bestFit="1" customWidth="1"/>
    <col min="11022" max="11022" width="14.28515625" style="62" bestFit="1" customWidth="1"/>
    <col min="11023" max="11023" width="12.28515625" style="62" bestFit="1" customWidth="1"/>
    <col min="11024" max="11024" width="14.28515625" style="62" bestFit="1" customWidth="1"/>
    <col min="11025" max="11025" width="14.42578125" style="62" bestFit="1" customWidth="1"/>
    <col min="11026" max="11026" width="14.28515625" style="62" bestFit="1" customWidth="1"/>
    <col min="11027" max="11027" width="14.42578125" style="62" bestFit="1" customWidth="1"/>
    <col min="11028" max="11028" width="10.7109375" style="62" bestFit="1" customWidth="1"/>
    <col min="11029" max="11029" width="11.5703125" style="62" bestFit="1" customWidth="1"/>
    <col min="11030" max="11242" width="9.140625" style="62"/>
    <col min="11243" max="11243" width="5.28515625" style="62" bestFit="1" customWidth="1"/>
    <col min="11244" max="11244" width="28.5703125" style="62" customWidth="1"/>
    <col min="11245" max="11245" width="14.42578125" style="62" customWidth="1"/>
    <col min="11246" max="11246" width="13.140625" style="62" customWidth="1"/>
    <col min="11247" max="11248" width="11.5703125" style="62" bestFit="1" customWidth="1"/>
    <col min="11249" max="11249" width="12.28515625" style="62" bestFit="1" customWidth="1"/>
    <col min="11250" max="11251" width="11.5703125" style="62" bestFit="1" customWidth="1"/>
    <col min="11252" max="11252" width="12.28515625" style="62" bestFit="1" customWidth="1"/>
    <col min="11253" max="11253" width="11.5703125" style="62" bestFit="1" customWidth="1"/>
    <col min="11254" max="11254" width="12.5703125" style="62" bestFit="1" customWidth="1"/>
    <col min="11255" max="11255" width="12.28515625" style="62" bestFit="1" customWidth="1"/>
    <col min="11256" max="11257" width="11.5703125" style="62" bestFit="1" customWidth="1"/>
    <col min="11258" max="11258" width="12.28515625" style="62" bestFit="1" customWidth="1"/>
    <col min="11259" max="11260" width="11.5703125" style="62" bestFit="1" customWidth="1"/>
    <col min="11261" max="11261" width="12.28515625" style="62" bestFit="1" customWidth="1"/>
    <col min="11262" max="11263" width="11.5703125" style="62" bestFit="1" customWidth="1"/>
    <col min="11264" max="11264" width="12.28515625" style="62" bestFit="1" customWidth="1"/>
    <col min="11265" max="11266" width="11.5703125" style="62" bestFit="1" customWidth="1"/>
    <col min="11267" max="11267" width="12.28515625" style="62" bestFit="1" customWidth="1"/>
    <col min="11268" max="11268" width="11.5703125" style="62" bestFit="1" customWidth="1"/>
    <col min="11269" max="11269" width="13" style="62" customWidth="1"/>
    <col min="11270" max="11270" width="12.28515625" style="62" bestFit="1" customWidth="1"/>
    <col min="11271" max="11271" width="11.5703125" style="62" bestFit="1" customWidth="1"/>
    <col min="11272" max="11272" width="12.5703125" style="62" bestFit="1" customWidth="1"/>
    <col min="11273" max="11273" width="12.28515625" style="62" bestFit="1" customWidth="1"/>
    <col min="11274" max="11275" width="11.5703125" style="62" bestFit="1" customWidth="1"/>
    <col min="11276" max="11276" width="12.28515625" style="62" bestFit="1" customWidth="1"/>
    <col min="11277" max="11277" width="11.5703125" style="62" bestFit="1" customWidth="1"/>
    <col min="11278" max="11278" width="14.28515625" style="62" bestFit="1" customWidth="1"/>
    <col min="11279" max="11279" width="12.28515625" style="62" bestFit="1" customWidth="1"/>
    <col min="11280" max="11280" width="14.28515625" style="62" bestFit="1" customWidth="1"/>
    <col min="11281" max="11281" width="14.42578125" style="62" bestFit="1" customWidth="1"/>
    <col min="11282" max="11282" width="14.28515625" style="62" bestFit="1" customWidth="1"/>
    <col min="11283" max="11283" width="14.42578125" style="62" bestFit="1" customWidth="1"/>
    <col min="11284" max="11284" width="10.7109375" style="62" bestFit="1" customWidth="1"/>
    <col min="11285" max="11285" width="11.5703125" style="62" bestFit="1" customWidth="1"/>
    <col min="11286" max="11498" width="9.140625" style="62"/>
    <col min="11499" max="11499" width="5.28515625" style="62" bestFit="1" customWidth="1"/>
    <col min="11500" max="11500" width="28.5703125" style="62" customWidth="1"/>
    <col min="11501" max="11501" width="14.42578125" style="62" customWidth="1"/>
    <col min="11502" max="11502" width="13.140625" style="62" customWidth="1"/>
    <col min="11503" max="11504" width="11.5703125" style="62" bestFit="1" customWidth="1"/>
    <col min="11505" max="11505" width="12.28515625" style="62" bestFit="1" customWidth="1"/>
    <col min="11506" max="11507" width="11.5703125" style="62" bestFit="1" customWidth="1"/>
    <col min="11508" max="11508" width="12.28515625" style="62" bestFit="1" customWidth="1"/>
    <col min="11509" max="11509" width="11.5703125" style="62" bestFit="1" customWidth="1"/>
    <col min="11510" max="11510" width="12.5703125" style="62" bestFit="1" customWidth="1"/>
    <col min="11511" max="11511" width="12.28515625" style="62" bestFit="1" customWidth="1"/>
    <col min="11512" max="11513" width="11.5703125" style="62" bestFit="1" customWidth="1"/>
    <col min="11514" max="11514" width="12.28515625" style="62" bestFit="1" customWidth="1"/>
    <col min="11515" max="11516" width="11.5703125" style="62" bestFit="1" customWidth="1"/>
    <col min="11517" max="11517" width="12.28515625" style="62" bestFit="1" customWidth="1"/>
    <col min="11518" max="11519" width="11.5703125" style="62" bestFit="1" customWidth="1"/>
    <col min="11520" max="11520" width="12.28515625" style="62" bestFit="1" customWidth="1"/>
    <col min="11521" max="11522" width="11.5703125" style="62" bestFit="1" customWidth="1"/>
    <col min="11523" max="11523" width="12.28515625" style="62" bestFit="1" customWidth="1"/>
    <col min="11524" max="11524" width="11.5703125" style="62" bestFit="1" customWidth="1"/>
    <col min="11525" max="11525" width="13" style="62" customWidth="1"/>
    <col min="11526" max="11526" width="12.28515625" style="62" bestFit="1" customWidth="1"/>
    <col min="11527" max="11527" width="11.5703125" style="62" bestFit="1" customWidth="1"/>
    <col min="11528" max="11528" width="12.5703125" style="62" bestFit="1" customWidth="1"/>
    <col min="11529" max="11529" width="12.28515625" style="62" bestFit="1" customWidth="1"/>
    <col min="11530" max="11531" width="11.5703125" style="62" bestFit="1" customWidth="1"/>
    <col min="11532" max="11532" width="12.28515625" style="62" bestFit="1" customWidth="1"/>
    <col min="11533" max="11533" width="11.5703125" style="62" bestFit="1" customWidth="1"/>
    <col min="11534" max="11534" width="14.28515625" style="62" bestFit="1" customWidth="1"/>
    <col min="11535" max="11535" width="12.28515625" style="62" bestFit="1" customWidth="1"/>
    <col min="11536" max="11536" width="14.28515625" style="62" bestFit="1" customWidth="1"/>
    <col min="11537" max="11537" width="14.42578125" style="62" bestFit="1" customWidth="1"/>
    <col min="11538" max="11538" width="14.28515625" style="62" bestFit="1" customWidth="1"/>
    <col min="11539" max="11539" width="14.42578125" style="62" bestFit="1" customWidth="1"/>
    <col min="11540" max="11540" width="10.7109375" style="62" bestFit="1" customWidth="1"/>
    <col min="11541" max="11541" width="11.5703125" style="62" bestFit="1" customWidth="1"/>
    <col min="11542" max="11754" width="9.140625" style="62"/>
    <col min="11755" max="11755" width="5.28515625" style="62" bestFit="1" customWidth="1"/>
    <col min="11756" max="11756" width="28.5703125" style="62" customWidth="1"/>
    <col min="11757" max="11757" width="14.42578125" style="62" customWidth="1"/>
    <col min="11758" max="11758" width="13.140625" style="62" customWidth="1"/>
    <col min="11759" max="11760" width="11.5703125" style="62" bestFit="1" customWidth="1"/>
    <col min="11761" max="11761" width="12.28515625" style="62" bestFit="1" customWidth="1"/>
    <col min="11762" max="11763" width="11.5703125" style="62" bestFit="1" customWidth="1"/>
    <col min="11764" max="11764" width="12.28515625" style="62" bestFit="1" customWidth="1"/>
    <col min="11765" max="11765" width="11.5703125" style="62" bestFit="1" customWidth="1"/>
    <col min="11766" max="11766" width="12.5703125" style="62" bestFit="1" customWidth="1"/>
    <col min="11767" max="11767" width="12.28515625" style="62" bestFit="1" customWidth="1"/>
    <col min="11768" max="11769" width="11.5703125" style="62" bestFit="1" customWidth="1"/>
    <col min="11770" max="11770" width="12.28515625" style="62" bestFit="1" customWidth="1"/>
    <col min="11771" max="11772" width="11.5703125" style="62" bestFit="1" customWidth="1"/>
    <col min="11773" max="11773" width="12.28515625" style="62" bestFit="1" customWidth="1"/>
    <col min="11774" max="11775" width="11.5703125" style="62" bestFit="1" customWidth="1"/>
    <col min="11776" max="11776" width="12.28515625" style="62" bestFit="1" customWidth="1"/>
    <col min="11777" max="11778" width="11.5703125" style="62" bestFit="1" customWidth="1"/>
    <col min="11779" max="11779" width="12.28515625" style="62" bestFit="1" customWidth="1"/>
    <col min="11780" max="11780" width="11.5703125" style="62" bestFit="1" customWidth="1"/>
    <col min="11781" max="11781" width="13" style="62" customWidth="1"/>
    <col min="11782" max="11782" width="12.28515625" style="62" bestFit="1" customWidth="1"/>
    <col min="11783" max="11783" width="11.5703125" style="62" bestFit="1" customWidth="1"/>
    <col min="11784" max="11784" width="12.5703125" style="62" bestFit="1" customWidth="1"/>
    <col min="11785" max="11785" width="12.28515625" style="62" bestFit="1" customWidth="1"/>
    <col min="11786" max="11787" width="11.5703125" style="62" bestFit="1" customWidth="1"/>
    <col min="11788" max="11788" width="12.28515625" style="62" bestFit="1" customWidth="1"/>
    <col min="11789" max="11789" width="11.5703125" style="62" bestFit="1" customWidth="1"/>
    <col min="11790" max="11790" width="14.28515625" style="62" bestFit="1" customWidth="1"/>
    <col min="11791" max="11791" width="12.28515625" style="62" bestFit="1" customWidth="1"/>
    <col min="11792" max="11792" width="14.28515625" style="62" bestFit="1" customWidth="1"/>
    <col min="11793" max="11793" width="14.42578125" style="62" bestFit="1" customWidth="1"/>
    <col min="11794" max="11794" width="14.28515625" style="62" bestFit="1" customWidth="1"/>
    <col min="11795" max="11795" width="14.42578125" style="62" bestFit="1" customWidth="1"/>
    <col min="11796" max="11796" width="10.7109375" style="62" bestFit="1" customWidth="1"/>
    <col min="11797" max="11797" width="11.5703125" style="62" bestFit="1" customWidth="1"/>
    <col min="11798" max="12010" width="9.140625" style="62"/>
    <col min="12011" max="12011" width="5.28515625" style="62" bestFit="1" customWidth="1"/>
    <col min="12012" max="12012" width="28.5703125" style="62" customWidth="1"/>
    <col min="12013" max="12013" width="14.42578125" style="62" customWidth="1"/>
    <col min="12014" max="12014" width="13.140625" style="62" customWidth="1"/>
    <col min="12015" max="12016" width="11.5703125" style="62" bestFit="1" customWidth="1"/>
    <col min="12017" max="12017" width="12.28515625" style="62" bestFit="1" customWidth="1"/>
    <col min="12018" max="12019" width="11.5703125" style="62" bestFit="1" customWidth="1"/>
    <col min="12020" max="12020" width="12.28515625" style="62" bestFit="1" customWidth="1"/>
    <col min="12021" max="12021" width="11.5703125" style="62" bestFit="1" customWidth="1"/>
    <col min="12022" max="12022" width="12.5703125" style="62" bestFit="1" customWidth="1"/>
    <col min="12023" max="12023" width="12.28515625" style="62" bestFit="1" customWidth="1"/>
    <col min="12024" max="12025" width="11.5703125" style="62" bestFit="1" customWidth="1"/>
    <col min="12026" max="12026" width="12.28515625" style="62" bestFit="1" customWidth="1"/>
    <col min="12027" max="12028" width="11.5703125" style="62" bestFit="1" customWidth="1"/>
    <col min="12029" max="12029" width="12.28515625" style="62" bestFit="1" customWidth="1"/>
    <col min="12030" max="12031" width="11.5703125" style="62" bestFit="1" customWidth="1"/>
    <col min="12032" max="12032" width="12.28515625" style="62" bestFit="1" customWidth="1"/>
    <col min="12033" max="12034" width="11.5703125" style="62" bestFit="1" customWidth="1"/>
    <col min="12035" max="12035" width="12.28515625" style="62" bestFit="1" customWidth="1"/>
    <col min="12036" max="12036" width="11.5703125" style="62" bestFit="1" customWidth="1"/>
    <col min="12037" max="12037" width="13" style="62" customWidth="1"/>
    <col min="12038" max="12038" width="12.28515625" style="62" bestFit="1" customWidth="1"/>
    <col min="12039" max="12039" width="11.5703125" style="62" bestFit="1" customWidth="1"/>
    <col min="12040" max="12040" width="12.5703125" style="62" bestFit="1" customWidth="1"/>
    <col min="12041" max="12041" width="12.28515625" style="62" bestFit="1" customWidth="1"/>
    <col min="12042" max="12043" width="11.5703125" style="62" bestFit="1" customWidth="1"/>
    <col min="12044" max="12044" width="12.28515625" style="62" bestFit="1" customWidth="1"/>
    <col min="12045" max="12045" width="11.5703125" style="62" bestFit="1" customWidth="1"/>
    <col min="12046" max="12046" width="14.28515625" style="62" bestFit="1" customWidth="1"/>
    <col min="12047" max="12047" width="12.28515625" style="62" bestFit="1" customWidth="1"/>
    <col min="12048" max="12048" width="14.28515625" style="62" bestFit="1" customWidth="1"/>
    <col min="12049" max="12049" width="14.42578125" style="62" bestFit="1" customWidth="1"/>
    <col min="12050" max="12050" width="14.28515625" style="62" bestFit="1" customWidth="1"/>
    <col min="12051" max="12051" width="14.42578125" style="62" bestFit="1" customWidth="1"/>
    <col min="12052" max="12052" width="10.7109375" style="62" bestFit="1" customWidth="1"/>
    <col min="12053" max="12053" width="11.5703125" style="62" bestFit="1" customWidth="1"/>
    <col min="12054" max="12266" width="9.140625" style="62"/>
    <col min="12267" max="12267" width="5.28515625" style="62" bestFit="1" customWidth="1"/>
    <col min="12268" max="12268" width="28.5703125" style="62" customWidth="1"/>
    <col min="12269" max="12269" width="14.42578125" style="62" customWidth="1"/>
    <col min="12270" max="12270" width="13.140625" style="62" customWidth="1"/>
    <col min="12271" max="12272" width="11.5703125" style="62" bestFit="1" customWidth="1"/>
    <col min="12273" max="12273" width="12.28515625" style="62" bestFit="1" customWidth="1"/>
    <col min="12274" max="12275" width="11.5703125" style="62" bestFit="1" customWidth="1"/>
    <col min="12276" max="12276" width="12.28515625" style="62" bestFit="1" customWidth="1"/>
    <col min="12277" max="12277" width="11.5703125" style="62" bestFit="1" customWidth="1"/>
    <col min="12278" max="12278" width="12.5703125" style="62" bestFit="1" customWidth="1"/>
    <col min="12279" max="12279" width="12.28515625" style="62" bestFit="1" customWidth="1"/>
    <col min="12280" max="12281" width="11.5703125" style="62" bestFit="1" customWidth="1"/>
    <col min="12282" max="12282" width="12.28515625" style="62" bestFit="1" customWidth="1"/>
    <col min="12283" max="12284" width="11.5703125" style="62" bestFit="1" customWidth="1"/>
    <col min="12285" max="12285" width="12.28515625" style="62" bestFit="1" customWidth="1"/>
    <col min="12286" max="12287" width="11.5703125" style="62" bestFit="1" customWidth="1"/>
    <col min="12288" max="12288" width="12.28515625" style="62" bestFit="1" customWidth="1"/>
    <col min="12289" max="12290" width="11.5703125" style="62" bestFit="1" customWidth="1"/>
    <col min="12291" max="12291" width="12.28515625" style="62" bestFit="1" customWidth="1"/>
    <col min="12292" max="12292" width="11.5703125" style="62" bestFit="1" customWidth="1"/>
    <col min="12293" max="12293" width="13" style="62" customWidth="1"/>
    <col min="12294" max="12294" width="12.28515625" style="62" bestFit="1" customWidth="1"/>
    <col min="12295" max="12295" width="11.5703125" style="62" bestFit="1" customWidth="1"/>
    <col min="12296" max="12296" width="12.5703125" style="62" bestFit="1" customWidth="1"/>
    <col min="12297" max="12297" width="12.28515625" style="62" bestFit="1" customWidth="1"/>
    <col min="12298" max="12299" width="11.5703125" style="62" bestFit="1" customWidth="1"/>
    <col min="12300" max="12300" width="12.28515625" style="62" bestFit="1" customWidth="1"/>
    <col min="12301" max="12301" width="11.5703125" style="62" bestFit="1" customWidth="1"/>
    <col min="12302" max="12302" width="14.28515625" style="62" bestFit="1" customWidth="1"/>
    <col min="12303" max="12303" width="12.28515625" style="62" bestFit="1" customWidth="1"/>
    <col min="12304" max="12304" width="14.28515625" style="62" bestFit="1" customWidth="1"/>
    <col min="12305" max="12305" width="14.42578125" style="62" bestFit="1" customWidth="1"/>
    <col min="12306" max="12306" width="14.28515625" style="62" bestFit="1" customWidth="1"/>
    <col min="12307" max="12307" width="14.42578125" style="62" bestFit="1" customWidth="1"/>
    <col min="12308" max="12308" width="10.7109375" style="62" bestFit="1" customWidth="1"/>
    <col min="12309" max="12309" width="11.5703125" style="62" bestFit="1" customWidth="1"/>
    <col min="12310" max="12522" width="9.140625" style="62"/>
    <col min="12523" max="12523" width="5.28515625" style="62" bestFit="1" customWidth="1"/>
    <col min="12524" max="12524" width="28.5703125" style="62" customWidth="1"/>
    <col min="12525" max="12525" width="14.42578125" style="62" customWidth="1"/>
    <col min="12526" max="12526" width="13.140625" style="62" customWidth="1"/>
    <col min="12527" max="12528" width="11.5703125" style="62" bestFit="1" customWidth="1"/>
    <col min="12529" max="12529" width="12.28515625" style="62" bestFit="1" customWidth="1"/>
    <col min="12530" max="12531" width="11.5703125" style="62" bestFit="1" customWidth="1"/>
    <col min="12532" max="12532" width="12.28515625" style="62" bestFit="1" customWidth="1"/>
    <col min="12533" max="12533" width="11.5703125" style="62" bestFit="1" customWidth="1"/>
    <col min="12534" max="12534" width="12.5703125" style="62" bestFit="1" customWidth="1"/>
    <col min="12535" max="12535" width="12.28515625" style="62" bestFit="1" customWidth="1"/>
    <col min="12536" max="12537" width="11.5703125" style="62" bestFit="1" customWidth="1"/>
    <col min="12538" max="12538" width="12.28515625" style="62" bestFit="1" customWidth="1"/>
    <col min="12539" max="12540" width="11.5703125" style="62" bestFit="1" customWidth="1"/>
    <col min="12541" max="12541" width="12.28515625" style="62" bestFit="1" customWidth="1"/>
    <col min="12542" max="12543" width="11.5703125" style="62" bestFit="1" customWidth="1"/>
    <col min="12544" max="12544" width="12.28515625" style="62" bestFit="1" customWidth="1"/>
    <col min="12545" max="12546" width="11.5703125" style="62" bestFit="1" customWidth="1"/>
    <col min="12547" max="12547" width="12.28515625" style="62" bestFit="1" customWidth="1"/>
    <col min="12548" max="12548" width="11.5703125" style="62" bestFit="1" customWidth="1"/>
    <col min="12549" max="12549" width="13" style="62" customWidth="1"/>
    <col min="12550" max="12550" width="12.28515625" style="62" bestFit="1" customWidth="1"/>
    <col min="12551" max="12551" width="11.5703125" style="62" bestFit="1" customWidth="1"/>
    <col min="12552" max="12552" width="12.5703125" style="62" bestFit="1" customWidth="1"/>
    <col min="12553" max="12553" width="12.28515625" style="62" bestFit="1" customWidth="1"/>
    <col min="12554" max="12555" width="11.5703125" style="62" bestFit="1" customWidth="1"/>
    <col min="12556" max="12556" width="12.28515625" style="62" bestFit="1" customWidth="1"/>
    <col min="12557" max="12557" width="11.5703125" style="62" bestFit="1" customWidth="1"/>
    <col min="12558" max="12558" width="14.28515625" style="62" bestFit="1" customWidth="1"/>
    <col min="12559" max="12559" width="12.28515625" style="62" bestFit="1" customWidth="1"/>
    <col min="12560" max="12560" width="14.28515625" style="62" bestFit="1" customWidth="1"/>
    <col min="12561" max="12561" width="14.42578125" style="62" bestFit="1" customWidth="1"/>
    <col min="12562" max="12562" width="14.28515625" style="62" bestFit="1" customWidth="1"/>
    <col min="12563" max="12563" width="14.42578125" style="62" bestFit="1" customWidth="1"/>
    <col min="12564" max="12564" width="10.7109375" style="62" bestFit="1" customWidth="1"/>
    <col min="12565" max="12565" width="11.5703125" style="62" bestFit="1" customWidth="1"/>
    <col min="12566" max="12778" width="9.140625" style="62"/>
    <col min="12779" max="12779" width="5.28515625" style="62" bestFit="1" customWidth="1"/>
    <col min="12780" max="12780" width="28.5703125" style="62" customWidth="1"/>
    <col min="12781" max="12781" width="14.42578125" style="62" customWidth="1"/>
    <col min="12782" max="12782" width="13.140625" style="62" customWidth="1"/>
    <col min="12783" max="12784" width="11.5703125" style="62" bestFit="1" customWidth="1"/>
    <col min="12785" max="12785" width="12.28515625" style="62" bestFit="1" customWidth="1"/>
    <col min="12786" max="12787" width="11.5703125" style="62" bestFit="1" customWidth="1"/>
    <col min="12788" max="12788" width="12.28515625" style="62" bestFit="1" customWidth="1"/>
    <col min="12789" max="12789" width="11.5703125" style="62" bestFit="1" customWidth="1"/>
    <col min="12790" max="12790" width="12.5703125" style="62" bestFit="1" customWidth="1"/>
    <col min="12791" max="12791" width="12.28515625" style="62" bestFit="1" customWidth="1"/>
    <col min="12792" max="12793" width="11.5703125" style="62" bestFit="1" customWidth="1"/>
    <col min="12794" max="12794" width="12.28515625" style="62" bestFit="1" customWidth="1"/>
    <col min="12795" max="12796" width="11.5703125" style="62" bestFit="1" customWidth="1"/>
    <col min="12797" max="12797" width="12.28515625" style="62" bestFit="1" customWidth="1"/>
    <col min="12798" max="12799" width="11.5703125" style="62" bestFit="1" customWidth="1"/>
    <col min="12800" max="12800" width="12.28515625" style="62" bestFit="1" customWidth="1"/>
    <col min="12801" max="12802" width="11.5703125" style="62" bestFit="1" customWidth="1"/>
    <col min="12803" max="12803" width="12.28515625" style="62" bestFit="1" customWidth="1"/>
    <col min="12804" max="12804" width="11.5703125" style="62" bestFit="1" customWidth="1"/>
    <col min="12805" max="12805" width="13" style="62" customWidth="1"/>
    <col min="12806" max="12806" width="12.28515625" style="62" bestFit="1" customWidth="1"/>
    <col min="12807" max="12807" width="11.5703125" style="62" bestFit="1" customWidth="1"/>
    <col min="12808" max="12808" width="12.5703125" style="62" bestFit="1" customWidth="1"/>
    <col min="12809" max="12809" width="12.28515625" style="62" bestFit="1" customWidth="1"/>
    <col min="12810" max="12811" width="11.5703125" style="62" bestFit="1" customWidth="1"/>
    <col min="12812" max="12812" width="12.28515625" style="62" bestFit="1" customWidth="1"/>
    <col min="12813" max="12813" width="11.5703125" style="62" bestFit="1" customWidth="1"/>
    <col min="12814" max="12814" width="14.28515625" style="62" bestFit="1" customWidth="1"/>
    <col min="12815" max="12815" width="12.28515625" style="62" bestFit="1" customWidth="1"/>
    <col min="12816" max="12816" width="14.28515625" style="62" bestFit="1" customWidth="1"/>
    <col min="12817" max="12817" width="14.42578125" style="62" bestFit="1" customWidth="1"/>
    <col min="12818" max="12818" width="14.28515625" style="62" bestFit="1" customWidth="1"/>
    <col min="12819" max="12819" width="14.42578125" style="62" bestFit="1" customWidth="1"/>
    <col min="12820" max="12820" width="10.7109375" style="62" bestFit="1" customWidth="1"/>
    <col min="12821" max="12821" width="11.5703125" style="62" bestFit="1" customWidth="1"/>
    <col min="12822" max="13034" width="9.140625" style="62"/>
    <col min="13035" max="13035" width="5.28515625" style="62" bestFit="1" customWidth="1"/>
    <col min="13036" max="13036" width="28.5703125" style="62" customWidth="1"/>
    <col min="13037" max="13037" width="14.42578125" style="62" customWidth="1"/>
    <col min="13038" max="13038" width="13.140625" style="62" customWidth="1"/>
    <col min="13039" max="13040" width="11.5703125" style="62" bestFit="1" customWidth="1"/>
    <col min="13041" max="13041" width="12.28515625" style="62" bestFit="1" customWidth="1"/>
    <col min="13042" max="13043" width="11.5703125" style="62" bestFit="1" customWidth="1"/>
    <col min="13044" max="13044" width="12.28515625" style="62" bestFit="1" customWidth="1"/>
    <col min="13045" max="13045" width="11.5703125" style="62" bestFit="1" customWidth="1"/>
    <col min="13046" max="13046" width="12.5703125" style="62" bestFit="1" customWidth="1"/>
    <col min="13047" max="13047" width="12.28515625" style="62" bestFit="1" customWidth="1"/>
    <col min="13048" max="13049" width="11.5703125" style="62" bestFit="1" customWidth="1"/>
    <col min="13050" max="13050" width="12.28515625" style="62" bestFit="1" customWidth="1"/>
    <col min="13051" max="13052" width="11.5703125" style="62" bestFit="1" customWidth="1"/>
    <col min="13053" max="13053" width="12.28515625" style="62" bestFit="1" customWidth="1"/>
    <col min="13054" max="13055" width="11.5703125" style="62" bestFit="1" customWidth="1"/>
    <col min="13056" max="13056" width="12.28515625" style="62" bestFit="1" customWidth="1"/>
    <col min="13057" max="13058" width="11.5703125" style="62" bestFit="1" customWidth="1"/>
    <col min="13059" max="13059" width="12.28515625" style="62" bestFit="1" customWidth="1"/>
    <col min="13060" max="13060" width="11.5703125" style="62" bestFit="1" customWidth="1"/>
    <col min="13061" max="13061" width="13" style="62" customWidth="1"/>
    <col min="13062" max="13062" width="12.28515625" style="62" bestFit="1" customWidth="1"/>
    <col min="13063" max="13063" width="11.5703125" style="62" bestFit="1" customWidth="1"/>
    <col min="13064" max="13064" width="12.5703125" style="62" bestFit="1" customWidth="1"/>
    <col min="13065" max="13065" width="12.28515625" style="62" bestFit="1" customWidth="1"/>
    <col min="13066" max="13067" width="11.5703125" style="62" bestFit="1" customWidth="1"/>
    <col min="13068" max="13068" width="12.28515625" style="62" bestFit="1" customWidth="1"/>
    <col min="13069" max="13069" width="11.5703125" style="62" bestFit="1" customWidth="1"/>
    <col min="13070" max="13070" width="14.28515625" style="62" bestFit="1" customWidth="1"/>
    <col min="13071" max="13071" width="12.28515625" style="62" bestFit="1" customWidth="1"/>
    <col min="13072" max="13072" width="14.28515625" style="62" bestFit="1" customWidth="1"/>
    <col min="13073" max="13073" width="14.42578125" style="62" bestFit="1" customWidth="1"/>
    <col min="13074" max="13074" width="14.28515625" style="62" bestFit="1" customWidth="1"/>
    <col min="13075" max="13075" width="14.42578125" style="62" bestFit="1" customWidth="1"/>
    <col min="13076" max="13076" width="10.7109375" style="62" bestFit="1" customWidth="1"/>
    <col min="13077" max="13077" width="11.5703125" style="62" bestFit="1" customWidth="1"/>
    <col min="13078" max="13290" width="9.140625" style="62"/>
    <col min="13291" max="13291" width="5.28515625" style="62" bestFit="1" customWidth="1"/>
    <col min="13292" max="13292" width="28.5703125" style="62" customWidth="1"/>
    <col min="13293" max="13293" width="14.42578125" style="62" customWidth="1"/>
    <col min="13294" max="13294" width="13.140625" style="62" customWidth="1"/>
    <col min="13295" max="13296" width="11.5703125" style="62" bestFit="1" customWidth="1"/>
    <col min="13297" max="13297" width="12.28515625" style="62" bestFit="1" customWidth="1"/>
    <col min="13298" max="13299" width="11.5703125" style="62" bestFit="1" customWidth="1"/>
    <col min="13300" max="13300" width="12.28515625" style="62" bestFit="1" customWidth="1"/>
    <col min="13301" max="13301" width="11.5703125" style="62" bestFit="1" customWidth="1"/>
    <col min="13302" max="13302" width="12.5703125" style="62" bestFit="1" customWidth="1"/>
    <col min="13303" max="13303" width="12.28515625" style="62" bestFit="1" customWidth="1"/>
    <col min="13304" max="13305" width="11.5703125" style="62" bestFit="1" customWidth="1"/>
    <col min="13306" max="13306" width="12.28515625" style="62" bestFit="1" customWidth="1"/>
    <col min="13307" max="13308" width="11.5703125" style="62" bestFit="1" customWidth="1"/>
    <col min="13309" max="13309" width="12.28515625" style="62" bestFit="1" customWidth="1"/>
    <col min="13310" max="13311" width="11.5703125" style="62" bestFit="1" customWidth="1"/>
    <col min="13312" max="13312" width="12.28515625" style="62" bestFit="1" customWidth="1"/>
    <col min="13313" max="13314" width="11.5703125" style="62" bestFit="1" customWidth="1"/>
    <col min="13315" max="13315" width="12.28515625" style="62" bestFit="1" customWidth="1"/>
    <col min="13316" max="13316" width="11.5703125" style="62" bestFit="1" customWidth="1"/>
    <col min="13317" max="13317" width="13" style="62" customWidth="1"/>
    <col min="13318" max="13318" width="12.28515625" style="62" bestFit="1" customWidth="1"/>
    <col min="13319" max="13319" width="11.5703125" style="62" bestFit="1" customWidth="1"/>
    <col min="13320" max="13320" width="12.5703125" style="62" bestFit="1" customWidth="1"/>
    <col min="13321" max="13321" width="12.28515625" style="62" bestFit="1" customWidth="1"/>
    <col min="13322" max="13323" width="11.5703125" style="62" bestFit="1" customWidth="1"/>
    <col min="13324" max="13324" width="12.28515625" style="62" bestFit="1" customWidth="1"/>
    <col min="13325" max="13325" width="11.5703125" style="62" bestFit="1" customWidth="1"/>
    <col min="13326" max="13326" width="14.28515625" style="62" bestFit="1" customWidth="1"/>
    <col min="13327" max="13327" width="12.28515625" style="62" bestFit="1" customWidth="1"/>
    <col min="13328" max="13328" width="14.28515625" style="62" bestFit="1" customWidth="1"/>
    <col min="13329" max="13329" width="14.42578125" style="62" bestFit="1" customWidth="1"/>
    <col min="13330" max="13330" width="14.28515625" style="62" bestFit="1" customWidth="1"/>
    <col min="13331" max="13331" width="14.42578125" style="62" bestFit="1" customWidth="1"/>
    <col min="13332" max="13332" width="10.7109375" style="62" bestFit="1" customWidth="1"/>
    <col min="13333" max="13333" width="11.5703125" style="62" bestFit="1" customWidth="1"/>
    <col min="13334" max="13546" width="9.140625" style="62"/>
    <col min="13547" max="13547" width="5.28515625" style="62" bestFit="1" customWidth="1"/>
    <col min="13548" max="13548" width="28.5703125" style="62" customWidth="1"/>
    <col min="13549" max="13549" width="14.42578125" style="62" customWidth="1"/>
    <col min="13550" max="13550" width="13.140625" style="62" customWidth="1"/>
    <col min="13551" max="13552" width="11.5703125" style="62" bestFit="1" customWidth="1"/>
    <col min="13553" max="13553" width="12.28515625" style="62" bestFit="1" customWidth="1"/>
    <col min="13554" max="13555" width="11.5703125" style="62" bestFit="1" customWidth="1"/>
    <col min="13556" max="13556" width="12.28515625" style="62" bestFit="1" customWidth="1"/>
    <col min="13557" max="13557" width="11.5703125" style="62" bestFit="1" customWidth="1"/>
    <col min="13558" max="13558" width="12.5703125" style="62" bestFit="1" customWidth="1"/>
    <col min="13559" max="13559" width="12.28515625" style="62" bestFit="1" customWidth="1"/>
    <col min="13560" max="13561" width="11.5703125" style="62" bestFit="1" customWidth="1"/>
    <col min="13562" max="13562" width="12.28515625" style="62" bestFit="1" customWidth="1"/>
    <col min="13563" max="13564" width="11.5703125" style="62" bestFit="1" customWidth="1"/>
    <col min="13565" max="13565" width="12.28515625" style="62" bestFit="1" customWidth="1"/>
    <col min="13566" max="13567" width="11.5703125" style="62" bestFit="1" customWidth="1"/>
    <col min="13568" max="13568" width="12.28515625" style="62" bestFit="1" customWidth="1"/>
    <col min="13569" max="13570" width="11.5703125" style="62" bestFit="1" customWidth="1"/>
    <col min="13571" max="13571" width="12.28515625" style="62" bestFit="1" customWidth="1"/>
    <col min="13572" max="13572" width="11.5703125" style="62" bestFit="1" customWidth="1"/>
    <col min="13573" max="13573" width="13" style="62" customWidth="1"/>
    <col min="13574" max="13574" width="12.28515625" style="62" bestFit="1" customWidth="1"/>
    <col min="13575" max="13575" width="11.5703125" style="62" bestFit="1" customWidth="1"/>
    <col min="13576" max="13576" width="12.5703125" style="62" bestFit="1" customWidth="1"/>
    <col min="13577" max="13577" width="12.28515625" style="62" bestFit="1" customWidth="1"/>
    <col min="13578" max="13579" width="11.5703125" style="62" bestFit="1" customWidth="1"/>
    <col min="13580" max="13580" width="12.28515625" style="62" bestFit="1" customWidth="1"/>
    <col min="13581" max="13581" width="11.5703125" style="62" bestFit="1" customWidth="1"/>
    <col min="13582" max="13582" width="14.28515625" style="62" bestFit="1" customWidth="1"/>
    <col min="13583" max="13583" width="12.28515625" style="62" bestFit="1" customWidth="1"/>
    <col min="13584" max="13584" width="14.28515625" style="62" bestFit="1" customWidth="1"/>
    <col min="13585" max="13585" width="14.42578125" style="62" bestFit="1" customWidth="1"/>
    <col min="13586" max="13586" width="14.28515625" style="62" bestFit="1" customWidth="1"/>
    <col min="13587" max="13587" width="14.42578125" style="62" bestFit="1" customWidth="1"/>
    <col min="13588" max="13588" width="10.7109375" style="62" bestFit="1" customWidth="1"/>
    <col min="13589" max="13589" width="11.5703125" style="62" bestFit="1" customWidth="1"/>
    <col min="13590" max="13802" width="9.140625" style="62"/>
    <col min="13803" max="13803" width="5.28515625" style="62" bestFit="1" customWidth="1"/>
    <col min="13804" max="13804" width="28.5703125" style="62" customWidth="1"/>
    <col min="13805" max="13805" width="14.42578125" style="62" customWidth="1"/>
    <col min="13806" max="13806" width="13.140625" style="62" customWidth="1"/>
    <col min="13807" max="13808" width="11.5703125" style="62" bestFit="1" customWidth="1"/>
    <col min="13809" max="13809" width="12.28515625" style="62" bestFit="1" customWidth="1"/>
    <col min="13810" max="13811" width="11.5703125" style="62" bestFit="1" customWidth="1"/>
    <col min="13812" max="13812" width="12.28515625" style="62" bestFit="1" customWidth="1"/>
    <col min="13813" max="13813" width="11.5703125" style="62" bestFit="1" customWidth="1"/>
    <col min="13814" max="13814" width="12.5703125" style="62" bestFit="1" customWidth="1"/>
    <col min="13815" max="13815" width="12.28515625" style="62" bestFit="1" customWidth="1"/>
    <col min="13816" max="13817" width="11.5703125" style="62" bestFit="1" customWidth="1"/>
    <col min="13818" max="13818" width="12.28515625" style="62" bestFit="1" customWidth="1"/>
    <col min="13819" max="13820" width="11.5703125" style="62" bestFit="1" customWidth="1"/>
    <col min="13821" max="13821" width="12.28515625" style="62" bestFit="1" customWidth="1"/>
    <col min="13822" max="13823" width="11.5703125" style="62" bestFit="1" customWidth="1"/>
    <col min="13824" max="13824" width="12.28515625" style="62" bestFit="1" customWidth="1"/>
    <col min="13825" max="13826" width="11.5703125" style="62" bestFit="1" customWidth="1"/>
    <col min="13827" max="13827" width="12.28515625" style="62" bestFit="1" customWidth="1"/>
    <col min="13828" max="13828" width="11.5703125" style="62" bestFit="1" customWidth="1"/>
    <col min="13829" max="13829" width="13" style="62" customWidth="1"/>
    <col min="13830" max="13830" width="12.28515625" style="62" bestFit="1" customWidth="1"/>
    <col min="13831" max="13831" width="11.5703125" style="62" bestFit="1" customWidth="1"/>
    <col min="13832" max="13832" width="12.5703125" style="62" bestFit="1" customWidth="1"/>
    <col min="13833" max="13833" width="12.28515625" style="62" bestFit="1" customWidth="1"/>
    <col min="13834" max="13835" width="11.5703125" style="62" bestFit="1" customWidth="1"/>
    <col min="13836" max="13836" width="12.28515625" style="62" bestFit="1" customWidth="1"/>
    <col min="13837" max="13837" width="11.5703125" style="62" bestFit="1" customWidth="1"/>
    <col min="13838" max="13838" width="14.28515625" style="62" bestFit="1" customWidth="1"/>
    <col min="13839" max="13839" width="12.28515625" style="62" bestFit="1" customWidth="1"/>
    <col min="13840" max="13840" width="14.28515625" style="62" bestFit="1" customWidth="1"/>
    <col min="13841" max="13841" width="14.42578125" style="62" bestFit="1" customWidth="1"/>
    <col min="13842" max="13842" width="14.28515625" style="62" bestFit="1" customWidth="1"/>
    <col min="13843" max="13843" width="14.42578125" style="62" bestFit="1" customWidth="1"/>
    <col min="13844" max="13844" width="10.7109375" style="62" bestFit="1" customWidth="1"/>
    <col min="13845" max="13845" width="11.5703125" style="62" bestFit="1" customWidth="1"/>
    <col min="13846" max="14058" width="9.140625" style="62"/>
    <col min="14059" max="14059" width="5.28515625" style="62" bestFit="1" customWidth="1"/>
    <col min="14060" max="14060" width="28.5703125" style="62" customWidth="1"/>
    <col min="14061" max="14061" width="14.42578125" style="62" customWidth="1"/>
    <col min="14062" max="14062" width="13.140625" style="62" customWidth="1"/>
    <col min="14063" max="14064" width="11.5703125" style="62" bestFit="1" customWidth="1"/>
    <col min="14065" max="14065" width="12.28515625" style="62" bestFit="1" customWidth="1"/>
    <col min="14066" max="14067" width="11.5703125" style="62" bestFit="1" customWidth="1"/>
    <col min="14068" max="14068" width="12.28515625" style="62" bestFit="1" customWidth="1"/>
    <col min="14069" max="14069" width="11.5703125" style="62" bestFit="1" customWidth="1"/>
    <col min="14070" max="14070" width="12.5703125" style="62" bestFit="1" customWidth="1"/>
    <col min="14071" max="14071" width="12.28515625" style="62" bestFit="1" customWidth="1"/>
    <col min="14072" max="14073" width="11.5703125" style="62" bestFit="1" customWidth="1"/>
    <col min="14074" max="14074" width="12.28515625" style="62" bestFit="1" customWidth="1"/>
    <col min="14075" max="14076" width="11.5703125" style="62" bestFit="1" customWidth="1"/>
    <col min="14077" max="14077" width="12.28515625" style="62" bestFit="1" customWidth="1"/>
    <col min="14078" max="14079" width="11.5703125" style="62" bestFit="1" customWidth="1"/>
    <col min="14080" max="14080" width="12.28515625" style="62" bestFit="1" customWidth="1"/>
    <col min="14081" max="14082" width="11.5703125" style="62" bestFit="1" customWidth="1"/>
    <col min="14083" max="14083" width="12.28515625" style="62" bestFit="1" customWidth="1"/>
    <col min="14084" max="14084" width="11.5703125" style="62" bestFit="1" customWidth="1"/>
    <col min="14085" max="14085" width="13" style="62" customWidth="1"/>
    <col min="14086" max="14086" width="12.28515625" style="62" bestFit="1" customWidth="1"/>
    <col min="14087" max="14087" width="11.5703125" style="62" bestFit="1" customWidth="1"/>
    <col min="14088" max="14088" width="12.5703125" style="62" bestFit="1" customWidth="1"/>
    <col min="14089" max="14089" width="12.28515625" style="62" bestFit="1" customWidth="1"/>
    <col min="14090" max="14091" width="11.5703125" style="62" bestFit="1" customWidth="1"/>
    <col min="14092" max="14092" width="12.28515625" style="62" bestFit="1" customWidth="1"/>
    <col min="14093" max="14093" width="11.5703125" style="62" bestFit="1" customWidth="1"/>
    <col min="14094" max="14094" width="14.28515625" style="62" bestFit="1" customWidth="1"/>
    <col min="14095" max="14095" width="12.28515625" style="62" bestFit="1" customWidth="1"/>
    <col min="14096" max="14096" width="14.28515625" style="62" bestFit="1" customWidth="1"/>
    <col min="14097" max="14097" width="14.42578125" style="62" bestFit="1" customWidth="1"/>
    <col min="14098" max="14098" width="14.28515625" style="62" bestFit="1" customWidth="1"/>
    <col min="14099" max="14099" width="14.42578125" style="62" bestFit="1" customWidth="1"/>
    <col min="14100" max="14100" width="10.7109375" style="62" bestFit="1" customWidth="1"/>
    <col min="14101" max="14101" width="11.5703125" style="62" bestFit="1" customWidth="1"/>
    <col min="14102" max="14314" width="9.140625" style="62"/>
    <col min="14315" max="14315" width="5.28515625" style="62" bestFit="1" customWidth="1"/>
    <col min="14316" max="14316" width="28.5703125" style="62" customWidth="1"/>
    <col min="14317" max="14317" width="14.42578125" style="62" customWidth="1"/>
    <col min="14318" max="14318" width="13.140625" style="62" customWidth="1"/>
    <col min="14319" max="14320" width="11.5703125" style="62" bestFit="1" customWidth="1"/>
    <col min="14321" max="14321" width="12.28515625" style="62" bestFit="1" customWidth="1"/>
    <col min="14322" max="14323" width="11.5703125" style="62" bestFit="1" customWidth="1"/>
    <col min="14324" max="14324" width="12.28515625" style="62" bestFit="1" customWidth="1"/>
    <col min="14325" max="14325" width="11.5703125" style="62" bestFit="1" customWidth="1"/>
    <col min="14326" max="14326" width="12.5703125" style="62" bestFit="1" customWidth="1"/>
    <col min="14327" max="14327" width="12.28515625" style="62" bestFit="1" customWidth="1"/>
    <col min="14328" max="14329" width="11.5703125" style="62" bestFit="1" customWidth="1"/>
    <col min="14330" max="14330" width="12.28515625" style="62" bestFit="1" customWidth="1"/>
    <col min="14331" max="14332" width="11.5703125" style="62" bestFit="1" customWidth="1"/>
    <col min="14333" max="14333" width="12.28515625" style="62" bestFit="1" customWidth="1"/>
    <col min="14334" max="14335" width="11.5703125" style="62" bestFit="1" customWidth="1"/>
    <col min="14336" max="14336" width="12.28515625" style="62" bestFit="1" customWidth="1"/>
    <col min="14337" max="14338" width="11.5703125" style="62" bestFit="1" customWidth="1"/>
    <col min="14339" max="14339" width="12.28515625" style="62" bestFit="1" customWidth="1"/>
    <col min="14340" max="14340" width="11.5703125" style="62" bestFit="1" customWidth="1"/>
    <col min="14341" max="14341" width="13" style="62" customWidth="1"/>
    <col min="14342" max="14342" width="12.28515625" style="62" bestFit="1" customWidth="1"/>
    <col min="14343" max="14343" width="11.5703125" style="62" bestFit="1" customWidth="1"/>
    <col min="14344" max="14344" width="12.5703125" style="62" bestFit="1" customWidth="1"/>
    <col min="14345" max="14345" width="12.28515625" style="62" bestFit="1" customWidth="1"/>
    <col min="14346" max="14347" width="11.5703125" style="62" bestFit="1" customWidth="1"/>
    <col min="14348" max="14348" width="12.28515625" style="62" bestFit="1" customWidth="1"/>
    <col min="14349" max="14349" width="11.5703125" style="62" bestFit="1" customWidth="1"/>
    <col min="14350" max="14350" width="14.28515625" style="62" bestFit="1" customWidth="1"/>
    <col min="14351" max="14351" width="12.28515625" style="62" bestFit="1" customWidth="1"/>
    <col min="14352" max="14352" width="14.28515625" style="62" bestFit="1" customWidth="1"/>
    <col min="14353" max="14353" width="14.42578125" style="62" bestFit="1" customWidth="1"/>
    <col min="14354" max="14354" width="14.28515625" style="62" bestFit="1" customWidth="1"/>
    <col min="14355" max="14355" width="14.42578125" style="62" bestFit="1" customWidth="1"/>
    <col min="14356" max="14356" width="10.7109375" style="62" bestFit="1" customWidth="1"/>
    <col min="14357" max="14357" width="11.5703125" style="62" bestFit="1" customWidth="1"/>
    <col min="14358" max="14570" width="9.140625" style="62"/>
    <col min="14571" max="14571" width="5.28515625" style="62" bestFit="1" customWidth="1"/>
    <col min="14572" max="14572" width="28.5703125" style="62" customWidth="1"/>
    <col min="14573" max="14573" width="14.42578125" style="62" customWidth="1"/>
    <col min="14574" max="14574" width="13.140625" style="62" customWidth="1"/>
    <col min="14575" max="14576" width="11.5703125" style="62" bestFit="1" customWidth="1"/>
    <col min="14577" max="14577" width="12.28515625" style="62" bestFit="1" customWidth="1"/>
    <col min="14578" max="14579" width="11.5703125" style="62" bestFit="1" customWidth="1"/>
    <col min="14580" max="14580" width="12.28515625" style="62" bestFit="1" customWidth="1"/>
    <col min="14581" max="14581" width="11.5703125" style="62" bestFit="1" customWidth="1"/>
    <col min="14582" max="14582" width="12.5703125" style="62" bestFit="1" customWidth="1"/>
    <col min="14583" max="14583" width="12.28515625" style="62" bestFit="1" customWidth="1"/>
    <col min="14584" max="14585" width="11.5703125" style="62" bestFit="1" customWidth="1"/>
    <col min="14586" max="14586" width="12.28515625" style="62" bestFit="1" customWidth="1"/>
    <col min="14587" max="14588" width="11.5703125" style="62" bestFit="1" customWidth="1"/>
    <col min="14589" max="14589" width="12.28515625" style="62" bestFit="1" customWidth="1"/>
    <col min="14590" max="14591" width="11.5703125" style="62" bestFit="1" customWidth="1"/>
    <col min="14592" max="14592" width="12.28515625" style="62" bestFit="1" customWidth="1"/>
    <col min="14593" max="14594" width="11.5703125" style="62" bestFit="1" customWidth="1"/>
    <col min="14595" max="14595" width="12.28515625" style="62" bestFit="1" customWidth="1"/>
    <col min="14596" max="14596" width="11.5703125" style="62" bestFit="1" customWidth="1"/>
    <col min="14597" max="14597" width="13" style="62" customWidth="1"/>
    <col min="14598" max="14598" width="12.28515625" style="62" bestFit="1" customWidth="1"/>
    <col min="14599" max="14599" width="11.5703125" style="62" bestFit="1" customWidth="1"/>
    <col min="14600" max="14600" width="12.5703125" style="62" bestFit="1" customWidth="1"/>
    <col min="14601" max="14601" width="12.28515625" style="62" bestFit="1" customWidth="1"/>
    <col min="14602" max="14603" width="11.5703125" style="62" bestFit="1" customWidth="1"/>
    <col min="14604" max="14604" width="12.28515625" style="62" bestFit="1" customWidth="1"/>
    <col min="14605" max="14605" width="11.5703125" style="62" bestFit="1" customWidth="1"/>
    <col min="14606" max="14606" width="14.28515625" style="62" bestFit="1" customWidth="1"/>
    <col min="14607" max="14607" width="12.28515625" style="62" bestFit="1" customWidth="1"/>
    <col min="14608" max="14608" width="14.28515625" style="62" bestFit="1" customWidth="1"/>
    <col min="14609" max="14609" width="14.42578125" style="62" bestFit="1" customWidth="1"/>
    <col min="14610" max="14610" width="14.28515625" style="62" bestFit="1" customWidth="1"/>
    <col min="14611" max="14611" width="14.42578125" style="62" bestFit="1" customWidth="1"/>
    <col min="14612" max="14612" width="10.7109375" style="62" bestFit="1" customWidth="1"/>
    <col min="14613" max="14613" width="11.5703125" style="62" bestFit="1" customWidth="1"/>
    <col min="14614" max="14826" width="9.140625" style="62"/>
    <col min="14827" max="14827" width="5.28515625" style="62" bestFit="1" customWidth="1"/>
    <col min="14828" max="14828" width="28.5703125" style="62" customWidth="1"/>
    <col min="14829" max="14829" width="14.42578125" style="62" customWidth="1"/>
    <col min="14830" max="14830" width="13.140625" style="62" customWidth="1"/>
    <col min="14831" max="14832" width="11.5703125" style="62" bestFit="1" customWidth="1"/>
    <col min="14833" max="14833" width="12.28515625" style="62" bestFit="1" customWidth="1"/>
    <col min="14834" max="14835" width="11.5703125" style="62" bestFit="1" customWidth="1"/>
    <col min="14836" max="14836" width="12.28515625" style="62" bestFit="1" customWidth="1"/>
    <col min="14837" max="14837" width="11.5703125" style="62" bestFit="1" customWidth="1"/>
    <col min="14838" max="14838" width="12.5703125" style="62" bestFit="1" customWidth="1"/>
    <col min="14839" max="14839" width="12.28515625" style="62" bestFit="1" customWidth="1"/>
    <col min="14840" max="14841" width="11.5703125" style="62" bestFit="1" customWidth="1"/>
    <col min="14842" max="14842" width="12.28515625" style="62" bestFit="1" customWidth="1"/>
    <col min="14843" max="14844" width="11.5703125" style="62" bestFit="1" customWidth="1"/>
    <col min="14845" max="14845" width="12.28515625" style="62" bestFit="1" customWidth="1"/>
    <col min="14846" max="14847" width="11.5703125" style="62" bestFit="1" customWidth="1"/>
    <col min="14848" max="14848" width="12.28515625" style="62" bestFit="1" customWidth="1"/>
    <col min="14849" max="14850" width="11.5703125" style="62" bestFit="1" customWidth="1"/>
    <col min="14851" max="14851" width="12.28515625" style="62" bestFit="1" customWidth="1"/>
    <col min="14852" max="14852" width="11.5703125" style="62" bestFit="1" customWidth="1"/>
    <col min="14853" max="14853" width="13" style="62" customWidth="1"/>
    <col min="14854" max="14854" width="12.28515625" style="62" bestFit="1" customWidth="1"/>
    <col min="14855" max="14855" width="11.5703125" style="62" bestFit="1" customWidth="1"/>
    <col min="14856" max="14856" width="12.5703125" style="62" bestFit="1" customWidth="1"/>
    <col min="14857" max="14857" width="12.28515625" style="62" bestFit="1" customWidth="1"/>
    <col min="14858" max="14859" width="11.5703125" style="62" bestFit="1" customWidth="1"/>
    <col min="14860" max="14860" width="12.28515625" style="62" bestFit="1" customWidth="1"/>
    <col min="14861" max="14861" width="11.5703125" style="62" bestFit="1" customWidth="1"/>
    <col min="14862" max="14862" width="14.28515625" style="62" bestFit="1" customWidth="1"/>
    <col min="14863" max="14863" width="12.28515625" style="62" bestFit="1" customWidth="1"/>
    <col min="14864" max="14864" width="14.28515625" style="62" bestFit="1" customWidth="1"/>
    <col min="14865" max="14865" width="14.42578125" style="62" bestFit="1" customWidth="1"/>
    <col min="14866" max="14866" width="14.28515625" style="62" bestFit="1" customWidth="1"/>
    <col min="14867" max="14867" width="14.42578125" style="62" bestFit="1" customWidth="1"/>
    <col min="14868" max="14868" width="10.7109375" style="62" bestFit="1" customWidth="1"/>
    <col min="14869" max="14869" width="11.5703125" style="62" bestFit="1" customWidth="1"/>
    <col min="14870" max="15082" width="9.140625" style="62"/>
    <col min="15083" max="15083" width="5.28515625" style="62" bestFit="1" customWidth="1"/>
    <col min="15084" max="15084" width="28.5703125" style="62" customWidth="1"/>
    <col min="15085" max="15085" width="14.42578125" style="62" customWidth="1"/>
    <col min="15086" max="15086" width="13.140625" style="62" customWidth="1"/>
    <col min="15087" max="15088" width="11.5703125" style="62" bestFit="1" customWidth="1"/>
    <col min="15089" max="15089" width="12.28515625" style="62" bestFit="1" customWidth="1"/>
    <col min="15090" max="15091" width="11.5703125" style="62" bestFit="1" customWidth="1"/>
    <col min="15092" max="15092" width="12.28515625" style="62" bestFit="1" customWidth="1"/>
    <col min="15093" max="15093" width="11.5703125" style="62" bestFit="1" customWidth="1"/>
    <col min="15094" max="15094" width="12.5703125" style="62" bestFit="1" customWidth="1"/>
    <col min="15095" max="15095" width="12.28515625" style="62" bestFit="1" customWidth="1"/>
    <col min="15096" max="15097" width="11.5703125" style="62" bestFit="1" customWidth="1"/>
    <col min="15098" max="15098" width="12.28515625" style="62" bestFit="1" customWidth="1"/>
    <col min="15099" max="15100" width="11.5703125" style="62" bestFit="1" customWidth="1"/>
    <col min="15101" max="15101" width="12.28515625" style="62" bestFit="1" customWidth="1"/>
    <col min="15102" max="15103" width="11.5703125" style="62" bestFit="1" customWidth="1"/>
    <col min="15104" max="15104" width="12.28515625" style="62" bestFit="1" customWidth="1"/>
    <col min="15105" max="15106" width="11.5703125" style="62" bestFit="1" customWidth="1"/>
    <col min="15107" max="15107" width="12.28515625" style="62" bestFit="1" customWidth="1"/>
    <col min="15108" max="15108" width="11.5703125" style="62" bestFit="1" customWidth="1"/>
    <col min="15109" max="15109" width="13" style="62" customWidth="1"/>
    <col min="15110" max="15110" width="12.28515625" style="62" bestFit="1" customWidth="1"/>
    <col min="15111" max="15111" width="11.5703125" style="62" bestFit="1" customWidth="1"/>
    <col min="15112" max="15112" width="12.5703125" style="62" bestFit="1" customWidth="1"/>
    <col min="15113" max="15113" width="12.28515625" style="62" bestFit="1" customWidth="1"/>
    <col min="15114" max="15115" width="11.5703125" style="62" bestFit="1" customWidth="1"/>
    <col min="15116" max="15116" width="12.28515625" style="62" bestFit="1" customWidth="1"/>
    <col min="15117" max="15117" width="11.5703125" style="62" bestFit="1" customWidth="1"/>
    <col min="15118" max="15118" width="14.28515625" style="62" bestFit="1" customWidth="1"/>
    <col min="15119" max="15119" width="12.28515625" style="62" bestFit="1" customWidth="1"/>
    <col min="15120" max="15120" width="14.28515625" style="62" bestFit="1" customWidth="1"/>
    <col min="15121" max="15121" width="14.42578125" style="62" bestFit="1" customWidth="1"/>
    <col min="15122" max="15122" width="14.28515625" style="62" bestFit="1" customWidth="1"/>
    <col min="15123" max="15123" width="14.42578125" style="62" bestFit="1" customWidth="1"/>
    <col min="15124" max="15124" width="10.7109375" style="62" bestFit="1" customWidth="1"/>
    <col min="15125" max="15125" width="11.5703125" style="62" bestFit="1" customWidth="1"/>
    <col min="15126" max="15338" width="9.140625" style="62"/>
    <col min="15339" max="15339" width="5.28515625" style="62" bestFit="1" customWidth="1"/>
    <col min="15340" max="15340" width="28.5703125" style="62" customWidth="1"/>
    <col min="15341" max="15341" width="14.42578125" style="62" customWidth="1"/>
    <col min="15342" max="15342" width="13.140625" style="62" customWidth="1"/>
    <col min="15343" max="15344" width="11.5703125" style="62" bestFit="1" customWidth="1"/>
    <col min="15345" max="15345" width="12.28515625" style="62" bestFit="1" customWidth="1"/>
    <col min="15346" max="15347" width="11.5703125" style="62" bestFit="1" customWidth="1"/>
    <col min="15348" max="15348" width="12.28515625" style="62" bestFit="1" customWidth="1"/>
    <col min="15349" max="15349" width="11.5703125" style="62" bestFit="1" customWidth="1"/>
    <col min="15350" max="15350" width="12.5703125" style="62" bestFit="1" customWidth="1"/>
    <col min="15351" max="15351" width="12.28515625" style="62" bestFit="1" customWidth="1"/>
    <col min="15352" max="15353" width="11.5703125" style="62" bestFit="1" customWidth="1"/>
    <col min="15354" max="15354" width="12.28515625" style="62" bestFit="1" customWidth="1"/>
    <col min="15355" max="15356" width="11.5703125" style="62" bestFit="1" customWidth="1"/>
    <col min="15357" max="15357" width="12.28515625" style="62" bestFit="1" customWidth="1"/>
    <col min="15358" max="15359" width="11.5703125" style="62" bestFit="1" customWidth="1"/>
    <col min="15360" max="15360" width="12.28515625" style="62" bestFit="1" customWidth="1"/>
    <col min="15361" max="15362" width="11.5703125" style="62" bestFit="1" customWidth="1"/>
    <col min="15363" max="15363" width="12.28515625" style="62" bestFit="1" customWidth="1"/>
    <col min="15364" max="15364" width="11.5703125" style="62" bestFit="1" customWidth="1"/>
    <col min="15365" max="15365" width="13" style="62" customWidth="1"/>
    <col min="15366" max="15366" width="12.28515625" style="62" bestFit="1" customWidth="1"/>
    <col min="15367" max="15367" width="11.5703125" style="62" bestFit="1" customWidth="1"/>
    <col min="15368" max="15368" width="12.5703125" style="62" bestFit="1" customWidth="1"/>
    <col min="15369" max="15369" width="12.28515625" style="62" bestFit="1" customWidth="1"/>
    <col min="15370" max="15371" width="11.5703125" style="62" bestFit="1" customWidth="1"/>
    <col min="15372" max="15372" width="12.28515625" style="62" bestFit="1" customWidth="1"/>
    <col min="15373" max="15373" width="11.5703125" style="62" bestFit="1" customWidth="1"/>
    <col min="15374" max="15374" width="14.28515625" style="62" bestFit="1" customWidth="1"/>
    <col min="15375" max="15375" width="12.28515625" style="62" bestFit="1" customWidth="1"/>
    <col min="15376" max="15376" width="14.28515625" style="62" bestFit="1" customWidth="1"/>
    <col min="15377" max="15377" width="14.42578125" style="62" bestFit="1" customWidth="1"/>
    <col min="15378" max="15378" width="14.28515625" style="62" bestFit="1" customWidth="1"/>
    <col min="15379" max="15379" width="14.42578125" style="62" bestFit="1" customWidth="1"/>
    <col min="15380" max="15380" width="10.7109375" style="62" bestFit="1" customWidth="1"/>
    <col min="15381" max="15381" width="11.5703125" style="62" bestFit="1" customWidth="1"/>
    <col min="15382" max="15594" width="9.140625" style="62"/>
    <col min="15595" max="15595" width="5.28515625" style="62" bestFit="1" customWidth="1"/>
    <col min="15596" max="15596" width="28.5703125" style="62" customWidth="1"/>
    <col min="15597" max="15597" width="14.42578125" style="62" customWidth="1"/>
    <col min="15598" max="15598" width="13.140625" style="62" customWidth="1"/>
    <col min="15599" max="15600" width="11.5703125" style="62" bestFit="1" customWidth="1"/>
    <col min="15601" max="15601" width="12.28515625" style="62" bestFit="1" customWidth="1"/>
    <col min="15602" max="15603" width="11.5703125" style="62" bestFit="1" customWidth="1"/>
    <col min="15604" max="15604" width="12.28515625" style="62" bestFit="1" customWidth="1"/>
    <col min="15605" max="15605" width="11.5703125" style="62" bestFit="1" customWidth="1"/>
    <col min="15606" max="15606" width="12.5703125" style="62" bestFit="1" customWidth="1"/>
    <col min="15607" max="15607" width="12.28515625" style="62" bestFit="1" customWidth="1"/>
    <col min="15608" max="15609" width="11.5703125" style="62" bestFit="1" customWidth="1"/>
    <col min="15610" max="15610" width="12.28515625" style="62" bestFit="1" customWidth="1"/>
    <col min="15611" max="15612" width="11.5703125" style="62" bestFit="1" customWidth="1"/>
    <col min="15613" max="15613" width="12.28515625" style="62" bestFit="1" customWidth="1"/>
    <col min="15614" max="15615" width="11.5703125" style="62" bestFit="1" customWidth="1"/>
    <col min="15616" max="15616" width="12.28515625" style="62" bestFit="1" customWidth="1"/>
    <col min="15617" max="15618" width="11.5703125" style="62" bestFit="1" customWidth="1"/>
    <col min="15619" max="15619" width="12.28515625" style="62" bestFit="1" customWidth="1"/>
    <col min="15620" max="15620" width="11.5703125" style="62" bestFit="1" customWidth="1"/>
    <col min="15621" max="15621" width="13" style="62" customWidth="1"/>
    <col min="15622" max="15622" width="12.28515625" style="62" bestFit="1" customWidth="1"/>
    <col min="15623" max="15623" width="11.5703125" style="62" bestFit="1" customWidth="1"/>
    <col min="15624" max="15624" width="12.5703125" style="62" bestFit="1" customWidth="1"/>
    <col min="15625" max="15625" width="12.28515625" style="62" bestFit="1" customWidth="1"/>
    <col min="15626" max="15627" width="11.5703125" style="62" bestFit="1" customWidth="1"/>
    <col min="15628" max="15628" width="12.28515625" style="62" bestFit="1" customWidth="1"/>
    <col min="15629" max="15629" width="11.5703125" style="62" bestFit="1" customWidth="1"/>
    <col min="15630" max="15630" width="14.28515625" style="62" bestFit="1" customWidth="1"/>
    <col min="15631" max="15631" width="12.28515625" style="62" bestFit="1" customWidth="1"/>
    <col min="15632" max="15632" width="14.28515625" style="62" bestFit="1" customWidth="1"/>
    <col min="15633" max="15633" width="14.42578125" style="62" bestFit="1" customWidth="1"/>
    <col min="15634" max="15634" width="14.28515625" style="62" bestFit="1" customWidth="1"/>
    <col min="15635" max="15635" width="14.42578125" style="62" bestFit="1" customWidth="1"/>
    <col min="15636" max="15636" width="10.7109375" style="62" bestFit="1" customWidth="1"/>
    <col min="15637" max="15637" width="11.5703125" style="62" bestFit="1" customWidth="1"/>
    <col min="15638" max="15850" width="9.140625" style="62"/>
    <col min="15851" max="15851" width="5.28515625" style="62" bestFit="1" customWidth="1"/>
    <col min="15852" max="15852" width="28.5703125" style="62" customWidth="1"/>
    <col min="15853" max="15853" width="14.42578125" style="62" customWidth="1"/>
    <col min="15854" max="15854" width="13.140625" style="62" customWidth="1"/>
    <col min="15855" max="15856" width="11.5703125" style="62" bestFit="1" customWidth="1"/>
    <col min="15857" max="15857" width="12.28515625" style="62" bestFit="1" customWidth="1"/>
    <col min="15858" max="15859" width="11.5703125" style="62" bestFit="1" customWidth="1"/>
    <col min="15860" max="15860" width="12.28515625" style="62" bestFit="1" customWidth="1"/>
    <col min="15861" max="15861" width="11.5703125" style="62" bestFit="1" customWidth="1"/>
    <col min="15862" max="15862" width="12.5703125" style="62" bestFit="1" customWidth="1"/>
    <col min="15863" max="15863" width="12.28515625" style="62" bestFit="1" customWidth="1"/>
    <col min="15864" max="15865" width="11.5703125" style="62" bestFit="1" customWidth="1"/>
    <col min="15866" max="15866" width="12.28515625" style="62" bestFit="1" customWidth="1"/>
    <col min="15867" max="15868" width="11.5703125" style="62" bestFit="1" customWidth="1"/>
    <col min="15869" max="15869" width="12.28515625" style="62" bestFit="1" customWidth="1"/>
    <col min="15870" max="15871" width="11.5703125" style="62" bestFit="1" customWidth="1"/>
    <col min="15872" max="15872" width="12.28515625" style="62" bestFit="1" customWidth="1"/>
    <col min="15873" max="15874" width="11.5703125" style="62" bestFit="1" customWidth="1"/>
    <col min="15875" max="15875" width="12.28515625" style="62" bestFit="1" customWidth="1"/>
    <col min="15876" max="15876" width="11.5703125" style="62" bestFit="1" customWidth="1"/>
    <col min="15877" max="15877" width="13" style="62" customWidth="1"/>
    <col min="15878" max="15878" width="12.28515625" style="62" bestFit="1" customWidth="1"/>
    <col min="15879" max="15879" width="11.5703125" style="62" bestFit="1" customWidth="1"/>
    <col min="15880" max="15880" width="12.5703125" style="62" bestFit="1" customWidth="1"/>
    <col min="15881" max="15881" width="12.28515625" style="62" bestFit="1" customWidth="1"/>
    <col min="15882" max="15883" width="11.5703125" style="62" bestFit="1" customWidth="1"/>
    <col min="15884" max="15884" width="12.28515625" style="62" bestFit="1" customWidth="1"/>
    <col min="15885" max="15885" width="11.5703125" style="62" bestFit="1" customWidth="1"/>
    <col min="15886" max="15886" width="14.28515625" style="62" bestFit="1" customWidth="1"/>
    <col min="15887" max="15887" width="12.28515625" style="62" bestFit="1" customWidth="1"/>
    <col min="15888" max="15888" width="14.28515625" style="62" bestFit="1" customWidth="1"/>
    <col min="15889" max="15889" width="14.42578125" style="62" bestFit="1" customWidth="1"/>
    <col min="15890" max="15890" width="14.28515625" style="62" bestFit="1" customWidth="1"/>
    <col min="15891" max="15891" width="14.42578125" style="62" bestFit="1" customWidth="1"/>
    <col min="15892" max="15892" width="10.7109375" style="62" bestFit="1" customWidth="1"/>
    <col min="15893" max="15893" width="11.5703125" style="62" bestFit="1" customWidth="1"/>
    <col min="15894" max="16106" width="9.140625" style="62"/>
    <col min="16107" max="16107" width="5.28515625" style="62" bestFit="1" customWidth="1"/>
    <col min="16108" max="16108" width="28.5703125" style="62" customWidth="1"/>
    <col min="16109" max="16109" width="14.42578125" style="62" customWidth="1"/>
    <col min="16110" max="16110" width="13.140625" style="62" customWidth="1"/>
    <col min="16111" max="16112" width="11.5703125" style="62" bestFit="1" customWidth="1"/>
    <col min="16113" max="16113" width="12.28515625" style="62" bestFit="1" customWidth="1"/>
    <col min="16114" max="16115" width="11.5703125" style="62" bestFit="1" customWidth="1"/>
    <col min="16116" max="16116" width="12.28515625" style="62" bestFit="1" customWidth="1"/>
    <col min="16117" max="16117" width="11.5703125" style="62" bestFit="1" customWidth="1"/>
    <col min="16118" max="16118" width="12.5703125" style="62" bestFit="1" customWidth="1"/>
    <col min="16119" max="16119" width="12.28515625" style="62" bestFit="1" customWidth="1"/>
    <col min="16120" max="16121" width="11.5703125" style="62" bestFit="1" customWidth="1"/>
    <col min="16122" max="16122" width="12.28515625" style="62" bestFit="1" customWidth="1"/>
    <col min="16123" max="16124" width="11.5703125" style="62" bestFit="1" customWidth="1"/>
    <col min="16125" max="16125" width="12.28515625" style="62" bestFit="1" customWidth="1"/>
    <col min="16126" max="16127" width="11.5703125" style="62" bestFit="1" customWidth="1"/>
    <col min="16128" max="16128" width="12.28515625" style="62" bestFit="1" customWidth="1"/>
    <col min="16129" max="16130" width="11.5703125" style="62" bestFit="1" customWidth="1"/>
    <col min="16131" max="16131" width="12.28515625" style="62" bestFit="1" customWidth="1"/>
    <col min="16132" max="16132" width="11.5703125" style="62" bestFit="1" customWidth="1"/>
    <col min="16133" max="16133" width="13" style="62" customWidth="1"/>
    <col min="16134" max="16134" width="12.28515625" style="62" bestFit="1" customWidth="1"/>
    <col min="16135" max="16135" width="11.5703125" style="62" bestFit="1" customWidth="1"/>
    <col min="16136" max="16136" width="12.5703125" style="62" bestFit="1" customWidth="1"/>
    <col min="16137" max="16137" width="12.28515625" style="62" bestFit="1" customWidth="1"/>
    <col min="16138" max="16139" width="11.5703125" style="62" bestFit="1" customWidth="1"/>
    <col min="16140" max="16140" width="12.28515625" style="62" bestFit="1" customWidth="1"/>
    <col min="16141" max="16141" width="11.5703125" style="62" bestFit="1" customWidth="1"/>
    <col min="16142" max="16142" width="14.28515625" style="62" bestFit="1" customWidth="1"/>
    <col min="16143" max="16143" width="12.28515625" style="62" bestFit="1" customWidth="1"/>
    <col min="16144" max="16144" width="14.28515625" style="62" bestFit="1" customWidth="1"/>
    <col min="16145" max="16145" width="14.42578125" style="62" bestFit="1" customWidth="1"/>
    <col min="16146" max="16146" width="14.28515625" style="62" bestFit="1" customWidth="1"/>
    <col min="16147" max="16147" width="14.42578125" style="62" bestFit="1" customWidth="1"/>
    <col min="16148" max="16148" width="10.7109375" style="62" bestFit="1" customWidth="1"/>
    <col min="16149" max="16149" width="11.5703125" style="62" bestFit="1" customWidth="1"/>
    <col min="16150" max="16384" width="9.140625" style="62"/>
  </cols>
  <sheetData>
    <row r="1" spans="1:42" x14ac:dyDescent="0.25">
      <c r="A1" s="94" t="s">
        <v>205</v>
      </c>
      <c r="C1" s="94" t="s">
        <v>206</v>
      </c>
    </row>
    <row r="4" spans="1:42" ht="16.5" thickBot="1" x14ac:dyDescent="0.3"/>
    <row r="5" spans="1:42" ht="16.5" thickBot="1" x14ac:dyDescent="0.3">
      <c r="B5" s="134">
        <v>41730</v>
      </c>
      <c r="C5" s="135"/>
      <c r="D5" s="139"/>
      <c r="E5" s="134">
        <v>41760</v>
      </c>
      <c r="F5" s="135"/>
      <c r="G5" s="139"/>
      <c r="H5" s="134">
        <v>41791</v>
      </c>
      <c r="I5" s="135"/>
      <c r="J5" s="139"/>
      <c r="K5" s="134">
        <v>41821</v>
      </c>
      <c r="L5" s="135"/>
      <c r="M5" s="139"/>
      <c r="N5" s="134">
        <v>41852</v>
      </c>
      <c r="O5" s="135"/>
      <c r="P5" s="139"/>
      <c r="Q5" s="134">
        <v>41883</v>
      </c>
      <c r="R5" s="135"/>
      <c r="S5" s="139"/>
      <c r="T5" s="134">
        <v>41913</v>
      </c>
      <c r="U5" s="135"/>
      <c r="V5" s="139"/>
      <c r="W5" s="134">
        <v>41944</v>
      </c>
      <c r="X5" s="135"/>
      <c r="Y5" s="139"/>
      <c r="Z5" s="134">
        <v>41974</v>
      </c>
      <c r="AA5" s="135"/>
      <c r="AB5" s="139"/>
      <c r="AC5" s="134">
        <v>42005</v>
      </c>
      <c r="AD5" s="135"/>
      <c r="AE5" s="139"/>
      <c r="AF5" s="134">
        <v>42036</v>
      </c>
      <c r="AG5" s="135"/>
      <c r="AH5" s="139"/>
      <c r="AI5" s="134">
        <v>42064</v>
      </c>
      <c r="AJ5" s="135"/>
      <c r="AK5" s="135"/>
      <c r="AL5" s="136" t="s">
        <v>173</v>
      </c>
      <c r="AM5" s="137"/>
      <c r="AN5" s="138"/>
    </row>
    <row r="6" spans="1:42" s="94" customFormat="1" x14ac:dyDescent="0.25">
      <c r="B6" s="95" t="s">
        <v>185</v>
      </c>
      <c r="C6" s="95" t="s">
        <v>186</v>
      </c>
      <c r="D6" s="95" t="s">
        <v>40</v>
      </c>
      <c r="E6" s="95" t="s">
        <v>185</v>
      </c>
      <c r="F6" s="95" t="s">
        <v>186</v>
      </c>
      <c r="G6" s="95" t="s">
        <v>40</v>
      </c>
      <c r="H6" s="95" t="s">
        <v>185</v>
      </c>
      <c r="I6" s="95" t="s">
        <v>186</v>
      </c>
      <c r="J6" s="95" t="s">
        <v>40</v>
      </c>
      <c r="K6" s="95" t="s">
        <v>185</v>
      </c>
      <c r="L6" s="95" t="s">
        <v>186</v>
      </c>
      <c r="M6" s="95" t="s">
        <v>40</v>
      </c>
      <c r="N6" s="95" t="s">
        <v>185</v>
      </c>
      <c r="O6" s="95" t="s">
        <v>186</v>
      </c>
      <c r="P6" s="95" t="s">
        <v>40</v>
      </c>
      <c r="Q6" s="95" t="s">
        <v>185</v>
      </c>
      <c r="R6" s="95" t="s">
        <v>186</v>
      </c>
      <c r="S6" s="95" t="s">
        <v>40</v>
      </c>
      <c r="T6" s="110" t="s">
        <v>185</v>
      </c>
      <c r="U6" s="110" t="s">
        <v>186</v>
      </c>
      <c r="V6" s="110" t="s">
        <v>40</v>
      </c>
      <c r="W6" s="110" t="s">
        <v>185</v>
      </c>
      <c r="X6" s="110" t="s">
        <v>186</v>
      </c>
      <c r="Y6" s="110" t="s">
        <v>40</v>
      </c>
      <c r="Z6" s="110" t="s">
        <v>185</v>
      </c>
      <c r="AA6" s="110" t="s">
        <v>186</v>
      </c>
      <c r="AB6" s="110" t="s">
        <v>40</v>
      </c>
      <c r="AC6" s="110" t="s">
        <v>185</v>
      </c>
      <c r="AD6" s="110" t="s">
        <v>186</v>
      </c>
      <c r="AE6" s="110" t="s">
        <v>40</v>
      </c>
      <c r="AF6" s="110" t="s">
        <v>185</v>
      </c>
      <c r="AG6" s="110" t="s">
        <v>186</v>
      </c>
      <c r="AH6" s="110" t="s">
        <v>40</v>
      </c>
      <c r="AI6" s="110" t="s">
        <v>185</v>
      </c>
      <c r="AJ6" s="110" t="s">
        <v>186</v>
      </c>
      <c r="AK6" s="111" t="s">
        <v>40</v>
      </c>
      <c r="AL6" s="112" t="s">
        <v>185</v>
      </c>
      <c r="AM6" s="113" t="s">
        <v>186</v>
      </c>
      <c r="AN6" s="114" t="s">
        <v>40</v>
      </c>
    </row>
    <row r="7" spans="1:42" x14ac:dyDescent="0.25">
      <c r="A7" s="94" t="s">
        <v>74</v>
      </c>
      <c r="B7" s="89">
        <v>28734925</v>
      </c>
      <c r="C7" s="89">
        <v>28735774</v>
      </c>
      <c r="D7" s="89">
        <f>B7-C7</f>
        <v>-849</v>
      </c>
      <c r="E7" s="89">
        <v>23300399</v>
      </c>
      <c r="F7" s="89">
        <v>23303150</v>
      </c>
      <c r="G7" s="89">
        <f>E7-F7</f>
        <v>-2751</v>
      </c>
      <c r="H7" s="89">
        <v>30006411</v>
      </c>
      <c r="I7" s="89">
        <v>30009817</v>
      </c>
      <c r="J7" s="89">
        <f>H7-I7</f>
        <v>-3406</v>
      </c>
      <c r="K7" s="89">
        <v>34114382</v>
      </c>
      <c r="L7" s="89">
        <v>34124571</v>
      </c>
      <c r="M7" s="89">
        <f>K7-L7</f>
        <v>-10189</v>
      </c>
      <c r="N7" s="89">
        <v>28758532</v>
      </c>
      <c r="O7" s="89">
        <v>28758532</v>
      </c>
      <c r="P7" s="89">
        <f>N7-O7</f>
        <v>0</v>
      </c>
      <c r="Q7" s="89">
        <v>39324536</v>
      </c>
      <c r="R7" s="89">
        <v>39324543</v>
      </c>
      <c r="S7" s="89">
        <f>Q7-R7</f>
        <v>-7</v>
      </c>
      <c r="T7" s="89">
        <v>34074642</v>
      </c>
      <c r="U7" s="61">
        <v>34074641.870000005</v>
      </c>
      <c r="V7" s="89">
        <f>T7-U7</f>
        <v>0.12999999523162842</v>
      </c>
      <c r="W7" s="89">
        <v>45924626</v>
      </c>
      <c r="X7" s="89">
        <v>45930051</v>
      </c>
      <c r="Y7" s="89">
        <f>W7-X7</f>
        <v>-5425</v>
      </c>
      <c r="Z7" s="89">
        <v>35808587</v>
      </c>
      <c r="AA7" s="89">
        <v>35825670.579999998</v>
      </c>
      <c r="AB7" s="89">
        <f>Z7-AA7</f>
        <v>-17083.579999998212</v>
      </c>
      <c r="AC7" s="89">
        <v>44748338</v>
      </c>
      <c r="AD7" s="89">
        <v>44924727.470000006</v>
      </c>
      <c r="AE7" s="89">
        <f>AC7-AD7</f>
        <v>-176389.47000000626</v>
      </c>
      <c r="AF7" s="89">
        <v>56091606</v>
      </c>
      <c r="AG7" s="89">
        <v>56091607.030000001</v>
      </c>
      <c r="AH7" s="89">
        <f>AF7-AG7</f>
        <v>-1.0300000011920929</v>
      </c>
      <c r="AI7" s="89">
        <v>55383235</v>
      </c>
      <c r="AJ7" s="89">
        <v>55383235.049999997</v>
      </c>
      <c r="AK7" s="116">
        <f>AI7-AJ7</f>
        <v>-4.9999997019767761E-2</v>
      </c>
      <c r="AL7" s="115">
        <f t="shared" ref="AL7:AM9" si="0">B7+E7+H7+K7+N7+Q7+T7+W7+Z7+AC7+AF7+AI7</f>
        <v>456270219</v>
      </c>
      <c r="AM7" s="115">
        <f t="shared" si="0"/>
        <v>456486320.00000006</v>
      </c>
      <c r="AN7" s="115">
        <f>AL7-AM7</f>
        <v>-216101.0000000596</v>
      </c>
    </row>
    <row r="8" spans="1:42" x14ac:dyDescent="0.25">
      <c r="A8" s="94" t="s">
        <v>225</v>
      </c>
      <c r="B8" s="89"/>
      <c r="C8" s="89"/>
      <c r="D8" s="89">
        <f>B8-C8</f>
        <v>0</v>
      </c>
      <c r="E8" s="89"/>
      <c r="F8" s="89"/>
      <c r="G8" s="89">
        <f>E8-F8</f>
        <v>0</v>
      </c>
      <c r="H8" s="89">
        <v>0</v>
      </c>
      <c r="I8" s="89">
        <v>185270</v>
      </c>
      <c r="J8" s="89">
        <f>H8-I8</f>
        <v>-185270</v>
      </c>
      <c r="K8" s="89"/>
      <c r="L8" s="89"/>
      <c r="M8" s="89">
        <f>K8-L8</f>
        <v>0</v>
      </c>
      <c r="N8" s="89"/>
      <c r="O8" s="89"/>
      <c r="P8" s="89">
        <f>N8-O8</f>
        <v>0</v>
      </c>
      <c r="Q8" s="89"/>
      <c r="R8" s="89">
        <v>38634</v>
      </c>
      <c r="S8" s="89">
        <f>Q8-R8</f>
        <v>-38634</v>
      </c>
      <c r="T8" s="89"/>
      <c r="U8" s="89"/>
      <c r="V8" s="89">
        <f>T8-U8</f>
        <v>0</v>
      </c>
      <c r="W8" s="89">
        <v>60993</v>
      </c>
      <c r="X8" s="89">
        <v>60993</v>
      </c>
      <c r="Y8" s="89">
        <f>W8-X8</f>
        <v>0</v>
      </c>
      <c r="Z8" s="89"/>
      <c r="AA8" s="89">
        <v>15620</v>
      </c>
      <c r="AB8" s="89">
        <f>Z8-AA8</f>
        <v>-15620</v>
      </c>
      <c r="AC8" s="89"/>
      <c r="AD8" s="89"/>
      <c r="AE8" s="89">
        <f>AC8-AD8</f>
        <v>0</v>
      </c>
      <c r="AF8" s="89"/>
      <c r="AG8" s="89"/>
      <c r="AH8" s="89">
        <f>AF8-AG8</f>
        <v>0</v>
      </c>
      <c r="AI8" s="89"/>
      <c r="AJ8" s="89"/>
      <c r="AK8" s="116">
        <f>AI8-AJ8</f>
        <v>0</v>
      </c>
      <c r="AL8" s="115">
        <f t="shared" si="0"/>
        <v>60993</v>
      </c>
      <c r="AM8" s="115">
        <f t="shared" si="0"/>
        <v>300517</v>
      </c>
      <c r="AN8" s="115">
        <f>AL8-AM8</f>
        <v>-239524</v>
      </c>
      <c r="AO8" s="96"/>
    </row>
    <row r="9" spans="1:42" x14ac:dyDescent="0.25">
      <c r="A9" s="94" t="s">
        <v>204</v>
      </c>
      <c r="B9" s="89"/>
      <c r="C9" s="89"/>
      <c r="D9" s="89"/>
      <c r="E9" s="89">
        <v>8180</v>
      </c>
      <c r="F9" s="89">
        <v>8180</v>
      </c>
      <c r="G9" s="89">
        <f>E9-F9</f>
        <v>0</v>
      </c>
      <c r="H9" s="89"/>
      <c r="I9" s="89"/>
      <c r="J9" s="89"/>
      <c r="K9" s="89">
        <v>2773</v>
      </c>
      <c r="L9" s="89">
        <v>2776</v>
      </c>
      <c r="M9" s="89"/>
      <c r="N9" s="89"/>
      <c r="O9" s="89">
        <v>0</v>
      </c>
      <c r="P9" s="89"/>
      <c r="Q9" s="89">
        <v>21444</v>
      </c>
      <c r="R9" s="89">
        <v>21444</v>
      </c>
      <c r="S9" s="89"/>
      <c r="T9" s="89">
        <v>9985</v>
      </c>
      <c r="U9" s="89">
        <v>9985</v>
      </c>
      <c r="V9" s="89"/>
      <c r="W9" s="89">
        <v>678</v>
      </c>
      <c r="X9" s="89">
        <v>678</v>
      </c>
      <c r="Y9" s="89"/>
      <c r="Z9" s="89"/>
      <c r="AA9" s="89">
        <v>1220</v>
      </c>
      <c r="AB9" s="89"/>
      <c r="AC9" s="89">
        <v>1252</v>
      </c>
      <c r="AD9" s="89">
        <v>1890</v>
      </c>
      <c r="AE9" s="89"/>
      <c r="AF9" s="89">
        <v>18425</v>
      </c>
      <c r="AG9" s="89">
        <v>10955</v>
      </c>
      <c r="AH9" s="89"/>
      <c r="AI9" s="89">
        <v>26405</v>
      </c>
      <c r="AJ9" s="89">
        <v>10695</v>
      </c>
      <c r="AK9" s="116"/>
      <c r="AL9" s="115">
        <f t="shared" si="0"/>
        <v>89142</v>
      </c>
      <c r="AM9" s="115">
        <f t="shared" si="0"/>
        <v>67823</v>
      </c>
      <c r="AN9" s="115"/>
    </row>
    <row r="10" spans="1:42" thickBot="1" x14ac:dyDescent="0.3">
      <c r="B10" s="90">
        <f>B7-B8-B9</f>
        <v>28734925</v>
      </c>
      <c r="C10" s="90">
        <f t="shared" ref="C10:AK10" si="1">C7-C8-C9</f>
        <v>28735774</v>
      </c>
      <c r="D10" s="90">
        <f t="shared" si="1"/>
        <v>-849</v>
      </c>
      <c r="E10" s="90">
        <f t="shared" si="1"/>
        <v>23292219</v>
      </c>
      <c r="F10" s="90">
        <f t="shared" si="1"/>
        <v>23294970</v>
      </c>
      <c r="G10" s="90">
        <f t="shared" si="1"/>
        <v>-2751</v>
      </c>
      <c r="H10" s="90">
        <f t="shared" si="1"/>
        <v>30006411</v>
      </c>
      <c r="I10" s="90">
        <f t="shared" si="1"/>
        <v>29824547</v>
      </c>
      <c r="J10" s="90">
        <f t="shared" si="1"/>
        <v>181864</v>
      </c>
      <c r="K10" s="90">
        <f t="shared" si="1"/>
        <v>34111609</v>
      </c>
      <c r="L10" s="90">
        <f t="shared" si="1"/>
        <v>34121795</v>
      </c>
      <c r="M10" s="90">
        <f t="shared" si="1"/>
        <v>-10189</v>
      </c>
      <c r="N10" s="90">
        <f t="shared" si="1"/>
        <v>28758532</v>
      </c>
      <c r="O10" s="90">
        <f t="shared" si="1"/>
        <v>28758532</v>
      </c>
      <c r="P10" s="90">
        <f t="shared" si="1"/>
        <v>0</v>
      </c>
      <c r="Q10" s="90">
        <f t="shared" si="1"/>
        <v>39303092</v>
      </c>
      <c r="R10" s="90">
        <f t="shared" si="1"/>
        <v>39264465</v>
      </c>
      <c r="S10" s="90">
        <f t="shared" si="1"/>
        <v>38627</v>
      </c>
      <c r="T10" s="90">
        <f t="shared" si="1"/>
        <v>34064657</v>
      </c>
      <c r="U10" s="90">
        <f t="shared" si="1"/>
        <v>34064656.870000005</v>
      </c>
      <c r="V10" s="90">
        <f t="shared" si="1"/>
        <v>0.12999999523162842</v>
      </c>
      <c r="W10" s="90">
        <f t="shared" si="1"/>
        <v>45862955</v>
      </c>
      <c r="X10" s="90">
        <f t="shared" si="1"/>
        <v>45868380</v>
      </c>
      <c r="Y10" s="90">
        <f t="shared" si="1"/>
        <v>-5425</v>
      </c>
      <c r="Z10" s="90">
        <f t="shared" si="1"/>
        <v>35808587</v>
      </c>
      <c r="AA10" s="90">
        <f t="shared" si="1"/>
        <v>35808830.579999998</v>
      </c>
      <c r="AB10" s="90">
        <f t="shared" si="1"/>
        <v>-1463.5799999982119</v>
      </c>
      <c r="AC10" s="90">
        <f t="shared" si="1"/>
        <v>44747086</v>
      </c>
      <c r="AD10" s="90">
        <f t="shared" si="1"/>
        <v>44922837.470000006</v>
      </c>
      <c r="AE10" s="90">
        <f t="shared" si="1"/>
        <v>-176389.47000000626</v>
      </c>
      <c r="AF10" s="90">
        <f t="shared" si="1"/>
        <v>56073181</v>
      </c>
      <c r="AG10" s="90">
        <f t="shared" si="1"/>
        <v>56080652.030000001</v>
      </c>
      <c r="AH10" s="90">
        <f t="shared" si="1"/>
        <v>-1.0300000011920929</v>
      </c>
      <c r="AI10" s="90">
        <f t="shared" si="1"/>
        <v>55356830</v>
      </c>
      <c r="AJ10" s="90">
        <f t="shared" si="1"/>
        <v>55372540.049999997</v>
      </c>
      <c r="AK10" s="90">
        <f t="shared" si="1"/>
        <v>-4.9999997019767761E-2</v>
      </c>
      <c r="AL10" s="90">
        <f t="shared" ref="AL10" si="2">AL7-AL8-AL9</f>
        <v>456120084</v>
      </c>
      <c r="AM10" s="90">
        <f t="shared" ref="AM10:AN10" si="3">AM7-AM8-AM9</f>
        <v>456117980.00000006</v>
      </c>
      <c r="AN10" s="90">
        <f t="shared" si="3"/>
        <v>23422.999999940395</v>
      </c>
      <c r="AO10" s="96"/>
    </row>
    <row r="11" spans="1:42" x14ac:dyDescent="0.25">
      <c r="A11" s="94" t="s">
        <v>187</v>
      </c>
      <c r="B11" s="89">
        <v>10097717</v>
      </c>
      <c r="C11" s="89">
        <f>9899723+197994</f>
        <v>10097717</v>
      </c>
      <c r="D11" s="89">
        <f>B11-C11</f>
        <v>0</v>
      </c>
      <c r="E11" s="89">
        <v>8059408</v>
      </c>
      <c r="F11" s="89">
        <v>8061744.6199999982</v>
      </c>
      <c r="G11" s="89">
        <f>E11-F11</f>
        <v>-2336.6199999982491</v>
      </c>
      <c r="H11" s="89">
        <v>9197019</v>
      </c>
      <c r="I11" s="89">
        <v>9197019.3899999987</v>
      </c>
      <c r="J11" s="89">
        <f>H11-I11</f>
        <v>-0.3899999987334013</v>
      </c>
      <c r="K11" s="89">
        <v>18100690</v>
      </c>
      <c r="L11" s="89">
        <v>18105509.179999996</v>
      </c>
      <c r="M11" s="89">
        <f>K11-L11</f>
        <v>-4819.1799999959767</v>
      </c>
      <c r="N11" s="89">
        <v>11143198</v>
      </c>
      <c r="O11" s="89">
        <v>11143198.129999999</v>
      </c>
      <c r="P11" s="89">
        <f>N11-O11</f>
        <v>-0.12999999895691872</v>
      </c>
      <c r="Q11" s="89">
        <v>13240107</v>
      </c>
      <c r="R11" s="89">
        <v>13253775.750000002</v>
      </c>
      <c r="S11" s="89">
        <f>Q11-R11</f>
        <v>-13668.750000001863</v>
      </c>
      <c r="T11" s="89">
        <v>12404772</v>
      </c>
      <c r="U11" s="89">
        <v>12414617.319999997</v>
      </c>
      <c r="V11" s="89">
        <f>T11-U11</f>
        <v>-9845.3199999965727</v>
      </c>
      <c r="W11" s="89">
        <v>16715747</v>
      </c>
      <c r="X11" s="89">
        <v>16716425.160000004</v>
      </c>
      <c r="Y11" s="89">
        <f>W11-X11</f>
        <v>-678.1600000038743</v>
      </c>
      <c r="Z11" s="89">
        <v>11559846</v>
      </c>
      <c r="AA11" s="89">
        <v>11564595.649999999</v>
      </c>
      <c r="AB11" s="89">
        <f>Z11-AA11</f>
        <v>-4749.6499999985099</v>
      </c>
      <c r="AC11" s="89">
        <v>18460419</v>
      </c>
      <c r="AD11" s="89">
        <v>18621556.680000003</v>
      </c>
      <c r="AE11" s="89">
        <f>AC11-AD11</f>
        <v>-161137.68000000343</v>
      </c>
      <c r="AF11" s="89">
        <v>26334358</v>
      </c>
      <c r="AG11" s="89">
        <v>26345309.820000011</v>
      </c>
      <c r="AH11" s="89">
        <f>AF11-AG11</f>
        <v>-10951.820000011474</v>
      </c>
      <c r="AI11" s="89">
        <v>24091010</v>
      </c>
      <c r="AJ11" s="89">
        <v>24100843.049999997</v>
      </c>
      <c r="AK11" s="116">
        <f>AI11-AJ11</f>
        <v>-9833.0499999970198</v>
      </c>
      <c r="AL11" s="115">
        <f>B11+E11+H11+K11+N11+Q11+T11+W11+Z11+AC11+AF11+AI11</f>
        <v>179404291</v>
      </c>
      <c r="AM11" s="115">
        <f>C11+F11+I11+L11+O11+R11+U11+X11+AA11+AD11+AG11+AJ11</f>
        <v>179622311.75</v>
      </c>
      <c r="AN11" s="115">
        <f>AL11-AM11</f>
        <v>-218020.75</v>
      </c>
      <c r="AP11" s="96"/>
    </row>
    <row r="12" spans="1:42" thickBot="1" x14ac:dyDescent="0.3">
      <c r="A12" s="94" t="s">
        <v>188</v>
      </c>
      <c r="B12" s="90">
        <f t="shared" ref="B12:AK12" si="4">B10-B11</f>
        <v>18637208</v>
      </c>
      <c r="C12" s="90">
        <f t="shared" si="4"/>
        <v>18638057</v>
      </c>
      <c r="D12" s="90">
        <f t="shared" si="4"/>
        <v>-849</v>
      </c>
      <c r="E12" s="90">
        <f t="shared" si="4"/>
        <v>15232811</v>
      </c>
      <c r="F12" s="90">
        <f t="shared" si="4"/>
        <v>15233225.380000003</v>
      </c>
      <c r="G12" s="90">
        <f t="shared" si="4"/>
        <v>-414.38000000175089</v>
      </c>
      <c r="H12" s="90">
        <f t="shared" si="4"/>
        <v>20809392</v>
      </c>
      <c r="I12" s="90">
        <f t="shared" si="4"/>
        <v>20627527.609999999</v>
      </c>
      <c r="J12" s="90">
        <f t="shared" si="4"/>
        <v>181864.38999999873</v>
      </c>
      <c r="K12" s="90">
        <f t="shared" si="4"/>
        <v>16010919</v>
      </c>
      <c r="L12" s="90">
        <f t="shared" si="4"/>
        <v>16016285.820000004</v>
      </c>
      <c r="M12" s="90">
        <f t="shared" si="4"/>
        <v>-5369.8200000040233</v>
      </c>
      <c r="N12" s="90">
        <f t="shared" si="4"/>
        <v>17615334</v>
      </c>
      <c r="O12" s="90">
        <f t="shared" si="4"/>
        <v>17615333.870000001</v>
      </c>
      <c r="P12" s="90">
        <f t="shared" si="4"/>
        <v>0.12999999895691872</v>
      </c>
      <c r="Q12" s="90">
        <f t="shared" si="4"/>
        <v>26062985</v>
      </c>
      <c r="R12" s="90">
        <f t="shared" si="4"/>
        <v>26010689.25</v>
      </c>
      <c r="S12" s="90">
        <f t="shared" si="4"/>
        <v>52295.750000001863</v>
      </c>
      <c r="T12" s="90">
        <f t="shared" si="4"/>
        <v>21659885</v>
      </c>
      <c r="U12" s="90">
        <f t="shared" si="4"/>
        <v>21650039.550000008</v>
      </c>
      <c r="V12" s="90">
        <f t="shared" si="4"/>
        <v>9845.4499999918044</v>
      </c>
      <c r="W12" s="90">
        <f t="shared" si="4"/>
        <v>29147208</v>
      </c>
      <c r="X12" s="90">
        <f t="shared" si="4"/>
        <v>29151954.839999996</v>
      </c>
      <c r="Y12" s="90">
        <f t="shared" si="4"/>
        <v>-4746.8399999961257</v>
      </c>
      <c r="Z12" s="90">
        <f t="shared" si="4"/>
        <v>24248741</v>
      </c>
      <c r="AA12" s="90">
        <f t="shared" si="4"/>
        <v>24244234.93</v>
      </c>
      <c r="AB12" s="90">
        <f t="shared" si="4"/>
        <v>3286.070000000298</v>
      </c>
      <c r="AC12" s="90">
        <f t="shared" si="4"/>
        <v>26286667</v>
      </c>
      <c r="AD12" s="90">
        <f t="shared" si="4"/>
        <v>26301280.790000003</v>
      </c>
      <c r="AE12" s="90">
        <f t="shared" si="4"/>
        <v>-15251.790000002831</v>
      </c>
      <c r="AF12" s="90">
        <f t="shared" si="4"/>
        <v>29738823</v>
      </c>
      <c r="AG12" s="90">
        <f t="shared" si="4"/>
        <v>29735342.20999999</v>
      </c>
      <c r="AH12" s="90">
        <f t="shared" si="4"/>
        <v>10950.790000010282</v>
      </c>
      <c r="AI12" s="90">
        <f t="shared" si="4"/>
        <v>31265820</v>
      </c>
      <c r="AJ12" s="90">
        <f t="shared" si="4"/>
        <v>31271697</v>
      </c>
      <c r="AK12" s="90">
        <f t="shared" si="4"/>
        <v>9833</v>
      </c>
      <c r="AL12" s="90">
        <f t="shared" ref="AL12" si="5">AL10-AL11</f>
        <v>276715793</v>
      </c>
      <c r="AM12" s="90">
        <f t="shared" ref="AM12:AN12" si="6">AM10-AM11</f>
        <v>276495668.25000006</v>
      </c>
      <c r="AN12" s="90">
        <f t="shared" si="6"/>
        <v>241443.7499999404</v>
      </c>
    </row>
    <row r="13" spans="1:42" x14ac:dyDescent="0.25"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116"/>
      <c r="AL13" s="115"/>
      <c r="AM13" s="115"/>
      <c r="AN13" s="115"/>
    </row>
    <row r="14" spans="1:42" ht="16.5" thickBot="1" x14ac:dyDescent="0.3">
      <c r="A14" s="94" t="s">
        <v>14</v>
      </c>
      <c r="B14" s="89">
        <v>17728967</v>
      </c>
      <c r="C14" s="89">
        <f>17264189+464778</f>
        <v>17728967</v>
      </c>
      <c r="D14" s="89">
        <f>B14-C14</f>
        <v>0</v>
      </c>
      <c r="E14" s="89">
        <v>14490569</v>
      </c>
      <c r="F14" s="89">
        <v>14490568.860000001</v>
      </c>
      <c r="G14" s="89">
        <f>E14-F14</f>
        <v>0.1399999987334013</v>
      </c>
      <c r="H14" s="89">
        <v>19801719</v>
      </c>
      <c r="I14" s="89">
        <v>19801717.70999999</v>
      </c>
      <c r="J14" s="89">
        <f>H14-I14</f>
        <v>1.2900000102818012</v>
      </c>
      <c r="K14" s="89">
        <v>15247693</v>
      </c>
      <c r="L14" s="89">
        <v>15247693.279999997</v>
      </c>
      <c r="M14" s="89">
        <f>K14-L14</f>
        <v>-0.2799999974668026</v>
      </c>
      <c r="N14" s="89">
        <v>16752395</v>
      </c>
      <c r="O14" s="89">
        <v>16746571.769999996</v>
      </c>
      <c r="P14" s="89">
        <f>N14-O14</f>
        <v>5823.2300000041723</v>
      </c>
      <c r="Q14" s="89">
        <v>24772077</v>
      </c>
      <c r="R14" s="89">
        <v>24764420.440000005</v>
      </c>
      <c r="S14" s="89">
        <f>Q14-R14</f>
        <v>7656.5599999949336</v>
      </c>
      <c r="T14" s="89">
        <v>20617802</v>
      </c>
      <c r="U14" s="61">
        <v>20606861.839999989</v>
      </c>
      <c r="V14" s="89">
        <f>T14-U14</f>
        <v>10940.160000011325</v>
      </c>
      <c r="W14" s="89">
        <v>27741590</v>
      </c>
      <c r="X14" s="89">
        <v>27799678.469999999</v>
      </c>
      <c r="Y14" s="89">
        <f>W14-X14</f>
        <v>-58088.469999998808</v>
      </c>
      <c r="Z14" s="89">
        <v>23076401</v>
      </c>
      <c r="AA14" s="89">
        <v>23076401.209999993</v>
      </c>
      <c r="AB14" s="90">
        <f>Z14-AA14</f>
        <v>-0.20999999344348907</v>
      </c>
      <c r="AC14" s="89">
        <v>25021833</v>
      </c>
      <c r="AD14" s="89">
        <v>25021832.699999999</v>
      </c>
      <c r="AE14" s="89">
        <f>AC14-AD14</f>
        <v>0.30000000074505806</v>
      </c>
      <c r="AF14" s="89">
        <v>28276190</v>
      </c>
      <c r="AG14" s="89">
        <v>28274984.789999988</v>
      </c>
      <c r="AH14" s="89">
        <f>AF14-AG14</f>
        <v>1205.2100000120699</v>
      </c>
      <c r="AI14" s="89">
        <v>29756288</v>
      </c>
      <c r="AJ14" s="89">
        <v>29756203.739999987</v>
      </c>
      <c r="AK14" s="116">
        <f>AI14-AJ14</f>
        <v>84.260000012814999</v>
      </c>
      <c r="AL14" s="115">
        <f>B14+E14+H14+K14+N14+Q14+T14+W14+Z14+AC14+AF14+AI14</f>
        <v>263283524</v>
      </c>
      <c r="AM14" s="127">
        <f>C14+F14+I14+L14+O14+R14+U14+X14+AA14+AD14+AG14+AJ14</f>
        <v>263315901.80999994</v>
      </c>
      <c r="AN14" s="115">
        <f>AL14-AM14</f>
        <v>-32377.80999994278</v>
      </c>
    </row>
    <row r="15" spans="1:42" ht="16.5" thickBot="1" x14ac:dyDescent="0.3">
      <c r="A15" s="94" t="s">
        <v>15</v>
      </c>
      <c r="B15" s="89">
        <v>19371</v>
      </c>
      <c r="C15" s="89">
        <v>20125</v>
      </c>
      <c r="D15" s="89">
        <f>B15-C15</f>
        <v>-754</v>
      </c>
      <c r="E15" s="89">
        <v>15743</v>
      </c>
      <c r="F15" s="89">
        <v>15743.2</v>
      </c>
      <c r="G15" s="89">
        <f>E15-F15</f>
        <v>-0.2000000000007276</v>
      </c>
      <c r="H15" s="89">
        <v>15633</v>
      </c>
      <c r="I15" s="89">
        <v>15633.399999999998</v>
      </c>
      <c r="J15" s="89">
        <f>H15-I15</f>
        <v>-0.39999999999781721</v>
      </c>
      <c r="K15" s="89">
        <v>312</v>
      </c>
      <c r="L15" s="89">
        <v>667.1</v>
      </c>
      <c r="M15" s="89">
        <f>K15-L15</f>
        <v>-355.1</v>
      </c>
      <c r="N15" s="89">
        <v>22764</v>
      </c>
      <c r="O15" s="89">
        <v>22763.5</v>
      </c>
      <c r="P15" s="89">
        <f>N15-O15</f>
        <v>0.5</v>
      </c>
      <c r="Q15" s="89">
        <v>46833</v>
      </c>
      <c r="R15" s="89">
        <v>46833.81</v>
      </c>
      <c r="S15" s="89">
        <f>Q15-R15</f>
        <v>-0.80999999999767169</v>
      </c>
      <c r="T15" s="89">
        <v>10436</v>
      </c>
      <c r="U15" s="89">
        <v>10435</v>
      </c>
      <c r="V15" s="89">
        <f>T15-U15</f>
        <v>1</v>
      </c>
      <c r="W15" s="89">
        <v>16478</v>
      </c>
      <c r="X15" s="89">
        <v>16478.900000000001</v>
      </c>
      <c r="Y15" s="89">
        <f>W15-X15</f>
        <v>-0.90000000000145519</v>
      </c>
      <c r="Z15" s="89">
        <v>16462</v>
      </c>
      <c r="AA15" s="89">
        <v>16462.27</v>
      </c>
      <c r="AB15" s="90">
        <f>Z15-AA15</f>
        <v>-0.27000000000043656</v>
      </c>
      <c r="AC15" s="89">
        <v>12215</v>
      </c>
      <c r="AD15" s="89">
        <v>12214.900000000001</v>
      </c>
      <c r="AE15" s="89">
        <f>AC15-AD15</f>
        <v>9.9999999998544808E-2</v>
      </c>
      <c r="AF15" s="89">
        <v>43398</v>
      </c>
      <c r="AG15" s="89">
        <v>43397.78</v>
      </c>
      <c r="AH15" s="89">
        <f>AF15-AG15</f>
        <v>0.22000000000116415</v>
      </c>
      <c r="AI15" s="89">
        <v>19319</v>
      </c>
      <c r="AJ15" s="89">
        <v>19319</v>
      </c>
      <c r="AK15" s="116">
        <f>AI15-AJ15</f>
        <v>0</v>
      </c>
      <c r="AL15" s="115">
        <f>B15+E15+H15+K15+N15+Q15+T15+W15+Z15+AC15+AF15+AI15</f>
        <v>238964</v>
      </c>
      <c r="AM15" s="127">
        <f>C15+F15+I15+L15+O15+R15+U15+X15+AA15+AD15+AG15+AJ15</f>
        <v>240073.85999999996</v>
      </c>
      <c r="AN15" s="115">
        <f>AL15-AM15</f>
        <v>-1109.8599999999569</v>
      </c>
    </row>
    <row r="16" spans="1:42" thickBot="1" x14ac:dyDescent="0.3">
      <c r="A16" s="94" t="s">
        <v>189</v>
      </c>
      <c r="B16" s="90">
        <f t="shared" ref="B16:AK16" si="7">B14+B15</f>
        <v>17748338</v>
      </c>
      <c r="C16" s="90">
        <f t="shared" si="7"/>
        <v>17749092</v>
      </c>
      <c r="D16" s="90">
        <f t="shared" si="7"/>
        <v>-754</v>
      </c>
      <c r="E16" s="90">
        <f t="shared" si="7"/>
        <v>14506312</v>
      </c>
      <c r="F16" s="90">
        <f t="shared" si="7"/>
        <v>14506312.060000001</v>
      </c>
      <c r="G16" s="90">
        <f t="shared" si="7"/>
        <v>-6.0000001267326297E-2</v>
      </c>
      <c r="H16" s="90">
        <f t="shared" si="7"/>
        <v>19817352</v>
      </c>
      <c r="I16" s="90">
        <f t="shared" si="7"/>
        <v>19817351.109999988</v>
      </c>
      <c r="J16" s="90">
        <f t="shared" si="7"/>
        <v>0.89000001028398401</v>
      </c>
      <c r="K16" s="90">
        <f t="shared" si="7"/>
        <v>15248005</v>
      </c>
      <c r="L16" s="90">
        <f t="shared" si="7"/>
        <v>15248360.379999997</v>
      </c>
      <c r="M16" s="90">
        <f t="shared" si="7"/>
        <v>-355.37999999746683</v>
      </c>
      <c r="N16" s="90">
        <f t="shared" si="7"/>
        <v>16775159</v>
      </c>
      <c r="O16" s="90">
        <f t="shared" si="7"/>
        <v>16769335.269999996</v>
      </c>
      <c r="P16" s="90">
        <f t="shared" si="7"/>
        <v>5823.7300000041723</v>
      </c>
      <c r="Q16" s="90">
        <f t="shared" si="7"/>
        <v>24818910</v>
      </c>
      <c r="R16" s="90">
        <f t="shared" si="7"/>
        <v>24811254.250000004</v>
      </c>
      <c r="S16" s="90">
        <f t="shared" si="7"/>
        <v>7655.7499999949359</v>
      </c>
      <c r="T16" s="90">
        <f t="shared" si="7"/>
        <v>20628238</v>
      </c>
      <c r="U16" s="90">
        <f t="shared" si="7"/>
        <v>20617296.839999989</v>
      </c>
      <c r="V16" s="90">
        <f t="shared" si="7"/>
        <v>10941.160000011325</v>
      </c>
      <c r="W16" s="90">
        <f t="shared" si="7"/>
        <v>27758068</v>
      </c>
      <c r="X16" s="90">
        <f t="shared" si="7"/>
        <v>27816157.369999997</v>
      </c>
      <c r="Y16" s="90">
        <f t="shared" si="7"/>
        <v>-58089.369999998809</v>
      </c>
      <c r="Z16" s="90">
        <f t="shared" si="7"/>
        <v>23092863</v>
      </c>
      <c r="AA16" s="90">
        <f t="shared" si="7"/>
        <v>23092863.479999993</v>
      </c>
      <c r="AB16" s="90">
        <f t="shared" si="7"/>
        <v>-0.47999999344392563</v>
      </c>
      <c r="AC16" s="90">
        <f t="shared" si="7"/>
        <v>25034048</v>
      </c>
      <c r="AD16" s="90">
        <f t="shared" si="7"/>
        <v>25034047.599999998</v>
      </c>
      <c r="AE16" s="90">
        <f t="shared" si="7"/>
        <v>0.40000000074360287</v>
      </c>
      <c r="AF16" s="90">
        <f t="shared" si="7"/>
        <v>28319588</v>
      </c>
      <c r="AG16" s="90">
        <f t="shared" si="7"/>
        <v>28318382.569999989</v>
      </c>
      <c r="AH16" s="90">
        <f t="shared" si="7"/>
        <v>1205.4300000120711</v>
      </c>
      <c r="AI16" s="90">
        <f t="shared" si="7"/>
        <v>29775607</v>
      </c>
      <c r="AJ16" s="90">
        <f t="shared" si="7"/>
        <v>29775522.739999987</v>
      </c>
      <c r="AK16" s="90">
        <f t="shared" si="7"/>
        <v>84.260000012814999</v>
      </c>
      <c r="AL16" s="90">
        <f t="shared" ref="AL16" si="8">AL14+AL15</f>
        <v>263522488</v>
      </c>
      <c r="AM16" s="90">
        <f t="shared" ref="AM16:AN16" si="9">AM14+AM15</f>
        <v>263555975.66999996</v>
      </c>
      <c r="AN16" s="90">
        <f t="shared" si="9"/>
        <v>-33487.669999942736</v>
      </c>
    </row>
    <row r="17" spans="1:43" ht="16.5" thickBot="1" x14ac:dyDescent="0.3"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90"/>
      <c r="AC17" s="89"/>
      <c r="AD17" s="89"/>
      <c r="AE17" s="89"/>
      <c r="AF17" s="89"/>
      <c r="AG17" s="89"/>
      <c r="AH17" s="89"/>
      <c r="AI17" s="89"/>
      <c r="AJ17" s="89"/>
      <c r="AK17" s="116"/>
      <c r="AL17" s="115"/>
      <c r="AM17" s="115"/>
      <c r="AN17" s="115"/>
    </row>
    <row r="18" spans="1:43" ht="16.5" thickBot="1" x14ac:dyDescent="0.3">
      <c r="A18" s="94" t="s">
        <v>190</v>
      </c>
      <c r="B18" s="89">
        <v>886448</v>
      </c>
      <c r="C18" s="89">
        <f>863209+23239</f>
        <v>886448</v>
      </c>
      <c r="D18" s="89">
        <f>B18-C18</f>
        <v>0</v>
      </c>
      <c r="E18" s="89">
        <v>724528</v>
      </c>
      <c r="F18" s="89">
        <f>+F14*0.05</f>
        <v>724528.44300000009</v>
      </c>
      <c r="G18" s="89">
        <f>E18-F18</f>
        <v>-0.443000000086613</v>
      </c>
      <c r="H18" s="89">
        <f>+H14*0.05</f>
        <v>990085.95000000007</v>
      </c>
      <c r="I18" s="89">
        <f>+I14*0.05</f>
        <v>990085.88549999951</v>
      </c>
      <c r="J18" s="89">
        <f>H18-I18</f>
        <v>6.450000056065619E-2</v>
      </c>
      <c r="K18" s="89">
        <f>+K14*0.05</f>
        <v>762384.65</v>
      </c>
      <c r="L18" s="89">
        <f>+L14*0.05</f>
        <v>762384.66399999987</v>
      </c>
      <c r="M18" s="89">
        <f>K18-L18</f>
        <v>-1.3999999850057065E-2</v>
      </c>
      <c r="N18" s="89">
        <f>+N14*0.05</f>
        <v>837619.75</v>
      </c>
      <c r="O18" s="89">
        <f>+O14*0.05</f>
        <v>837328.58849999984</v>
      </c>
      <c r="P18" s="89">
        <f>N18-O18</f>
        <v>291.16150000016205</v>
      </c>
      <c r="Q18" s="89">
        <f>+Q14*0.05</f>
        <v>1238603.8500000001</v>
      </c>
      <c r="R18" s="89">
        <f>+R14*0.05</f>
        <v>1238221.0220000003</v>
      </c>
      <c r="S18" s="89">
        <f>Q18-R18</f>
        <v>382.82799999974668</v>
      </c>
      <c r="T18" s="126">
        <v>1030890</v>
      </c>
      <c r="U18" s="89">
        <f>+U14*0.05</f>
        <v>1030343.0919999995</v>
      </c>
      <c r="V18" s="89">
        <f>T18-U18</f>
        <v>546.90800000051968</v>
      </c>
      <c r="W18" s="89">
        <v>1387080</v>
      </c>
      <c r="X18" s="89">
        <f>+X14*0.05</f>
        <v>1389983.9235</v>
      </c>
      <c r="Y18" s="89">
        <f>W18-X18</f>
        <v>-2903.9235000000335</v>
      </c>
      <c r="Z18" s="94">
        <v>1153820</v>
      </c>
      <c r="AA18" s="89">
        <f>+AA14*0.05</f>
        <v>1153820.0604999997</v>
      </c>
      <c r="AB18" s="90">
        <f>Z18-AA18</f>
        <v>-6.0499999672174454E-2</v>
      </c>
      <c r="AC18" s="89">
        <v>1251092</v>
      </c>
      <c r="AD18" s="89">
        <f>+AD14*0.05</f>
        <v>1251091.635</v>
      </c>
      <c r="AE18" s="89">
        <f>AC18-AD18</f>
        <v>0.36499999999068677</v>
      </c>
      <c r="AF18" s="89">
        <v>1413810</v>
      </c>
      <c r="AG18" s="89">
        <f>+AG14*0.05</f>
        <v>1413749.2394999994</v>
      </c>
      <c r="AH18" s="89">
        <f>AF18-AG18</f>
        <v>60.760500000556931</v>
      </c>
      <c r="AI18" s="89">
        <v>1487814</v>
      </c>
      <c r="AJ18" s="89">
        <f>+AJ14*0.05</f>
        <v>1487810.1869999995</v>
      </c>
      <c r="AK18" s="116">
        <f>AI18-AJ18</f>
        <v>3.8130000005476177</v>
      </c>
      <c r="AL18" s="115">
        <f>B18+E18+H18+K18+N18+Q18+T18+W18+Z18+AC18+AF18+AI18</f>
        <v>13164176.199999999</v>
      </c>
      <c r="AM18" s="127">
        <f>C18+F18+I18+L18+O18+R18+U18+X18+AA18+AD18+AG18+AJ18</f>
        <v>13165794.740499998</v>
      </c>
      <c r="AN18" s="115">
        <f>AL18-AM18</f>
        <v>-1618.5404999982566</v>
      </c>
    </row>
    <row r="19" spans="1:43" ht="16.5" thickBot="1" x14ac:dyDescent="0.3">
      <c r="A19" s="94" t="s">
        <v>191</v>
      </c>
      <c r="B19" s="89">
        <v>2422</v>
      </c>
      <c r="C19" s="89">
        <v>2516</v>
      </c>
      <c r="D19" s="89">
        <f>B19-C19</f>
        <v>-94</v>
      </c>
      <c r="E19" s="89">
        <v>1968</v>
      </c>
      <c r="F19" s="89">
        <f>+F15*0.125</f>
        <v>1967.9</v>
      </c>
      <c r="G19" s="89">
        <f>E19-F19</f>
        <v>9.9999999999909051E-2</v>
      </c>
      <c r="H19" s="89">
        <f>+H15*0.125</f>
        <v>1954.125</v>
      </c>
      <c r="I19" s="89">
        <f>+I15*0.125</f>
        <v>1954.1749999999997</v>
      </c>
      <c r="J19" s="89">
        <f>H19-I19</f>
        <v>-4.9999999999727152E-2</v>
      </c>
      <c r="K19" s="89">
        <f>+K15*0.125</f>
        <v>39</v>
      </c>
      <c r="L19" s="89">
        <f>+L15*0.125</f>
        <v>83.387500000000003</v>
      </c>
      <c r="M19" s="89">
        <f>K19-L19</f>
        <v>-44.387500000000003</v>
      </c>
      <c r="N19" s="89">
        <f>+N15*0.125</f>
        <v>2845.5</v>
      </c>
      <c r="O19" s="89">
        <f>+O15*0.125</f>
        <v>2845.4375</v>
      </c>
      <c r="P19" s="89">
        <f>N19-O19</f>
        <v>6.25E-2</v>
      </c>
      <c r="Q19" s="89">
        <f>+Q15*0.125</f>
        <v>5854.125</v>
      </c>
      <c r="R19" s="89">
        <f>+R15*0.125</f>
        <v>5854.2262499999997</v>
      </c>
      <c r="S19" s="89">
        <f>Q19-R19</f>
        <v>-0.10124999999970896</v>
      </c>
      <c r="T19" s="89">
        <v>1305</v>
      </c>
      <c r="U19" s="89">
        <f>+U15*0.125</f>
        <v>1304.375</v>
      </c>
      <c r="V19" s="89">
        <f>T19-U19</f>
        <v>0.625</v>
      </c>
      <c r="W19" s="89">
        <v>2060</v>
      </c>
      <c r="X19" s="89">
        <f>+X15*0.125</f>
        <v>2059.8625000000002</v>
      </c>
      <c r="Y19" s="89">
        <f>W19-X19</f>
        <v>0.1374999999998181</v>
      </c>
      <c r="Z19" s="94">
        <v>2058</v>
      </c>
      <c r="AA19" s="89">
        <f>+AA15*0.125</f>
        <v>2057.7837500000001</v>
      </c>
      <c r="AB19" s="90">
        <f>Z19-AA19</f>
        <v>0.21624999999994543</v>
      </c>
      <c r="AC19" s="89">
        <v>1527</v>
      </c>
      <c r="AD19" s="89">
        <f>+AD15*0.125</f>
        <v>1526.8625000000002</v>
      </c>
      <c r="AE19" s="89">
        <f>AC19-AD19</f>
        <v>0.1374999999998181</v>
      </c>
      <c r="AF19" s="89">
        <v>5425</v>
      </c>
      <c r="AG19" s="89">
        <f>+AG15*0.125</f>
        <v>5424.7224999999999</v>
      </c>
      <c r="AH19" s="89">
        <f>AF19-AG19</f>
        <v>0.27750000000014552</v>
      </c>
      <c r="AI19" s="89">
        <v>2415</v>
      </c>
      <c r="AJ19" s="89">
        <f>+AJ15*0.125</f>
        <v>2414.875</v>
      </c>
      <c r="AK19" s="116">
        <f>AI19-AJ19</f>
        <v>0.125</v>
      </c>
      <c r="AL19" s="115">
        <f>B19+E19+H19+K19+N19+Q19+T19+W19+Z19+AC19+AF19+AI19</f>
        <v>29872.75</v>
      </c>
      <c r="AM19" s="127">
        <f>C19+F19+I19+L19+O19+R19+U19+X19+AA19+AD19+AG19+AJ19</f>
        <v>30009.607499999995</v>
      </c>
      <c r="AN19" s="115">
        <f>AL19-AM19</f>
        <v>-136.85749999999462</v>
      </c>
    </row>
    <row r="20" spans="1:43" thickBot="1" x14ac:dyDescent="0.3">
      <c r="A20" s="94" t="s">
        <v>192</v>
      </c>
      <c r="B20" s="90">
        <f t="shared" ref="B20:AN20" si="10">B18+B19</f>
        <v>888870</v>
      </c>
      <c r="C20" s="90">
        <f t="shared" si="10"/>
        <v>888964</v>
      </c>
      <c r="D20" s="90">
        <f t="shared" si="10"/>
        <v>-94</v>
      </c>
      <c r="E20" s="90">
        <f t="shared" si="10"/>
        <v>726496</v>
      </c>
      <c r="F20" s="90">
        <f t="shared" si="10"/>
        <v>726496.34300000011</v>
      </c>
      <c r="G20" s="90">
        <f t="shared" si="10"/>
        <v>-0.34300000008670395</v>
      </c>
      <c r="H20" s="90">
        <f t="shared" si="10"/>
        <v>992040.07500000007</v>
      </c>
      <c r="I20" s="90">
        <f t="shared" si="10"/>
        <v>992040.06049999956</v>
      </c>
      <c r="J20" s="90">
        <f t="shared" si="10"/>
        <v>1.4500000560929038E-2</v>
      </c>
      <c r="K20" s="90">
        <f t="shared" si="10"/>
        <v>762423.65</v>
      </c>
      <c r="L20" s="90">
        <f t="shared" si="10"/>
        <v>762468.05149999983</v>
      </c>
      <c r="M20" s="90">
        <f t="shared" si="10"/>
        <v>-44.40149999985006</v>
      </c>
      <c r="N20" s="90">
        <f t="shared" si="10"/>
        <v>840465.25</v>
      </c>
      <c r="O20" s="90">
        <f t="shared" si="10"/>
        <v>840174.02599999984</v>
      </c>
      <c r="P20" s="90">
        <f t="shared" si="10"/>
        <v>291.22400000016205</v>
      </c>
      <c r="Q20" s="90">
        <f t="shared" si="10"/>
        <v>1244457.9750000001</v>
      </c>
      <c r="R20" s="90">
        <f t="shared" si="10"/>
        <v>1244075.2482500004</v>
      </c>
      <c r="S20" s="90">
        <f t="shared" si="10"/>
        <v>382.72674999974697</v>
      </c>
      <c r="T20" s="90">
        <f t="shared" si="10"/>
        <v>1032195</v>
      </c>
      <c r="U20" s="90">
        <f t="shared" si="10"/>
        <v>1031647.4669999995</v>
      </c>
      <c r="V20" s="90">
        <f t="shared" si="10"/>
        <v>547.53300000051968</v>
      </c>
      <c r="W20" s="90">
        <f t="shared" si="10"/>
        <v>1389140</v>
      </c>
      <c r="X20" s="90">
        <f t="shared" si="10"/>
        <v>1392043.7860000001</v>
      </c>
      <c r="Y20" s="90">
        <f t="shared" si="10"/>
        <v>-2903.7860000000337</v>
      </c>
      <c r="Z20" s="90">
        <f t="shared" si="10"/>
        <v>1155878</v>
      </c>
      <c r="AA20" s="90">
        <f t="shared" si="10"/>
        <v>1155877.8442499996</v>
      </c>
      <c r="AB20" s="90">
        <f t="shared" si="10"/>
        <v>0.15575000032777098</v>
      </c>
      <c r="AC20" s="90">
        <f t="shared" si="10"/>
        <v>1252619</v>
      </c>
      <c r="AD20" s="90">
        <f t="shared" si="10"/>
        <v>1252618.4975000001</v>
      </c>
      <c r="AE20" s="90">
        <f t="shared" si="10"/>
        <v>0.50249999999050488</v>
      </c>
      <c r="AF20" s="90">
        <f t="shared" si="10"/>
        <v>1419235</v>
      </c>
      <c r="AG20" s="90">
        <f t="shared" si="10"/>
        <v>1419173.9619999994</v>
      </c>
      <c r="AH20" s="90">
        <f t="shared" si="10"/>
        <v>61.038000000557076</v>
      </c>
      <c r="AI20" s="90">
        <f t="shared" si="10"/>
        <v>1490229</v>
      </c>
      <c r="AJ20" s="90">
        <f t="shared" si="10"/>
        <v>1490225.0619999995</v>
      </c>
      <c r="AK20" s="90">
        <f t="shared" si="10"/>
        <v>3.9380000005476177</v>
      </c>
      <c r="AL20" s="90">
        <f t="shared" si="10"/>
        <v>13194048.949999999</v>
      </c>
      <c r="AM20" s="90">
        <f t="shared" si="10"/>
        <v>13195804.347999997</v>
      </c>
      <c r="AN20" s="90">
        <f t="shared" si="10"/>
        <v>-1755.3979999982512</v>
      </c>
    </row>
    <row r="21" spans="1:43" x14ac:dyDescent="0.25">
      <c r="A21" s="94" t="s">
        <v>193</v>
      </c>
      <c r="B21" s="89"/>
      <c r="C21" s="89"/>
      <c r="D21" s="89">
        <f t="shared" ref="D21:AK21" si="11">D12-D16-D20</f>
        <v>-1</v>
      </c>
      <c r="E21" s="89">
        <v>0</v>
      </c>
      <c r="F21" s="89">
        <f t="shared" si="11"/>
        <v>416.97700000205077</v>
      </c>
      <c r="G21" s="89">
        <f t="shared" si="11"/>
        <v>-413.97700000039686</v>
      </c>
      <c r="H21" s="89">
        <f t="shared" si="11"/>
        <v>-7.5000000069849193E-2</v>
      </c>
      <c r="I21" s="89">
        <f t="shared" si="11"/>
        <v>-181863.56049998838</v>
      </c>
      <c r="J21" s="89">
        <f t="shared" si="11"/>
        <v>181863.48549998787</v>
      </c>
      <c r="K21" s="89">
        <f t="shared" si="11"/>
        <v>490.34999999997672</v>
      </c>
      <c r="L21" s="89">
        <f t="shared" si="11"/>
        <v>5457.3885000071023</v>
      </c>
      <c r="M21" s="89">
        <f t="shared" si="11"/>
        <v>-4970.0385000067063</v>
      </c>
      <c r="N21" s="89">
        <f t="shared" si="11"/>
        <v>-290.25</v>
      </c>
      <c r="O21" s="89">
        <f t="shared" si="11"/>
        <v>5824.5740000053775</v>
      </c>
      <c r="P21" s="89">
        <f t="shared" si="11"/>
        <v>-6114.8240000053775</v>
      </c>
      <c r="Q21" s="89">
        <f t="shared" si="11"/>
        <v>-382.97500000009313</v>
      </c>
      <c r="R21" s="89">
        <f t="shared" si="11"/>
        <v>-44640.248250004137</v>
      </c>
      <c r="S21" s="89">
        <f t="shared" si="11"/>
        <v>44257.27325000718</v>
      </c>
      <c r="T21" s="89">
        <f t="shared" si="11"/>
        <v>-548</v>
      </c>
      <c r="U21" s="89">
        <f t="shared" si="11"/>
        <v>1095.2430000200402</v>
      </c>
      <c r="V21" s="89">
        <f t="shared" si="11"/>
        <v>-1643.2430000200402</v>
      </c>
      <c r="W21" s="89">
        <f t="shared" si="11"/>
        <v>0</v>
      </c>
      <c r="X21" s="89">
        <f t="shared" si="11"/>
        <v>-56246.316000001272</v>
      </c>
      <c r="Y21" s="89">
        <f t="shared" si="11"/>
        <v>56246.31600000272</v>
      </c>
      <c r="Z21" s="89">
        <f t="shared" si="11"/>
        <v>0</v>
      </c>
      <c r="AA21" s="89">
        <f t="shared" si="11"/>
        <v>-4506.3942499929108</v>
      </c>
      <c r="AB21" s="89">
        <f t="shared" si="11"/>
        <v>3286.3942499934142</v>
      </c>
      <c r="AC21" s="89">
        <f t="shared" si="11"/>
        <v>0</v>
      </c>
      <c r="AD21" s="89">
        <f t="shared" si="11"/>
        <v>14614.692500005011</v>
      </c>
      <c r="AE21" s="89">
        <f t="shared" si="11"/>
        <v>-15252.692500003566</v>
      </c>
      <c r="AF21" s="89">
        <f t="shared" si="11"/>
        <v>0</v>
      </c>
      <c r="AG21" s="89">
        <f t="shared" si="11"/>
        <v>-2214.3219999987632</v>
      </c>
      <c r="AH21" s="89">
        <f t="shared" si="11"/>
        <v>9684.3219999976536</v>
      </c>
      <c r="AI21" s="89">
        <f t="shared" si="11"/>
        <v>-16</v>
      </c>
      <c r="AJ21" s="89">
        <f t="shared" si="11"/>
        <v>5949.1980000133626</v>
      </c>
      <c r="AK21" s="89">
        <f t="shared" si="11"/>
        <v>9744.8019999866374</v>
      </c>
      <c r="AL21" s="115">
        <f>B21+E21+H21+K21+N21+Q21+T21+W21+Z21+AC21+AF21+AI21</f>
        <v>-746.95000000018626</v>
      </c>
      <c r="AM21" s="115">
        <f>C21+F21+I21+L21+O21+R21+U21+X21+AA21+AD21+AG21+AJ21</f>
        <v>-256112.76799993252</v>
      </c>
      <c r="AN21" s="115">
        <f t="shared" ref="AN21" si="12">AN12-AN16-AN20</f>
        <v>276686.8179998814</v>
      </c>
    </row>
    <row r="22" spans="1:43" ht="16.5" thickBot="1" x14ac:dyDescent="0.3">
      <c r="A22" s="94" t="s">
        <v>207</v>
      </c>
      <c r="B22" s="89"/>
      <c r="C22" s="89"/>
      <c r="D22" s="89">
        <f>B22-C22</f>
        <v>0</v>
      </c>
      <c r="E22" s="89">
        <v>0</v>
      </c>
      <c r="F22" s="89">
        <v>3651</v>
      </c>
      <c r="G22" s="89">
        <f>E22-F22</f>
        <v>-3651</v>
      </c>
      <c r="H22" s="89"/>
      <c r="I22" s="89">
        <v>3401</v>
      </c>
      <c r="J22" s="89">
        <f>H22-I22</f>
        <v>-3401</v>
      </c>
      <c r="K22" s="89"/>
      <c r="L22" s="89">
        <v>6793</v>
      </c>
      <c r="M22" s="89">
        <f>K22-L22</f>
        <v>-6793</v>
      </c>
      <c r="N22" s="89"/>
      <c r="O22" s="89">
        <v>5819</v>
      </c>
      <c r="P22" s="89">
        <f>N22-O22</f>
        <v>-5819</v>
      </c>
      <c r="Q22" s="89"/>
      <c r="R22" s="89">
        <v>7658</v>
      </c>
      <c r="S22" s="89">
        <f>Q22-R22</f>
        <v>-7658</v>
      </c>
      <c r="U22" s="89">
        <v>10937</v>
      </c>
      <c r="V22" s="89"/>
      <c r="W22" s="89"/>
      <c r="X22" s="89">
        <v>5418</v>
      </c>
      <c r="Y22" s="89"/>
      <c r="Z22" s="89">
        <v>0</v>
      </c>
      <c r="AA22" s="89">
        <v>12329</v>
      </c>
      <c r="AB22" s="90">
        <f>Z22-AA22</f>
        <v>-12329</v>
      </c>
      <c r="AD22" s="89">
        <v>14573</v>
      </c>
      <c r="AE22" s="89"/>
      <c r="AF22" s="89"/>
      <c r="AG22" s="89">
        <v>8740</v>
      </c>
      <c r="AH22" s="89">
        <f>AF22-AG22</f>
        <v>-8740</v>
      </c>
      <c r="AI22" s="89"/>
      <c r="AJ22" s="89">
        <v>15899</v>
      </c>
      <c r="AK22" s="116">
        <f>AI22-AJ22</f>
        <v>-15899</v>
      </c>
      <c r="AL22" s="115">
        <f>B22+E22+H22+K22+N22+Q22+T22+W22+Z22+AC22+AF22+AI22</f>
        <v>0</v>
      </c>
      <c r="AM22" s="127">
        <f>C22+F22+I22+L22+O22+R22+U22+X22+AA22+AD22+AG22+AJ22</f>
        <v>95218</v>
      </c>
      <c r="AN22" s="115">
        <f>AL22-AM22</f>
        <v>-95218</v>
      </c>
    </row>
    <row r="23" spans="1:43" ht="16.5" thickBot="1" x14ac:dyDescent="0.3">
      <c r="A23" s="94" t="s">
        <v>194</v>
      </c>
      <c r="B23" s="97">
        <f t="shared" ref="B23:S23" si="13">+B21-B22</f>
        <v>0</v>
      </c>
      <c r="C23" s="97">
        <f t="shared" si="13"/>
        <v>0</v>
      </c>
      <c r="D23" s="97">
        <f t="shared" si="13"/>
        <v>-1</v>
      </c>
      <c r="E23" s="97">
        <f t="shared" si="13"/>
        <v>0</v>
      </c>
      <c r="F23" s="97">
        <f t="shared" si="13"/>
        <v>-3234.0229999979492</v>
      </c>
      <c r="G23" s="97">
        <f t="shared" si="13"/>
        <v>3237.0229999996031</v>
      </c>
      <c r="H23" s="97">
        <f t="shared" si="13"/>
        <v>-7.5000000069849193E-2</v>
      </c>
      <c r="I23" s="97">
        <f t="shared" si="13"/>
        <v>-185264.56049998838</v>
      </c>
      <c r="J23" s="97">
        <f t="shared" si="13"/>
        <v>185264.48549998787</v>
      </c>
      <c r="K23" s="97">
        <f t="shared" si="13"/>
        <v>490.34999999997672</v>
      </c>
      <c r="L23" s="97">
        <f t="shared" si="13"/>
        <v>-1335.6114999928977</v>
      </c>
      <c r="M23" s="97">
        <f t="shared" si="13"/>
        <v>1822.9614999932937</v>
      </c>
      <c r="N23" s="97">
        <f t="shared" si="13"/>
        <v>-290.25</v>
      </c>
      <c r="O23" s="97">
        <f t="shared" si="13"/>
        <v>5.5740000053774565</v>
      </c>
      <c r="P23" s="97">
        <f t="shared" si="13"/>
        <v>-295.82400000537746</v>
      </c>
      <c r="Q23" s="97">
        <f t="shared" si="13"/>
        <v>-382.97500000009313</v>
      </c>
      <c r="R23" s="97">
        <f t="shared" si="13"/>
        <v>-52298.248250004137</v>
      </c>
      <c r="S23" s="97">
        <f t="shared" si="13"/>
        <v>51915.27325000718</v>
      </c>
      <c r="T23" s="97"/>
      <c r="U23" s="97"/>
      <c r="V23" s="97"/>
      <c r="W23" s="97"/>
      <c r="X23" s="97"/>
      <c r="Y23" s="97"/>
      <c r="Z23" s="97">
        <v>0</v>
      </c>
      <c r="AA23" s="97"/>
      <c r="AB23" s="90"/>
      <c r="AC23" s="97"/>
      <c r="AD23" s="97"/>
      <c r="AE23" s="97">
        <f t="shared" ref="AE23:AN23" si="14">+AE21-AE22</f>
        <v>-15252.692500003566</v>
      </c>
      <c r="AF23" s="97"/>
      <c r="AG23" s="97"/>
      <c r="AH23" s="97">
        <f t="shared" si="14"/>
        <v>18424.321999997654</v>
      </c>
      <c r="AI23" s="97"/>
      <c r="AJ23" s="97"/>
      <c r="AK23" s="117">
        <f t="shared" si="14"/>
        <v>25643.801999986637</v>
      </c>
      <c r="AL23" s="118">
        <f t="shared" ref="AL23" si="15">+AL21-AL22</f>
        <v>-746.95000000018626</v>
      </c>
      <c r="AM23" s="118">
        <f t="shared" si="14"/>
        <v>-351330.76799993252</v>
      </c>
      <c r="AN23" s="118">
        <f t="shared" si="14"/>
        <v>371904.8179998814</v>
      </c>
    </row>
    <row r="24" spans="1:43" x14ac:dyDescent="0.25"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115"/>
      <c r="AM24" s="115"/>
      <c r="AN24" s="115"/>
    </row>
    <row r="25" spans="1:43" x14ac:dyDescent="0.25">
      <c r="A25" s="94" t="s">
        <v>208</v>
      </c>
      <c r="B25" s="92">
        <v>9899723</v>
      </c>
      <c r="C25" s="92">
        <v>9899723</v>
      </c>
      <c r="D25" s="92">
        <f t="shared" ref="D25:S25" si="16">D11</f>
        <v>0</v>
      </c>
      <c r="E25" s="92">
        <v>7901399</v>
      </c>
      <c r="F25" s="92">
        <v>7900499</v>
      </c>
      <c r="G25" s="92">
        <f t="shared" si="16"/>
        <v>-2336.6199999982491</v>
      </c>
      <c r="H25" s="92">
        <v>9016686</v>
      </c>
      <c r="I25" s="92">
        <v>9016685.6899999995</v>
      </c>
      <c r="J25" s="92">
        <f t="shared" si="16"/>
        <v>-0.3899999987334013</v>
      </c>
      <c r="K25" s="92">
        <v>17745774</v>
      </c>
      <c r="L25" s="92">
        <v>17749020.669999994</v>
      </c>
      <c r="M25" s="92">
        <f t="shared" si="16"/>
        <v>-4819.1799999959767</v>
      </c>
      <c r="N25" s="92">
        <v>10900928</v>
      </c>
      <c r="O25" s="92">
        <v>10924704.039999999</v>
      </c>
      <c r="P25" s="92">
        <f t="shared" si="16"/>
        <v>-0.12999999895691872</v>
      </c>
      <c r="Q25" s="92">
        <v>12340588</v>
      </c>
      <c r="R25" s="92">
        <v>12980496.790000001</v>
      </c>
      <c r="S25" s="92">
        <f t="shared" si="16"/>
        <v>-13668.750000001863</v>
      </c>
      <c r="T25" s="92">
        <v>12161541</v>
      </c>
      <c r="U25" s="92">
        <v>12161541.489999996</v>
      </c>
      <c r="V25" s="92">
        <f t="shared" ref="V25:AK25" si="17">V11</f>
        <v>-9845.3199999965727</v>
      </c>
      <c r="W25" s="92">
        <v>16387987</v>
      </c>
      <c r="X25" s="92">
        <v>16387987.370000003</v>
      </c>
      <c r="Y25" s="92">
        <f t="shared" si="17"/>
        <v>-678.1600000038743</v>
      </c>
      <c r="Z25" s="92">
        <v>11333185</v>
      </c>
      <c r="AA25" s="92">
        <v>11336642.799999999</v>
      </c>
      <c r="AB25" s="89">
        <f t="shared" ref="AB25:AB26" si="18">Z25-AA25</f>
        <v>-3457.7999999988824</v>
      </c>
      <c r="AC25" s="92">
        <f>44909475-26287919</f>
        <v>18621556</v>
      </c>
      <c r="AD25" s="92">
        <v>18256428.130000003</v>
      </c>
      <c r="AE25" s="92">
        <f t="shared" si="17"/>
        <v>-161137.68000000343</v>
      </c>
      <c r="AF25" s="92">
        <v>25817995</v>
      </c>
      <c r="AG25" s="92">
        <v>25817994.940000013</v>
      </c>
      <c r="AH25" s="92">
        <f t="shared" si="17"/>
        <v>-10951.820000011474</v>
      </c>
      <c r="AI25" s="92">
        <f>55383235-31292225</f>
        <v>24091010</v>
      </c>
      <c r="AJ25" s="92">
        <v>23618537.239999998</v>
      </c>
      <c r="AK25" s="119">
        <f t="shared" si="17"/>
        <v>-9833.0499999970198</v>
      </c>
      <c r="AL25" s="120">
        <f>B25+E25+H25+K25+N25+Q25+T25+W25+Z25+AC25+AF25+AI25</f>
        <v>176218372</v>
      </c>
      <c r="AM25" s="120">
        <f>C25+F25+I25+L25+O25+R25+U25+X25+AA25+AD25+AG25+AJ25</f>
        <v>176050261.16000003</v>
      </c>
      <c r="AN25" s="120">
        <f>AL25-AM25</f>
        <v>168110.83999997377</v>
      </c>
      <c r="AP25" s="96"/>
    </row>
    <row r="26" spans="1:43" x14ac:dyDescent="0.25">
      <c r="A26" s="94" t="s">
        <v>226</v>
      </c>
      <c r="B26" s="89">
        <v>0</v>
      </c>
      <c r="C26" s="89"/>
      <c r="D26" s="89">
        <f>B26-C26</f>
        <v>0</v>
      </c>
      <c r="E26" s="89">
        <v>0</v>
      </c>
      <c r="F26" s="89">
        <v>0</v>
      </c>
      <c r="G26" s="89">
        <f>E26-F26</f>
        <v>0</v>
      </c>
      <c r="H26" s="89"/>
      <c r="I26" s="89">
        <v>343098</v>
      </c>
      <c r="J26" s="89">
        <f>H26-I26</f>
        <v>-343098</v>
      </c>
      <c r="K26" s="89"/>
      <c r="L26" s="89">
        <v>1164409</v>
      </c>
      <c r="M26" s="89">
        <f>K26-L26</f>
        <v>-1164409</v>
      </c>
      <c r="N26" s="89"/>
      <c r="O26" s="89">
        <v>23778</v>
      </c>
      <c r="P26" s="89">
        <f>N26-O26</f>
        <v>-23778</v>
      </c>
      <c r="Q26" s="89"/>
      <c r="R26" s="89">
        <v>652351</v>
      </c>
      <c r="S26" s="89">
        <f>Q26-R26</f>
        <v>-652351</v>
      </c>
      <c r="T26" s="89"/>
      <c r="U26" s="89"/>
      <c r="V26" s="89">
        <f>T26-U26</f>
        <v>0</v>
      </c>
      <c r="W26" s="89"/>
      <c r="X26" s="89"/>
      <c r="Y26" s="89">
        <f>W26-X26</f>
        <v>0</v>
      </c>
      <c r="Z26" s="89"/>
      <c r="AA26" s="89">
        <v>411395</v>
      </c>
      <c r="AB26" s="89">
        <f t="shared" si="18"/>
        <v>-411395</v>
      </c>
      <c r="AC26" s="89">
        <v>161137</v>
      </c>
      <c r="AD26" s="89">
        <v>161137</v>
      </c>
      <c r="AE26" s="89">
        <f>AC26-AD26</f>
        <v>0</v>
      </c>
      <c r="AF26" s="89">
        <v>0</v>
      </c>
      <c r="AG26" s="89">
        <v>571317</v>
      </c>
      <c r="AH26" s="89">
        <f>AF26-AG26</f>
        <v>-571317</v>
      </c>
      <c r="AI26" s="89">
        <v>2811987</v>
      </c>
      <c r="AJ26" s="89">
        <v>64068</v>
      </c>
      <c r="AK26" s="116">
        <f>AI26-AJ26</f>
        <v>2747919</v>
      </c>
      <c r="AL26" s="115">
        <f>B26+E26+H26+K26+N26+Q26+T26+W26+Z26+AC26+AF26+AI26</f>
        <v>2973124</v>
      </c>
      <c r="AM26" s="115">
        <f>C26+F26+I26+L26+O26+R26+U26+X26+AA26+AD26+AG26+AJ26</f>
        <v>3391553</v>
      </c>
      <c r="AN26" s="115">
        <f>AL26-AM26</f>
        <v>-418429</v>
      </c>
      <c r="AO26" s="96"/>
      <c r="AQ26" s="96"/>
    </row>
    <row r="27" spans="1:43" thickBot="1" x14ac:dyDescent="0.3">
      <c r="B27" s="90">
        <f>B25-B26</f>
        <v>9899723</v>
      </c>
      <c r="C27" s="90">
        <f t="shared" ref="C27:AN27" si="19">C25-C26</f>
        <v>9899723</v>
      </c>
      <c r="D27" s="90">
        <f t="shared" si="19"/>
        <v>0</v>
      </c>
      <c r="E27" s="90">
        <f t="shared" si="19"/>
        <v>7901399</v>
      </c>
      <c r="F27" s="90">
        <f t="shared" si="19"/>
        <v>7900499</v>
      </c>
      <c r="G27" s="90">
        <f t="shared" si="19"/>
        <v>-2336.6199999982491</v>
      </c>
      <c r="H27" s="90">
        <f t="shared" si="19"/>
        <v>9016686</v>
      </c>
      <c r="I27" s="90">
        <f t="shared" si="19"/>
        <v>8673587.6899999995</v>
      </c>
      <c r="J27" s="90">
        <f t="shared" si="19"/>
        <v>343097.61000000127</v>
      </c>
      <c r="K27" s="90">
        <f t="shared" si="19"/>
        <v>17745774</v>
      </c>
      <c r="L27" s="90">
        <f t="shared" si="19"/>
        <v>16584611.669999994</v>
      </c>
      <c r="M27" s="90">
        <f t="shared" si="19"/>
        <v>1159589.820000004</v>
      </c>
      <c r="N27" s="90">
        <f t="shared" si="19"/>
        <v>10900928</v>
      </c>
      <c r="O27" s="90">
        <f t="shared" si="19"/>
        <v>10900926.039999999</v>
      </c>
      <c r="P27" s="90">
        <f t="shared" si="19"/>
        <v>23777.870000001043</v>
      </c>
      <c r="Q27" s="90">
        <f t="shared" si="19"/>
        <v>12340588</v>
      </c>
      <c r="R27" s="90">
        <f t="shared" si="19"/>
        <v>12328145.790000001</v>
      </c>
      <c r="S27" s="90">
        <f t="shared" si="19"/>
        <v>638682.24999999814</v>
      </c>
      <c r="T27" s="90">
        <f t="shared" si="19"/>
        <v>12161541</v>
      </c>
      <c r="U27" s="90">
        <f t="shared" si="19"/>
        <v>12161541.489999996</v>
      </c>
      <c r="V27" s="90">
        <f t="shared" si="19"/>
        <v>-9845.3199999965727</v>
      </c>
      <c r="W27" s="90">
        <f t="shared" si="19"/>
        <v>16387987</v>
      </c>
      <c r="X27" s="90">
        <f t="shared" si="19"/>
        <v>16387987.370000003</v>
      </c>
      <c r="Y27" s="90">
        <f t="shared" si="19"/>
        <v>-678.1600000038743</v>
      </c>
      <c r="Z27" s="90">
        <f t="shared" si="19"/>
        <v>11333185</v>
      </c>
      <c r="AA27" s="90">
        <f t="shared" si="19"/>
        <v>10925247.799999999</v>
      </c>
      <c r="AB27" s="90">
        <f t="shared" si="19"/>
        <v>407937.20000000112</v>
      </c>
      <c r="AC27" s="90">
        <f t="shared" si="19"/>
        <v>18460419</v>
      </c>
      <c r="AD27" s="90">
        <f t="shared" si="19"/>
        <v>18095291.130000003</v>
      </c>
      <c r="AE27" s="90">
        <f t="shared" si="19"/>
        <v>-161137.68000000343</v>
      </c>
      <c r="AF27" s="90">
        <f t="shared" si="19"/>
        <v>25817995</v>
      </c>
      <c r="AG27" s="90">
        <f t="shared" si="19"/>
        <v>25246677.940000013</v>
      </c>
      <c r="AH27" s="90">
        <f t="shared" si="19"/>
        <v>560365.17999998853</v>
      </c>
      <c r="AI27" s="90">
        <f t="shared" si="19"/>
        <v>21279023</v>
      </c>
      <c r="AJ27" s="90">
        <f t="shared" si="19"/>
        <v>23554469.239999998</v>
      </c>
      <c r="AK27" s="90">
        <f t="shared" si="19"/>
        <v>-2757752.049999997</v>
      </c>
      <c r="AL27" s="90">
        <f t="shared" si="19"/>
        <v>173245248</v>
      </c>
      <c r="AM27" s="90">
        <f t="shared" si="19"/>
        <v>172658708.16000003</v>
      </c>
      <c r="AN27" s="90">
        <f t="shared" si="19"/>
        <v>586539.83999997377</v>
      </c>
    </row>
    <row r="28" spans="1:43" x14ac:dyDescent="0.25"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116"/>
      <c r="AL28" s="115"/>
      <c r="AM28" s="115"/>
      <c r="AN28" s="115"/>
    </row>
    <row r="29" spans="1:43" x14ac:dyDescent="0.25">
      <c r="A29" s="94" t="s">
        <v>195</v>
      </c>
      <c r="B29" s="89">
        <f>B27</f>
        <v>9899723</v>
      </c>
      <c r="C29" s="89">
        <f t="shared" ref="C29:AJ29" si="20">C27</f>
        <v>9899723</v>
      </c>
      <c r="D29" s="89">
        <f t="shared" si="20"/>
        <v>0</v>
      </c>
      <c r="E29" s="89">
        <f t="shared" si="20"/>
        <v>7901399</v>
      </c>
      <c r="F29" s="89">
        <f t="shared" si="20"/>
        <v>7900499</v>
      </c>
      <c r="G29" s="89">
        <f t="shared" si="20"/>
        <v>-2336.6199999982491</v>
      </c>
      <c r="H29" s="89">
        <f t="shared" si="20"/>
        <v>9016686</v>
      </c>
      <c r="I29" s="89">
        <f t="shared" si="20"/>
        <v>8673587.6899999995</v>
      </c>
      <c r="J29" s="89">
        <f t="shared" si="20"/>
        <v>343097.61000000127</v>
      </c>
      <c r="K29" s="89">
        <f t="shared" si="20"/>
        <v>17745774</v>
      </c>
      <c r="L29" s="89">
        <f t="shared" si="20"/>
        <v>16584611.669999994</v>
      </c>
      <c r="M29" s="89">
        <f t="shared" si="20"/>
        <v>1159589.820000004</v>
      </c>
      <c r="N29" s="89">
        <f t="shared" si="20"/>
        <v>10900928</v>
      </c>
      <c r="O29" s="89">
        <f t="shared" si="20"/>
        <v>10900926.039999999</v>
      </c>
      <c r="P29" s="89">
        <f t="shared" si="20"/>
        <v>23777.870000001043</v>
      </c>
      <c r="Q29" s="89">
        <f t="shared" si="20"/>
        <v>12340588</v>
      </c>
      <c r="R29" s="89">
        <f t="shared" si="20"/>
        <v>12328145.790000001</v>
      </c>
      <c r="S29" s="89">
        <f t="shared" si="20"/>
        <v>638682.24999999814</v>
      </c>
      <c r="T29" s="89">
        <f t="shared" si="20"/>
        <v>12161541</v>
      </c>
      <c r="U29" s="89">
        <f t="shared" si="20"/>
        <v>12161541.489999996</v>
      </c>
      <c r="V29" s="89">
        <f>T29-U29</f>
        <v>-0.48999999649822712</v>
      </c>
      <c r="W29" s="89">
        <f t="shared" si="20"/>
        <v>16387987</v>
      </c>
      <c r="X29" s="89">
        <f t="shared" si="20"/>
        <v>16387987.370000003</v>
      </c>
      <c r="Y29" s="89">
        <f>W29-X29</f>
        <v>-0.37000000290572643</v>
      </c>
      <c r="Z29" s="89">
        <f t="shared" si="20"/>
        <v>11333185</v>
      </c>
      <c r="AA29" s="89">
        <f t="shared" si="20"/>
        <v>10925247.799999999</v>
      </c>
      <c r="AB29" s="89">
        <f>Z29-AA29</f>
        <v>407937.20000000112</v>
      </c>
      <c r="AC29" s="89">
        <f t="shared" si="20"/>
        <v>18460419</v>
      </c>
      <c r="AD29" s="89">
        <f t="shared" si="20"/>
        <v>18095291.130000003</v>
      </c>
      <c r="AE29" s="89">
        <f>AC29-AD29</f>
        <v>365127.86999999732</v>
      </c>
      <c r="AF29" s="89">
        <f t="shared" si="20"/>
        <v>25817995</v>
      </c>
      <c r="AG29" s="89">
        <f t="shared" si="20"/>
        <v>25246677.940000013</v>
      </c>
      <c r="AH29" s="89">
        <f>AF29-AG29</f>
        <v>571317.05999998748</v>
      </c>
      <c r="AI29" s="89">
        <f t="shared" si="20"/>
        <v>21279023</v>
      </c>
      <c r="AJ29" s="89">
        <f t="shared" si="20"/>
        <v>23554469.239999998</v>
      </c>
      <c r="AK29" s="116">
        <f>AI29-AJ29</f>
        <v>-2275446.2399999984</v>
      </c>
      <c r="AL29" s="115">
        <f t="shared" ref="AL29:AM29" si="21">B29+E29+H29+K29+N29+Q29+T29+W29+Z29+AC29+AF29+AI29</f>
        <v>173245248</v>
      </c>
      <c r="AM29" s="115">
        <f t="shared" si="21"/>
        <v>172658708.16000003</v>
      </c>
      <c r="AN29" s="115">
        <f>AL29-AM29</f>
        <v>586539.83999997377</v>
      </c>
    </row>
    <row r="30" spans="1:43" ht="16.5" thickBot="1" x14ac:dyDescent="0.3">
      <c r="A30" s="94" t="s">
        <v>189</v>
      </c>
      <c r="B30" s="90">
        <f>SUM(B29:B29)</f>
        <v>9899723</v>
      </c>
      <c r="C30" s="90">
        <f t="shared" ref="C30:S30" si="22">SUM(C29:C29)</f>
        <v>9899723</v>
      </c>
      <c r="D30" s="90">
        <f t="shared" si="22"/>
        <v>0</v>
      </c>
      <c r="E30" s="90">
        <f t="shared" si="22"/>
        <v>7901399</v>
      </c>
      <c r="F30" s="90">
        <f t="shared" si="22"/>
        <v>7900499</v>
      </c>
      <c r="G30" s="90">
        <f t="shared" si="22"/>
        <v>-2336.6199999982491</v>
      </c>
      <c r="H30" s="90">
        <f t="shared" si="22"/>
        <v>9016686</v>
      </c>
      <c r="I30" s="90">
        <f t="shared" si="22"/>
        <v>8673587.6899999995</v>
      </c>
      <c r="J30" s="90">
        <f t="shared" si="22"/>
        <v>343097.61000000127</v>
      </c>
      <c r="K30" s="90">
        <f t="shared" si="22"/>
        <v>17745774</v>
      </c>
      <c r="L30" s="90">
        <f t="shared" si="22"/>
        <v>16584611.669999994</v>
      </c>
      <c r="M30" s="90">
        <f t="shared" si="22"/>
        <v>1159589.820000004</v>
      </c>
      <c r="N30" s="90">
        <f t="shared" si="22"/>
        <v>10900928</v>
      </c>
      <c r="O30" s="90">
        <f t="shared" si="22"/>
        <v>10900926.039999999</v>
      </c>
      <c r="P30" s="90">
        <f t="shared" si="22"/>
        <v>23777.870000001043</v>
      </c>
      <c r="Q30" s="90">
        <f t="shared" si="22"/>
        <v>12340588</v>
      </c>
      <c r="R30" s="90">
        <f t="shared" si="22"/>
        <v>12328145.790000001</v>
      </c>
      <c r="S30" s="90">
        <f t="shared" si="22"/>
        <v>638682.24999999814</v>
      </c>
      <c r="T30" s="90">
        <f t="shared" ref="T30:AN30" si="23">SUM(T29:T29)</f>
        <v>12161541</v>
      </c>
      <c r="U30" s="90">
        <f t="shared" si="23"/>
        <v>12161541.489999996</v>
      </c>
      <c r="V30" s="90">
        <f t="shared" si="23"/>
        <v>-0.48999999649822712</v>
      </c>
      <c r="W30" s="90">
        <v>16387987</v>
      </c>
      <c r="X30" s="90">
        <v>16387987</v>
      </c>
      <c r="Y30" s="90">
        <f t="shared" si="23"/>
        <v>-0.37000000290572643</v>
      </c>
      <c r="Z30" s="90">
        <f t="shared" ref="Z30:AA30" si="24">Z28-Z29</f>
        <v>-11333185</v>
      </c>
      <c r="AA30" s="90">
        <f t="shared" si="24"/>
        <v>-10925247.799999999</v>
      </c>
      <c r="AB30" s="90">
        <f t="shared" si="23"/>
        <v>407937.20000000112</v>
      </c>
      <c r="AC30" s="89">
        <v>18098450</v>
      </c>
      <c r="AD30" s="89">
        <v>18098450</v>
      </c>
      <c r="AE30" s="90">
        <f t="shared" si="23"/>
        <v>365127.86999999732</v>
      </c>
      <c r="AF30" s="90">
        <f>AF29</f>
        <v>25817995</v>
      </c>
      <c r="AG30" s="90">
        <f>AG29</f>
        <v>25246677.940000013</v>
      </c>
      <c r="AH30" s="90">
        <f t="shared" si="23"/>
        <v>571317.05999998748</v>
      </c>
      <c r="AI30" s="90">
        <v>20861787</v>
      </c>
      <c r="AJ30" s="90">
        <v>20861787</v>
      </c>
      <c r="AK30" s="121">
        <f t="shared" si="23"/>
        <v>-2275446.2399999984</v>
      </c>
      <c r="AL30" s="122">
        <f t="shared" ref="AL30" si="25">SUM(AL29:AL29)</f>
        <v>173245248</v>
      </c>
      <c r="AM30" s="122">
        <f t="shared" si="23"/>
        <v>172658708.16000003</v>
      </c>
      <c r="AN30" s="122">
        <f t="shared" si="23"/>
        <v>586539.83999997377</v>
      </c>
    </row>
    <row r="31" spans="1:43" x14ac:dyDescent="0.25"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116"/>
      <c r="AL31" s="115"/>
      <c r="AM31" s="115"/>
      <c r="AN31" s="115"/>
    </row>
    <row r="32" spans="1:43" x14ac:dyDescent="0.25">
      <c r="A32" s="94" t="s">
        <v>196</v>
      </c>
      <c r="B32" s="89">
        <v>197994</v>
      </c>
      <c r="C32" s="89">
        <v>197994</v>
      </c>
      <c r="D32" s="89">
        <f>B32-C32</f>
        <v>0</v>
      </c>
      <c r="E32" s="89">
        <v>158028</v>
      </c>
      <c r="F32" s="89">
        <f>+F29*0.02</f>
        <v>158009.98000000001</v>
      </c>
      <c r="G32" s="89">
        <f>E32-F32</f>
        <v>18.019999999989523</v>
      </c>
      <c r="H32" s="89">
        <f>+H29*0.02</f>
        <v>180333.72</v>
      </c>
      <c r="I32" s="89">
        <f>+I29*0.02</f>
        <v>173471.75380000001</v>
      </c>
      <c r="J32" s="89">
        <f>H32-I32</f>
        <v>6861.9661999999953</v>
      </c>
      <c r="K32" s="89">
        <f>+K29*0.02</f>
        <v>354915.48</v>
      </c>
      <c r="L32" s="89">
        <f>+L29*0.02</f>
        <v>331692.23339999991</v>
      </c>
      <c r="M32" s="89">
        <f>K32-L32</f>
        <v>23223.246600000071</v>
      </c>
      <c r="N32" s="89">
        <f>+N29*0.02</f>
        <v>218018.56</v>
      </c>
      <c r="O32" s="89">
        <f>+O29*0.02</f>
        <v>218018.5208</v>
      </c>
      <c r="P32" s="89">
        <f>N32-O32</f>
        <v>3.9199999999254942E-2</v>
      </c>
      <c r="Q32" s="89">
        <f>+Q29*0.02</f>
        <v>246811.76</v>
      </c>
      <c r="R32" s="89">
        <f>+R29*0.02</f>
        <v>246562.91580000002</v>
      </c>
      <c r="S32" s="89">
        <f>Q32-R32</f>
        <v>248.84419999999227</v>
      </c>
      <c r="T32" s="89">
        <v>243231</v>
      </c>
      <c r="U32" s="89">
        <f>+U29*0.02</f>
        <v>243230.82979999995</v>
      </c>
      <c r="V32" s="89">
        <f>T32-U32</f>
        <v>0.17020000005140901</v>
      </c>
      <c r="W32" s="89">
        <v>327760</v>
      </c>
      <c r="X32" s="89">
        <f>+X29*0.02</f>
        <v>327759.74740000005</v>
      </c>
      <c r="Y32" s="89">
        <f>W32-X32</f>
        <v>0.25259999994887039</v>
      </c>
      <c r="Z32" s="89">
        <v>226664</v>
      </c>
      <c r="AA32" s="89">
        <f>+AA29*0.02</f>
        <v>218504.95599999998</v>
      </c>
      <c r="AB32" s="89">
        <f>Z32-AA32</f>
        <v>8159.0440000000235</v>
      </c>
      <c r="AC32" s="89">
        <v>361969</v>
      </c>
      <c r="AD32" s="89">
        <v>361969</v>
      </c>
      <c r="AE32" s="89">
        <f>AC32-AD32</f>
        <v>0</v>
      </c>
      <c r="AF32" s="89">
        <v>516360</v>
      </c>
      <c r="AG32" s="89">
        <f>+AG29*0.02</f>
        <v>504933.55880000029</v>
      </c>
      <c r="AH32" s="89">
        <f>AF32-AG32</f>
        <v>11426.44119999971</v>
      </c>
      <c r="AI32" s="89">
        <v>417236</v>
      </c>
      <c r="AJ32" s="89">
        <f>+AJ29*0.02</f>
        <v>471089.3848</v>
      </c>
      <c r="AK32" s="116">
        <f>AI32-AJ32</f>
        <v>-53853.3848</v>
      </c>
      <c r="AL32" s="115">
        <f>B32+E32+H32+K32+N32+Q32+T32+W32+Z32+AC32+AF32+AI32</f>
        <v>3449321.52</v>
      </c>
      <c r="AM32" s="115">
        <f>C32+F32+I32+L32+O32+R32+U32+X32+AA32+AD32+AG32+AJ32</f>
        <v>3453236.8806000003</v>
      </c>
      <c r="AN32" s="115">
        <f t="shared" ref="AN32" si="26">AL32-AM32</f>
        <v>-3915.3606000002474</v>
      </c>
      <c r="AP32" s="65"/>
    </row>
    <row r="33" spans="1:42" x14ac:dyDescent="0.25">
      <c r="A33" s="94" t="s">
        <v>210</v>
      </c>
      <c r="B33" s="93">
        <f>SUM(B32:B32)</f>
        <v>197994</v>
      </c>
      <c r="C33" s="93">
        <f t="shared" ref="C33:AL33" si="27">SUM(C32:C32)</f>
        <v>197994</v>
      </c>
      <c r="D33" s="93">
        <f t="shared" si="27"/>
        <v>0</v>
      </c>
      <c r="E33" s="93">
        <f t="shared" si="27"/>
        <v>158028</v>
      </c>
      <c r="F33" s="93">
        <f t="shared" si="27"/>
        <v>158009.98000000001</v>
      </c>
      <c r="G33" s="93">
        <f t="shared" si="27"/>
        <v>18.019999999989523</v>
      </c>
      <c r="H33" s="93">
        <f t="shared" si="27"/>
        <v>180333.72</v>
      </c>
      <c r="I33" s="93">
        <f t="shared" si="27"/>
        <v>173471.75380000001</v>
      </c>
      <c r="J33" s="93">
        <f t="shared" si="27"/>
        <v>6861.9661999999953</v>
      </c>
      <c r="K33" s="93">
        <f t="shared" si="27"/>
        <v>354915.48</v>
      </c>
      <c r="L33" s="93">
        <f t="shared" si="27"/>
        <v>331692.23339999991</v>
      </c>
      <c r="M33" s="93">
        <f t="shared" si="27"/>
        <v>23223.246600000071</v>
      </c>
      <c r="N33" s="93">
        <f t="shared" si="27"/>
        <v>218018.56</v>
      </c>
      <c r="O33" s="93">
        <f t="shared" si="27"/>
        <v>218018.5208</v>
      </c>
      <c r="P33" s="93">
        <f t="shared" si="27"/>
        <v>3.9199999999254942E-2</v>
      </c>
      <c r="Q33" s="93">
        <f t="shared" si="27"/>
        <v>246811.76</v>
      </c>
      <c r="R33" s="93">
        <f t="shared" si="27"/>
        <v>246562.91580000002</v>
      </c>
      <c r="S33" s="93">
        <f t="shared" si="27"/>
        <v>248.84419999999227</v>
      </c>
      <c r="T33" s="93">
        <f t="shared" si="27"/>
        <v>243231</v>
      </c>
      <c r="U33" s="93">
        <f t="shared" si="27"/>
        <v>243230.82979999995</v>
      </c>
      <c r="V33" s="93">
        <f t="shared" si="27"/>
        <v>0.17020000005140901</v>
      </c>
      <c r="W33" s="93">
        <f t="shared" si="27"/>
        <v>327760</v>
      </c>
      <c r="X33" s="93">
        <f t="shared" si="27"/>
        <v>327759.74740000005</v>
      </c>
      <c r="Y33" s="93">
        <f t="shared" si="27"/>
        <v>0.25259999994887039</v>
      </c>
      <c r="Z33" s="93">
        <f t="shared" si="27"/>
        <v>226664</v>
      </c>
      <c r="AA33" s="93">
        <f t="shared" si="27"/>
        <v>218504.95599999998</v>
      </c>
      <c r="AB33" s="93">
        <f t="shared" si="27"/>
        <v>8159.0440000000235</v>
      </c>
      <c r="AC33" s="93">
        <f t="shared" si="27"/>
        <v>361969</v>
      </c>
      <c r="AD33" s="93">
        <f t="shared" si="27"/>
        <v>361969</v>
      </c>
      <c r="AE33" s="93">
        <f t="shared" si="27"/>
        <v>0</v>
      </c>
      <c r="AF33" s="93">
        <f t="shared" si="27"/>
        <v>516360</v>
      </c>
      <c r="AG33" s="93">
        <f t="shared" si="27"/>
        <v>504933.55880000029</v>
      </c>
      <c r="AH33" s="93">
        <f t="shared" si="27"/>
        <v>11426.44119999971</v>
      </c>
      <c r="AI33" s="93">
        <f t="shared" si="27"/>
        <v>417236</v>
      </c>
      <c r="AJ33" s="93">
        <f t="shared" si="27"/>
        <v>471089.3848</v>
      </c>
      <c r="AK33" s="93">
        <f t="shared" si="27"/>
        <v>-53853.3848</v>
      </c>
      <c r="AL33" s="93">
        <f t="shared" si="27"/>
        <v>3449321.52</v>
      </c>
      <c r="AM33" s="123">
        <f t="shared" ref="AM33:AN33" si="28">SUM(AM32:AM32)</f>
        <v>3453236.8806000003</v>
      </c>
      <c r="AN33" s="123">
        <f t="shared" si="28"/>
        <v>-3915.3606000002474</v>
      </c>
      <c r="AO33" s="96"/>
      <c r="AP33" s="65"/>
    </row>
    <row r="34" spans="1:42" x14ac:dyDescent="0.25"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107"/>
      <c r="AM34" s="107"/>
    </row>
    <row r="35" spans="1:42" x14ac:dyDescent="0.25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91"/>
      <c r="AK35" s="91"/>
      <c r="AL35" s="107"/>
      <c r="AM35" s="107"/>
    </row>
    <row r="36" spans="1:42" x14ac:dyDescent="0.25"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</row>
    <row r="37" spans="1:42" ht="15" x14ac:dyDescent="0.25">
      <c r="A37" s="94" t="s">
        <v>209</v>
      </c>
      <c r="B37" s="92">
        <f>B20</f>
        <v>888870</v>
      </c>
      <c r="C37" s="92">
        <f>C20</f>
        <v>888964</v>
      </c>
      <c r="D37" s="92"/>
      <c r="E37" s="92">
        <f t="shared" ref="E37:J37" si="29">E20</f>
        <v>726496</v>
      </c>
      <c r="F37" s="92">
        <f t="shared" si="29"/>
        <v>726496.34300000011</v>
      </c>
      <c r="G37" s="92">
        <f t="shared" si="29"/>
        <v>-0.34300000008670395</v>
      </c>
      <c r="H37" s="92">
        <f t="shared" si="29"/>
        <v>992040.07500000007</v>
      </c>
      <c r="I37" s="92">
        <f t="shared" si="29"/>
        <v>992040.06049999956</v>
      </c>
      <c r="J37" s="92">
        <f t="shared" si="29"/>
        <v>1.4500000560929038E-2</v>
      </c>
      <c r="K37" s="92">
        <f t="shared" ref="K37:AN37" si="30">K20</f>
        <v>762423.65</v>
      </c>
      <c r="L37" s="92">
        <f t="shared" si="30"/>
        <v>762468.05149999983</v>
      </c>
      <c r="M37" s="92">
        <f>M20</f>
        <v>-44.40149999985006</v>
      </c>
      <c r="N37" s="92">
        <f t="shared" si="30"/>
        <v>840465.25</v>
      </c>
      <c r="O37" s="92">
        <f t="shared" si="30"/>
        <v>840174.02599999984</v>
      </c>
      <c r="P37" s="92">
        <f t="shared" si="30"/>
        <v>291.22400000016205</v>
      </c>
      <c r="Q37" s="92">
        <f t="shared" si="30"/>
        <v>1244457.9750000001</v>
      </c>
      <c r="R37" s="92">
        <f t="shared" si="30"/>
        <v>1244075.2482500004</v>
      </c>
      <c r="S37" s="92">
        <f t="shared" si="30"/>
        <v>382.72674999974697</v>
      </c>
      <c r="T37" s="92">
        <f t="shared" si="30"/>
        <v>1032195</v>
      </c>
      <c r="U37" s="92">
        <f t="shared" si="30"/>
        <v>1031647.4669999995</v>
      </c>
      <c r="V37" s="92">
        <f t="shared" si="30"/>
        <v>547.53300000051968</v>
      </c>
      <c r="W37" s="92">
        <f t="shared" si="30"/>
        <v>1389140</v>
      </c>
      <c r="X37" s="92">
        <f t="shared" si="30"/>
        <v>1392043.7860000001</v>
      </c>
      <c r="Y37" s="92">
        <f t="shared" si="30"/>
        <v>-2903.7860000000337</v>
      </c>
      <c r="Z37" s="92">
        <f t="shared" si="30"/>
        <v>1155878</v>
      </c>
      <c r="AA37" s="92">
        <f t="shared" si="30"/>
        <v>1155877.8442499996</v>
      </c>
      <c r="AB37" s="92">
        <f t="shared" si="30"/>
        <v>0.15575000032777098</v>
      </c>
      <c r="AC37" s="92">
        <f t="shared" si="30"/>
        <v>1252619</v>
      </c>
      <c r="AD37" s="92">
        <f t="shared" si="30"/>
        <v>1252618.4975000001</v>
      </c>
      <c r="AE37" s="92">
        <f t="shared" si="30"/>
        <v>0.50249999999050488</v>
      </c>
      <c r="AF37" s="92">
        <f t="shared" si="30"/>
        <v>1419235</v>
      </c>
      <c r="AG37" s="92">
        <f t="shared" si="30"/>
        <v>1419173.9619999994</v>
      </c>
      <c r="AH37" s="92">
        <f t="shared" si="30"/>
        <v>61.038000000557076</v>
      </c>
      <c r="AI37" s="92">
        <f t="shared" si="30"/>
        <v>1490229</v>
      </c>
      <c r="AJ37" s="92">
        <f t="shared" si="30"/>
        <v>1490225.0619999995</v>
      </c>
      <c r="AK37" s="92">
        <f t="shared" si="30"/>
        <v>3.9380000005476177</v>
      </c>
      <c r="AL37" s="92">
        <f t="shared" si="30"/>
        <v>13194048.949999999</v>
      </c>
      <c r="AM37" s="92">
        <f t="shared" si="30"/>
        <v>13195804.347999997</v>
      </c>
      <c r="AN37" s="92">
        <f t="shared" si="30"/>
        <v>-1755.3979999982512</v>
      </c>
    </row>
    <row r="38" spans="1:42" ht="15" x14ac:dyDescent="0.25">
      <c r="A38" s="94" t="s">
        <v>197</v>
      </c>
      <c r="B38" s="103">
        <v>44801</v>
      </c>
      <c r="C38" s="104">
        <f>+working!C16</f>
        <v>40803.449999999997</v>
      </c>
      <c r="D38" s="105">
        <f t="shared" ref="D38:D54" si="31">B38-C38</f>
        <v>3997.5500000000029</v>
      </c>
      <c r="E38" s="103">
        <v>24567</v>
      </c>
      <c r="F38" s="103">
        <v>24107</v>
      </c>
      <c r="G38" s="105">
        <f t="shared" ref="G38:G54" si="32">E38-F38</f>
        <v>460</v>
      </c>
      <c r="H38" s="105">
        <v>9794</v>
      </c>
      <c r="I38" s="103">
        <f>+working!I16</f>
        <v>59160.2</v>
      </c>
      <c r="J38" s="105">
        <f t="shared" ref="J38:J54" si="33">H38-I38</f>
        <v>-49366.2</v>
      </c>
      <c r="K38" s="105">
        <v>8839</v>
      </c>
      <c r="L38" s="103">
        <f>+working!L16</f>
        <v>37033.65</v>
      </c>
      <c r="M38" s="105">
        <f t="shared" ref="M38:M54" si="34">K38-L38</f>
        <v>-28194.65</v>
      </c>
      <c r="N38" s="105">
        <v>40465</v>
      </c>
      <c r="O38" s="103">
        <f>+working!O16</f>
        <v>40466.600000000006</v>
      </c>
      <c r="P38" s="105">
        <f t="shared" ref="P38:P54" si="35">N38-O38</f>
        <v>-1.6000000000058208</v>
      </c>
      <c r="Q38" s="103">
        <v>36330</v>
      </c>
      <c r="R38" s="103">
        <f>+working!R16</f>
        <v>37391.324999999997</v>
      </c>
      <c r="S38" s="105">
        <f t="shared" ref="S38:S54" si="36">Q38-R38</f>
        <v>-1061.3249999999971</v>
      </c>
      <c r="T38" s="108">
        <v>68080</v>
      </c>
      <c r="U38" s="125">
        <f>+working!U16</f>
        <v>62936.525000000001</v>
      </c>
      <c r="V38" s="125"/>
      <c r="W38" s="125">
        <v>36800</v>
      </c>
      <c r="X38" s="125">
        <f>+working!X16</f>
        <v>42615.199999999997</v>
      </c>
      <c r="Y38" s="125"/>
      <c r="Z38" s="125">
        <v>48372</v>
      </c>
      <c r="AA38" s="125">
        <f>+working!AA16</f>
        <v>48229.625</v>
      </c>
      <c r="AB38" s="125"/>
      <c r="AC38" s="125">
        <v>46045</v>
      </c>
      <c r="AD38" s="125">
        <f>+working!AD16</f>
        <v>46065.100000000006</v>
      </c>
      <c r="AE38" s="125"/>
      <c r="AF38" s="125">
        <v>65621</v>
      </c>
      <c r="AG38" s="108">
        <f>+working!AG16</f>
        <v>67346.375</v>
      </c>
      <c r="AH38" s="125"/>
      <c r="AI38" s="125">
        <v>102872</v>
      </c>
      <c r="AJ38" s="98">
        <f>+working!AJ16</f>
        <v>100495.925</v>
      </c>
      <c r="AK38" s="98"/>
      <c r="AL38" s="98"/>
      <c r="AM38" s="98"/>
      <c r="AN38" s="98"/>
    </row>
    <row r="39" spans="1:42" ht="15" x14ac:dyDescent="0.25">
      <c r="A39" s="94" t="s">
        <v>212</v>
      </c>
      <c r="B39" s="101">
        <f>B37-B38</f>
        <v>844069</v>
      </c>
      <c r="C39" s="101">
        <f t="shared" ref="C39:S39" si="37">C37-C38</f>
        <v>848160.55</v>
      </c>
      <c r="D39" s="101">
        <f t="shared" si="37"/>
        <v>-3997.5500000000029</v>
      </c>
      <c r="E39" s="101">
        <f t="shared" si="37"/>
        <v>701929</v>
      </c>
      <c r="F39" s="101">
        <f t="shared" si="37"/>
        <v>702389.34300000011</v>
      </c>
      <c r="G39" s="101">
        <f t="shared" si="37"/>
        <v>-460.3430000000867</v>
      </c>
      <c r="H39" s="101">
        <f t="shared" ref="H39" si="38">H37-H38</f>
        <v>982246.07500000007</v>
      </c>
      <c r="I39" s="101">
        <f t="shared" ref="I39" si="39">I37-I38</f>
        <v>932879.8604999996</v>
      </c>
      <c r="J39" s="101">
        <f t="shared" si="37"/>
        <v>49366.214500000555</v>
      </c>
      <c r="K39" s="101">
        <f t="shared" ref="K39" si="40">K37-K38</f>
        <v>753584.65</v>
      </c>
      <c r="L39" s="101">
        <f t="shared" ref="L39" si="41">L37-L38</f>
        <v>725434.4014999998</v>
      </c>
      <c r="M39" s="101">
        <f t="shared" si="37"/>
        <v>28150.248500000151</v>
      </c>
      <c r="N39" s="101">
        <f t="shared" ref="N39" si="42">N37-N38</f>
        <v>800000.25</v>
      </c>
      <c r="O39" s="101">
        <f t="shared" ref="O39" si="43">O37-O38</f>
        <v>799707.42599999986</v>
      </c>
      <c r="P39" s="101">
        <f t="shared" si="37"/>
        <v>292.82400000016787</v>
      </c>
      <c r="Q39" s="101">
        <f t="shared" si="37"/>
        <v>1208127.9750000001</v>
      </c>
      <c r="R39" s="101">
        <f t="shared" si="37"/>
        <v>1206683.9232500005</v>
      </c>
      <c r="S39" s="101">
        <f t="shared" si="37"/>
        <v>1444.0517499997441</v>
      </c>
      <c r="T39" s="125">
        <v>3729</v>
      </c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08"/>
      <c r="AH39" s="125"/>
      <c r="AI39" s="109"/>
      <c r="AJ39" s="98"/>
      <c r="AK39" s="98"/>
      <c r="AL39" s="98"/>
      <c r="AM39" s="98"/>
      <c r="AN39" s="98"/>
    </row>
    <row r="40" spans="1:42" ht="15" x14ac:dyDescent="0.25">
      <c r="A40" s="94" t="s">
        <v>200</v>
      </c>
      <c r="B40" s="101">
        <v>0</v>
      </c>
      <c r="C40" s="100"/>
      <c r="D40" s="100"/>
      <c r="E40" s="101">
        <v>0</v>
      </c>
      <c r="F40" s="101">
        <v>21058</v>
      </c>
      <c r="G40" s="100"/>
      <c r="H40" s="100"/>
      <c r="I40" s="101"/>
      <c r="J40" s="100"/>
      <c r="K40" s="100"/>
      <c r="L40" s="101"/>
      <c r="M40" s="100"/>
      <c r="N40" s="100">
        <v>12166</v>
      </c>
      <c r="O40" s="101">
        <v>12166</v>
      </c>
      <c r="P40" s="100"/>
      <c r="Q40" s="101"/>
      <c r="R40" s="101"/>
      <c r="S40" s="100"/>
      <c r="T40" s="124">
        <f>T37-T38-T39</f>
        <v>960386</v>
      </c>
      <c r="U40" s="124">
        <f t="shared" ref="U40:AN40" si="44">U37-U38-U39</f>
        <v>968710.94199999946</v>
      </c>
      <c r="V40" s="124">
        <f t="shared" si="44"/>
        <v>547.53300000051968</v>
      </c>
      <c r="W40" s="124">
        <f t="shared" si="44"/>
        <v>1352340</v>
      </c>
      <c r="X40" s="124">
        <f t="shared" si="44"/>
        <v>1349428.5860000001</v>
      </c>
      <c r="Y40" s="124">
        <f t="shared" si="44"/>
        <v>-2903.7860000000337</v>
      </c>
      <c r="Z40" s="124">
        <f t="shared" si="44"/>
        <v>1107506</v>
      </c>
      <c r="AA40" s="124">
        <f t="shared" si="44"/>
        <v>1107648.2192499996</v>
      </c>
      <c r="AB40" s="124">
        <f t="shared" si="44"/>
        <v>0.15575000032777098</v>
      </c>
      <c r="AC40" s="124">
        <f t="shared" si="44"/>
        <v>1206574</v>
      </c>
      <c r="AD40" s="124">
        <f t="shared" si="44"/>
        <v>1206553.3975</v>
      </c>
      <c r="AE40" s="124">
        <f t="shared" si="44"/>
        <v>0.50249999999050488</v>
      </c>
      <c r="AF40" s="124">
        <f t="shared" si="44"/>
        <v>1353614</v>
      </c>
      <c r="AG40" s="124">
        <f t="shared" si="44"/>
        <v>1351827.5869999994</v>
      </c>
      <c r="AH40" s="124">
        <f t="shared" si="44"/>
        <v>61.038000000557076</v>
      </c>
      <c r="AI40" s="124">
        <f t="shared" si="44"/>
        <v>1387357</v>
      </c>
      <c r="AJ40" s="91">
        <f t="shared" si="44"/>
        <v>1389729.1369999994</v>
      </c>
      <c r="AK40" s="91">
        <f t="shared" si="44"/>
        <v>3.9380000005476177</v>
      </c>
      <c r="AL40" s="91">
        <f t="shared" si="44"/>
        <v>13194048.949999999</v>
      </c>
      <c r="AM40" s="91">
        <f t="shared" si="44"/>
        <v>13195804.347999997</v>
      </c>
      <c r="AN40" s="91">
        <f t="shared" si="44"/>
        <v>-1755.3979999982512</v>
      </c>
    </row>
    <row r="41" spans="1:42" ht="15" x14ac:dyDescent="0.25">
      <c r="A41" s="94" t="s">
        <v>201</v>
      </c>
      <c r="B41" s="101">
        <v>5000</v>
      </c>
      <c r="C41" s="101">
        <v>5000</v>
      </c>
      <c r="D41" s="101">
        <f t="shared" si="31"/>
        <v>0</v>
      </c>
      <c r="E41" s="101"/>
      <c r="F41" s="101">
        <v>0</v>
      </c>
      <c r="G41" s="101">
        <f t="shared" si="32"/>
        <v>0</v>
      </c>
      <c r="H41" s="101"/>
      <c r="I41" s="101"/>
      <c r="J41" s="101">
        <f t="shared" si="33"/>
        <v>0</v>
      </c>
      <c r="K41" s="101"/>
      <c r="L41" s="101"/>
      <c r="M41" s="101">
        <f t="shared" si="34"/>
        <v>0</v>
      </c>
      <c r="N41" s="101">
        <v>2000</v>
      </c>
      <c r="O41" s="101">
        <v>2000</v>
      </c>
      <c r="P41" s="101">
        <f t="shared" si="35"/>
        <v>0</v>
      </c>
      <c r="Q41" s="101"/>
      <c r="R41" s="101"/>
      <c r="S41" s="101">
        <f t="shared" si="36"/>
        <v>0</v>
      </c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91"/>
      <c r="AK41" s="91"/>
      <c r="AL41" s="98"/>
      <c r="AM41" s="91"/>
      <c r="AN41" s="91"/>
    </row>
    <row r="42" spans="1:42" ht="15" x14ac:dyDescent="0.25">
      <c r="A42" s="94" t="s">
        <v>202</v>
      </c>
      <c r="B42" s="101">
        <v>904399</v>
      </c>
      <c r="C42" s="101">
        <v>904399</v>
      </c>
      <c r="D42" s="101">
        <f t="shared" si="31"/>
        <v>0</v>
      </c>
      <c r="E42" s="101">
        <v>730187</v>
      </c>
      <c r="F42" s="101">
        <v>730187</v>
      </c>
      <c r="G42" s="101">
        <f t="shared" si="32"/>
        <v>0</v>
      </c>
      <c r="H42" s="101">
        <v>982246</v>
      </c>
      <c r="I42" s="101">
        <v>982246</v>
      </c>
      <c r="J42" s="101">
        <f t="shared" si="33"/>
        <v>0</v>
      </c>
      <c r="K42" s="101">
        <v>754075</v>
      </c>
      <c r="L42" s="101">
        <v>754075</v>
      </c>
      <c r="M42" s="101">
        <f t="shared" si="34"/>
        <v>0</v>
      </c>
      <c r="N42" s="101">
        <v>825264</v>
      </c>
      <c r="O42" s="101">
        <v>825264</v>
      </c>
      <c r="P42" s="101">
        <f t="shared" si="35"/>
        <v>0</v>
      </c>
      <c r="Q42" s="101">
        <v>1207760</v>
      </c>
      <c r="R42" s="101">
        <v>1207760</v>
      </c>
      <c r="S42" s="101">
        <f t="shared" si="36"/>
        <v>0</v>
      </c>
      <c r="T42" s="124">
        <v>2000</v>
      </c>
      <c r="U42" s="124"/>
      <c r="V42" s="124"/>
      <c r="W42" s="124">
        <v>2000</v>
      </c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>
        <v>5000</v>
      </c>
      <c r="AJ42" s="91"/>
      <c r="AK42" s="91"/>
      <c r="AL42" s="98"/>
      <c r="AM42" s="91"/>
      <c r="AN42" s="91"/>
    </row>
    <row r="43" spans="1:42" ht="15" x14ac:dyDescent="0.25">
      <c r="A43" s="94" t="s">
        <v>198</v>
      </c>
      <c r="B43" s="102" t="s">
        <v>199</v>
      </c>
      <c r="C43" s="102" t="s">
        <v>199</v>
      </c>
      <c r="D43" s="101"/>
      <c r="E43" s="100" t="s">
        <v>218</v>
      </c>
      <c r="F43" s="100" t="s">
        <v>218</v>
      </c>
      <c r="G43" s="101"/>
      <c r="H43" s="100" t="s">
        <v>219</v>
      </c>
      <c r="I43" s="100" t="s">
        <v>219</v>
      </c>
      <c r="J43" s="100"/>
      <c r="K43" s="100" t="s">
        <v>220</v>
      </c>
      <c r="L43" s="100" t="s">
        <v>220</v>
      </c>
      <c r="M43" s="100"/>
      <c r="N43" s="100" t="s">
        <v>221</v>
      </c>
      <c r="O43" s="100" t="s">
        <v>221</v>
      </c>
      <c r="P43" s="100"/>
      <c r="Q43" s="100" t="s">
        <v>222</v>
      </c>
      <c r="R43" s="100" t="s">
        <v>222</v>
      </c>
      <c r="S43" s="100"/>
      <c r="T43" s="124">
        <v>963567</v>
      </c>
      <c r="U43" s="124"/>
      <c r="V43" s="124"/>
      <c r="W43" s="124">
        <v>1352340</v>
      </c>
      <c r="X43" s="124"/>
      <c r="Y43" s="124"/>
      <c r="Z43" s="124">
        <v>1107506</v>
      </c>
      <c r="AA43" s="124"/>
      <c r="AB43" s="124"/>
      <c r="AC43" s="124">
        <v>1206575</v>
      </c>
      <c r="AD43" s="124"/>
      <c r="AE43" s="124"/>
      <c r="AF43" s="124">
        <v>1353614</v>
      </c>
      <c r="AG43" s="124"/>
      <c r="AH43" s="124"/>
      <c r="AI43" s="124">
        <v>1389357</v>
      </c>
      <c r="AJ43" s="91"/>
      <c r="AK43" s="91"/>
      <c r="AL43" s="98"/>
      <c r="AM43" s="91"/>
      <c r="AN43" s="91"/>
    </row>
    <row r="44" spans="1:42" x14ac:dyDescent="0.25">
      <c r="A44" s="94" t="s">
        <v>211</v>
      </c>
      <c r="B44" s="99">
        <f>B42-B39-B40-B41</f>
        <v>55330</v>
      </c>
      <c r="C44" s="99">
        <f>C42-C39-C40-C41</f>
        <v>51238.449999999953</v>
      </c>
      <c r="D44" s="101">
        <f t="shared" si="31"/>
        <v>4091.5500000000466</v>
      </c>
      <c r="E44" s="99">
        <f>E42-E39-E40-E41</f>
        <v>28258</v>
      </c>
      <c r="F44" s="100"/>
      <c r="G44" s="101">
        <f t="shared" si="32"/>
        <v>28258</v>
      </c>
      <c r="H44" s="101"/>
      <c r="I44" s="100"/>
      <c r="J44" s="101">
        <f t="shared" si="33"/>
        <v>0</v>
      </c>
      <c r="K44" s="101"/>
      <c r="L44" s="100"/>
      <c r="M44" s="101">
        <f t="shared" si="34"/>
        <v>0</v>
      </c>
      <c r="N44" s="101"/>
      <c r="O44" s="100"/>
      <c r="P44" s="101">
        <f t="shared" si="35"/>
        <v>0</v>
      </c>
      <c r="Q44" s="100"/>
      <c r="R44" s="100"/>
      <c r="S44" s="101">
        <f t="shared" si="36"/>
        <v>0</v>
      </c>
      <c r="T44" s="109" t="s">
        <v>227</v>
      </c>
      <c r="U44" s="109"/>
      <c r="V44" s="109"/>
      <c r="W44" s="109" t="s">
        <v>228</v>
      </c>
      <c r="X44" s="109"/>
      <c r="Y44" s="109"/>
      <c r="Z44" s="109" t="s">
        <v>229</v>
      </c>
      <c r="AA44" s="109"/>
      <c r="AB44" s="109"/>
      <c r="AC44" s="109" t="s">
        <v>230</v>
      </c>
      <c r="AD44" s="109"/>
      <c r="AE44" s="109"/>
      <c r="AF44" s="109" t="s">
        <v>231</v>
      </c>
      <c r="AG44" s="109"/>
      <c r="AH44" s="109"/>
      <c r="AI44" s="109" t="s">
        <v>232</v>
      </c>
      <c r="AN44" s="107">
        <f>AN37-AN38-AN40</f>
        <v>0</v>
      </c>
    </row>
    <row r="45" spans="1:42" ht="15" x14ac:dyDescent="0.25"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25">
        <f t="shared" ref="T45:AN45" si="45">T43-T40-T41-T42</f>
        <v>1181</v>
      </c>
      <c r="U45" s="125">
        <f t="shared" si="45"/>
        <v>-968710.94199999946</v>
      </c>
      <c r="V45" s="125">
        <f t="shared" si="45"/>
        <v>-547.53300000051968</v>
      </c>
      <c r="W45" s="125">
        <f t="shared" si="45"/>
        <v>-2000</v>
      </c>
      <c r="X45" s="125">
        <f t="shared" si="45"/>
        <v>-1349428.5860000001</v>
      </c>
      <c r="Y45" s="125">
        <f t="shared" si="45"/>
        <v>2903.7860000000337</v>
      </c>
      <c r="Z45" s="125">
        <f t="shared" si="45"/>
        <v>0</v>
      </c>
      <c r="AA45" s="125">
        <f t="shared" si="45"/>
        <v>-1107648.2192499996</v>
      </c>
      <c r="AB45" s="125">
        <f t="shared" si="45"/>
        <v>-0.15575000032777098</v>
      </c>
      <c r="AC45" s="125">
        <f t="shared" si="45"/>
        <v>1</v>
      </c>
      <c r="AD45" s="125">
        <f t="shared" si="45"/>
        <v>-1206553.3975</v>
      </c>
      <c r="AE45" s="125">
        <f t="shared" si="45"/>
        <v>-0.50249999999050488</v>
      </c>
      <c r="AF45" s="125">
        <f t="shared" si="45"/>
        <v>0</v>
      </c>
      <c r="AG45" s="125">
        <f t="shared" si="45"/>
        <v>-1351827.5869999994</v>
      </c>
      <c r="AH45" s="125">
        <f t="shared" si="45"/>
        <v>-61.038000000557076</v>
      </c>
      <c r="AI45" s="125">
        <f t="shared" si="45"/>
        <v>-3000</v>
      </c>
      <c r="AJ45" s="98">
        <f t="shared" si="45"/>
        <v>-1389729.1369999994</v>
      </c>
      <c r="AK45" s="98">
        <f t="shared" si="45"/>
        <v>-3.9380000005476177</v>
      </c>
      <c r="AL45" s="98">
        <f t="shared" si="45"/>
        <v>-13194048.949999999</v>
      </c>
      <c r="AM45" s="98">
        <f t="shared" si="45"/>
        <v>-13195804.347999997</v>
      </c>
      <c r="AN45" s="98">
        <f t="shared" si="45"/>
        <v>1755.3979999982512</v>
      </c>
    </row>
    <row r="46" spans="1:42" x14ac:dyDescent="0.25">
      <c r="A46" s="94" t="s">
        <v>203</v>
      </c>
      <c r="B46" s="100">
        <v>197994</v>
      </c>
      <c r="C46" s="100">
        <v>197994</v>
      </c>
      <c r="D46" s="101">
        <f t="shared" si="31"/>
        <v>0</v>
      </c>
      <c r="E46" s="99">
        <f>+E32</f>
        <v>158028</v>
      </c>
      <c r="F46" s="99">
        <f>+F32</f>
        <v>158009.98000000001</v>
      </c>
      <c r="G46" s="101">
        <f t="shared" si="32"/>
        <v>18.019999999989523</v>
      </c>
      <c r="H46" s="99">
        <f>+H32</f>
        <v>180333.72</v>
      </c>
      <c r="I46" s="99">
        <f>+I32</f>
        <v>173471.75380000001</v>
      </c>
      <c r="J46" s="101">
        <f t="shared" si="33"/>
        <v>6861.9661999999953</v>
      </c>
      <c r="K46" s="99">
        <f>+K32</f>
        <v>354915.48</v>
      </c>
      <c r="L46" s="99">
        <f>+L32</f>
        <v>331692.23339999991</v>
      </c>
      <c r="M46" s="101">
        <f t="shared" si="34"/>
        <v>23223.246600000071</v>
      </c>
      <c r="N46" s="99">
        <f>+N32</f>
        <v>218018.56</v>
      </c>
      <c r="O46" s="99">
        <f>+O32</f>
        <v>218018.5208</v>
      </c>
      <c r="P46" s="101">
        <f t="shared" si="35"/>
        <v>3.9199999999254942E-2</v>
      </c>
      <c r="Q46" s="99">
        <f>+Q32</f>
        <v>246811.76</v>
      </c>
      <c r="R46" s="99">
        <f>+R32</f>
        <v>246562.91580000002</v>
      </c>
      <c r="S46" s="101">
        <f t="shared" si="36"/>
        <v>248.84419999999227</v>
      </c>
      <c r="T46" s="98">
        <f>T33</f>
        <v>243231</v>
      </c>
      <c r="W46" s="94">
        <v>327760</v>
      </c>
      <c r="Z46" s="89">
        <v>226664</v>
      </c>
      <c r="AC46" s="94">
        <v>361969</v>
      </c>
      <c r="AF46" s="94">
        <v>516360</v>
      </c>
      <c r="AI46" s="98">
        <f>AI33</f>
        <v>417236</v>
      </c>
    </row>
    <row r="47" spans="1:42" x14ac:dyDescent="0.25">
      <c r="A47" s="94" t="s">
        <v>200</v>
      </c>
      <c r="B47" s="100">
        <v>0</v>
      </c>
      <c r="C47" s="100">
        <v>0</v>
      </c>
      <c r="D47" s="101">
        <f t="shared" si="31"/>
        <v>0</v>
      </c>
      <c r="E47" s="100">
        <v>4740</v>
      </c>
      <c r="F47" s="100">
        <v>4740</v>
      </c>
      <c r="G47" s="101">
        <f t="shared" si="32"/>
        <v>0</v>
      </c>
      <c r="H47" s="101"/>
      <c r="I47" s="100"/>
      <c r="J47" s="101">
        <f t="shared" si="33"/>
        <v>0</v>
      </c>
      <c r="K47" s="101"/>
      <c r="L47" s="100"/>
      <c r="M47" s="101">
        <f t="shared" si="34"/>
        <v>0</v>
      </c>
      <c r="N47" s="101">
        <v>3270</v>
      </c>
      <c r="O47" s="100">
        <v>3270</v>
      </c>
      <c r="P47" s="101">
        <f t="shared" si="35"/>
        <v>0</v>
      </c>
      <c r="Q47" s="100"/>
      <c r="R47" s="100"/>
      <c r="S47" s="101">
        <f t="shared" si="36"/>
        <v>0</v>
      </c>
    </row>
    <row r="48" spans="1:42" x14ac:dyDescent="0.25">
      <c r="A48" s="94" t="s">
        <v>201</v>
      </c>
      <c r="B48" s="100">
        <v>5000</v>
      </c>
      <c r="C48" s="100">
        <v>5000</v>
      </c>
      <c r="D48" s="101">
        <f t="shared" si="31"/>
        <v>0</v>
      </c>
      <c r="E48" s="100">
        <v>0</v>
      </c>
      <c r="F48" s="100">
        <v>0</v>
      </c>
      <c r="G48" s="101">
        <f t="shared" si="32"/>
        <v>0</v>
      </c>
      <c r="H48" s="101"/>
      <c r="I48" s="100"/>
      <c r="J48" s="101">
        <f t="shared" si="33"/>
        <v>0</v>
      </c>
      <c r="K48" s="101"/>
      <c r="L48" s="100"/>
      <c r="M48" s="101">
        <f t="shared" si="34"/>
        <v>0</v>
      </c>
      <c r="N48" s="101">
        <v>2000</v>
      </c>
      <c r="O48" s="100">
        <v>2000</v>
      </c>
      <c r="P48" s="101">
        <f t="shared" si="35"/>
        <v>0</v>
      </c>
      <c r="Q48" s="100"/>
      <c r="R48" s="100"/>
      <c r="S48" s="101">
        <f t="shared" si="36"/>
        <v>0</v>
      </c>
      <c r="T48" s="94">
        <v>3650</v>
      </c>
      <c r="W48" s="94">
        <v>2000</v>
      </c>
      <c r="Z48" s="94">
        <v>0</v>
      </c>
      <c r="AI48" s="94">
        <v>2000</v>
      </c>
    </row>
    <row r="49" spans="1:40" x14ac:dyDescent="0.25">
      <c r="A49" s="94" t="s">
        <v>215</v>
      </c>
      <c r="B49" s="99">
        <f>B46+B47+B48</f>
        <v>202994</v>
      </c>
      <c r="C49" s="99">
        <f>C46+C47+C48</f>
        <v>202994</v>
      </c>
      <c r="D49" s="101">
        <f t="shared" si="31"/>
        <v>0</v>
      </c>
      <c r="E49" s="99">
        <f>E46+E47+E48</f>
        <v>162768</v>
      </c>
      <c r="F49" s="99">
        <f>+F46+F47+F48</f>
        <v>162749.98000000001</v>
      </c>
      <c r="G49" s="101">
        <f t="shared" si="32"/>
        <v>18.019999999989523</v>
      </c>
      <c r="H49" s="99">
        <f t="shared" ref="H49:I49" si="46">+H46+H47+H48</f>
        <v>180333.72</v>
      </c>
      <c r="I49" s="99">
        <f t="shared" si="46"/>
        <v>173471.75380000001</v>
      </c>
      <c r="J49" s="101">
        <f t="shared" si="33"/>
        <v>6861.9661999999953</v>
      </c>
      <c r="K49" s="99">
        <f t="shared" ref="K49" si="47">+K46+K47+K48</f>
        <v>354915.48</v>
      </c>
      <c r="L49" s="99">
        <f t="shared" ref="L49" si="48">+L46+L47+L48</f>
        <v>331692.23339999991</v>
      </c>
      <c r="M49" s="101">
        <f t="shared" si="34"/>
        <v>23223.246600000071</v>
      </c>
      <c r="N49" s="99">
        <f t="shared" ref="N49" si="49">+N46+N47+N48</f>
        <v>223288.56</v>
      </c>
      <c r="O49" s="99">
        <f t="shared" ref="O49" si="50">+O46+O47+O48</f>
        <v>223288.5208</v>
      </c>
      <c r="P49" s="101">
        <f t="shared" si="35"/>
        <v>3.9199999999254942E-2</v>
      </c>
      <c r="Q49" s="99">
        <f t="shared" ref="Q49" si="51">+Q46+Q47+Q48</f>
        <v>246811.76</v>
      </c>
      <c r="R49" s="99">
        <f t="shared" ref="R49" si="52">+R46+R47+R48</f>
        <v>246562.91580000002</v>
      </c>
      <c r="S49" s="101">
        <f t="shared" si="36"/>
        <v>248.84419999999227</v>
      </c>
      <c r="T49" s="99">
        <f t="shared" ref="T49" si="53">+T46+T47+T48</f>
        <v>246881</v>
      </c>
      <c r="W49" s="99">
        <f t="shared" ref="W49" si="54">+W46+W47+W48</f>
        <v>329760</v>
      </c>
      <c r="Z49" s="99">
        <f t="shared" ref="Z49" si="55">+Z46+Z47+Z48</f>
        <v>226664</v>
      </c>
    </row>
    <row r="50" spans="1:40" ht="15" x14ac:dyDescent="0.25">
      <c r="A50" s="94" t="s">
        <v>216</v>
      </c>
      <c r="B50" s="100">
        <v>197994</v>
      </c>
      <c r="C50" s="100">
        <v>197994</v>
      </c>
      <c r="D50" s="101">
        <f t="shared" si="31"/>
        <v>0</v>
      </c>
      <c r="E50" s="100">
        <v>162750</v>
      </c>
      <c r="F50" s="100">
        <v>162750</v>
      </c>
      <c r="G50" s="101">
        <f t="shared" si="32"/>
        <v>0</v>
      </c>
      <c r="H50" s="101"/>
      <c r="I50" s="100"/>
      <c r="J50" s="101">
        <f t="shared" si="33"/>
        <v>0</v>
      </c>
      <c r="K50" s="100">
        <v>354915</v>
      </c>
      <c r="L50" s="100">
        <v>354915</v>
      </c>
      <c r="M50" s="101">
        <f t="shared" si="34"/>
        <v>0</v>
      </c>
      <c r="N50" s="100">
        <v>223288</v>
      </c>
      <c r="O50" s="100">
        <v>223288</v>
      </c>
      <c r="P50" s="101">
        <f t="shared" si="35"/>
        <v>0</v>
      </c>
      <c r="Q50" s="100">
        <v>246819</v>
      </c>
      <c r="R50" s="100">
        <v>246819</v>
      </c>
      <c r="S50" s="101">
        <f t="shared" si="36"/>
        <v>0</v>
      </c>
      <c r="T50" s="94">
        <v>246881</v>
      </c>
      <c r="U50" s="98">
        <f t="shared" ref="U50:AN50" si="56">U47+U48+U49</f>
        <v>0</v>
      </c>
      <c r="V50" s="98">
        <f t="shared" si="56"/>
        <v>0</v>
      </c>
      <c r="W50" s="94">
        <v>327760</v>
      </c>
      <c r="X50" s="98">
        <f t="shared" si="56"/>
        <v>0</v>
      </c>
      <c r="Y50" s="98">
        <f t="shared" si="56"/>
        <v>0</v>
      </c>
      <c r="Z50" s="98">
        <v>226664</v>
      </c>
      <c r="AA50" s="98">
        <f t="shared" si="56"/>
        <v>0</v>
      </c>
      <c r="AB50" s="98">
        <f t="shared" si="56"/>
        <v>0</v>
      </c>
      <c r="AC50" s="98">
        <f>AC46+AC48+AC49</f>
        <v>361969</v>
      </c>
      <c r="AD50" s="98">
        <f t="shared" si="56"/>
        <v>0</v>
      </c>
      <c r="AE50" s="98">
        <f t="shared" si="56"/>
        <v>0</v>
      </c>
      <c r="AF50" s="98">
        <f>AF46+AF48+AF49</f>
        <v>516360</v>
      </c>
      <c r="AG50" s="98">
        <f t="shared" si="56"/>
        <v>0</v>
      </c>
      <c r="AH50" s="98">
        <f t="shared" si="56"/>
        <v>0</v>
      </c>
      <c r="AI50" s="98">
        <f>AI46+AI48+AI49</f>
        <v>419236</v>
      </c>
      <c r="AJ50" s="98">
        <f t="shared" si="56"/>
        <v>0</v>
      </c>
      <c r="AK50" s="98">
        <f t="shared" si="56"/>
        <v>0</v>
      </c>
      <c r="AL50" s="98">
        <f t="shared" si="56"/>
        <v>0</v>
      </c>
      <c r="AM50" s="98">
        <f t="shared" si="56"/>
        <v>0</v>
      </c>
      <c r="AN50" s="98">
        <f t="shared" si="56"/>
        <v>0</v>
      </c>
    </row>
    <row r="51" spans="1:40" x14ac:dyDescent="0.25">
      <c r="A51" s="94" t="s">
        <v>213</v>
      </c>
      <c r="B51" s="100">
        <v>55330</v>
      </c>
      <c r="C51" s="100">
        <v>55330</v>
      </c>
      <c r="D51" s="101">
        <f t="shared" si="31"/>
        <v>0</v>
      </c>
      <c r="E51" s="100"/>
      <c r="F51" s="100"/>
      <c r="G51" s="101">
        <f t="shared" si="32"/>
        <v>0</v>
      </c>
      <c r="H51" s="101"/>
      <c r="I51" s="100"/>
      <c r="J51" s="101">
        <f t="shared" si="33"/>
        <v>0</v>
      </c>
      <c r="K51" s="101"/>
      <c r="L51" s="100"/>
      <c r="M51" s="101">
        <f t="shared" si="34"/>
        <v>0</v>
      </c>
      <c r="N51" s="101"/>
      <c r="O51" s="100"/>
      <c r="P51" s="101">
        <f t="shared" si="35"/>
        <v>0</v>
      </c>
      <c r="Q51" s="100"/>
      <c r="R51" s="100"/>
      <c r="S51" s="101">
        <f t="shared" si="36"/>
        <v>0</v>
      </c>
    </row>
    <row r="52" spans="1:40" x14ac:dyDescent="0.25">
      <c r="A52" s="94" t="s">
        <v>217</v>
      </c>
      <c r="B52" s="100">
        <f>B51+B50</f>
        <v>253324</v>
      </c>
      <c r="C52" s="100">
        <f>C51+C50</f>
        <v>253324</v>
      </c>
      <c r="D52" s="101">
        <f t="shared" si="31"/>
        <v>0</v>
      </c>
      <c r="E52" s="100">
        <f>E51+E50</f>
        <v>162750</v>
      </c>
      <c r="F52" s="100">
        <f>F51+F50</f>
        <v>162750</v>
      </c>
      <c r="G52" s="101">
        <f t="shared" si="32"/>
        <v>0</v>
      </c>
      <c r="H52" s="101"/>
      <c r="I52" s="100"/>
      <c r="J52" s="101">
        <f t="shared" si="33"/>
        <v>0</v>
      </c>
      <c r="K52" s="100">
        <f t="shared" ref="K52:L52" si="57">K51+K50</f>
        <v>354915</v>
      </c>
      <c r="L52" s="100">
        <f t="shared" si="57"/>
        <v>354915</v>
      </c>
      <c r="M52" s="101">
        <f t="shared" si="34"/>
        <v>0</v>
      </c>
      <c r="N52" s="100">
        <f t="shared" ref="N52" si="58">N51+N50</f>
        <v>223288</v>
      </c>
      <c r="O52" s="100">
        <f t="shared" ref="O52" si="59">O51+O50</f>
        <v>223288</v>
      </c>
      <c r="P52" s="101">
        <f t="shared" si="35"/>
        <v>0</v>
      </c>
      <c r="Q52" s="100">
        <f t="shared" ref="Q52" si="60">Q51+Q50</f>
        <v>246819</v>
      </c>
      <c r="R52" s="100">
        <f t="shared" ref="R52" si="61">R51+R50</f>
        <v>246819</v>
      </c>
      <c r="S52" s="100">
        <f t="shared" ref="S52" si="62">S51+S50</f>
        <v>0</v>
      </c>
      <c r="T52" s="94">
        <v>246881</v>
      </c>
      <c r="U52" s="94">
        <v>246881</v>
      </c>
      <c r="W52" s="94">
        <f>+W50</f>
        <v>327760</v>
      </c>
      <c r="X52" s="94">
        <f>+X50</f>
        <v>0</v>
      </c>
    </row>
    <row r="53" spans="1:40" ht="15" x14ac:dyDescent="0.25">
      <c r="A53" s="94" t="s">
        <v>198</v>
      </c>
      <c r="B53" s="102" t="s">
        <v>199</v>
      </c>
      <c r="C53" s="102" t="s">
        <v>199</v>
      </c>
      <c r="D53" s="101"/>
      <c r="E53" s="100" t="s">
        <v>223</v>
      </c>
      <c r="F53" s="100" t="s">
        <v>223</v>
      </c>
      <c r="G53" s="101"/>
      <c r="H53" s="100" t="s">
        <v>219</v>
      </c>
      <c r="I53" s="100" t="s">
        <v>219</v>
      </c>
      <c r="J53" s="100"/>
      <c r="K53" s="100" t="s">
        <v>224</v>
      </c>
      <c r="L53" s="100" t="s">
        <v>224</v>
      </c>
      <c r="M53" s="100"/>
      <c r="N53" s="100" t="s">
        <v>221</v>
      </c>
      <c r="O53" s="100" t="s">
        <v>221</v>
      </c>
      <c r="P53" s="100"/>
      <c r="Q53" s="100" t="s">
        <v>222</v>
      </c>
      <c r="R53" s="100" t="s">
        <v>222</v>
      </c>
      <c r="S53" s="100"/>
      <c r="T53" s="94" t="s">
        <v>234</v>
      </c>
      <c r="U53" s="94" t="s">
        <v>234</v>
      </c>
      <c r="V53" s="94">
        <f t="shared" ref="V53:AN53" si="63">V52+V51</f>
        <v>0</v>
      </c>
      <c r="W53" s="94" t="s">
        <v>228</v>
      </c>
      <c r="X53" s="94" t="s">
        <v>228</v>
      </c>
      <c r="Y53" s="94">
        <f t="shared" si="63"/>
        <v>0</v>
      </c>
      <c r="Z53" s="94" t="s">
        <v>229</v>
      </c>
      <c r="AA53" s="94">
        <f t="shared" si="63"/>
        <v>0</v>
      </c>
      <c r="AB53" s="94">
        <f t="shared" si="63"/>
        <v>0</v>
      </c>
      <c r="AC53" s="94" t="s">
        <v>230</v>
      </c>
      <c r="AD53" s="94">
        <f t="shared" si="63"/>
        <v>0</v>
      </c>
      <c r="AE53" s="94">
        <f t="shared" si="63"/>
        <v>0</v>
      </c>
      <c r="AF53" s="94" t="s">
        <v>231</v>
      </c>
      <c r="AG53" s="94">
        <f t="shared" si="63"/>
        <v>0</v>
      </c>
      <c r="AH53" s="94">
        <f t="shared" si="63"/>
        <v>0</v>
      </c>
      <c r="AI53" s="94" t="s">
        <v>233</v>
      </c>
      <c r="AJ53" s="94">
        <f t="shared" si="63"/>
        <v>0</v>
      </c>
      <c r="AK53" s="94">
        <f t="shared" si="63"/>
        <v>0</v>
      </c>
      <c r="AL53" s="94">
        <f t="shared" si="63"/>
        <v>0</v>
      </c>
      <c r="AM53" s="94">
        <f t="shared" si="63"/>
        <v>0</v>
      </c>
      <c r="AN53" s="94">
        <f t="shared" si="63"/>
        <v>0</v>
      </c>
    </row>
    <row r="54" spans="1:40" x14ac:dyDescent="0.25">
      <c r="A54" s="94" t="s">
        <v>214</v>
      </c>
      <c r="B54" s="99">
        <f>B52-B49</f>
        <v>50330</v>
      </c>
      <c r="C54" s="99">
        <f>C52-C49</f>
        <v>50330</v>
      </c>
      <c r="D54" s="101">
        <f t="shared" si="31"/>
        <v>0</v>
      </c>
      <c r="E54" s="99">
        <f>E52-E49</f>
        <v>-18</v>
      </c>
      <c r="F54" s="100"/>
      <c r="G54" s="101">
        <f t="shared" si="32"/>
        <v>-18</v>
      </c>
      <c r="H54" s="101"/>
      <c r="I54" s="100"/>
      <c r="J54" s="101">
        <f t="shared" si="33"/>
        <v>0</v>
      </c>
      <c r="K54" s="101"/>
      <c r="L54" s="100"/>
      <c r="M54" s="101">
        <f t="shared" si="34"/>
        <v>0</v>
      </c>
      <c r="N54" s="101"/>
      <c r="O54" s="100"/>
      <c r="P54" s="101">
        <f t="shared" si="35"/>
        <v>0</v>
      </c>
      <c r="Q54" s="100"/>
      <c r="R54" s="100"/>
      <c r="S54" s="101">
        <f t="shared" si="36"/>
        <v>0</v>
      </c>
    </row>
    <row r="55" spans="1:40" ht="15" x14ac:dyDescent="0.25"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</row>
    <row r="56" spans="1:40" ht="15" x14ac:dyDescent="0.25">
      <c r="AL56" s="94"/>
      <c r="AM56" s="94"/>
      <c r="AN56" s="94"/>
    </row>
  </sheetData>
  <autoFilter ref="A6:AN6"/>
  <mergeCells count="13">
    <mergeCell ref="Q5:S5"/>
    <mergeCell ref="B5:D5"/>
    <mergeCell ref="E5:G5"/>
    <mergeCell ref="H5:J5"/>
    <mergeCell ref="K5:M5"/>
    <mergeCell ref="N5:P5"/>
    <mergeCell ref="AI5:AK5"/>
    <mergeCell ref="AL5:AN5"/>
    <mergeCell ref="T5:V5"/>
    <mergeCell ref="W5:Y5"/>
    <mergeCell ref="Z5:AB5"/>
    <mergeCell ref="AC5:AE5"/>
    <mergeCell ref="AF5:AH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4:R54"/>
  <sheetViews>
    <sheetView topLeftCell="A5" workbookViewId="0">
      <pane ySplit="1" topLeftCell="A6" activePane="bottomLeft" state="frozen"/>
      <selection activeCell="A5" sqref="A5"/>
      <selection pane="bottomLeft"/>
    </sheetView>
  </sheetViews>
  <sheetFormatPr defaultRowHeight="15" x14ac:dyDescent="0.25"/>
  <cols>
    <col min="1" max="2" width="12" bestFit="1" customWidth="1"/>
    <col min="3" max="3" width="14" bestFit="1" customWidth="1"/>
    <col min="4" max="4" width="14" customWidth="1"/>
    <col min="5" max="5" width="11.5703125" bestFit="1" customWidth="1"/>
    <col min="6" max="7" width="10.5703125" bestFit="1" customWidth="1"/>
    <col min="8" max="8" width="9.28515625" bestFit="1" customWidth="1"/>
    <col min="9" max="9" width="15" style="8" bestFit="1" customWidth="1"/>
    <col min="10" max="10" width="19" style="8" bestFit="1" customWidth="1"/>
    <col min="11" max="11" width="15" style="8" customWidth="1"/>
    <col min="12" max="12" width="19.140625" style="8" bestFit="1" customWidth="1"/>
    <col min="13" max="13" width="15" style="8" customWidth="1"/>
    <col min="14" max="15" width="9.28515625" bestFit="1" customWidth="1"/>
    <col min="16" max="16" width="13.140625" bestFit="1" customWidth="1"/>
    <col min="17" max="17" width="10.7109375" customWidth="1"/>
    <col min="18" max="18" width="9.28515625" bestFit="1" customWidth="1"/>
  </cols>
  <sheetData>
    <row r="4" spans="1:18" x14ac:dyDescent="0.25">
      <c r="C4" s="3" t="s">
        <v>28</v>
      </c>
      <c r="D4" s="3"/>
      <c r="E4" s="3"/>
    </row>
    <row r="5" spans="1:18" x14ac:dyDescent="0.25">
      <c r="B5" t="s">
        <v>66</v>
      </c>
      <c r="C5" s="5" t="s">
        <v>27</v>
      </c>
      <c r="D5" s="5" t="s">
        <v>25</v>
      </c>
      <c r="E5" s="5" t="s">
        <v>29</v>
      </c>
      <c r="F5" s="5" t="s">
        <v>30</v>
      </c>
      <c r="G5" s="5" t="s">
        <v>31</v>
      </c>
      <c r="H5" s="5" t="s">
        <v>18</v>
      </c>
      <c r="I5" s="9" t="s">
        <v>34</v>
      </c>
      <c r="J5" s="9" t="s">
        <v>153</v>
      </c>
      <c r="K5" s="9" t="s">
        <v>41</v>
      </c>
      <c r="L5" s="9" t="s">
        <v>154</v>
      </c>
      <c r="M5" s="9" t="s">
        <v>24</v>
      </c>
      <c r="N5" s="5" t="s">
        <v>32</v>
      </c>
      <c r="O5" s="5" t="s">
        <v>33</v>
      </c>
      <c r="P5" s="5" t="s">
        <v>42</v>
      </c>
      <c r="Q5" s="5" t="s">
        <v>43</v>
      </c>
      <c r="R5" s="5" t="s">
        <v>25</v>
      </c>
    </row>
    <row r="6" spans="1:18" x14ac:dyDescent="0.25">
      <c r="A6" s="15">
        <f>+B6-D6</f>
        <v>-343995.24000000022</v>
      </c>
      <c r="B6" s="14">
        <v>13648880.65</v>
      </c>
      <c r="C6" s="4" t="s">
        <v>0</v>
      </c>
      <c r="D6" s="18">
        <f>+SUM(E6:R6)</f>
        <v>13992875.890000001</v>
      </c>
      <c r="E6" s="10">
        <v>363824</v>
      </c>
      <c r="F6" s="61">
        <v>18193.89</v>
      </c>
      <c r="G6" s="61">
        <v>180898</v>
      </c>
      <c r="H6" s="61">
        <v>22612</v>
      </c>
      <c r="I6" s="10">
        <v>13399092</v>
      </c>
      <c r="J6" s="10"/>
      <c r="K6" s="10"/>
      <c r="L6" s="10"/>
      <c r="M6" s="10"/>
      <c r="N6" s="10"/>
      <c r="O6" s="10"/>
      <c r="P6" s="10">
        <v>4506</v>
      </c>
      <c r="Q6" s="10">
        <v>3750</v>
      </c>
      <c r="R6" s="10"/>
    </row>
    <row r="7" spans="1:18" x14ac:dyDescent="0.25">
      <c r="C7" s="4" t="s">
        <v>26</v>
      </c>
      <c r="D7" s="18">
        <f>+SUM(E7:R7)</f>
        <v>25387904.25</v>
      </c>
      <c r="E7" s="10">
        <f>+working!B9</f>
        <v>426605</v>
      </c>
      <c r="F7" s="61">
        <f>+E7*0.05</f>
        <v>21330.25</v>
      </c>
      <c r="G7" s="61">
        <f>+working!B11</f>
        <v>187976</v>
      </c>
      <c r="H7" s="61">
        <f>+working!B12</f>
        <v>23497</v>
      </c>
      <c r="I7" s="1">
        <v>24728496</v>
      </c>
      <c r="J7" s="1"/>
      <c r="K7" s="1"/>
      <c r="L7" s="1"/>
      <c r="M7" s="1"/>
      <c r="N7" s="10"/>
      <c r="O7" s="10"/>
      <c r="P7" s="10"/>
      <c r="Q7" s="10"/>
      <c r="R7" s="10"/>
    </row>
    <row r="8" spans="1:18" x14ac:dyDescent="0.25">
      <c r="C8" s="4" t="s">
        <v>40</v>
      </c>
      <c r="D8" s="4"/>
      <c r="E8" s="10">
        <f t="shared" ref="E8:H8" si="0">+E6-E7</f>
        <v>-62781</v>
      </c>
      <c r="F8" s="61">
        <f t="shared" si="0"/>
        <v>-3136.3600000000006</v>
      </c>
      <c r="G8" s="61">
        <f t="shared" si="0"/>
        <v>-7078</v>
      </c>
      <c r="H8" s="61">
        <f t="shared" si="0"/>
        <v>-885</v>
      </c>
      <c r="I8" s="10">
        <f>+I6-I7</f>
        <v>-11329404</v>
      </c>
      <c r="J8" s="10"/>
      <c r="K8" s="10"/>
      <c r="L8" s="10"/>
      <c r="M8" s="10"/>
      <c r="N8" s="10">
        <f t="shared" ref="N8:R8" si="1">+N6-N7</f>
        <v>0</v>
      </c>
      <c r="O8" s="10">
        <f t="shared" si="1"/>
        <v>0</v>
      </c>
      <c r="P8" s="10">
        <f t="shared" si="1"/>
        <v>4506</v>
      </c>
      <c r="Q8" s="10">
        <f t="shared" si="1"/>
        <v>3750</v>
      </c>
      <c r="R8" s="10">
        <f t="shared" si="1"/>
        <v>0</v>
      </c>
    </row>
    <row r="9" spans="1:18" x14ac:dyDescent="0.25">
      <c r="C9" s="4"/>
      <c r="D9" s="4"/>
      <c r="E9" s="10"/>
      <c r="F9" s="61"/>
      <c r="G9" s="61"/>
      <c r="H9" s="61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25">
      <c r="A10" s="15">
        <f>+B10-D10</f>
        <v>-187265.16999999993</v>
      </c>
      <c r="B10" s="14">
        <v>13379847.83</v>
      </c>
      <c r="C10" s="4" t="s">
        <v>1</v>
      </c>
      <c r="D10" s="18">
        <f t="shared" ref="D10:D11" si="2">+SUM(E10:R10)</f>
        <v>13567113</v>
      </c>
      <c r="E10" s="10">
        <v>188022</v>
      </c>
      <c r="F10" s="61">
        <v>9399</v>
      </c>
      <c r="G10" s="61">
        <v>117645</v>
      </c>
      <c r="H10" s="61">
        <v>14705</v>
      </c>
      <c r="I10" s="10">
        <v>13229206</v>
      </c>
      <c r="J10" s="10"/>
      <c r="K10" s="10"/>
      <c r="L10" s="10"/>
      <c r="M10" s="10"/>
      <c r="N10" s="10"/>
      <c r="O10" s="10"/>
      <c r="P10" s="10">
        <v>4386</v>
      </c>
      <c r="Q10" s="10">
        <v>3750</v>
      </c>
      <c r="R10" s="10"/>
    </row>
    <row r="11" spans="1:18" x14ac:dyDescent="0.25">
      <c r="C11" s="4" t="s">
        <v>26</v>
      </c>
      <c r="D11" s="18">
        <f t="shared" si="2"/>
        <v>13563107.5</v>
      </c>
      <c r="E11" s="10">
        <f>+working!E9</f>
        <v>187990</v>
      </c>
      <c r="F11" s="61">
        <f>+E11*0.05</f>
        <v>9399.5</v>
      </c>
      <c r="G11" s="61">
        <f>+working!E11</f>
        <v>121344</v>
      </c>
      <c r="H11" s="61">
        <f>+working!E12</f>
        <v>15168</v>
      </c>
      <c r="I11" s="1">
        <v>13229206</v>
      </c>
      <c r="J11" s="1"/>
      <c r="K11" s="1"/>
      <c r="L11" s="1"/>
      <c r="M11" s="1"/>
      <c r="N11" s="10"/>
      <c r="O11" s="10"/>
      <c r="P11" s="10"/>
      <c r="Q11" s="10"/>
      <c r="R11" s="10"/>
    </row>
    <row r="12" spans="1:18" x14ac:dyDescent="0.25">
      <c r="C12" s="4" t="s">
        <v>40</v>
      </c>
      <c r="D12" s="4"/>
      <c r="E12" s="10">
        <f t="shared" ref="E12" si="3">+E10-E11</f>
        <v>32</v>
      </c>
      <c r="F12" s="61">
        <f t="shared" ref="F12" si="4">+F10-F11</f>
        <v>-0.5</v>
      </c>
      <c r="G12" s="61">
        <f t="shared" ref="G12" si="5">+G10-G11</f>
        <v>-3699</v>
      </c>
      <c r="H12" s="61">
        <f t="shared" ref="H12" si="6">+H10-H11</f>
        <v>-463</v>
      </c>
      <c r="I12" s="10">
        <f t="shared" ref="I12" si="7">+I10-I11</f>
        <v>0</v>
      </c>
      <c r="J12" s="10"/>
      <c r="K12" s="10"/>
      <c r="L12" s="10"/>
      <c r="M12" s="10"/>
      <c r="N12" s="10">
        <f t="shared" ref="N12" si="8">+N10-N11</f>
        <v>0</v>
      </c>
      <c r="O12" s="10">
        <f t="shared" ref="O12:P12" si="9">+O10-O11</f>
        <v>0</v>
      </c>
      <c r="P12" s="10">
        <f t="shared" si="9"/>
        <v>4386</v>
      </c>
      <c r="Q12" s="10"/>
      <c r="R12" s="10">
        <f t="shared" ref="R12" si="10">+R10-R11</f>
        <v>0</v>
      </c>
    </row>
    <row r="13" spans="1:18" x14ac:dyDescent="0.25">
      <c r="C13" s="4"/>
      <c r="D13" s="4"/>
      <c r="E13" s="10"/>
      <c r="F13" s="61"/>
      <c r="G13" s="61"/>
      <c r="H13" s="61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pans="1:18" x14ac:dyDescent="0.25">
      <c r="A14" s="15">
        <f>+B14-D14</f>
        <v>-984924.62000000011</v>
      </c>
      <c r="B14" s="14">
        <v>5111954.75</v>
      </c>
      <c r="C14" s="4" t="s">
        <v>2</v>
      </c>
      <c r="D14" s="18">
        <f t="shared" ref="D14:D15" si="11">+SUM(E14:R14)</f>
        <v>6096879.3700000001</v>
      </c>
      <c r="E14" s="66">
        <v>478924.07999999996</v>
      </c>
      <c r="F14" s="76">
        <v>23946.29</v>
      </c>
      <c r="G14" s="61">
        <v>211136</v>
      </c>
      <c r="H14" s="61">
        <v>26393</v>
      </c>
      <c r="I14" s="10">
        <v>4906266</v>
      </c>
      <c r="J14" s="10">
        <v>176449</v>
      </c>
      <c r="K14" s="10">
        <v>8822</v>
      </c>
      <c r="L14" s="10">
        <v>258966</v>
      </c>
      <c r="M14" s="10">
        <v>5180</v>
      </c>
      <c r="N14" s="10"/>
      <c r="O14" s="10"/>
      <c r="P14" s="10">
        <v>797</v>
      </c>
      <c r="Q14" s="10"/>
      <c r="R14" s="10"/>
    </row>
    <row r="15" spans="1:18" x14ac:dyDescent="0.25">
      <c r="C15" s="4" t="s">
        <v>26</v>
      </c>
      <c r="D15" s="18">
        <f t="shared" si="11"/>
        <v>5111954.7</v>
      </c>
      <c r="E15" s="10">
        <f>+working!H9</f>
        <v>195894</v>
      </c>
      <c r="F15" s="61">
        <f>+E15*0.05</f>
        <v>9794.7000000000007</v>
      </c>
      <c r="G15" s="61">
        <v>0</v>
      </c>
      <c r="H15" s="61">
        <v>0</v>
      </c>
      <c r="I15" s="1">
        <v>4906266</v>
      </c>
      <c r="J15" s="1"/>
      <c r="K15" s="1"/>
      <c r="L15" s="1"/>
      <c r="M15" s="1"/>
      <c r="N15" s="10"/>
      <c r="O15" s="10"/>
      <c r="P15" s="10"/>
      <c r="Q15" s="10"/>
      <c r="R15" s="10"/>
    </row>
    <row r="16" spans="1:18" x14ac:dyDescent="0.25">
      <c r="C16" s="4" t="s">
        <v>40</v>
      </c>
      <c r="D16" s="4"/>
      <c r="E16" s="10">
        <f t="shared" ref="E16" si="12">+E14-E15</f>
        <v>283030.07999999996</v>
      </c>
      <c r="F16" s="61">
        <f t="shared" ref="F16" si="13">+F14-F15</f>
        <v>14151.59</v>
      </c>
      <c r="G16" s="61">
        <f t="shared" ref="G16" si="14">+G14-G15</f>
        <v>211136</v>
      </c>
      <c r="H16" s="61">
        <f t="shared" ref="H16" si="15">+H14-H15</f>
        <v>26393</v>
      </c>
      <c r="I16" s="10">
        <f t="shared" ref="I16" si="16">+I14-I15</f>
        <v>0</v>
      </c>
      <c r="J16" s="10"/>
      <c r="K16" s="10"/>
      <c r="L16" s="10"/>
      <c r="M16" s="10"/>
      <c r="N16" s="10">
        <f t="shared" ref="N16" si="17">+N14-N15</f>
        <v>0</v>
      </c>
      <c r="O16" s="10">
        <f t="shared" ref="O16:P16" si="18">+O14-O15</f>
        <v>0</v>
      </c>
      <c r="P16" s="10">
        <f t="shared" si="18"/>
        <v>797</v>
      </c>
      <c r="Q16" s="10"/>
      <c r="R16" s="10">
        <f t="shared" ref="R16" si="19">+R14-R15</f>
        <v>0</v>
      </c>
    </row>
    <row r="17" spans="1:18" x14ac:dyDescent="0.25">
      <c r="C17" s="4"/>
      <c r="D17" s="4"/>
      <c r="E17" s="10"/>
      <c r="F17" s="61"/>
      <c r="G17" s="61"/>
      <c r="H17" s="61"/>
      <c r="I17" s="10"/>
      <c r="J17" s="10"/>
      <c r="K17" s="10"/>
      <c r="L17" s="10"/>
      <c r="M17" s="10"/>
      <c r="N17" s="10"/>
      <c r="O17" s="10"/>
      <c r="P17" s="10"/>
      <c r="Q17" s="10"/>
      <c r="R17" s="10"/>
    </row>
    <row r="18" spans="1:18" x14ac:dyDescent="0.25">
      <c r="A18" s="15">
        <f>+B18-D18</f>
        <v>-1571040.4100000039</v>
      </c>
      <c r="B18" s="14">
        <v>34753900.009999998</v>
      </c>
      <c r="C18" s="4" t="s">
        <v>3</v>
      </c>
      <c r="D18" s="18">
        <f t="shared" ref="D18:D19" si="20">+SUM(E18:R18)</f>
        <v>36324940.420000002</v>
      </c>
      <c r="E18" s="67">
        <v>431617.97000000003</v>
      </c>
      <c r="F18" s="76">
        <v>21575.45</v>
      </c>
      <c r="G18" s="61">
        <v>123622</v>
      </c>
      <c r="H18" s="61">
        <v>15453</v>
      </c>
      <c r="I18" s="10">
        <v>34568262</v>
      </c>
      <c r="J18" s="10"/>
      <c r="K18" s="10"/>
      <c r="L18" s="10">
        <v>1141578</v>
      </c>
      <c r="M18" s="10">
        <v>22832</v>
      </c>
      <c r="N18" s="12"/>
      <c r="O18" s="10"/>
      <c r="P18" s="10"/>
      <c r="Q18" s="10"/>
      <c r="R18" s="10"/>
    </row>
    <row r="19" spans="1:18" x14ac:dyDescent="0.25">
      <c r="C19" s="4" t="s">
        <v>26</v>
      </c>
      <c r="D19" s="18">
        <f t="shared" si="20"/>
        <v>34753900.950000003</v>
      </c>
      <c r="E19" s="10">
        <f>+working!K9</f>
        <v>176799</v>
      </c>
      <c r="F19" s="61">
        <f>+E19*0.05</f>
        <v>8839.9500000000007</v>
      </c>
      <c r="G19" s="61">
        <v>0</v>
      </c>
      <c r="H19" s="61">
        <v>0</v>
      </c>
      <c r="I19" s="1">
        <v>34568262</v>
      </c>
      <c r="J19" s="1"/>
      <c r="K19" s="1"/>
      <c r="L19" s="1"/>
      <c r="M19" s="1"/>
      <c r="N19" s="10"/>
      <c r="O19" s="10"/>
      <c r="P19" s="10"/>
      <c r="Q19" s="10"/>
      <c r="R19" s="10"/>
    </row>
    <row r="20" spans="1:18" x14ac:dyDescent="0.25">
      <c r="C20" s="4" t="s">
        <v>40</v>
      </c>
      <c r="D20" s="4"/>
      <c r="E20" s="10">
        <f t="shared" ref="E20" si="21">+E18-E19</f>
        <v>254818.97000000003</v>
      </c>
      <c r="F20" s="61">
        <f t="shared" ref="F20" si="22">+F18-F19</f>
        <v>12735.5</v>
      </c>
      <c r="G20" s="61">
        <f t="shared" ref="G20" si="23">+G18-G19</f>
        <v>123622</v>
      </c>
      <c r="H20" s="61">
        <f t="shared" ref="H20" si="24">+H18-H19</f>
        <v>15453</v>
      </c>
      <c r="I20" s="10">
        <f t="shared" ref="I20" si="25">+I18-I19</f>
        <v>0</v>
      </c>
      <c r="J20" s="10"/>
      <c r="K20" s="10"/>
      <c r="L20" s="10"/>
      <c r="M20" s="10"/>
      <c r="N20" s="10">
        <f t="shared" ref="N20" si="26">+N18-N19</f>
        <v>0</v>
      </c>
      <c r="O20" s="10">
        <f t="shared" ref="O20" si="27">+O18-O19</f>
        <v>0</v>
      </c>
      <c r="P20" s="10"/>
      <c r="Q20" s="10"/>
      <c r="R20" s="10">
        <f t="shared" ref="R20" si="28">+R18-R19</f>
        <v>0</v>
      </c>
    </row>
    <row r="21" spans="1:18" x14ac:dyDescent="0.25">
      <c r="C21" s="4"/>
      <c r="D21" s="4"/>
      <c r="E21" s="10"/>
      <c r="F21" s="61"/>
      <c r="G21" s="61"/>
      <c r="H21" s="61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1:18" x14ac:dyDescent="0.25">
      <c r="A22" s="15">
        <f>+B22-D22</f>
        <v>-441200.46999999881</v>
      </c>
      <c r="B22" s="14">
        <v>34286768.189999998</v>
      </c>
      <c r="C22" s="4" t="s">
        <v>4</v>
      </c>
      <c r="D22" s="18">
        <f t="shared" ref="D22:D23" si="29">+SUM(E22:R22)</f>
        <v>34727968.659999996</v>
      </c>
      <c r="E22" s="68">
        <v>526686.67999999993</v>
      </c>
      <c r="F22" s="76">
        <v>26333.98</v>
      </c>
      <c r="G22" s="61">
        <v>113058</v>
      </c>
      <c r="H22" s="61">
        <v>14132</v>
      </c>
      <c r="I22" s="10">
        <v>34047758</v>
      </c>
      <c r="J22" s="10"/>
      <c r="K22" s="10"/>
      <c r="L22" s="10">
        <v>0</v>
      </c>
      <c r="M22" s="10">
        <v>0</v>
      </c>
      <c r="N22" s="10"/>
      <c r="O22" s="10"/>
      <c r="P22" s="10"/>
      <c r="Q22" s="10"/>
      <c r="R22" s="10"/>
    </row>
    <row r="23" spans="1:18" x14ac:dyDescent="0.25">
      <c r="C23" s="4" t="s">
        <v>26</v>
      </c>
      <c r="D23" s="18">
        <f t="shared" si="29"/>
        <v>34447441</v>
      </c>
      <c r="E23" s="10">
        <f>+working!N9</f>
        <v>526680</v>
      </c>
      <c r="F23" s="61">
        <f>+E23*0.05</f>
        <v>26334</v>
      </c>
      <c r="G23" s="61">
        <f>+working!N11</f>
        <v>113056</v>
      </c>
      <c r="H23" s="61">
        <f>+working!N12</f>
        <v>14132</v>
      </c>
      <c r="I23" s="1">
        <v>33767239</v>
      </c>
      <c r="J23" s="1"/>
      <c r="K23" s="1"/>
      <c r="L23" s="1"/>
      <c r="M23" s="1"/>
      <c r="N23" s="10"/>
      <c r="O23" s="10"/>
      <c r="P23" s="10"/>
      <c r="Q23" s="10"/>
      <c r="R23" s="10"/>
    </row>
    <row r="24" spans="1:18" x14ac:dyDescent="0.25">
      <c r="C24" s="4" t="s">
        <v>40</v>
      </c>
      <c r="D24" s="4"/>
      <c r="E24" s="10">
        <f t="shared" ref="E24" si="30">+E22-E23</f>
        <v>6.6799999999348074</v>
      </c>
      <c r="F24" s="61">
        <f t="shared" ref="F24" si="31">+F22-F23</f>
        <v>-2.0000000000436557E-2</v>
      </c>
      <c r="G24" s="61">
        <f t="shared" ref="G24" si="32">+G22-G23</f>
        <v>2</v>
      </c>
      <c r="H24" s="61">
        <f t="shared" ref="H24" si="33">+H22-H23</f>
        <v>0</v>
      </c>
      <c r="I24" s="10">
        <f t="shared" ref="I24" si="34">+I22-I23</f>
        <v>280519</v>
      </c>
      <c r="J24" s="10"/>
      <c r="K24" s="10"/>
      <c r="L24" s="10"/>
      <c r="M24" s="10"/>
      <c r="N24" s="10">
        <f t="shared" ref="N24" si="35">+N22-N23</f>
        <v>0</v>
      </c>
      <c r="O24" s="10">
        <f t="shared" ref="O24" si="36">+O22-O23</f>
        <v>0</v>
      </c>
      <c r="P24" s="10"/>
      <c r="Q24" s="10"/>
      <c r="R24" s="10">
        <f t="shared" ref="R24" si="37">+R22-R23</f>
        <v>0</v>
      </c>
    </row>
    <row r="25" spans="1:18" x14ac:dyDescent="0.25">
      <c r="C25" s="4"/>
      <c r="D25" s="4"/>
      <c r="E25" s="10"/>
      <c r="F25" s="61"/>
      <c r="G25" s="61"/>
      <c r="H25" s="61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1:18" x14ac:dyDescent="0.25">
      <c r="A26" s="15">
        <f>+B26-D26</f>
        <v>-995583.25999999791</v>
      </c>
      <c r="B26" s="14">
        <v>27173201.050000001</v>
      </c>
      <c r="C26" s="4" t="s">
        <v>5</v>
      </c>
      <c r="D26" s="18">
        <f t="shared" ref="D26:D27" si="38">+SUM(E26:R26)</f>
        <v>28168784.309999999</v>
      </c>
      <c r="E26" s="69">
        <v>600753.34</v>
      </c>
      <c r="F26" s="76">
        <v>29969.969999999998</v>
      </c>
      <c r="G26" s="61">
        <v>59365</v>
      </c>
      <c r="H26" s="61">
        <v>7420</v>
      </c>
      <c r="I26" s="10">
        <v>26818925</v>
      </c>
      <c r="J26" s="10"/>
      <c r="K26" s="10"/>
      <c r="L26" s="10">
        <v>639560</v>
      </c>
      <c r="M26" s="10">
        <v>12791</v>
      </c>
      <c r="N26" s="10"/>
      <c r="O26" s="10"/>
      <c r="P26" s="10"/>
      <c r="Q26" s="10"/>
      <c r="R26" s="10"/>
    </row>
    <row r="27" spans="1:18" x14ac:dyDescent="0.25">
      <c r="C27" s="4" t="s">
        <v>26</v>
      </c>
      <c r="D27" s="18">
        <f t="shared" si="38"/>
        <v>23480588.350000001</v>
      </c>
      <c r="E27" s="10">
        <f>+working!Q9</f>
        <v>578207</v>
      </c>
      <c r="F27" s="61">
        <f>+E27*0.05</f>
        <v>28910.350000000002</v>
      </c>
      <c r="G27" s="61">
        <f>+working!Q11</f>
        <v>59360</v>
      </c>
      <c r="H27" s="61">
        <f>+working!Q12</f>
        <v>7420</v>
      </c>
      <c r="I27" s="1">
        <v>22806691</v>
      </c>
      <c r="J27" s="1"/>
      <c r="K27" s="1"/>
      <c r="L27" s="1"/>
      <c r="M27" s="1"/>
      <c r="N27" s="10"/>
      <c r="O27" s="10"/>
      <c r="P27" s="10"/>
      <c r="Q27" s="10"/>
      <c r="R27" s="10"/>
    </row>
    <row r="28" spans="1:18" x14ac:dyDescent="0.25">
      <c r="C28" s="4" t="s">
        <v>40</v>
      </c>
      <c r="D28" s="4"/>
      <c r="E28" s="10">
        <f t="shared" ref="E28" si="39">+E26-E27</f>
        <v>22546.339999999967</v>
      </c>
      <c r="F28" s="61">
        <f t="shared" ref="F28" si="40">+F26-F27</f>
        <v>1059.6199999999953</v>
      </c>
      <c r="G28" s="61">
        <f t="shared" ref="G28" si="41">+G26-G27</f>
        <v>5</v>
      </c>
      <c r="H28" s="61">
        <f t="shared" ref="H28" si="42">+H26-H27</f>
        <v>0</v>
      </c>
      <c r="I28" s="10">
        <f t="shared" ref="I28" si="43">+I26-I27</f>
        <v>4012234</v>
      </c>
      <c r="J28" s="10"/>
      <c r="K28" s="10"/>
      <c r="L28" s="10"/>
      <c r="M28" s="10"/>
      <c r="N28" s="10">
        <f t="shared" ref="N28" si="44">+N26-N27</f>
        <v>0</v>
      </c>
      <c r="O28" s="10">
        <f t="shared" ref="O28" si="45">+O26-O27</f>
        <v>0</v>
      </c>
      <c r="P28" s="10"/>
      <c r="Q28" s="10"/>
      <c r="R28" s="10">
        <f t="shared" ref="R28" si="46">+R26-R27</f>
        <v>0</v>
      </c>
    </row>
    <row r="29" spans="1:18" x14ac:dyDescent="0.25">
      <c r="C29" s="4"/>
      <c r="D29" s="4"/>
      <c r="E29" s="10"/>
      <c r="F29" s="61"/>
      <c r="G29" s="61"/>
      <c r="H29" s="61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1:18" x14ac:dyDescent="0.25">
      <c r="A30" s="15">
        <f>+B30-D30</f>
        <v>-616811.74000000209</v>
      </c>
      <c r="B30" s="14">
        <v>20307242.239999998</v>
      </c>
      <c r="C30" s="4" t="s">
        <v>6</v>
      </c>
      <c r="D30" s="18">
        <f t="shared" ref="D30:D31" si="47">+SUM(E30:R30)</f>
        <v>20924053.98</v>
      </c>
      <c r="E30" s="70">
        <v>563788.35</v>
      </c>
      <c r="F30" s="77">
        <v>28197.63</v>
      </c>
      <c r="G30" s="61">
        <v>277977</v>
      </c>
      <c r="H30" s="61">
        <v>34748</v>
      </c>
      <c r="I30" s="10">
        <v>20009664</v>
      </c>
      <c r="J30" s="10"/>
      <c r="K30" s="10"/>
      <c r="L30" s="10">
        <v>7465</v>
      </c>
      <c r="M30" s="10">
        <v>149</v>
      </c>
      <c r="N30" s="10"/>
      <c r="O30" s="10"/>
      <c r="P30" s="10"/>
      <c r="Q30" s="10">
        <v>2065</v>
      </c>
      <c r="R30" s="10"/>
    </row>
    <row r="31" spans="1:18" x14ac:dyDescent="0.25">
      <c r="C31" s="4" t="s">
        <v>26</v>
      </c>
      <c r="D31" s="18">
        <f t="shared" si="47"/>
        <v>21027512.300000001</v>
      </c>
      <c r="E31" s="10">
        <f>+working!T9</f>
        <v>708946</v>
      </c>
      <c r="F31" s="61">
        <f>+E31*0.05</f>
        <v>35447.300000000003</v>
      </c>
      <c r="G31" s="61">
        <f>+working!T11</f>
        <v>243407</v>
      </c>
      <c r="H31" s="61">
        <f>+working!T12</f>
        <v>30048</v>
      </c>
      <c r="I31" s="1">
        <v>20009664</v>
      </c>
      <c r="J31" s="1"/>
      <c r="K31" s="1"/>
      <c r="L31" s="1"/>
      <c r="M31" s="1"/>
      <c r="N31" s="10"/>
      <c r="O31" s="10"/>
      <c r="P31" s="10"/>
      <c r="Q31" s="10"/>
      <c r="R31" s="10"/>
    </row>
    <row r="32" spans="1:18" x14ac:dyDescent="0.25">
      <c r="C32" s="4" t="s">
        <v>40</v>
      </c>
      <c r="D32" s="4"/>
      <c r="E32" s="10">
        <f t="shared" ref="E32" si="48">+E30-E31</f>
        <v>-145157.65000000002</v>
      </c>
      <c r="F32" s="61">
        <f t="shared" ref="F32" si="49">+F30-F31</f>
        <v>-7249.6700000000019</v>
      </c>
      <c r="G32" s="61">
        <f t="shared" ref="G32" si="50">+G30-G31</f>
        <v>34570</v>
      </c>
      <c r="H32" s="61">
        <f t="shared" ref="H32" si="51">+H30-H31</f>
        <v>4700</v>
      </c>
      <c r="I32" s="10">
        <f t="shared" ref="I32" si="52">+I30-I31</f>
        <v>0</v>
      </c>
      <c r="J32" s="10"/>
      <c r="K32" s="10"/>
      <c r="L32" s="10"/>
      <c r="M32" s="10"/>
      <c r="N32" s="10">
        <f t="shared" ref="N32" si="53">+N30-N31</f>
        <v>0</v>
      </c>
      <c r="O32" s="10">
        <f t="shared" ref="O32:Q32" si="54">+O30-O31</f>
        <v>0</v>
      </c>
      <c r="P32" s="10">
        <f t="shared" si="54"/>
        <v>0</v>
      </c>
      <c r="Q32" s="10">
        <f t="shared" si="54"/>
        <v>2065</v>
      </c>
      <c r="R32" s="10">
        <f t="shared" ref="R32" si="55">+R30-R31</f>
        <v>0</v>
      </c>
    </row>
    <row r="33" spans="1:18" x14ac:dyDescent="0.25">
      <c r="C33" s="4"/>
      <c r="D33" s="4"/>
      <c r="E33" s="10"/>
      <c r="F33" s="61"/>
      <c r="G33" s="61"/>
      <c r="H33" s="61"/>
      <c r="I33" s="10"/>
      <c r="J33" s="10"/>
      <c r="K33" s="10"/>
      <c r="L33" s="10"/>
      <c r="M33" s="10"/>
      <c r="N33" s="10"/>
      <c r="O33" s="10"/>
      <c r="P33" s="10"/>
      <c r="Q33" s="10"/>
      <c r="R33" s="10"/>
    </row>
    <row r="34" spans="1:18" x14ac:dyDescent="0.25">
      <c r="A34" s="15">
        <f>+B34-D34</f>
        <v>-504842.18000000156</v>
      </c>
      <c r="B34" s="14">
        <v>16377535.779999999</v>
      </c>
      <c r="C34" s="4" t="s">
        <v>7</v>
      </c>
      <c r="D34" s="18">
        <f t="shared" ref="D34:D35" si="56">+SUM(E34:R34)</f>
        <v>16882377.960000001</v>
      </c>
      <c r="E34" s="75">
        <v>552425.06000000006</v>
      </c>
      <c r="F34" s="76">
        <v>27614.9</v>
      </c>
      <c r="G34" s="61">
        <v>96716</v>
      </c>
      <c r="H34" s="61">
        <v>12089</v>
      </c>
      <c r="I34" s="10">
        <v>16089149</v>
      </c>
      <c r="J34" s="10">
        <v>58089</v>
      </c>
      <c r="K34" s="10">
        <v>2904</v>
      </c>
      <c r="L34" s="10">
        <v>39120</v>
      </c>
      <c r="M34" s="10">
        <v>771</v>
      </c>
      <c r="N34" s="10"/>
      <c r="O34" s="10"/>
      <c r="P34" s="10">
        <v>3500</v>
      </c>
      <c r="Q34" s="10"/>
      <c r="R34" s="10"/>
    </row>
    <row r="35" spans="1:18" x14ac:dyDescent="0.25">
      <c r="C35" s="4" t="s">
        <v>26</v>
      </c>
      <c r="D35" s="18">
        <f t="shared" si="56"/>
        <v>16716894.65</v>
      </c>
      <c r="E35" s="10">
        <f>+working!W9</f>
        <v>494233</v>
      </c>
      <c r="F35" s="61">
        <f>+E35*0.05</f>
        <v>24711.65</v>
      </c>
      <c r="G35" s="61">
        <f>+working!W11</f>
        <v>96712</v>
      </c>
      <c r="H35" s="61">
        <f>+working!W12</f>
        <v>12089</v>
      </c>
      <c r="I35" s="1">
        <v>16089149</v>
      </c>
      <c r="J35" s="1"/>
      <c r="K35" s="1"/>
      <c r="L35" s="1"/>
      <c r="M35" s="1"/>
      <c r="N35" s="10"/>
      <c r="O35" s="10"/>
      <c r="P35" s="10"/>
      <c r="Q35" s="10"/>
      <c r="R35" s="10"/>
    </row>
    <row r="36" spans="1:18" x14ac:dyDescent="0.25">
      <c r="C36" s="4" t="s">
        <v>40</v>
      </c>
      <c r="D36" s="4"/>
      <c r="E36" s="10">
        <f t="shared" ref="E36" si="57">+E34-E35</f>
        <v>58192.060000000056</v>
      </c>
      <c r="F36" s="61">
        <f t="shared" ref="F36" si="58">+F34-F35</f>
        <v>2903.25</v>
      </c>
      <c r="G36" s="61">
        <f t="shared" ref="G36" si="59">+G34-G35</f>
        <v>4</v>
      </c>
      <c r="H36" s="61">
        <f t="shared" ref="H36" si="60">+H34-H35</f>
        <v>0</v>
      </c>
      <c r="I36" s="10">
        <f t="shared" ref="I36" si="61">+I34-I35</f>
        <v>0</v>
      </c>
      <c r="J36" s="10"/>
      <c r="K36" s="10"/>
      <c r="L36" s="10"/>
      <c r="M36" s="10"/>
      <c r="N36" s="10">
        <f t="shared" ref="N36" si="62">+N34-N35</f>
        <v>0</v>
      </c>
      <c r="O36" s="10">
        <f t="shared" ref="O36" si="63">+O34-O35</f>
        <v>0</v>
      </c>
      <c r="P36" s="10"/>
      <c r="Q36" s="10"/>
      <c r="R36" s="10">
        <f t="shared" ref="R36" si="64">+R34-R35</f>
        <v>0</v>
      </c>
    </row>
    <row r="37" spans="1:18" x14ac:dyDescent="0.25">
      <c r="C37" s="4"/>
      <c r="D37" s="4"/>
      <c r="E37" s="10"/>
      <c r="F37" s="61"/>
      <c r="G37" s="61"/>
      <c r="H37" s="61"/>
      <c r="I37" s="10"/>
      <c r="J37" s="10"/>
      <c r="K37" s="10"/>
      <c r="L37" s="10"/>
      <c r="M37" s="10"/>
      <c r="N37" s="10"/>
      <c r="O37" s="10"/>
      <c r="P37" s="10"/>
      <c r="Q37" s="10"/>
      <c r="R37" s="10"/>
    </row>
    <row r="38" spans="1:18" x14ac:dyDescent="0.25">
      <c r="A38" s="15">
        <f>+B38-D38</f>
        <v>-722982.6799999997</v>
      </c>
      <c r="B38" s="14">
        <v>30089781.350000001</v>
      </c>
      <c r="C38" s="4" t="s">
        <v>8</v>
      </c>
      <c r="D38" s="18">
        <f t="shared" ref="D38:D39" si="65">+SUM(E38:R38)</f>
        <v>30812764.030000001</v>
      </c>
      <c r="E38" s="71">
        <v>625719.99</v>
      </c>
      <c r="F38" s="76">
        <v>31284.200000000004</v>
      </c>
      <c r="G38" s="61">
        <v>135549</v>
      </c>
      <c r="H38" s="61">
        <v>16946</v>
      </c>
      <c r="I38" s="10">
        <v>29697116</v>
      </c>
      <c r="J38" s="10"/>
      <c r="K38" s="10"/>
      <c r="L38" s="10">
        <f>254176+30501+610+305</f>
        <v>285592</v>
      </c>
      <c r="M38" s="10">
        <f>+L38*0.02</f>
        <v>5711.84</v>
      </c>
      <c r="N38" s="10"/>
      <c r="O38" s="10"/>
      <c r="P38" s="10">
        <v>13845</v>
      </c>
      <c r="Q38" s="10">
        <v>1000</v>
      </c>
      <c r="R38" s="10"/>
    </row>
    <row r="39" spans="1:18" x14ac:dyDescent="0.25">
      <c r="C39" s="4" t="s">
        <v>26</v>
      </c>
      <c r="D39" s="18">
        <f t="shared" si="65"/>
        <v>30477869.449999999</v>
      </c>
      <c r="E39" s="10">
        <f>+working!Z9</f>
        <v>575669</v>
      </c>
      <c r="F39" s="61">
        <f>+E39*0.05</f>
        <v>28783.45</v>
      </c>
      <c r="G39" s="61">
        <f>+working!Z11</f>
        <v>156712</v>
      </c>
      <c r="H39" s="61">
        <f>+working!Z12</f>
        <v>19589</v>
      </c>
      <c r="I39" s="1">
        <v>29697116</v>
      </c>
      <c r="J39" s="1"/>
      <c r="K39" s="1"/>
      <c r="L39" s="1"/>
      <c r="M39" s="1"/>
      <c r="N39" s="10"/>
      <c r="O39" s="10"/>
      <c r="P39" s="10"/>
      <c r="Q39" s="10"/>
      <c r="R39" s="10"/>
    </row>
    <row r="40" spans="1:18" x14ac:dyDescent="0.25">
      <c r="C40" s="4" t="s">
        <v>40</v>
      </c>
      <c r="D40" s="4"/>
      <c r="E40" s="10">
        <f t="shared" ref="E40" si="66">+E38-E39</f>
        <v>50050.989999999991</v>
      </c>
      <c r="F40" s="61">
        <f t="shared" ref="F40" si="67">+F38-F39</f>
        <v>2500.7500000000036</v>
      </c>
      <c r="G40" s="61">
        <f t="shared" ref="G40" si="68">+G38-G39</f>
        <v>-21163</v>
      </c>
      <c r="H40" s="61">
        <f t="shared" ref="H40" si="69">+H38-H39</f>
        <v>-2643</v>
      </c>
      <c r="I40" s="10">
        <f t="shared" ref="I40" si="70">+I38-I39</f>
        <v>0</v>
      </c>
      <c r="J40" s="10"/>
      <c r="K40" s="10"/>
      <c r="L40" s="10"/>
      <c r="M40" s="10"/>
      <c r="N40" s="10">
        <f t="shared" ref="N40" si="71">+N38-N39</f>
        <v>0</v>
      </c>
      <c r="O40" s="10">
        <f t="shared" ref="O40" si="72">+O38-O39</f>
        <v>0</v>
      </c>
      <c r="P40" s="10"/>
      <c r="Q40" s="10"/>
      <c r="R40" s="10">
        <f t="shared" ref="R40" si="73">+R38-R39</f>
        <v>0</v>
      </c>
    </row>
    <row r="41" spans="1:18" x14ac:dyDescent="0.25">
      <c r="C41" s="4"/>
      <c r="D41" s="4"/>
      <c r="E41" s="10"/>
      <c r="F41" s="61"/>
      <c r="G41" s="61"/>
      <c r="H41" s="61"/>
      <c r="I41" s="10"/>
      <c r="J41" s="10"/>
      <c r="K41" s="10"/>
      <c r="L41" s="10"/>
      <c r="M41" s="10"/>
      <c r="N41" s="10"/>
      <c r="O41" s="10"/>
      <c r="P41" s="10"/>
      <c r="Q41" s="10"/>
      <c r="R41" s="10"/>
    </row>
    <row r="42" spans="1:18" x14ac:dyDescent="0.25">
      <c r="A42" s="15">
        <f>+B42-D42</f>
        <v>-569678.38000000082</v>
      </c>
      <c r="B42" s="14">
        <v>11897778.85</v>
      </c>
      <c r="C42" s="4" t="s">
        <v>9</v>
      </c>
      <c r="D42" s="18">
        <f t="shared" ref="D42:D43" si="74">+SUM(E42:R42)</f>
        <v>12467457.23</v>
      </c>
      <c r="E42" s="72">
        <v>634231.70000000007</v>
      </c>
      <c r="F42" s="76">
        <v>31690.49</v>
      </c>
      <c r="G42" s="61">
        <v>114828</v>
      </c>
      <c r="H42" s="61">
        <v>14355</v>
      </c>
      <c r="I42" s="75">
        <v>11509001.040000001</v>
      </c>
      <c r="J42" s="10"/>
      <c r="K42" s="10"/>
      <c r="L42" s="10">
        <v>157978</v>
      </c>
      <c r="M42" s="10">
        <v>3160</v>
      </c>
      <c r="N42" s="10"/>
      <c r="O42" s="10"/>
      <c r="P42" s="10">
        <v>2213</v>
      </c>
      <c r="Q42" s="10"/>
      <c r="R42" s="10"/>
    </row>
    <row r="43" spans="1:18" x14ac:dyDescent="0.25">
      <c r="C43" s="4" t="s">
        <v>26</v>
      </c>
      <c r="D43" s="18">
        <f t="shared" si="74"/>
        <v>12303710.75</v>
      </c>
      <c r="E43" s="10">
        <f>+working!AC9</f>
        <v>633830</v>
      </c>
      <c r="F43" s="61">
        <f>+E43*0.05</f>
        <v>31691.5</v>
      </c>
      <c r="G43" s="61">
        <f>+working!AC11</f>
        <v>114834</v>
      </c>
      <c r="H43" s="61">
        <f>+working!AC12</f>
        <v>14354.25</v>
      </c>
      <c r="I43" s="10">
        <v>11509001</v>
      </c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25">
      <c r="C44" s="4" t="s">
        <v>40</v>
      </c>
      <c r="D44" s="4"/>
      <c r="E44" s="10">
        <f t="shared" ref="E44" si="75">+E42-E43</f>
        <v>401.70000000006985</v>
      </c>
      <c r="F44" s="61">
        <f t="shared" ref="F44" si="76">+F42-F43</f>
        <v>-1.0099999999983993</v>
      </c>
      <c r="G44" s="61">
        <f t="shared" ref="G44" si="77">+G42-G43</f>
        <v>-6</v>
      </c>
      <c r="H44" s="61">
        <f t="shared" ref="H44" si="78">+H42-H43</f>
        <v>0.75</v>
      </c>
      <c r="I44" s="10">
        <f t="shared" ref="I44" si="79">+I42-I43</f>
        <v>4.0000000968575478E-2</v>
      </c>
      <c r="J44" s="10"/>
      <c r="K44" s="10"/>
      <c r="L44" s="10"/>
      <c r="M44" s="10"/>
      <c r="N44" s="10">
        <f t="shared" ref="N44" si="80">+N42-N43</f>
        <v>0</v>
      </c>
      <c r="O44" s="10">
        <f t="shared" ref="O44" si="81">+O42-O43</f>
        <v>0</v>
      </c>
      <c r="P44" s="10"/>
      <c r="Q44" s="10"/>
      <c r="R44" s="10">
        <f t="shared" ref="R44" si="82">+R42-R43</f>
        <v>0</v>
      </c>
    </row>
    <row r="45" spans="1:18" x14ac:dyDescent="0.25">
      <c r="C45" s="4"/>
      <c r="D45" s="4"/>
      <c r="E45" s="10"/>
      <c r="F45" s="61"/>
      <c r="G45" s="61"/>
      <c r="H45" s="61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x14ac:dyDescent="0.25">
      <c r="A46" s="15">
        <f>+B46-D46</f>
        <v>-1189542.7400000021</v>
      </c>
      <c r="B46" s="14">
        <v>34577442</v>
      </c>
      <c r="C46" s="4" t="s">
        <v>10</v>
      </c>
      <c r="D46" s="18">
        <f t="shared" ref="D46:D47" si="83">+SUM(E46:R46)</f>
        <v>35766984.740000002</v>
      </c>
      <c r="E46" s="73">
        <v>972390.66999999993</v>
      </c>
      <c r="F46" s="76">
        <v>48612.07</v>
      </c>
      <c r="G46" s="61">
        <v>149815</v>
      </c>
      <c r="H46" s="61">
        <v>18725</v>
      </c>
      <c r="I46" s="10">
        <v>34577442</v>
      </c>
      <c r="J46" s="10"/>
      <c r="K46" s="10"/>
      <c r="L46" s="10"/>
      <c r="M46" s="10"/>
      <c r="N46" s="10"/>
      <c r="O46" s="10"/>
      <c r="P46" s="10"/>
      <c r="Q46" s="10"/>
      <c r="R46" s="10"/>
    </row>
    <row r="47" spans="1:18" x14ac:dyDescent="0.25">
      <c r="C47" s="4" t="s">
        <v>26</v>
      </c>
      <c r="D47" s="18">
        <f t="shared" si="83"/>
        <v>35730941</v>
      </c>
      <c r="E47" s="10">
        <v>938063</v>
      </c>
      <c r="F47" s="61">
        <v>46896</v>
      </c>
      <c r="G47" s="61">
        <v>149815</v>
      </c>
      <c r="H47" s="61">
        <v>18725</v>
      </c>
      <c r="I47" s="10">
        <v>34577442</v>
      </c>
      <c r="J47" s="10"/>
      <c r="K47" s="10"/>
      <c r="L47" s="10"/>
      <c r="M47" s="10"/>
      <c r="N47" s="10"/>
      <c r="O47" s="10"/>
      <c r="P47" s="10"/>
      <c r="Q47" s="10"/>
      <c r="R47" s="10"/>
    </row>
    <row r="48" spans="1:18" x14ac:dyDescent="0.25">
      <c r="C48" s="4" t="s">
        <v>40</v>
      </c>
      <c r="D48" s="4"/>
      <c r="E48" s="10">
        <f t="shared" ref="E48:I48" si="84">+E46-E47</f>
        <v>34327.669999999925</v>
      </c>
      <c r="F48" s="61">
        <f t="shared" si="84"/>
        <v>1716.0699999999997</v>
      </c>
      <c r="G48" s="61">
        <f t="shared" si="84"/>
        <v>0</v>
      </c>
      <c r="H48" s="61">
        <f t="shared" si="84"/>
        <v>0</v>
      </c>
      <c r="I48" s="10">
        <f t="shared" si="84"/>
        <v>0</v>
      </c>
      <c r="J48" s="10"/>
      <c r="K48" s="10"/>
      <c r="L48" s="10"/>
      <c r="M48" s="10"/>
      <c r="N48" s="10">
        <f t="shared" ref="N48" si="85">+N46-N47</f>
        <v>0</v>
      </c>
      <c r="O48" s="10">
        <f t="shared" ref="O48" si="86">+O46-O47</f>
        <v>0</v>
      </c>
      <c r="P48" s="10"/>
      <c r="Q48" s="10"/>
      <c r="R48" s="10">
        <f t="shared" ref="R48" si="87">+R46-R47</f>
        <v>0</v>
      </c>
    </row>
    <row r="49" spans="1:18" x14ac:dyDescent="0.25">
      <c r="C49" s="4"/>
      <c r="D49" s="4"/>
      <c r="E49" s="10"/>
      <c r="F49" s="61"/>
      <c r="G49" s="61"/>
      <c r="H49" s="61"/>
      <c r="I49" s="10"/>
      <c r="J49" s="10"/>
      <c r="K49" s="10"/>
      <c r="L49" s="10"/>
      <c r="M49" s="10"/>
      <c r="N49" s="10"/>
      <c r="O49" s="10"/>
      <c r="P49" s="10"/>
      <c r="Q49" s="10"/>
      <c r="R49" s="10"/>
    </row>
    <row r="50" spans="1:18" x14ac:dyDescent="0.25">
      <c r="A50" s="15">
        <f>+B50-D50</f>
        <v>21795544.200000003</v>
      </c>
      <c r="B50" s="14">
        <v>34577442</v>
      </c>
      <c r="C50" s="4" t="s">
        <v>20</v>
      </c>
      <c r="D50" s="18">
        <f t="shared" ref="D50:D51" si="88">+SUM(E50:R50)</f>
        <v>12781897.799999999</v>
      </c>
      <c r="E50" s="74">
        <v>996106.15999999992</v>
      </c>
      <c r="F50" s="76">
        <v>49806.170000000006</v>
      </c>
      <c r="G50" s="61">
        <v>405524.9</v>
      </c>
      <c r="H50" s="61">
        <v>50691.71</v>
      </c>
      <c r="I50" s="75">
        <v>10740778.859999999</v>
      </c>
      <c r="J50" s="10"/>
      <c r="K50" s="10"/>
      <c r="L50" s="10">
        <v>528422</v>
      </c>
      <c r="M50" s="10">
        <v>10568</v>
      </c>
      <c r="N50" s="10"/>
      <c r="O50" s="10"/>
      <c r="P50" s="10"/>
      <c r="Q50" s="10"/>
      <c r="R50" s="10"/>
    </row>
    <row r="51" spans="1:18" x14ac:dyDescent="0.25">
      <c r="C51" s="4" t="s">
        <v>26</v>
      </c>
      <c r="D51" s="18">
        <f t="shared" si="88"/>
        <v>15067559</v>
      </c>
      <c r="E51" s="10">
        <v>996106</v>
      </c>
      <c r="F51" s="10">
        <v>49805</v>
      </c>
      <c r="G51" s="10">
        <v>424535</v>
      </c>
      <c r="H51" s="10">
        <v>53067</v>
      </c>
      <c r="I51" s="10">
        <v>10732059</v>
      </c>
      <c r="J51" s="10"/>
      <c r="K51" s="10"/>
      <c r="L51" s="10">
        <v>2756850</v>
      </c>
      <c r="M51" s="10">
        <v>55137</v>
      </c>
      <c r="N51" s="10"/>
      <c r="O51" s="10"/>
      <c r="P51" s="10"/>
      <c r="Q51" s="10"/>
      <c r="R51" s="10"/>
    </row>
    <row r="52" spans="1:18" x14ac:dyDescent="0.25">
      <c r="C52" s="4" t="s">
        <v>40</v>
      </c>
      <c r="D52" s="4"/>
      <c r="E52" s="10">
        <f t="shared" ref="E52:I52" si="89">+E50-E51</f>
        <v>0.15999999991618097</v>
      </c>
      <c r="F52" s="10">
        <f t="shared" si="89"/>
        <v>1.1700000000055297</v>
      </c>
      <c r="G52" s="10">
        <f t="shared" si="89"/>
        <v>-19010.099999999977</v>
      </c>
      <c r="H52" s="10">
        <f t="shared" si="89"/>
        <v>-2375.2900000000009</v>
      </c>
      <c r="I52" s="10">
        <f t="shared" si="89"/>
        <v>8719.859999999404</v>
      </c>
      <c r="J52" s="10"/>
      <c r="K52" s="10"/>
      <c r="L52" s="10">
        <f t="shared" ref="L52:M52" si="90">+L50-L51</f>
        <v>-2228428</v>
      </c>
      <c r="M52" s="10">
        <f t="shared" si="90"/>
        <v>-44569</v>
      </c>
      <c r="N52" s="10">
        <f t="shared" ref="N52" si="91">+N50-N51</f>
        <v>0</v>
      </c>
      <c r="O52" s="10">
        <f t="shared" ref="O52" si="92">+O50-O51</f>
        <v>0</v>
      </c>
      <c r="P52" s="10"/>
      <c r="Q52" s="10"/>
      <c r="R52" s="10">
        <f t="shared" ref="R52" si="93">+R50-R51</f>
        <v>0</v>
      </c>
    </row>
    <row r="53" spans="1:18" x14ac:dyDescent="0.25">
      <c r="C53" s="7"/>
      <c r="D53" s="7"/>
      <c r="E53" s="7"/>
      <c r="F53" s="7"/>
      <c r="G53" s="7"/>
      <c r="H53" s="7"/>
      <c r="I53" s="11"/>
      <c r="J53" s="11"/>
      <c r="K53" s="11"/>
      <c r="L53" s="11"/>
      <c r="M53" s="11"/>
      <c r="N53" s="7"/>
      <c r="O53" s="7"/>
      <c r="P53" s="7"/>
      <c r="Q53" s="7"/>
      <c r="R53" s="7"/>
    </row>
    <row r="54" spans="1:18" x14ac:dyDescent="0.25">
      <c r="E54" s="2">
        <f>+E6+E10+E14+E18+E22+E26+E30+E34+E38+E42+E46+E50</f>
        <v>6934490</v>
      </c>
      <c r="F54" s="2">
        <f>+F6+F10+F14+F18+F22+F26+F30+F34+F38+F42+F46+F50</f>
        <v>346624.04</v>
      </c>
      <c r="G54" s="2">
        <f t="shared" ref="G54:I54" si="94">+G6+G10+G14+G18+G22+G26+G30+G34+G38+G42+G46+G50</f>
        <v>1986133.9</v>
      </c>
      <c r="H54" s="2">
        <f t="shared" si="94"/>
        <v>248269.71</v>
      </c>
      <c r="I54" s="2">
        <f t="shared" si="94"/>
        <v>249592659.89999998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6:R44"/>
  <sheetViews>
    <sheetView topLeftCell="B5" workbookViewId="0">
      <pane ySplit="3" topLeftCell="A27" activePane="bottomLeft" state="frozen"/>
      <selection activeCell="B5" sqref="B5"/>
      <selection pane="bottomLeft" activeCell="F46" sqref="F46"/>
    </sheetView>
  </sheetViews>
  <sheetFormatPr defaultRowHeight="15" x14ac:dyDescent="0.25"/>
  <cols>
    <col min="3" max="3" width="15.7109375" bestFit="1" customWidth="1"/>
    <col min="4" max="4" width="15.7109375" customWidth="1"/>
    <col min="5" max="5" width="14.28515625" bestFit="1" customWidth="1"/>
    <col min="6" max="6" width="13.28515625" bestFit="1" customWidth="1"/>
    <col min="7" max="8" width="9.28515625" bestFit="1" customWidth="1"/>
    <col min="9" max="10" width="9.28515625" customWidth="1"/>
    <col min="11" max="11" width="14.28515625" bestFit="1" customWidth="1"/>
    <col min="12" max="12" width="11.5703125" bestFit="1" customWidth="1"/>
    <col min="13" max="14" width="10.5703125" bestFit="1" customWidth="1"/>
    <col min="15" max="15" width="12" bestFit="1" customWidth="1"/>
    <col min="16" max="16" width="14" bestFit="1" customWidth="1"/>
    <col min="17" max="17" width="10.5703125" bestFit="1" customWidth="1"/>
    <col min="18" max="18" width="12.28515625" bestFit="1" customWidth="1"/>
  </cols>
  <sheetData>
    <row r="6" spans="3:16" x14ac:dyDescent="0.25">
      <c r="C6" s="3" t="s">
        <v>35</v>
      </c>
      <c r="D6" s="3"/>
      <c r="K6" s="8"/>
    </row>
    <row r="7" spans="3:16" x14ac:dyDescent="0.25">
      <c r="C7" s="5" t="s">
        <v>27</v>
      </c>
      <c r="D7" s="5" t="s">
        <v>25</v>
      </c>
      <c r="E7" s="5" t="s">
        <v>36</v>
      </c>
      <c r="F7" s="5" t="s">
        <v>30</v>
      </c>
      <c r="G7" s="5" t="s">
        <v>37</v>
      </c>
      <c r="H7" s="5" t="s">
        <v>18</v>
      </c>
      <c r="I7" s="5" t="s">
        <v>155</v>
      </c>
      <c r="J7" s="5" t="s">
        <v>30</v>
      </c>
      <c r="K7" s="9" t="s">
        <v>38</v>
      </c>
      <c r="L7" s="6" t="s">
        <v>39</v>
      </c>
      <c r="M7" s="5" t="s">
        <v>13</v>
      </c>
      <c r="N7" s="5" t="s">
        <v>63</v>
      </c>
      <c r="O7" s="17" t="s">
        <v>66</v>
      </c>
    </row>
    <row r="8" spans="3:16" x14ac:dyDescent="0.25">
      <c r="C8" s="4" t="s">
        <v>0</v>
      </c>
      <c r="D8" s="10">
        <f>+SUM(E8:M8)</f>
        <v>28734925</v>
      </c>
      <c r="E8" s="10">
        <v>17728967</v>
      </c>
      <c r="F8" s="10">
        <v>886448</v>
      </c>
      <c r="G8" s="10">
        <v>8813</v>
      </c>
      <c r="H8" s="10">
        <v>1102</v>
      </c>
      <c r="I8" s="10">
        <v>11312</v>
      </c>
      <c r="J8" s="10">
        <v>566</v>
      </c>
      <c r="K8" s="10">
        <v>9899723</v>
      </c>
      <c r="L8" s="10">
        <v>197994</v>
      </c>
      <c r="M8" s="10">
        <v>0</v>
      </c>
      <c r="N8" s="10"/>
      <c r="O8" s="14">
        <v>28734925.800000001</v>
      </c>
      <c r="P8" s="16">
        <f>+D8-O8</f>
        <v>-0.80000000074505806</v>
      </c>
    </row>
    <row r="9" spans="3:16" x14ac:dyDescent="0.25">
      <c r="C9" s="4" t="s">
        <v>26</v>
      </c>
      <c r="D9" s="10">
        <f>+SUM(E9:M9)</f>
        <v>28734924.810000002</v>
      </c>
      <c r="E9" s="10">
        <f>+working!B17</f>
        <v>17728967</v>
      </c>
      <c r="F9" s="10">
        <f>+working!B18</f>
        <v>886448.35000000009</v>
      </c>
      <c r="G9" s="10">
        <v>8813</v>
      </c>
      <c r="H9" s="10">
        <v>1102</v>
      </c>
      <c r="I9" s="10">
        <v>10558</v>
      </c>
      <c r="J9" s="10">
        <v>1319</v>
      </c>
      <c r="K9" s="10">
        <f>+working!B31</f>
        <v>9899723</v>
      </c>
      <c r="L9" s="10">
        <f>+working!B32</f>
        <v>197994.46</v>
      </c>
      <c r="M9" s="10"/>
      <c r="N9" s="10"/>
      <c r="O9" s="2"/>
    </row>
    <row r="10" spans="3:16" x14ac:dyDescent="0.25">
      <c r="C10" s="5" t="s">
        <v>40</v>
      </c>
      <c r="D10" s="10">
        <f t="shared" ref="D10:N10" si="0">+D8-D9</f>
        <v>0.18999999761581421</v>
      </c>
      <c r="E10" s="10">
        <f t="shared" si="0"/>
        <v>0</v>
      </c>
      <c r="F10" s="10">
        <f t="shared" si="0"/>
        <v>-0.35000000009313226</v>
      </c>
      <c r="G10" s="10">
        <f t="shared" si="0"/>
        <v>0</v>
      </c>
      <c r="H10" s="10">
        <f t="shared" si="0"/>
        <v>0</v>
      </c>
      <c r="I10" s="10">
        <f t="shared" si="0"/>
        <v>754</v>
      </c>
      <c r="J10" s="10">
        <f t="shared" si="0"/>
        <v>-753</v>
      </c>
      <c r="K10" s="10">
        <f t="shared" si="0"/>
        <v>0</v>
      </c>
      <c r="L10" s="10">
        <f t="shared" si="0"/>
        <v>-0.45999999999185093</v>
      </c>
      <c r="M10" s="10">
        <f t="shared" si="0"/>
        <v>0</v>
      </c>
      <c r="N10" s="10">
        <f t="shared" si="0"/>
        <v>0</v>
      </c>
      <c r="O10" s="2"/>
    </row>
    <row r="11" spans="3:16" x14ac:dyDescent="0.25">
      <c r="C11" s="4" t="s">
        <v>1</v>
      </c>
      <c r="D11" s="10">
        <f>+SUM(E11:N11)</f>
        <v>23303148</v>
      </c>
      <c r="E11" s="10">
        <v>14490569</v>
      </c>
      <c r="F11" s="10">
        <v>724528</v>
      </c>
      <c r="G11" s="10">
        <v>15743</v>
      </c>
      <c r="H11" s="10">
        <v>1968</v>
      </c>
      <c r="I11" s="10"/>
      <c r="J11" s="10"/>
      <c r="K11" s="10">
        <v>7900499</v>
      </c>
      <c r="L11" s="10">
        <v>158010</v>
      </c>
      <c r="M11" s="10">
        <v>8180</v>
      </c>
      <c r="N11" s="10">
        <v>3651</v>
      </c>
      <c r="O11" s="14">
        <v>23303149.920000002</v>
      </c>
      <c r="P11" s="16">
        <f>+D11-O11</f>
        <v>-1.9200000017881393</v>
      </c>
    </row>
    <row r="12" spans="3:16" x14ac:dyDescent="0.25">
      <c r="C12" s="4" t="s">
        <v>26</v>
      </c>
      <c r="D12" s="10">
        <f>+SUM(E12:N12)</f>
        <v>23292235.305</v>
      </c>
      <c r="E12" s="10">
        <f>+working!E17</f>
        <v>14490569</v>
      </c>
      <c r="F12" s="10">
        <f>+working!E18</f>
        <v>724528.45000000007</v>
      </c>
      <c r="G12" s="10">
        <f>+working!E19</f>
        <v>15743</v>
      </c>
      <c r="H12" s="10">
        <f>+working!E20</f>
        <v>1967.875</v>
      </c>
      <c r="I12" s="10"/>
      <c r="J12" s="10"/>
      <c r="K12" s="10">
        <f>+working!E31</f>
        <v>7901399</v>
      </c>
      <c r="L12" s="10">
        <f>+working!E32</f>
        <v>158027.98000000001</v>
      </c>
      <c r="M12" s="10">
        <f>+working!E33</f>
        <v>0</v>
      </c>
      <c r="N12" s="10"/>
      <c r="O12" s="2"/>
    </row>
    <row r="13" spans="3:16" x14ac:dyDescent="0.25">
      <c r="C13" s="5" t="s">
        <v>40</v>
      </c>
      <c r="D13" s="10">
        <f t="shared" ref="D13:N13" si="1">+D11-D12</f>
        <v>10912.695000000298</v>
      </c>
      <c r="E13" s="10">
        <f t="shared" si="1"/>
        <v>0</v>
      </c>
      <c r="F13" s="10">
        <f t="shared" si="1"/>
        <v>-0.45000000006984919</v>
      </c>
      <c r="G13" s="10">
        <f t="shared" si="1"/>
        <v>0</v>
      </c>
      <c r="H13" s="10">
        <f t="shared" si="1"/>
        <v>0.125</v>
      </c>
      <c r="I13" s="10"/>
      <c r="J13" s="10"/>
      <c r="K13" s="10">
        <f t="shared" si="1"/>
        <v>-900</v>
      </c>
      <c r="L13" s="10">
        <f t="shared" si="1"/>
        <v>-17.980000000010477</v>
      </c>
      <c r="M13" s="10">
        <f t="shared" si="1"/>
        <v>8180</v>
      </c>
      <c r="N13" s="10">
        <f t="shared" si="1"/>
        <v>3651</v>
      </c>
      <c r="O13" s="14"/>
    </row>
    <row r="14" spans="3:16" x14ac:dyDescent="0.25">
      <c r="C14" s="4" t="s">
        <v>2</v>
      </c>
      <c r="D14" s="10">
        <f>+SUM(E14:N14)</f>
        <v>30009812</v>
      </c>
      <c r="E14" s="10">
        <v>19801718</v>
      </c>
      <c r="F14" s="10">
        <v>990086</v>
      </c>
      <c r="G14" s="10">
        <v>15633</v>
      </c>
      <c r="H14" s="10">
        <v>1954</v>
      </c>
      <c r="I14" s="10"/>
      <c r="J14" s="10"/>
      <c r="K14" s="10">
        <v>9016686</v>
      </c>
      <c r="L14" s="10">
        <v>180334</v>
      </c>
      <c r="M14" s="10"/>
      <c r="N14" s="10">
        <v>3401</v>
      </c>
      <c r="O14" s="14">
        <v>30009816.600000001</v>
      </c>
      <c r="P14" s="16">
        <f>+D14-O14</f>
        <v>-4.6000000014901161</v>
      </c>
    </row>
    <row r="15" spans="3:16" x14ac:dyDescent="0.25">
      <c r="C15" s="4" t="s">
        <v>26</v>
      </c>
      <c r="D15" s="10">
        <f>+SUM(E15:N15)</f>
        <v>30006411.794999998</v>
      </c>
      <c r="E15" s="10">
        <f>+working!H17</f>
        <v>19801719</v>
      </c>
      <c r="F15" s="10">
        <f>+working!H18</f>
        <v>990085.95000000007</v>
      </c>
      <c r="G15" s="10">
        <f>+working!H19</f>
        <v>15633</v>
      </c>
      <c r="H15" s="10">
        <f>+working!H20</f>
        <v>1954.125</v>
      </c>
      <c r="I15" s="10"/>
      <c r="J15" s="10"/>
      <c r="K15" s="10">
        <f>+working!H31</f>
        <v>9016686</v>
      </c>
      <c r="L15" s="10">
        <f>+working!H32</f>
        <v>180333.72</v>
      </c>
      <c r="M15" s="10"/>
      <c r="N15" s="10"/>
      <c r="O15" s="2"/>
    </row>
    <row r="16" spans="3:16" x14ac:dyDescent="0.25">
      <c r="C16" s="5" t="s">
        <v>40</v>
      </c>
      <c r="D16" s="10">
        <f t="shared" ref="D16:N16" si="2">+D14-D15</f>
        <v>3400.2050000019372</v>
      </c>
      <c r="E16" s="10">
        <f t="shared" si="2"/>
        <v>-1</v>
      </c>
      <c r="F16" s="10">
        <f t="shared" si="2"/>
        <v>4.9999999930150807E-2</v>
      </c>
      <c r="G16" s="10">
        <f t="shared" si="2"/>
        <v>0</v>
      </c>
      <c r="H16" s="10">
        <f t="shared" si="2"/>
        <v>-0.125</v>
      </c>
      <c r="I16" s="10"/>
      <c r="J16" s="10"/>
      <c r="K16" s="10">
        <f t="shared" si="2"/>
        <v>0</v>
      </c>
      <c r="L16" s="10">
        <f t="shared" si="2"/>
        <v>0.27999999999883585</v>
      </c>
      <c r="M16" s="10">
        <f t="shared" si="2"/>
        <v>0</v>
      </c>
      <c r="N16" s="10">
        <f t="shared" si="2"/>
        <v>3401</v>
      </c>
      <c r="O16" s="2"/>
    </row>
    <row r="17" spans="3:16" x14ac:dyDescent="0.25">
      <c r="C17" s="4" t="s">
        <v>3</v>
      </c>
      <c r="D17" s="10">
        <f>+SUM(E17:N17)</f>
        <v>34124567</v>
      </c>
      <c r="E17" s="10">
        <f>15247724-37</f>
        <v>15247687</v>
      </c>
      <c r="F17" s="10">
        <v>762385</v>
      </c>
      <c r="G17" s="10">
        <v>667</v>
      </c>
      <c r="H17" s="10">
        <v>83</v>
      </c>
      <c r="I17" s="10"/>
      <c r="J17" s="10"/>
      <c r="K17" s="10">
        <f>17746021-7</f>
        <v>17746014</v>
      </c>
      <c r="L17" s="10">
        <v>354916</v>
      </c>
      <c r="M17" s="10">
        <v>6022</v>
      </c>
      <c r="N17" s="10">
        <v>6793</v>
      </c>
      <c r="O17" s="14">
        <v>34124571.439999998</v>
      </c>
      <c r="P17" s="16">
        <f>+D17-O17</f>
        <v>-4.4399999976158142</v>
      </c>
    </row>
    <row r="18" spans="3:16" x14ac:dyDescent="0.25">
      <c r="C18" s="4" t="s">
        <v>26</v>
      </c>
      <c r="D18" s="10">
        <f>+SUM(E18:N18)</f>
        <v>34111118.129999995</v>
      </c>
      <c r="E18" s="10">
        <f>+working!K17</f>
        <v>15247693</v>
      </c>
      <c r="F18" s="10">
        <f>+working!K18</f>
        <v>762384.65</v>
      </c>
      <c r="G18" s="10">
        <f>+working!K19</f>
        <v>312</v>
      </c>
      <c r="H18" s="10">
        <f>+working!K20</f>
        <v>39</v>
      </c>
      <c r="I18" s="10"/>
      <c r="J18" s="10"/>
      <c r="K18" s="10">
        <f>+working!K31</f>
        <v>17745774</v>
      </c>
      <c r="L18" s="10">
        <f>+working!K32</f>
        <v>354915.48</v>
      </c>
      <c r="M18" s="10"/>
      <c r="N18" s="10"/>
      <c r="O18" s="2"/>
    </row>
    <row r="19" spans="3:16" x14ac:dyDescent="0.25">
      <c r="C19" s="5" t="s">
        <v>40</v>
      </c>
      <c r="D19" s="10">
        <f t="shared" ref="D19:N19" si="3">+D17-D18</f>
        <v>13448.870000004768</v>
      </c>
      <c r="E19" s="10">
        <f t="shared" si="3"/>
        <v>-6</v>
      </c>
      <c r="F19" s="10">
        <f t="shared" si="3"/>
        <v>0.34999999997671694</v>
      </c>
      <c r="G19" s="10">
        <f t="shared" si="3"/>
        <v>355</v>
      </c>
      <c r="H19" s="10">
        <f t="shared" si="3"/>
        <v>44</v>
      </c>
      <c r="I19" s="10"/>
      <c r="J19" s="10"/>
      <c r="K19" s="10">
        <f t="shared" si="3"/>
        <v>240</v>
      </c>
      <c r="L19" s="10">
        <f t="shared" si="3"/>
        <v>0.52000000001862645</v>
      </c>
      <c r="M19" s="10">
        <f t="shared" si="3"/>
        <v>6022</v>
      </c>
      <c r="N19" s="10">
        <f t="shared" si="3"/>
        <v>6793</v>
      </c>
      <c r="O19" s="2"/>
    </row>
    <row r="20" spans="3:16" x14ac:dyDescent="0.25">
      <c r="C20" s="4" t="s">
        <v>4</v>
      </c>
      <c r="D20" s="10">
        <f>+SUM(E20:N20)</f>
        <v>28758533</v>
      </c>
      <c r="E20" s="10">
        <v>16746572</v>
      </c>
      <c r="F20" s="10">
        <v>837329</v>
      </c>
      <c r="G20" s="10">
        <v>22764</v>
      </c>
      <c r="H20" s="10">
        <v>2845</v>
      </c>
      <c r="I20" s="10"/>
      <c r="J20" s="10"/>
      <c r="K20" s="10">
        <v>10924710</v>
      </c>
      <c r="L20" s="10">
        <v>218494</v>
      </c>
      <c r="M20" s="10"/>
      <c r="N20" s="10">
        <v>5819</v>
      </c>
      <c r="O20" s="14">
        <v>28758531.850000001</v>
      </c>
      <c r="P20" s="16">
        <f>+D20-O20</f>
        <v>1.1499999985098839</v>
      </c>
    </row>
    <row r="21" spans="3:16" x14ac:dyDescent="0.25">
      <c r="C21" s="4" t="s">
        <v>26</v>
      </c>
      <c r="D21" s="10">
        <f>+SUM(E21:N21)</f>
        <v>28734570.809999999</v>
      </c>
      <c r="E21" s="10">
        <f>+working!N17</f>
        <v>16752395</v>
      </c>
      <c r="F21" s="10">
        <f>+working!N18</f>
        <v>837619.75</v>
      </c>
      <c r="G21" s="10">
        <f>+working!N19</f>
        <v>22764</v>
      </c>
      <c r="H21" s="10">
        <f>+working!N20</f>
        <v>2845.5</v>
      </c>
      <c r="I21" s="10"/>
      <c r="J21" s="10"/>
      <c r="K21" s="10">
        <f>+working!N31</f>
        <v>10900928</v>
      </c>
      <c r="L21" s="10">
        <f>+working!N32</f>
        <v>218018.56</v>
      </c>
      <c r="M21" s="10"/>
      <c r="N21" s="10"/>
      <c r="O21" s="2"/>
    </row>
    <row r="22" spans="3:16" x14ac:dyDescent="0.25">
      <c r="C22" s="5" t="s">
        <v>40</v>
      </c>
      <c r="D22" s="10">
        <f t="shared" ref="D22:N22" si="4">+D20-D21</f>
        <v>23962.190000001341</v>
      </c>
      <c r="E22" s="10">
        <f t="shared" si="4"/>
        <v>-5823</v>
      </c>
      <c r="F22" s="10">
        <f t="shared" si="4"/>
        <v>-290.75</v>
      </c>
      <c r="G22" s="10">
        <f t="shared" si="4"/>
        <v>0</v>
      </c>
      <c r="H22" s="10">
        <f t="shared" si="4"/>
        <v>-0.5</v>
      </c>
      <c r="I22" s="10"/>
      <c r="J22" s="10"/>
      <c r="K22" s="10">
        <f t="shared" si="4"/>
        <v>23782</v>
      </c>
      <c r="L22" s="10">
        <f t="shared" si="4"/>
        <v>475.44000000000233</v>
      </c>
      <c r="M22" s="10">
        <f t="shared" si="4"/>
        <v>0</v>
      </c>
      <c r="N22" s="10">
        <f t="shared" si="4"/>
        <v>5819</v>
      </c>
      <c r="O22" s="2"/>
    </row>
    <row r="23" spans="3:16" x14ac:dyDescent="0.25">
      <c r="C23" s="4" t="s">
        <v>5</v>
      </c>
      <c r="D23" s="10">
        <f>+SUM(E23:N23)</f>
        <v>39324538</v>
      </c>
      <c r="E23" s="10">
        <v>24764420</v>
      </c>
      <c r="F23" s="10">
        <v>1238221</v>
      </c>
      <c r="G23" s="10">
        <v>46834</v>
      </c>
      <c r="H23" s="10">
        <v>5854</v>
      </c>
      <c r="I23" s="10"/>
      <c r="J23" s="10"/>
      <c r="K23" s="10">
        <v>12980497</v>
      </c>
      <c r="L23" s="10">
        <v>259610</v>
      </c>
      <c r="M23" s="10">
        <v>21444</v>
      </c>
      <c r="N23" s="10">
        <v>7658</v>
      </c>
      <c r="O23" s="14">
        <v>39324543.119999997</v>
      </c>
      <c r="P23" s="16">
        <f>+D23-O23</f>
        <v>-5.119999997317791</v>
      </c>
    </row>
    <row r="24" spans="3:16" x14ac:dyDescent="0.25">
      <c r="C24" s="4" t="s">
        <v>26</v>
      </c>
      <c r="D24" s="10">
        <f>+SUM(E24:N24)</f>
        <v>38650767.734999999</v>
      </c>
      <c r="E24" s="10">
        <f>+working!Q17</f>
        <v>24772077</v>
      </c>
      <c r="F24" s="10">
        <f>+working!Q18</f>
        <v>1238603.8500000001</v>
      </c>
      <c r="G24" s="10">
        <f>+working!Q19</f>
        <v>46833</v>
      </c>
      <c r="H24" s="10">
        <f>+working!Q20</f>
        <v>5854.125</v>
      </c>
      <c r="I24" s="10"/>
      <c r="J24" s="10"/>
      <c r="K24" s="10">
        <f>+working!Q31</f>
        <v>12340588</v>
      </c>
      <c r="L24" s="10">
        <f>+working!Q32</f>
        <v>246811.76</v>
      </c>
      <c r="M24" s="10"/>
      <c r="N24" s="10"/>
      <c r="O24" s="2"/>
    </row>
    <row r="25" spans="3:16" x14ac:dyDescent="0.25">
      <c r="C25" s="5" t="s">
        <v>40</v>
      </c>
      <c r="D25" s="10">
        <f t="shared" ref="D25:N25" si="5">+D23-D24</f>
        <v>673770.2650000006</v>
      </c>
      <c r="E25" s="10">
        <f t="shared" si="5"/>
        <v>-7657</v>
      </c>
      <c r="F25" s="10">
        <f t="shared" si="5"/>
        <v>-382.85000000009313</v>
      </c>
      <c r="G25" s="10">
        <f t="shared" si="5"/>
        <v>1</v>
      </c>
      <c r="H25" s="10">
        <f t="shared" si="5"/>
        <v>-0.125</v>
      </c>
      <c r="I25" s="10"/>
      <c r="J25" s="10"/>
      <c r="K25" s="10">
        <f t="shared" si="5"/>
        <v>639909</v>
      </c>
      <c r="L25" s="10">
        <f t="shared" si="5"/>
        <v>12798.239999999991</v>
      </c>
      <c r="M25" s="10">
        <f t="shared" si="5"/>
        <v>21444</v>
      </c>
      <c r="N25" s="10">
        <f t="shared" si="5"/>
        <v>7658</v>
      </c>
      <c r="O25" s="2"/>
    </row>
    <row r="26" spans="3:16" x14ac:dyDescent="0.25">
      <c r="C26" s="4" t="s">
        <v>6</v>
      </c>
      <c r="D26" s="10">
        <f>+SUM(E26:N26)</f>
        <v>34074638</v>
      </c>
      <c r="E26" s="10">
        <v>20607960</v>
      </c>
      <c r="F26" s="10">
        <v>1030343</v>
      </c>
      <c r="G26" s="10">
        <v>10435</v>
      </c>
      <c r="H26" s="10">
        <v>1304</v>
      </c>
      <c r="I26" s="10"/>
      <c r="J26" s="10"/>
      <c r="K26" s="10">
        <v>12161541</v>
      </c>
      <c r="L26" s="10">
        <v>243231</v>
      </c>
      <c r="M26" s="10">
        <v>8887</v>
      </c>
      <c r="N26" s="10">
        <v>10937</v>
      </c>
      <c r="O26" s="14">
        <v>34074641.869999997</v>
      </c>
      <c r="P26" s="16">
        <f>+D26-O26</f>
        <v>-3.869999997317791</v>
      </c>
    </row>
    <row r="27" spans="3:16" x14ac:dyDescent="0.25">
      <c r="C27" s="4" t="s">
        <v>26</v>
      </c>
      <c r="D27" s="10">
        <f>+SUM(E27:N27)</f>
        <v>34075189.420000002</v>
      </c>
      <c r="E27" s="10">
        <f>+working!T17</f>
        <v>20617802</v>
      </c>
      <c r="F27" s="10">
        <f>+working!T18</f>
        <v>1030890.1000000001</v>
      </c>
      <c r="G27" s="10">
        <f>+working!T19</f>
        <v>10436</v>
      </c>
      <c r="H27" s="10">
        <f>+working!T20</f>
        <v>1304.5</v>
      </c>
      <c r="I27" s="10"/>
      <c r="J27" s="10"/>
      <c r="K27" s="10">
        <f>+working!T31</f>
        <v>12161541</v>
      </c>
      <c r="L27" s="10">
        <f>+working!T32</f>
        <v>243230.82</v>
      </c>
      <c r="M27" s="10">
        <f>+working!T33</f>
        <v>9985</v>
      </c>
      <c r="N27" s="10"/>
      <c r="O27" s="2"/>
    </row>
    <row r="28" spans="3:16" x14ac:dyDescent="0.25">
      <c r="C28" s="5" t="s">
        <v>40</v>
      </c>
      <c r="D28" s="10">
        <f t="shared" ref="D28:N28" si="6">+D26-D27</f>
        <v>-551.42000000178814</v>
      </c>
      <c r="E28" s="10">
        <f t="shared" si="6"/>
        <v>-9842</v>
      </c>
      <c r="F28" s="10">
        <f t="shared" si="6"/>
        <v>-547.10000000009313</v>
      </c>
      <c r="G28" s="10">
        <f t="shared" si="6"/>
        <v>-1</v>
      </c>
      <c r="H28" s="10">
        <f t="shared" si="6"/>
        <v>-0.5</v>
      </c>
      <c r="I28" s="10"/>
      <c r="J28" s="10"/>
      <c r="K28" s="10">
        <f t="shared" si="6"/>
        <v>0</v>
      </c>
      <c r="L28" s="10">
        <f t="shared" si="6"/>
        <v>0.17999999999301508</v>
      </c>
      <c r="M28" s="10">
        <f t="shared" si="6"/>
        <v>-1098</v>
      </c>
      <c r="N28" s="10">
        <f t="shared" si="6"/>
        <v>10937</v>
      </c>
      <c r="O28" s="2"/>
    </row>
    <row r="29" spans="3:16" x14ac:dyDescent="0.25">
      <c r="C29" s="4" t="s">
        <v>7</v>
      </c>
      <c r="D29" s="10">
        <f>+SUM(E29:N29)</f>
        <v>45929694</v>
      </c>
      <c r="E29" s="10">
        <v>27799753</v>
      </c>
      <c r="F29" s="10">
        <v>1389984</v>
      </c>
      <c r="G29" s="10">
        <v>16167</v>
      </c>
      <c r="H29" s="10">
        <v>2021</v>
      </c>
      <c r="I29" s="10"/>
      <c r="J29" s="10"/>
      <c r="K29" s="10">
        <v>16387987</v>
      </c>
      <c r="L29" s="10">
        <v>327760</v>
      </c>
      <c r="M29" s="10">
        <v>604</v>
      </c>
      <c r="N29" s="10">
        <v>5418</v>
      </c>
      <c r="O29" s="14">
        <v>45930051</v>
      </c>
      <c r="P29" s="16">
        <f>+D29-O29</f>
        <v>-357</v>
      </c>
    </row>
    <row r="30" spans="3:16" x14ac:dyDescent="0.25">
      <c r="C30" s="4" t="s">
        <v>26</v>
      </c>
      <c r="D30" s="10">
        <f>+SUM(E30:N30)</f>
        <v>45863631.990000002</v>
      </c>
      <c r="E30" s="10">
        <f>+working!W17</f>
        <v>27741590</v>
      </c>
      <c r="F30" s="10">
        <f>+working!W18</f>
        <v>1387079.5</v>
      </c>
      <c r="G30" s="10">
        <f>+working!W19</f>
        <v>16478</v>
      </c>
      <c r="H30" s="10">
        <f>+working!W20</f>
        <v>2059.75</v>
      </c>
      <c r="I30" s="10"/>
      <c r="J30" s="10"/>
      <c r="K30" s="10">
        <f>+working!W31</f>
        <v>16387987</v>
      </c>
      <c r="L30" s="10">
        <f>+working!W32</f>
        <v>327759.74</v>
      </c>
      <c r="M30" s="10">
        <f>+working!W33</f>
        <v>678</v>
      </c>
      <c r="N30" s="10"/>
      <c r="O30" s="2"/>
    </row>
    <row r="31" spans="3:16" x14ac:dyDescent="0.25">
      <c r="C31" s="5" t="s">
        <v>40</v>
      </c>
      <c r="D31" s="10">
        <f t="shared" ref="D31:N31" si="7">+D29-D30</f>
        <v>66062.009999997914</v>
      </c>
      <c r="E31" s="10">
        <f t="shared" si="7"/>
        <v>58163</v>
      </c>
      <c r="F31" s="10">
        <f t="shared" si="7"/>
        <v>2904.5</v>
      </c>
      <c r="G31" s="10">
        <f t="shared" si="7"/>
        <v>-311</v>
      </c>
      <c r="H31" s="10">
        <f t="shared" si="7"/>
        <v>-38.75</v>
      </c>
      <c r="I31" s="10"/>
      <c r="J31" s="10"/>
      <c r="K31" s="10">
        <f t="shared" si="7"/>
        <v>0</v>
      </c>
      <c r="L31" s="10">
        <f t="shared" si="7"/>
        <v>0.26000000000931323</v>
      </c>
      <c r="M31" s="10">
        <f t="shared" si="7"/>
        <v>-74</v>
      </c>
      <c r="N31" s="10">
        <f t="shared" si="7"/>
        <v>5418</v>
      </c>
      <c r="O31" s="2"/>
    </row>
    <row r="32" spans="3:16" x14ac:dyDescent="0.25">
      <c r="C32" s="4" t="s">
        <v>8</v>
      </c>
      <c r="D32" s="10">
        <f>+SUM(E32:N32)</f>
        <v>35825666</v>
      </c>
      <c r="E32" s="10">
        <v>23076535</v>
      </c>
      <c r="F32" s="10">
        <v>1153820</v>
      </c>
      <c r="G32" s="10">
        <v>16462</v>
      </c>
      <c r="H32" s="10">
        <v>2058</v>
      </c>
      <c r="I32" s="10"/>
      <c r="J32" s="10"/>
      <c r="K32" s="10">
        <v>11336643</v>
      </c>
      <c r="L32" s="10">
        <v>226733</v>
      </c>
      <c r="M32" s="10">
        <v>1086</v>
      </c>
      <c r="N32" s="10">
        <v>12329</v>
      </c>
      <c r="O32" s="14">
        <v>35825671.009999998</v>
      </c>
      <c r="P32" s="16">
        <f>+D32-O32</f>
        <v>-5.0099999979138374</v>
      </c>
    </row>
    <row r="33" spans="3:18" x14ac:dyDescent="0.25">
      <c r="C33" s="4" t="s">
        <v>26</v>
      </c>
      <c r="D33" s="10">
        <f>+SUM(E33:N33)</f>
        <v>35808589.5</v>
      </c>
      <c r="E33" s="10">
        <f>+working!Z17</f>
        <v>23076401</v>
      </c>
      <c r="F33" s="10">
        <f>+working!Z18</f>
        <v>1153820.05</v>
      </c>
      <c r="G33" s="10">
        <f>+working!Z19</f>
        <v>16462</v>
      </c>
      <c r="H33" s="10">
        <f>+working!Z20</f>
        <v>2057.75</v>
      </c>
      <c r="I33" s="10"/>
      <c r="J33" s="10"/>
      <c r="K33" s="10">
        <f>+working!Z31</f>
        <v>11333185</v>
      </c>
      <c r="L33" s="10">
        <f>+working!Z32</f>
        <v>226663.7</v>
      </c>
      <c r="M33" s="10">
        <v>0</v>
      </c>
      <c r="N33" s="10">
        <v>0</v>
      </c>
      <c r="O33" s="2"/>
    </row>
    <row r="34" spans="3:18" x14ac:dyDescent="0.25">
      <c r="C34" s="5" t="s">
        <v>40</v>
      </c>
      <c r="D34" s="10">
        <f t="shared" ref="D34:N34" si="8">+D32-D33</f>
        <v>17076.5</v>
      </c>
      <c r="E34" s="10">
        <f t="shared" si="8"/>
        <v>134</v>
      </c>
      <c r="F34" s="10">
        <f t="shared" si="8"/>
        <v>-5.0000000046566129E-2</v>
      </c>
      <c r="G34" s="10">
        <f t="shared" si="8"/>
        <v>0</v>
      </c>
      <c r="H34" s="10">
        <f t="shared" si="8"/>
        <v>0.25</v>
      </c>
      <c r="I34" s="10"/>
      <c r="J34" s="10"/>
      <c r="K34" s="10">
        <f t="shared" si="8"/>
        <v>3458</v>
      </c>
      <c r="L34" s="10">
        <f t="shared" si="8"/>
        <v>69.299999999988358</v>
      </c>
      <c r="M34" s="10">
        <f t="shared" si="8"/>
        <v>1086</v>
      </c>
      <c r="N34" s="10">
        <f t="shared" si="8"/>
        <v>12329</v>
      </c>
      <c r="O34" s="2"/>
    </row>
    <row r="35" spans="3:18" x14ac:dyDescent="0.25">
      <c r="C35" s="4" t="s">
        <v>9</v>
      </c>
      <c r="D35" s="10">
        <f>+SUM(E35:N35)</f>
        <v>44924754</v>
      </c>
      <c r="E35" s="10">
        <v>25022084</v>
      </c>
      <c r="F35" s="10">
        <v>1251116</v>
      </c>
      <c r="G35" s="10">
        <v>12215</v>
      </c>
      <c r="H35" s="10">
        <v>1527</v>
      </c>
      <c r="I35" s="10"/>
      <c r="J35" s="10"/>
      <c r="K35" s="10">
        <v>18256428</v>
      </c>
      <c r="L35" s="10">
        <v>365129</v>
      </c>
      <c r="M35" s="10">
        <v>1682</v>
      </c>
      <c r="N35" s="10">
        <v>14573</v>
      </c>
      <c r="O35" s="14">
        <v>44924723.07</v>
      </c>
      <c r="P35" s="16">
        <f>+D35-O35</f>
        <v>30.929999999701977</v>
      </c>
      <c r="Q35" t="s">
        <v>65</v>
      </c>
    </row>
    <row r="36" spans="3:18" x14ac:dyDescent="0.25">
      <c r="C36" s="4" t="s">
        <v>26</v>
      </c>
      <c r="D36" s="10">
        <f>+SUM(E36:N36)</f>
        <v>44748337.524999999</v>
      </c>
      <c r="E36" s="10">
        <f>+working!AC17</f>
        <v>25021833</v>
      </c>
      <c r="F36" s="10">
        <f>+working!AC18</f>
        <v>1251091.6500000001</v>
      </c>
      <c r="G36" s="10">
        <f>+working!AC19</f>
        <v>12215</v>
      </c>
      <c r="H36" s="10">
        <f>+working!AC20</f>
        <v>1526.875</v>
      </c>
      <c r="I36" s="10"/>
      <c r="J36" s="10"/>
      <c r="K36" s="10">
        <f>+working!AC31</f>
        <v>18098450</v>
      </c>
      <c r="L36" s="10">
        <f>+working!AC32</f>
        <v>361969</v>
      </c>
      <c r="M36" s="10">
        <f>+working!AC34</f>
        <v>1252</v>
      </c>
      <c r="N36" s="10">
        <v>0</v>
      </c>
      <c r="O36" s="2"/>
    </row>
    <row r="37" spans="3:18" x14ac:dyDescent="0.25">
      <c r="C37" s="5" t="s">
        <v>40</v>
      </c>
      <c r="D37" s="10">
        <f t="shared" ref="D37:N37" si="9">+D35-D36</f>
        <v>176416.47500000149</v>
      </c>
      <c r="E37" s="10">
        <f t="shared" si="9"/>
        <v>251</v>
      </c>
      <c r="F37" s="10">
        <f t="shared" si="9"/>
        <v>24.349999999860302</v>
      </c>
      <c r="G37" s="10">
        <f t="shared" si="9"/>
        <v>0</v>
      </c>
      <c r="H37" s="10">
        <f t="shared" si="9"/>
        <v>0.125</v>
      </c>
      <c r="I37" s="10"/>
      <c r="J37" s="10"/>
      <c r="K37" s="10">
        <f t="shared" si="9"/>
        <v>157978</v>
      </c>
      <c r="L37" s="10">
        <f t="shared" si="9"/>
        <v>3160</v>
      </c>
      <c r="M37" s="10">
        <f t="shared" si="9"/>
        <v>430</v>
      </c>
      <c r="N37" s="10">
        <f t="shared" si="9"/>
        <v>14573</v>
      </c>
      <c r="O37" s="2"/>
    </row>
    <row r="38" spans="3:18" x14ac:dyDescent="0.25">
      <c r="C38" s="4" t="s">
        <v>10</v>
      </c>
      <c r="D38" s="10">
        <f>+SUM(E38:N38)</f>
        <v>56091606.817943804</v>
      </c>
      <c r="E38" s="10">
        <v>28274984.683756009</v>
      </c>
      <c r="F38" s="10">
        <v>1413749.2341878004</v>
      </c>
      <c r="G38" s="10">
        <v>43398</v>
      </c>
      <c r="H38" s="10">
        <v>5425</v>
      </c>
      <c r="I38" s="10"/>
      <c r="J38" s="10"/>
      <c r="K38" s="10">
        <v>25817995</v>
      </c>
      <c r="L38" s="10">
        <v>516359.9</v>
      </c>
      <c r="M38" s="10">
        <v>10955</v>
      </c>
      <c r="N38" s="10">
        <v>8740</v>
      </c>
      <c r="O38" s="14">
        <v>56091607</v>
      </c>
      <c r="P38" s="16">
        <f>+D38-O38</f>
        <v>-0.18205619603395462</v>
      </c>
    </row>
    <row r="39" spans="3:18" x14ac:dyDescent="0.25">
      <c r="C39" s="4" t="s">
        <v>26</v>
      </c>
      <c r="D39" s="10">
        <f>+SUM(E39:N39)</f>
        <v>56091603</v>
      </c>
      <c r="E39" s="10">
        <v>28276190</v>
      </c>
      <c r="F39" s="10">
        <v>1413810</v>
      </c>
      <c r="G39" s="10">
        <v>43398</v>
      </c>
      <c r="H39" s="10">
        <v>5425</v>
      </c>
      <c r="I39" s="10"/>
      <c r="J39" s="10"/>
      <c r="K39" s="10">
        <v>25817995</v>
      </c>
      <c r="L39" s="10">
        <v>516360</v>
      </c>
      <c r="M39" s="10">
        <v>10955</v>
      </c>
      <c r="N39" s="10">
        <f>18425-M39</f>
        <v>7470</v>
      </c>
    </row>
    <row r="40" spans="3:18" x14ac:dyDescent="0.25">
      <c r="C40" s="5" t="s">
        <v>40</v>
      </c>
      <c r="D40" s="10">
        <f t="shared" ref="D40:N40" si="10">+D38-D39</f>
        <v>3.8179438039660454</v>
      </c>
      <c r="E40" s="10">
        <f t="shared" si="10"/>
        <v>-1205.3162439912558</v>
      </c>
      <c r="F40" s="10">
        <f t="shared" si="10"/>
        <v>-60.765812199562788</v>
      </c>
      <c r="G40" s="10">
        <f t="shared" si="10"/>
        <v>0</v>
      </c>
      <c r="H40" s="10">
        <f t="shared" si="10"/>
        <v>0</v>
      </c>
      <c r="I40" s="10"/>
      <c r="J40" s="10"/>
      <c r="K40" s="10">
        <f t="shared" si="10"/>
        <v>0</v>
      </c>
      <c r="L40" s="10">
        <f t="shared" si="10"/>
        <v>-9.9999999976716936E-2</v>
      </c>
      <c r="M40" s="10">
        <f t="shared" si="10"/>
        <v>0</v>
      </c>
      <c r="N40" s="10">
        <f t="shared" si="10"/>
        <v>1270</v>
      </c>
    </row>
    <row r="41" spans="3:18" s="62" customFormat="1" x14ac:dyDescent="0.25">
      <c r="C41" s="60" t="s">
        <v>20</v>
      </c>
      <c r="D41" s="61">
        <f>+SUM(E41:N41)</f>
        <v>55382146.815000005</v>
      </c>
      <c r="E41" s="61">
        <v>29620473</v>
      </c>
      <c r="F41" s="61">
        <f>+E41*0.05</f>
        <v>1481023.6500000001</v>
      </c>
      <c r="G41" s="61">
        <v>19319</v>
      </c>
      <c r="H41" s="61">
        <f>+G41*0.125</f>
        <v>2414.875</v>
      </c>
      <c r="I41" s="61">
        <v>135731</v>
      </c>
      <c r="J41" s="61">
        <f>+I41*0.05</f>
        <v>6786.55</v>
      </c>
      <c r="K41" s="61">
        <f>23618537-1100</f>
        <v>23617437</v>
      </c>
      <c r="L41" s="61">
        <f>+K41*0.02+21</f>
        <v>472369.74</v>
      </c>
      <c r="M41" s="61">
        <v>10693</v>
      </c>
      <c r="N41" s="61">
        <v>15899</v>
      </c>
      <c r="O41" s="62">
        <v>55383235</v>
      </c>
      <c r="P41" s="63">
        <f>+D41-O41</f>
        <v>-1088.1849999949336</v>
      </c>
      <c r="Q41" s="64"/>
      <c r="R41" s="65"/>
    </row>
    <row r="42" spans="3:18" x14ac:dyDescent="0.25">
      <c r="C42" s="4" t="s">
        <v>26</v>
      </c>
      <c r="D42" s="61">
        <f>+SUM(E42:N42)</f>
        <v>55383145.390000001</v>
      </c>
      <c r="E42" s="10">
        <v>29620473</v>
      </c>
      <c r="F42" s="10">
        <f>+E42*0.05</f>
        <v>1481023.6500000001</v>
      </c>
      <c r="G42" s="10">
        <v>19319</v>
      </c>
      <c r="H42" s="10">
        <v>2415</v>
      </c>
      <c r="I42" s="10">
        <v>135815</v>
      </c>
      <c r="J42" s="10">
        <v>6787</v>
      </c>
      <c r="K42" s="10">
        <v>23618537</v>
      </c>
      <c r="L42" s="10">
        <f>+K42*0.02</f>
        <v>472370.74</v>
      </c>
      <c r="M42" s="10">
        <v>10506</v>
      </c>
      <c r="N42" s="10">
        <v>15899</v>
      </c>
      <c r="O42" s="62">
        <v>55383235</v>
      </c>
      <c r="P42" s="63"/>
    </row>
    <row r="43" spans="3:18" x14ac:dyDescent="0.25">
      <c r="C43" s="5" t="s">
        <v>40</v>
      </c>
      <c r="D43" s="10">
        <f t="shared" ref="D43:N43" si="11">+D41-D42</f>
        <v>-998.57499999552965</v>
      </c>
      <c r="E43" s="10">
        <f t="shared" si="11"/>
        <v>0</v>
      </c>
      <c r="F43" s="10">
        <f t="shared" si="11"/>
        <v>0</v>
      </c>
      <c r="G43" s="10">
        <f t="shared" si="11"/>
        <v>0</v>
      </c>
      <c r="H43" s="10">
        <f t="shared" si="11"/>
        <v>-0.125</v>
      </c>
      <c r="I43" s="10">
        <f t="shared" si="11"/>
        <v>-84</v>
      </c>
      <c r="J43" s="10">
        <f t="shared" si="11"/>
        <v>-0.4499999999998181</v>
      </c>
      <c r="K43" s="10">
        <f t="shared" si="11"/>
        <v>-1100</v>
      </c>
      <c r="L43" s="10">
        <f t="shared" si="11"/>
        <v>-1</v>
      </c>
      <c r="M43" s="10">
        <f t="shared" si="11"/>
        <v>187</v>
      </c>
      <c r="N43" s="10">
        <f t="shared" si="11"/>
        <v>0</v>
      </c>
    </row>
    <row r="44" spans="3:18" x14ac:dyDescent="0.25">
      <c r="C44" s="4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</sheetData>
  <autoFilter ref="C7:P7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C6:P14"/>
  <sheetViews>
    <sheetView topLeftCell="E4" workbookViewId="0">
      <selection activeCell="F25" sqref="F25"/>
    </sheetView>
  </sheetViews>
  <sheetFormatPr defaultRowHeight="15" x14ac:dyDescent="0.25"/>
  <cols>
    <col min="4" max="4" width="10.7109375" bestFit="1" customWidth="1"/>
    <col min="5" max="5" width="12.28515625" bestFit="1" customWidth="1"/>
    <col min="6" max="6" width="28.7109375" bestFit="1" customWidth="1"/>
    <col min="7" max="7" width="32.85546875" bestFit="1" customWidth="1"/>
    <col min="8" max="8" width="13.42578125" bestFit="1" customWidth="1"/>
    <col min="9" max="9" width="11.28515625" customWidth="1"/>
    <col min="10" max="10" width="9.5703125" bestFit="1" customWidth="1"/>
    <col min="11" max="12" width="9.5703125" customWidth="1"/>
    <col min="13" max="13" width="11.85546875" bestFit="1" customWidth="1"/>
    <col min="14" max="14" width="14.5703125" bestFit="1" customWidth="1"/>
    <col min="15" max="15" width="14.5703125" customWidth="1"/>
    <col min="16" max="16" width="17.7109375" bestFit="1" customWidth="1"/>
  </cols>
  <sheetData>
    <row r="6" spans="3:16" x14ac:dyDescent="0.25">
      <c r="C6" s="3" t="s">
        <v>64</v>
      </c>
      <c r="D6" s="3"/>
      <c r="E6" s="3"/>
      <c r="F6" s="3"/>
    </row>
    <row r="8" spans="3:16" x14ac:dyDescent="0.25">
      <c r="C8" s="5" t="s">
        <v>48</v>
      </c>
      <c r="D8" s="5" t="s">
        <v>49</v>
      </c>
      <c r="E8" s="5" t="s">
        <v>44</v>
      </c>
      <c r="F8" s="5" t="s">
        <v>45</v>
      </c>
      <c r="G8" s="5" t="s">
        <v>46</v>
      </c>
      <c r="H8" s="5" t="s">
        <v>52</v>
      </c>
      <c r="I8" s="5" t="s">
        <v>15</v>
      </c>
      <c r="J8" s="5" t="s">
        <v>18</v>
      </c>
      <c r="K8" s="5" t="s">
        <v>14</v>
      </c>
      <c r="L8" s="5" t="s">
        <v>54</v>
      </c>
      <c r="M8" s="5" t="s">
        <v>61</v>
      </c>
      <c r="N8" s="5" t="s">
        <v>60</v>
      </c>
      <c r="O8" s="5" t="s">
        <v>62</v>
      </c>
      <c r="P8" s="5" t="s">
        <v>47</v>
      </c>
    </row>
    <row r="9" spans="3:16" x14ac:dyDescent="0.2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3:16" x14ac:dyDescent="0.25">
      <c r="C10" s="13">
        <v>1</v>
      </c>
      <c r="D10" s="4" t="s">
        <v>50</v>
      </c>
      <c r="E10" s="4"/>
      <c r="F10" s="4" t="s">
        <v>51</v>
      </c>
      <c r="G10" s="4" t="s">
        <v>53</v>
      </c>
      <c r="H10" s="4" t="s">
        <v>55</v>
      </c>
      <c r="I10" s="10"/>
      <c r="J10" s="10"/>
      <c r="K10" s="10">
        <v>187929</v>
      </c>
      <c r="L10" s="10">
        <v>9396</v>
      </c>
      <c r="M10" s="10">
        <f>+K10*0.03</f>
        <v>5637.87</v>
      </c>
      <c r="N10" s="10"/>
      <c r="O10" s="10">
        <f>+M10+N10</f>
        <v>5637.87</v>
      </c>
      <c r="P10" s="10">
        <f>+J10+L10-O10</f>
        <v>3758.13</v>
      </c>
    </row>
    <row r="11" spans="3:16" x14ac:dyDescent="0.25">
      <c r="C11" s="13"/>
      <c r="D11" s="4"/>
      <c r="E11" s="4"/>
      <c r="F11" s="4"/>
      <c r="G11" s="4"/>
      <c r="H11" s="4"/>
      <c r="I11" s="10"/>
      <c r="J11" s="10"/>
      <c r="K11" s="10"/>
      <c r="L11" s="10"/>
      <c r="M11" s="10"/>
      <c r="N11" s="10"/>
      <c r="O11" s="10"/>
      <c r="P11" s="10"/>
    </row>
    <row r="12" spans="3:16" x14ac:dyDescent="0.25">
      <c r="C12" s="13">
        <v>2</v>
      </c>
      <c r="D12" s="4" t="s">
        <v>58</v>
      </c>
      <c r="E12" s="4"/>
      <c r="F12" s="4" t="s">
        <v>57</v>
      </c>
      <c r="G12" s="4" t="s">
        <v>56</v>
      </c>
      <c r="H12" s="4" t="s">
        <v>59</v>
      </c>
      <c r="I12" s="10">
        <v>10000</v>
      </c>
      <c r="J12" s="10">
        <v>1250</v>
      </c>
      <c r="K12" s="10">
        <v>103650</v>
      </c>
      <c r="L12" s="10">
        <v>5183</v>
      </c>
      <c r="M12" s="10">
        <f>+K12*0.03</f>
        <v>3109.5</v>
      </c>
      <c r="N12" s="10">
        <f>+I12*0.03</f>
        <v>300</v>
      </c>
      <c r="O12" s="10">
        <f>+M12+N12</f>
        <v>3409.5</v>
      </c>
      <c r="P12" s="10">
        <f>+J12+L12-O12</f>
        <v>3023.5</v>
      </c>
    </row>
    <row r="13" spans="3:16" x14ac:dyDescent="0.25">
      <c r="C13" s="4"/>
      <c r="D13" s="4"/>
      <c r="E13" s="4"/>
      <c r="F13" s="4"/>
      <c r="G13" s="4"/>
      <c r="H13" s="4"/>
      <c r="I13" s="10">
        <v>19500</v>
      </c>
      <c r="J13" s="10">
        <v>2438</v>
      </c>
      <c r="K13" s="10"/>
      <c r="L13" s="10"/>
      <c r="M13" s="10"/>
      <c r="N13" s="10">
        <f>+I13*0.03</f>
        <v>585</v>
      </c>
      <c r="O13" s="10">
        <f>+M13+N13</f>
        <v>585</v>
      </c>
      <c r="P13" s="10">
        <f>+J13+L13-O13</f>
        <v>1853</v>
      </c>
    </row>
    <row r="14" spans="3:16" x14ac:dyDescent="0.25">
      <c r="C14" s="4"/>
      <c r="D14" s="4"/>
      <c r="E14" s="4"/>
      <c r="F14" s="4"/>
      <c r="G14" s="4"/>
      <c r="H14" s="4"/>
      <c r="I14" s="10"/>
      <c r="J14" s="10"/>
      <c r="K14" s="10"/>
      <c r="L14" s="10"/>
      <c r="M14" s="10"/>
      <c r="N14" s="10"/>
      <c r="O14" s="10"/>
      <c r="P14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V181"/>
  <sheetViews>
    <sheetView workbookViewId="0">
      <selection activeCell="E9" sqref="E9"/>
    </sheetView>
  </sheetViews>
  <sheetFormatPr defaultRowHeight="15" x14ac:dyDescent="0.25"/>
  <cols>
    <col min="3" max="3" width="35.140625" bestFit="1" customWidth="1"/>
    <col min="4" max="4" width="35.140625" customWidth="1"/>
    <col min="5" max="5" width="22.28515625" bestFit="1" customWidth="1"/>
    <col min="6" max="7" width="15.28515625" bestFit="1" customWidth="1"/>
    <col min="8" max="8" width="27.140625" bestFit="1" customWidth="1"/>
    <col min="9" max="9" width="30.28515625" bestFit="1" customWidth="1"/>
    <col min="10" max="10" width="29.28515625" bestFit="1" customWidth="1"/>
    <col min="11" max="11" width="14.7109375" bestFit="1" customWidth="1"/>
    <col min="12" max="12" width="23.7109375" bestFit="1" customWidth="1"/>
    <col min="13" max="13" width="23.7109375" customWidth="1"/>
    <col min="14" max="15" width="15.28515625" bestFit="1" customWidth="1"/>
    <col min="16" max="16" width="23" bestFit="1" customWidth="1"/>
    <col min="17" max="17" width="15.42578125" bestFit="1" customWidth="1"/>
    <col min="18" max="18" width="16.28515625" bestFit="1" customWidth="1"/>
    <col min="19" max="19" width="15.42578125" bestFit="1" customWidth="1"/>
    <col min="20" max="20" width="14.28515625" bestFit="1" customWidth="1"/>
    <col min="21" max="21" width="14.140625" bestFit="1" customWidth="1"/>
  </cols>
  <sheetData>
    <row r="2" spans="2:22" ht="14.45" x14ac:dyDescent="0.25">
      <c r="E2" t="s">
        <v>71</v>
      </c>
      <c r="F2" s="8">
        <f t="shared" ref="F2:Q2" si="0">+SUBTOTAL(9,F6:F181)</f>
        <v>401103079.98000002</v>
      </c>
      <c r="G2" s="8">
        <f t="shared" si="0"/>
        <v>207867298.63000008</v>
      </c>
      <c r="H2" s="8">
        <f t="shared" si="0"/>
        <v>41225381.390000023</v>
      </c>
      <c r="I2" s="8">
        <f t="shared" si="0"/>
        <v>824507.98999999976</v>
      </c>
      <c r="J2" s="8">
        <f t="shared" si="0"/>
        <v>412493.05000000005</v>
      </c>
      <c r="K2" s="8">
        <f t="shared" si="0"/>
        <v>11678008.490000002</v>
      </c>
      <c r="L2" s="8">
        <f t="shared" si="0"/>
        <v>220444.78</v>
      </c>
      <c r="M2" s="8">
        <f t="shared" si="0"/>
        <v>27553.5</v>
      </c>
      <c r="N2" s="8">
        <f t="shared" si="0"/>
        <v>135661453.55999997</v>
      </c>
      <c r="O2" s="8">
        <f t="shared" si="0"/>
        <v>3048569.5599999996</v>
      </c>
      <c r="P2" s="8">
        <f t="shared" si="0"/>
        <v>57654.63</v>
      </c>
      <c r="Q2" s="8">
        <f t="shared" si="0"/>
        <v>79319</v>
      </c>
    </row>
    <row r="5" spans="2:22" ht="14.45" x14ac:dyDescent="0.25">
      <c r="C5" s="4" t="s">
        <v>44</v>
      </c>
      <c r="D5" s="4" t="s">
        <v>72</v>
      </c>
      <c r="E5" s="4" t="s">
        <v>73</v>
      </c>
      <c r="F5" s="19" t="s">
        <v>74</v>
      </c>
      <c r="G5" s="19" t="s">
        <v>75</v>
      </c>
      <c r="H5" s="19" t="s">
        <v>76</v>
      </c>
      <c r="I5" s="19" t="s">
        <v>77</v>
      </c>
      <c r="J5" s="19" t="s">
        <v>78</v>
      </c>
      <c r="K5" s="19" t="s">
        <v>79</v>
      </c>
      <c r="L5" s="19" t="s">
        <v>80</v>
      </c>
      <c r="M5" s="19" t="s">
        <v>18</v>
      </c>
      <c r="N5" s="19" t="s">
        <v>81</v>
      </c>
      <c r="O5" s="19" t="s">
        <v>82</v>
      </c>
      <c r="P5" s="19" t="s">
        <v>83</v>
      </c>
      <c r="Q5" s="19" t="s">
        <v>84</v>
      </c>
      <c r="R5" s="20" t="s">
        <v>85</v>
      </c>
      <c r="S5" s="20" t="s">
        <v>86</v>
      </c>
      <c r="V5" s="21" t="s">
        <v>86</v>
      </c>
    </row>
    <row r="6" spans="2:22" ht="14.45" x14ac:dyDescent="0.25">
      <c r="B6" s="22">
        <v>41730</v>
      </c>
      <c r="C6" s="23" t="s">
        <v>67</v>
      </c>
      <c r="D6" s="24" t="s">
        <v>68</v>
      </c>
      <c r="E6" s="4"/>
      <c r="F6" s="25">
        <v>966381</v>
      </c>
      <c r="G6" s="26">
        <v>819120</v>
      </c>
      <c r="H6" s="26">
        <v>98294.399999999994</v>
      </c>
      <c r="I6" s="26">
        <v>1965.89</v>
      </c>
      <c r="J6" s="26">
        <v>982.94</v>
      </c>
      <c r="K6" s="26">
        <v>46018.16</v>
      </c>
      <c r="L6" s="26">
        <v>0</v>
      </c>
      <c r="M6" s="26"/>
      <c r="N6" s="26">
        <v>0</v>
      </c>
      <c r="O6" s="26">
        <v>0</v>
      </c>
      <c r="P6" s="26">
        <v>0</v>
      </c>
      <c r="Q6" s="26">
        <v>0</v>
      </c>
      <c r="R6" s="2">
        <f>+SUM(G6:Q6)</f>
        <v>966381.39</v>
      </c>
      <c r="S6" s="2">
        <f>+F6-R6</f>
        <v>-0.39000000001396984</v>
      </c>
      <c r="T6" s="2">
        <f>+G6+H6+I6+J6</f>
        <v>920363.23</v>
      </c>
      <c r="U6" s="2">
        <f>+K6+M6</f>
        <v>46018.16</v>
      </c>
      <c r="V6" s="2">
        <f>+R6-T6-U6</f>
        <v>0</v>
      </c>
    </row>
    <row r="7" spans="2:22" ht="14.45" x14ac:dyDescent="0.25">
      <c r="B7" s="22">
        <v>41730</v>
      </c>
      <c r="C7" s="23" t="s">
        <v>87</v>
      </c>
      <c r="D7" s="27"/>
      <c r="E7" s="28" t="s">
        <v>88</v>
      </c>
      <c r="F7" s="25">
        <v>1608036</v>
      </c>
      <c r="G7" s="26">
        <v>0</v>
      </c>
      <c r="H7" s="26">
        <v>168370.06</v>
      </c>
      <c r="I7" s="26">
        <v>3367.41</v>
      </c>
      <c r="J7" s="26">
        <v>1683.7</v>
      </c>
      <c r="K7" s="26">
        <v>0</v>
      </c>
      <c r="L7" s="26">
        <v>0</v>
      </c>
      <c r="M7" s="26"/>
      <c r="N7" s="26">
        <v>1403083.89</v>
      </c>
      <c r="O7" s="26">
        <v>31530.1</v>
      </c>
      <c r="P7" s="26">
        <v>0</v>
      </c>
      <c r="Q7" s="26">
        <v>0</v>
      </c>
      <c r="R7" s="2">
        <f t="shared" ref="R7:R66" si="1">+SUM(G7:Q7)</f>
        <v>1608035.16</v>
      </c>
      <c r="S7" s="2">
        <f t="shared" ref="S7:S70" si="2">+F7-R7</f>
        <v>0.84000000008381903</v>
      </c>
    </row>
    <row r="8" spans="2:22" ht="14.45" x14ac:dyDescent="0.25">
      <c r="B8" s="22">
        <v>41730</v>
      </c>
      <c r="C8" s="23" t="s">
        <v>69</v>
      </c>
      <c r="D8" s="24" t="s">
        <v>70</v>
      </c>
      <c r="E8" s="4"/>
      <c r="F8" s="25">
        <v>16542614</v>
      </c>
      <c r="G8" s="26">
        <v>14021776.389999999</v>
      </c>
      <c r="H8" s="26">
        <v>1682613.1699999995</v>
      </c>
      <c r="I8" s="26">
        <v>33652.250000000007</v>
      </c>
      <c r="J8" s="26">
        <v>16826.189999999999</v>
      </c>
      <c r="K8" s="26">
        <v>787743.37999999989</v>
      </c>
      <c r="L8" s="26">
        <v>0</v>
      </c>
      <c r="M8" s="26"/>
      <c r="N8" s="26">
        <v>0</v>
      </c>
      <c r="O8" s="26">
        <v>0</v>
      </c>
      <c r="P8" s="26">
        <v>0</v>
      </c>
      <c r="Q8" s="26">
        <v>0</v>
      </c>
      <c r="R8" s="2">
        <f t="shared" si="1"/>
        <v>16542611.379999999</v>
      </c>
      <c r="S8" s="2">
        <f t="shared" si="2"/>
        <v>2.6200000010430813</v>
      </c>
      <c r="T8" s="2">
        <f t="shared" ref="T8" si="3">+G8+H8+I8+J8</f>
        <v>15754867.999999998</v>
      </c>
      <c r="U8" s="2">
        <f t="shared" ref="U8:U9" si="4">+K8+M8</f>
        <v>787743.37999999989</v>
      </c>
      <c r="V8" s="2">
        <f t="shared" ref="V8:V9" si="5">+R8-T8-U8</f>
        <v>9.3132257461547852E-10</v>
      </c>
    </row>
    <row r="9" spans="2:22" ht="14.45" x14ac:dyDescent="0.25">
      <c r="B9" s="22">
        <v>41730</v>
      </c>
      <c r="C9" s="23" t="s">
        <v>89</v>
      </c>
      <c r="D9" s="24" t="s">
        <v>90</v>
      </c>
      <c r="E9" s="4"/>
      <c r="F9" s="25">
        <v>8485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7542</v>
      </c>
      <c r="M9" s="26">
        <v>943</v>
      </c>
      <c r="N9" s="26">
        <v>0</v>
      </c>
      <c r="O9" s="26">
        <v>0</v>
      </c>
      <c r="P9" s="26">
        <v>0</v>
      </c>
      <c r="Q9" s="26">
        <v>0</v>
      </c>
      <c r="R9" s="2">
        <f t="shared" si="1"/>
        <v>8485</v>
      </c>
      <c r="S9" s="2">
        <f t="shared" si="2"/>
        <v>0</v>
      </c>
      <c r="T9" s="2">
        <v>7542</v>
      </c>
      <c r="U9" s="2">
        <f t="shared" si="4"/>
        <v>943</v>
      </c>
      <c r="V9" s="2">
        <f t="shared" si="5"/>
        <v>0</v>
      </c>
    </row>
    <row r="10" spans="2:22" ht="14.45" x14ac:dyDescent="0.25">
      <c r="B10" s="22">
        <v>41730</v>
      </c>
      <c r="C10" s="23" t="s">
        <v>91</v>
      </c>
      <c r="D10" s="27"/>
      <c r="E10" s="28" t="s">
        <v>92</v>
      </c>
      <c r="F10" s="29">
        <v>2468169</v>
      </c>
      <c r="G10" s="30">
        <v>0</v>
      </c>
      <c r="H10" s="30">
        <v>258430.87</v>
      </c>
      <c r="I10" s="30">
        <v>5168.6400000000003</v>
      </c>
      <c r="J10" s="30">
        <v>2584.3200000000002</v>
      </c>
      <c r="K10" s="30">
        <v>0</v>
      </c>
      <c r="L10" s="30">
        <v>0</v>
      </c>
      <c r="M10" s="30"/>
      <c r="N10" s="30">
        <v>2153590.6</v>
      </c>
      <c r="O10" s="30">
        <v>48395.469999999994</v>
      </c>
      <c r="P10" s="30">
        <v>0</v>
      </c>
      <c r="Q10" s="30">
        <v>0</v>
      </c>
      <c r="R10" s="2">
        <f t="shared" si="1"/>
        <v>2468169.9000000004</v>
      </c>
      <c r="S10" s="2">
        <f t="shared" si="2"/>
        <v>-0.90000000037252903</v>
      </c>
    </row>
    <row r="11" spans="2:22" ht="14.45" x14ac:dyDescent="0.25">
      <c r="B11" s="22">
        <v>41730</v>
      </c>
      <c r="C11" s="23" t="s">
        <v>93</v>
      </c>
      <c r="D11" s="24" t="s">
        <v>94</v>
      </c>
      <c r="E11" s="4"/>
      <c r="F11" s="25">
        <v>618405</v>
      </c>
      <c r="G11" s="26">
        <v>524170</v>
      </c>
      <c r="H11" s="26">
        <v>62900.4</v>
      </c>
      <c r="I11" s="26">
        <v>1258.01</v>
      </c>
      <c r="J11" s="26">
        <v>629</v>
      </c>
      <c r="K11" s="26">
        <v>29447.87</v>
      </c>
      <c r="L11" s="26">
        <v>0</v>
      </c>
      <c r="M11" s="26"/>
      <c r="N11" s="26">
        <v>0</v>
      </c>
      <c r="O11" s="26">
        <v>0</v>
      </c>
      <c r="P11" s="26">
        <v>0</v>
      </c>
      <c r="Q11" s="26">
        <v>0</v>
      </c>
      <c r="R11" s="2">
        <f t="shared" si="1"/>
        <v>618405.28</v>
      </c>
      <c r="S11" s="2">
        <f t="shared" si="2"/>
        <v>-0.28000000002793968</v>
      </c>
      <c r="T11" s="2">
        <f>+G11+H11+I11+J11</f>
        <v>588957.41</v>
      </c>
      <c r="U11" s="2">
        <f>+K11+M11</f>
        <v>29447.87</v>
      </c>
      <c r="V11" s="2">
        <f>+R11-T11-U11</f>
        <v>0</v>
      </c>
    </row>
    <row r="12" spans="2:22" ht="14.45" x14ac:dyDescent="0.25">
      <c r="B12" s="22">
        <v>41730</v>
      </c>
      <c r="C12" s="23" t="s">
        <v>95</v>
      </c>
      <c r="D12" s="27"/>
      <c r="E12" s="28" t="s">
        <v>96</v>
      </c>
      <c r="F12" s="25">
        <v>2338560</v>
      </c>
      <c r="G12" s="26">
        <v>0</v>
      </c>
      <c r="H12" s="26">
        <v>244860</v>
      </c>
      <c r="I12" s="26">
        <v>4897.2</v>
      </c>
      <c r="J12" s="26">
        <v>2448.6</v>
      </c>
      <c r="K12" s="26">
        <v>0</v>
      </c>
      <c r="L12" s="26">
        <v>0</v>
      </c>
      <c r="M12" s="26"/>
      <c r="N12" s="26">
        <v>2040500</v>
      </c>
      <c r="O12" s="26">
        <v>45854.11</v>
      </c>
      <c r="P12" s="26">
        <v>0</v>
      </c>
      <c r="Q12" s="26">
        <v>0</v>
      </c>
      <c r="R12" s="2">
        <f t="shared" si="1"/>
        <v>2338559.9099999997</v>
      </c>
      <c r="S12" s="2">
        <f t="shared" si="2"/>
        <v>9.0000000316649675E-2</v>
      </c>
    </row>
    <row r="13" spans="2:22" ht="14.45" x14ac:dyDescent="0.25">
      <c r="B13" s="22">
        <v>41730</v>
      </c>
      <c r="C13" s="23" t="s">
        <v>97</v>
      </c>
      <c r="D13" s="27"/>
      <c r="E13" s="28" t="s">
        <v>98</v>
      </c>
      <c r="F13" s="25">
        <v>2833895</v>
      </c>
      <c r="G13" s="26">
        <v>0</v>
      </c>
      <c r="H13" s="26">
        <v>296724.47999999998</v>
      </c>
      <c r="I13" s="26">
        <v>5934.49</v>
      </c>
      <c r="J13" s="26">
        <v>2967.24</v>
      </c>
      <c r="K13" s="26">
        <v>0</v>
      </c>
      <c r="L13" s="26">
        <v>0</v>
      </c>
      <c r="M13" s="26"/>
      <c r="N13" s="26">
        <v>2472704</v>
      </c>
      <c r="O13" s="26">
        <v>55566.600000000006</v>
      </c>
      <c r="P13" s="26">
        <v>0</v>
      </c>
      <c r="Q13" s="26">
        <v>0</v>
      </c>
      <c r="R13" s="2">
        <f t="shared" si="1"/>
        <v>2833896.81</v>
      </c>
      <c r="S13" s="2">
        <f t="shared" si="2"/>
        <v>-1.8100000000558794</v>
      </c>
    </row>
    <row r="14" spans="2:22" x14ac:dyDescent="0.25">
      <c r="B14" s="22">
        <v>41730</v>
      </c>
      <c r="C14" s="23" t="s">
        <v>99</v>
      </c>
      <c r="D14" s="24" t="s">
        <v>100</v>
      </c>
      <c r="E14" s="4"/>
      <c r="F14" s="25">
        <v>488017</v>
      </c>
      <c r="G14" s="26">
        <v>413650.72</v>
      </c>
      <c r="H14" s="26">
        <v>49638.09</v>
      </c>
      <c r="I14" s="26">
        <v>992.77</v>
      </c>
      <c r="J14" s="26">
        <v>496.37999999999994</v>
      </c>
      <c r="K14" s="26">
        <v>23238.91</v>
      </c>
      <c r="L14" s="26">
        <v>0</v>
      </c>
      <c r="M14" s="26"/>
      <c r="N14" s="26">
        <v>0</v>
      </c>
      <c r="O14" s="26">
        <v>0</v>
      </c>
      <c r="P14" s="26">
        <v>0</v>
      </c>
      <c r="Q14" s="26">
        <v>0</v>
      </c>
      <c r="R14" s="2">
        <f t="shared" si="1"/>
        <v>488016.86999999994</v>
      </c>
      <c r="S14" s="2">
        <f t="shared" si="2"/>
        <v>0.13000000006286427</v>
      </c>
      <c r="T14" s="2">
        <f>+G14+H14+I14+J14</f>
        <v>464777.95999999996</v>
      </c>
      <c r="U14" s="2">
        <f>+K14+M14</f>
        <v>23238.91</v>
      </c>
      <c r="V14" s="2">
        <f>+R14-T14-U14</f>
        <v>0</v>
      </c>
    </row>
    <row r="15" spans="2:22" x14ac:dyDescent="0.25">
      <c r="B15" s="22">
        <v>41730</v>
      </c>
      <c r="C15" s="23" t="s">
        <v>101</v>
      </c>
      <c r="D15" s="27"/>
      <c r="E15" s="28" t="s">
        <v>102</v>
      </c>
      <c r="F15" s="25">
        <v>608132</v>
      </c>
      <c r="G15" s="26">
        <v>0</v>
      </c>
      <c r="H15" s="26">
        <v>63674.720000000001</v>
      </c>
      <c r="I15" s="26">
        <v>1273.49</v>
      </c>
      <c r="J15" s="26">
        <v>636.75</v>
      </c>
      <c r="K15" s="26">
        <v>0</v>
      </c>
      <c r="L15" s="26">
        <v>0</v>
      </c>
      <c r="M15" s="26"/>
      <c r="N15" s="26">
        <v>530622.71</v>
      </c>
      <c r="O15" s="26">
        <v>11924.16</v>
      </c>
      <c r="P15" s="26">
        <v>0</v>
      </c>
      <c r="Q15" s="26">
        <v>0</v>
      </c>
      <c r="R15" s="2">
        <f t="shared" si="1"/>
        <v>608131.82999999996</v>
      </c>
      <c r="S15" s="2">
        <f t="shared" si="2"/>
        <v>0.17000000004190952</v>
      </c>
    </row>
    <row r="16" spans="2:22" x14ac:dyDescent="0.25">
      <c r="B16" s="22">
        <v>41730</v>
      </c>
      <c r="C16" s="23" t="s">
        <v>103</v>
      </c>
      <c r="D16" s="27"/>
      <c r="E16" s="28" t="s">
        <v>104</v>
      </c>
      <c r="F16" s="25">
        <v>240924</v>
      </c>
      <c r="G16" s="26">
        <v>0</v>
      </c>
      <c r="H16" s="30">
        <v>25226.04</v>
      </c>
      <c r="I16" s="30">
        <v>504.52000000000004</v>
      </c>
      <c r="J16" s="30">
        <v>252.26</v>
      </c>
      <c r="K16" s="30">
        <v>0</v>
      </c>
      <c r="L16" s="30">
        <v>0</v>
      </c>
      <c r="M16" s="30"/>
      <c r="N16" s="30">
        <v>210217</v>
      </c>
      <c r="O16" s="30">
        <v>4723.99</v>
      </c>
      <c r="P16" s="26">
        <v>0</v>
      </c>
      <c r="Q16" s="26">
        <v>0</v>
      </c>
      <c r="R16" s="2">
        <f t="shared" si="1"/>
        <v>240923.81</v>
      </c>
      <c r="S16" s="2">
        <f t="shared" si="2"/>
        <v>0.19000000000232831</v>
      </c>
    </row>
    <row r="17" spans="2:22" x14ac:dyDescent="0.25">
      <c r="B17" s="22">
        <v>41730</v>
      </c>
      <c r="C17" s="23" t="s">
        <v>105</v>
      </c>
      <c r="D17" s="24" t="s">
        <v>106</v>
      </c>
      <c r="E17" s="4"/>
      <c r="F17" s="25">
        <v>14156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12583</v>
      </c>
      <c r="M17" s="26">
        <v>1573</v>
      </c>
      <c r="N17" s="30">
        <v>0</v>
      </c>
      <c r="O17" s="30">
        <v>0</v>
      </c>
      <c r="P17" s="30">
        <v>0</v>
      </c>
      <c r="Q17" s="30">
        <v>0</v>
      </c>
      <c r="R17" s="2">
        <f t="shared" si="1"/>
        <v>14156</v>
      </c>
      <c r="S17" s="2">
        <f t="shared" si="2"/>
        <v>0</v>
      </c>
      <c r="T17" s="2">
        <v>12583</v>
      </c>
      <c r="U17" s="2">
        <f>+K17+M17</f>
        <v>1573</v>
      </c>
      <c r="V17" s="2">
        <f>+R17-T17-U17</f>
        <v>0</v>
      </c>
    </row>
    <row r="18" spans="2:22" x14ac:dyDescent="0.25">
      <c r="B18" s="22">
        <v>41760</v>
      </c>
      <c r="C18" s="23" t="s">
        <v>107</v>
      </c>
      <c r="D18" s="27"/>
      <c r="E18" s="28" t="s">
        <v>108</v>
      </c>
      <c r="F18" s="25">
        <v>720857</v>
      </c>
      <c r="G18" s="26">
        <v>0</v>
      </c>
      <c r="H18" s="26">
        <v>75477.66</v>
      </c>
      <c r="I18" s="26">
        <v>1509.56</v>
      </c>
      <c r="J18" s="26">
        <v>754.77</v>
      </c>
      <c r="K18" s="26">
        <v>0</v>
      </c>
      <c r="L18" s="26">
        <v>0</v>
      </c>
      <c r="M18" s="26"/>
      <c r="N18" s="26">
        <v>628980.5</v>
      </c>
      <c r="O18" s="26">
        <v>14134.45</v>
      </c>
      <c r="P18" s="26">
        <v>0</v>
      </c>
      <c r="Q18" s="26">
        <v>0</v>
      </c>
      <c r="R18" s="2">
        <f t="shared" si="1"/>
        <v>720856.94</v>
      </c>
      <c r="S18" s="2">
        <f t="shared" si="2"/>
        <v>6.0000000055879354E-2</v>
      </c>
    </row>
    <row r="19" spans="2:22" x14ac:dyDescent="0.25">
      <c r="B19" s="22">
        <v>41760</v>
      </c>
      <c r="C19" s="23" t="s">
        <v>109</v>
      </c>
      <c r="D19" s="27"/>
      <c r="E19" s="28" t="s">
        <v>110</v>
      </c>
      <c r="F19" s="25">
        <v>458812</v>
      </c>
      <c r="G19" s="26">
        <v>0</v>
      </c>
      <c r="H19" s="26">
        <v>48040.11</v>
      </c>
      <c r="I19" s="26">
        <v>960.8</v>
      </c>
      <c r="J19" s="26">
        <v>480.4</v>
      </c>
      <c r="K19" s="26">
        <v>0</v>
      </c>
      <c r="L19" s="26">
        <v>0</v>
      </c>
      <c r="M19" s="26"/>
      <c r="N19" s="26">
        <v>400334.25</v>
      </c>
      <c r="O19" s="26">
        <v>8996.31</v>
      </c>
      <c r="P19" s="26">
        <v>0</v>
      </c>
      <c r="Q19" s="26">
        <v>0</v>
      </c>
      <c r="R19" s="2">
        <f t="shared" si="1"/>
        <v>458811.87</v>
      </c>
      <c r="S19" s="2">
        <f t="shared" si="2"/>
        <v>0.13000000000465661</v>
      </c>
    </row>
    <row r="20" spans="2:22" x14ac:dyDescent="0.25">
      <c r="B20" s="22">
        <v>41760</v>
      </c>
      <c r="C20" s="23" t="s">
        <v>111</v>
      </c>
      <c r="D20" s="24" t="s">
        <v>112</v>
      </c>
      <c r="E20" s="4"/>
      <c r="F20" s="25">
        <v>515096</v>
      </c>
      <c r="G20" s="26">
        <v>0</v>
      </c>
      <c r="H20" s="26">
        <v>53933.399999999994</v>
      </c>
      <c r="I20" s="26">
        <v>1078.6599999999999</v>
      </c>
      <c r="J20" s="26">
        <v>539.32999999999993</v>
      </c>
      <c r="K20" s="26">
        <v>0</v>
      </c>
      <c r="L20" s="26">
        <v>0</v>
      </c>
      <c r="M20" s="26"/>
      <c r="N20" s="26">
        <v>449445</v>
      </c>
      <c r="O20" s="26">
        <v>10099.93</v>
      </c>
      <c r="P20" s="26">
        <v>0</v>
      </c>
      <c r="Q20" s="26">
        <v>0</v>
      </c>
      <c r="R20" s="2">
        <f t="shared" si="1"/>
        <v>515096.32000000001</v>
      </c>
      <c r="S20" s="2">
        <f t="shared" si="2"/>
        <v>-0.32000000000698492</v>
      </c>
      <c r="U20" s="2"/>
    </row>
    <row r="21" spans="2:22" x14ac:dyDescent="0.25">
      <c r="B21" s="22">
        <v>41760</v>
      </c>
      <c r="C21" s="23" t="s">
        <v>67</v>
      </c>
      <c r="D21" s="24" t="s">
        <v>68</v>
      </c>
      <c r="E21" s="4"/>
      <c r="F21" s="25">
        <v>1706446</v>
      </c>
      <c r="G21" s="26">
        <v>1446410</v>
      </c>
      <c r="H21" s="26">
        <v>173569.2</v>
      </c>
      <c r="I21" s="26">
        <v>3471.3900000000003</v>
      </c>
      <c r="J21" s="26">
        <v>1735.69</v>
      </c>
      <c r="K21" s="26">
        <v>81259.31</v>
      </c>
      <c r="L21" s="26">
        <v>0</v>
      </c>
      <c r="M21" s="26"/>
      <c r="N21" s="26">
        <v>0</v>
      </c>
      <c r="O21" s="26">
        <v>0</v>
      </c>
      <c r="P21" s="26">
        <v>0</v>
      </c>
      <c r="Q21" s="26">
        <v>0</v>
      </c>
      <c r="R21" s="2">
        <f t="shared" si="1"/>
        <v>1706445.5899999999</v>
      </c>
      <c r="S21" s="2">
        <f t="shared" si="2"/>
        <v>0.41000000014901161</v>
      </c>
      <c r="U21" s="2">
        <f>+G21+H21+I21+J21</f>
        <v>1625186.2799999998</v>
      </c>
      <c r="V21" s="2">
        <f>+K21+M21</f>
        <v>81259.31</v>
      </c>
    </row>
    <row r="22" spans="2:22" x14ac:dyDescent="0.25">
      <c r="B22" s="22">
        <v>41760</v>
      </c>
      <c r="C22" s="23" t="s">
        <v>87</v>
      </c>
      <c r="D22" s="27"/>
      <c r="E22" s="28" t="s">
        <v>88</v>
      </c>
      <c r="F22" s="25">
        <v>1430095</v>
      </c>
      <c r="G22" s="26">
        <v>0</v>
      </c>
      <c r="H22" s="26">
        <v>149738.74</v>
      </c>
      <c r="I22" s="26">
        <v>2994.77</v>
      </c>
      <c r="J22" s="26">
        <v>1497.39</v>
      </c>
      <c r="K22" s="26">
        <v>0</v>
      </c>
      <c r="L22" s="26">
        <v>0</v>
      </c>
      <c r="M22" s="26"/>
      <c r="N22" s="26">
        <v>1247822.8</v>
      </c>
      <c r="O22" s="26">
        <v>28041.07</v>
      </c>
      <c r="P22" s="26">
        <v>0</v>
      </c>
      <c r="Q22" s="26">
        <v>0</v>
      </c>
      <c r="R22" s="2">
        <f t="shared" si="1"/>
        <v>1430094.77</v>
      </c>
      <c r="S22" s="2">
        <f t="shared" si="2"/>
        <v>0.22999999998137355</v>
      </c>
    </row>
    <row r="23" spans="2:22" x14ac:dyDescent="0.25">
      <c r="B23" s="22">
        <v>41760</v>
      </c>
      <c r="C23" s="23" t="s">
        <v>69</v>
      </c>
      <c r="D23" s="24" t="s">
        <v>70</v>
      </c>
      <c r="E23" s="4"/>
      <c r="F23" s="25">
        <v>12070004.75</v>
      </c>
      <c r="G23" s="26">
        <v>10230344.449999997</v>
      </c>
      <c r="H23" s="26">
        <v>1227641.3099999998</v>
      </c>
      <c r="I23" s="26">
        <v>24552.83</v>
      </c>
      <c r="J23" s="26">
        <v>12276.380000000001</v>
      </c>
      <c r="K23" s="26">
        <v>574740.69999999984</v>
      </c>
      <c r="L23" s="26">
        <v>0</v>
      </c>
      <c r="M23" s="26"/>
      <c r="N23" s="26">
        <v>0</v>
      </c>
      <c r="O23" s="26">
        <v>0</v>
      </c>
      <c r="P23" s="26">
        <v>449.44</v>
      </c>
      <c r="Q23" s="26">
        <v>0</v>
      </c>
      <c r="R23" s="2">
        <f t="shared" si="1"/>
        <v>12070005.109999998</v>
      </c>
      <c r="S23" s="2">
        <f t="shared" si="2"/>
        <v>-0.3599999975413084</v>
      </c>
      <c r="U23" s="2">
        <f>+G23+H23+I23+J23+P23</f>
        <v>11495264.409999998</v>
      </c>
      <c r="V23" s="2">
        <f t="shared" ref="V23:V24" si="6">+K23+M23</f>
        <v>574740.69999999984</v>
      </c>
    </row>
    <row r="24" spans="2:22" x14ac:dyDescent="0.25">
      <c r="B24" s="22">
        <v>41760</v>
      </c>
      <c r="C24" s="23" t="s">
        <v>89</v>
      </c>
      <c r="D24" s="24" t="s">
        <v>90</v>
      </c>
      <c r="E24" s="4"/>
      <c r="F24" s="25">
        <v>1600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1422</v>
      </c>
      <c r="M24" s="26">
        <v>178</v>
      </c>
      <c r="N24" s="26">
        <v>0</v>
      </c>
      <c r="O24" s="26">
        <v>0</v>
      </c>
      <c r="P24" s="26">
        <v>0</v>
      </c>
      <c r="Q24" s="26">
        <v>0</v>
      </c>
      <c r="R24" s="2">
        <f t="shared" si="1"/>
        <v>1600</v>
      </c>
      <c r="S24" s="2">
        <f t="shared" si="2"/>
        <v>0</v>
      </c>
      <c r="U24" s="2">
        <f>+L24</f>
        <v>1422</v>
      </c>
      <c r="V24" s="2">
        <f t="shared" si="6"/>
        <v>178</v>
      </c>
    </row>
    <row r="25" spans="2:22" x14ac:dyDescent="0.25">
      <c r="B25" s="22">
        <v>41760</v>
      </c>
      <c r="C25" s="23" t="s">
        <v>91</v>
      </c>
      <c r="D25" s="27"/>
      <c r="E25" s="28" t="s">
        <v>92</v>
      </c>
      <c r="F25" s="29">
        <v>2279729</v>
      </c>
      <c r="G25" s="30">
        <v>0</v>
      </c>
      <c r="H25" s="30">
        <v>238700.19999999998</v>
      </c>
      <c r="I25" s="30">
        <v>4774</v>
      </c>
      <c r="J25" s="30">
        <v>2387</v>
      </c>
      <c r="K25" s="30">
        <v>0</v>
      </c>
      <c r="L25" s="30">
        <v>0</v>
      </c>
      <c r="M25" s="30"/>
      <c r="N25" s="30">
        <v>1989168.3</v>
      </c>
      <c r="O25" s="30">
        <v>44700.590000000004</v>
      </c>
      <c r="P25" s="30">
        <v>0</v>
      </c>
      <c r="Q25" s="30">
        <v>0</v>
      </c>
      <c r="R25" s="2">
        <f t="shared" si="1"/>
        <v>2279730.09</v>
      </c>
      <c r="S25" s="2">
        <f t="shared" si="2"/>
        <v>-1.0899999998509884</v>
      </c>
    </row>
    <row r="26" spans="2:22" x14ac:dyDescent="0.25">
      <c r="B26" s="22">
        <v>41760</v>
      </c>
      <c r="C26" s="23" t="s">
        <v>93</v>
      </c>
      <c r="D26" s="24" t="s">
        <v>94</v>
      </c>
      <c r="E26" s="4"/>
      <c r="F26" s="25">
        <v>1078460.3999999999</v>
      </c>
      <c r="G26" s="26">
        <v>910310</v>
      </c>
      <c r="H26" s="26">
        <v>109237.2</v>
      </c>
      <c r="I26" s="26">
        <v>2184.7399999999998</v>
      </c>
      <c r="J26" s="26">
        <v>1092.3699999999999</v>
      </c>
      <c r="K26" s="26">
        <v>51141.22</v>
      </c>
      <c r="L26" s="26">
        <v>0</v>
      </c>
      <c r="M26" s="26"/>
      <c r="N26" s="26">
        <v>0</v>
      </c>
      <c r="O26" s="26">
        <v>0</v>
      </c>
      <c r="P26" s="26">
        <v>4494.3999999999996</v>
      </c>
      <c r="Q26" s="26">
        <v>0</v>
      </c>
      <c r="R26" s="2">
        <f t="shared" si="1"/>
        <v>1078459.93</v>
      </c>
      <c r="S26" s="2">
        <f t="shared" si="2"/>
        <v>0.46999999997206032</v>
      </c>
      <c r="U26" s="2">
        <f>+G26+H26+I26+J26+P26</f>
        <v>1027318.71</v>
      </c>
      <c r="V26" s="2">
        <f>+K26+M26</f>
        <v>51141.22</v>
      </c>
    </row>
    <row r="27" spans="2:22" x14ac:dyDescent="0.25">
      <c r="B27" s="22">
        <v>41760</v>
      </c>
      <c r="C27" s="23" t="s">
        <v>95</v>
      </c>
      <c r="D27" s="27"/>
      <c r="E27" s="28" t="s">
        <v>96</v>
      </c>
      <c r="F27" s="25">
        <v>149125</v>
      </c>
      <c r="G27" s="26">
        <v>0</v>
      </c>
      <c r="H27" s="26">
        <v>15614.22</v>
      </c>
      <c r="I27" s="26">
        <v>312.27999999999997</v>
      </c>
      <c r="J27" s="26">
        <v>156.13999999999999</v>
      </c>
      <c r="K27" s="26">
        <v>0</v>
      </c>
      <c r="L27" s="26">
        <v>0</v>
      </c>
      <c r="M27" s="26"/>
      <c r="N27" s="26">
        <v>130118.52</v>
      </c>
      <c r="O27" s="26">
        <v>2924.02</v>
      </c>
      <c r="P27" s="26">
        <v>0</v>
      </c>
      <c r="Q27" s="26">
        <v>0</v>
      </c>
      <c r="R27" s="2">
        <f t="shared" si="1"/>
        <v>149125.18</v>
      </c>
      <c r="S27" s="2">
        <f t="shared" si="2"/>
        <v>-0.17999999999301508</v>
      </c>
    </row>
    <row r="28" spans="2:22" x14ac:dyDescent="0.25">
      <c r="B28" s="22">
        <v>41760</v>
      </c>
      <c r="C28" s="23" t="s">
        <v>97</v>
      </c>
      <c r="D28" s="27"/>
      <c r="E28" s="28" t="s">
        <v>98</v>
      </c>
      <c r="F28" s="25">
        <v>2229136.9699999997</v>
      </c>
      <c r="G28" s="26">
        <v>0</v>
      </c>
      <c r="H28" s="26">
        <v>233064</v>
      </c>
      <c r="I28" s="26">
        <v>4661.28</v>
      </c>
      <c r="J28" s="26">
        <v>2330.64</v>
      </c>
      <c r="K28" s="26">
        <v>0</v>
      </c>
      <c r="L28" s="26">
        <v>0</v>
      </c>
      <c r="M28" s="26"/>
      <c r="N28" s="26">
        <v>1942200</v>
      </c>
      <c r="O28" s="26">
        <v>43645.119999999995</v>
      </c>
      <c r="P28" s="26">
        <v>3235.97</v>
      </c>
      <c r="Q28" s="26">
        <v>0</v>
      </c>
      <c r="R28" s="2">
        <f t="shared" si="1"/>
        <v>2229137.0100000002</v>
      </c>
      <c r="S28" s="2">
        <f t="shared" si="2"/>
        <v>-4.000000050291419E-2</v>
      </c>
    </row>
    <row r="29" spans="2:22" x14ac:dyDescent="0.25">
      <c r="B29" s="22">
        <v>41760</v>
      </c>
      <c r="C29" s="23" t="s">
        <v>113</v>
      </c>
      <c r="D29" s="24" t="s">
        <v>100</v>
      </c>
      <c r="E29" s="4"/>
      <c r="F29" s="25">
        <v>330082</v>
      </c>
      <c r="G29" s="26">
        <v>277012.40000000002</v>
      </c>
      <c r="H29" s="26">
        <v>33241.49</v>
      </c>
      <c r="I29" s="26">
        <v>664.83</v>
      </c>
      <c r="J29" s="26">
        <v>332.41</v>
      </c>
      <c r="K29" s="26">
        <v>15562.560000000001</v>
      </c>
      <c r="L29" s="26">
        <v>0</v>
      </c>
      <c r="M29" s="26"/>
      <c r="N29" s="26">
        <v>0</v>
      </c>
      <c r="O29" s="26">
        <v>0</v>
      </c>
      <c r="P29" s="26">
        <v>0</v>
      </c>
      <c r="Q29" s="26">
        <v>3268</v>
      </c>
      <c r="R29" s="2">
        <f t="shared" si="1"/>
        <v>330081.69</v>
      </c>
      <c r="S29" s="2">
        <f t="shared" si="2"/>
        <v>0.30999999999767169</v>
      </c>
      <c r="U29" s="2">
        <f>+G29+H29+I29+J29+Q29</f>
        <v>314519.13</v>
      </c>
      <c r="V29" s="2">
        <f>+K29+M29</f>
        <v>15562.560000000001</v>
      </c>
    </row>
    <row r="30" spans="2:22" x14ac:dyDescent="0.25">
      <c r="B30" s="22">
        <v>41760</v>
      </c>
      <c r="C30" s="23" t="s">
        <v>101</v>
      </c>
      <c r="D30" s="27"/>
      <c r="E30" s="28" t="s">
        <v>102</v>
      </c>
      <c r="F30" s="25">
        <v>278893</v>
      </c>
      <c r="G30" s="26">
        <v>0</v>
      </c>
      <c r="H30" s="26">
        <v>29201.56</v>
      </c>
      <c r="I30" s="26">
        <v>584.03</v>
      </c>
      <c r="J30" s="26">
        <v>292.02</v>
      </c>
      <c r="K30" s="26">
        <v>0</v>
      </c>
      <c r="L30" s="26">
        <v>0</v>
      </c>
      <c r="M30" s="26"/>
      <c r="N30" s="26">
        <v>243346.32</v>
      </c>
      <c r="O30" s="26">
        <v>5468.48</v>
      </c>
      <c r="P30" s="26">
        <v>0</v>
      </c>
      <c r="Q30" s="26">
        <v>0</v>
      </c>
      <c r="R30" s="2">
        <f t="shared" si="1"/>
        <v>278892.40999999997</v>
      </c>
      <c r="S30" s="2">
        <f t="shared" si="2"/>
        <v>0.59000000002561137</v>
      </c>
    </row>
    <row r="31" spans="2:22" x14ac:dyDescent="0.25">
      <c r="B31" s="22">
        <v>41760</v>
      </c>
      <c r="C31" s="23" t="s">
        <v>105</v>
      </c>
      <c r="D31" s="24" t="s">
        <v>106</v>
      </c>
      <c r="E31" s="4"/>
      <c r="F31" s="25">
        <v>54812.800000000003</v>
      </c>
      <c r="G31" s="26">
        <v>32477.9</v>
      </c>
      <c r="H31" s="26">
        <v>3897.35</v>
      </c>
      <c r="I31" s="26">
        <v>77.95</v>
      </c>
      <c r="J31" s="26">
        <v>38.97</v>
      </c>
      <c r="K31" s="26">
        <v>1824.61</v>
      </c>
      <c r="L31" s="26">
        <v>14322</v>
      </c>
      <c r="M31" s="26">
        <v>1790</v>
      </c>
      <c r="N31" s="30">
        <v>0</v>
      </c>
      <c r="O31" s="30">
        <v>0</v>
      </c>
      <c r="P31" s="30">
        <v>0</v>
      </c>
      <c r="Q31" s="30">
        <v>383</v>
      </c>
      <c r="R31" s="2">
        <f t="shared" si="1"/>
        <v>54811.78</v>
      </c>
      <c r="S31" s="2">
        <f t="shared" si="2"/>
        <v>1.0200000000040745</v>
      </c>
      <c r="U31" s="2">
        <f>+G31+H31+I31+J31+Q31</f>
        <v>36875.17</v>
      </c>
      <c r="V31" s="2">
        <f>+K31+M31</f>
        <v>3614.6099999999997</v>
      </c>
    </row>
    <row r="32" spans="2:22" x14ac:dyDescent="0.25">
      <c r="B32" s="22">
        <v>41791</v>
      </c>
      <c r="C32" s="23" t="s">
        <v>114</v>
      </c>
      <c r="D32" s="24" t="s">
        <v>115</v>
      </c>
      <c r="E32" s="4"/>
      <c r="F32" s="31">
        <v>381748</v>
      </c>
      <c r="G32" s="32">
        <v>320692.40000000002</v>
      </c>
      <c r="H32" s="32">
        <v>38483.079999999994</v>
      </c>
      <c r="I32" s="32">
        <v>769.67000000000007</v>
      </c>
      <c r="J32" s="32">
        <v>384.82</v>
      </c>
      <c r="K32" s="32">
        <v>18016.5</v>
      </c>
      <c r="L32" s="32">
        <v>0</v>
      </c>
      <c r="M32" s="32"/>
      <c r="N32" s="32">
        <v>0</v>
      </c>
      <c r="O32" s="32">
        <v>0</v>
      </c>
      <c r="P32" s="32">
        <v>0</v>
      </c>
      <c r="Q32" s="32">
        <v>3401</v>
      </c>
      <c r="R32" s="2">
        <f t="shared" si="1"/>
        <v>381747.47000000003</v>
      </c>
      <c r="S32" s="2">
        <f t="shared" si="2"/>
        <v>0.52999999996973202</v>
      </c>
      <c r="T32" s="8">
        <f>+G32+H32+I32+J32+Q32</f>
        <v>363730.97000000003</v>
      </c>
      <c r="U32" s="8">
        <f>+K32+M32</f>
        <v>18016.5</v>
      </c>
    </row>
    <row r="33" spans="2:21" x14ac:dyDescent="0.25">
      <c r="B33" s="22">
        <v>41791</v>
      </c>
      <c r="C33" s="23" t="s">
        <v>116</v>
      </c>
      <c r="D33" s="24" t="s">
        <v>117</v>
      </c>
      <c r="E33" s="4"/>
      <c r="F33" s="31">
        <v>312642</v>
      </c>
      <c r="G33" s="32">
        <v>265000</v>
      </c>
      <c r="H33" s="32">
        <v>31800</v>
      </c>
      <c r="I33" s="32">
        <v>636</v>
      </c>
      <c r="J33" s="32">
        <v>318</v>
      </c>
      <c r="K33" s="32">
        <v>14887.7</v>
      </c>
      <c r="L33" s="32">
        <v>0</v>
      </c>
      <c r="M33" s="32"/>
      <c r="N33" s="32">
        <v>0</v>
      </c>
      <c r="O33" s="32">
        <v>0</v>
      </c>
      <c r="P33" s="32">
        <v>0</v>
      </c>
      <c r="Q33" s="32">
        <v>0</v>
      </c>
      <c r="R33" s="2">
        <f t="shared" si="1"/>
        <v>312641.7</v>
      </c>
      <c r="S33" s="2">
        <f t="shared" si="2"/>
        <v>0.29999999998835847</v>
      </c>
      <c r="T33" s="8">
        <f t="shared" ref="T33:T34" si="7">+G33+H33+I33+J33+Q33</f>
        <v>297754</v>
      </c>
      <c r="U33" s="8">
        <f t="shared" ref="U33:U34" si="8">+K33+M33</f>
        <v>14887.7</v>
      </c>
    </row>
    <row r="34" spans="2:21" x14ac:dyDescent="0.25">
      <c r="B34" s="22">
        <v>41791</v>
      </c>
      <c r="C34" s="23" t="s">
        <v>118</v>
      </c>
      <c r="D34" s="24" t="s">
        <v>119</v>
      </c>
      <c r="E34" s="4"/>
      <c r="F34" s="33">
        <v>228158</v>
      </c>
      <c r="G34" s="34">
        <v>193390</v>
      </c>
      <c r="H34" s="34">
        <v>23206.799999999999</v>
      </c>
      <c r="I34" s="34">
        <v>464.14</v>
      </c>
      <c r="J34" s="34">
        <v>232.07</v>
      </c>
      <c r="K34" s="34">
        <v>10864.65</v>
      </c>
      <c r="L34" s="34">
        <v>0</v>
      </c>
      <c r="M34" s="34"/>
      <c r="N34" s="34">
        <v>0</v>
      </c>
      <c r="O34" s="34">
        <v>0</v>
      </c>
      <c r="P34" s="34">
        <v>0</v>
      </c>
      <c r="Q34" s="34">
        <v>0</v>
      </c>
      <c r="R34" s="2">
        <f t="shared" si="1"/>
        <v>228157.66</v>
      </c>
      <c r="S34" s="2">
        <f t="shared" si="2"/>
        <v>0.33999999999650754</v>
      </c>
      <c r="T34" s="8">
        <f t="shared" si="7"/>
        <v>217293.01</v>
      </c>
      <c r="U34" s="8">
        <f t="shared" si="8"/>
        <v>10864.65</v>
      </c>
    </row>
    <row r="35" spans="2:21" x14ac:dyDescent="0.25">
      <c r="B35" s="22">
        <v>41791</v>
      </c>
      <c r="C35" s="23" t="s">
        <v>107</v>
      </c>
      <c r="D35" s="27"/>
      <c r="E35" s="28" t="s">
        <v>108</v>
      </c>
      <c r="F35" s="35">
        <v>712135</v>
      </c>
      <c r="G35" s="36">
        <v>0</v>
      </c>
      <c r="H35" s="36">
        <v>74564.420000000013</v>
      </c>
      <c r="I35" s="36">
        <v>1491.2900000000002</v>
      </c>
      <c r="J35" s="36">
        <v>745.65000000000009</v>
      </c>
      <c r="K35" s="36">
        <v>0</v>
      </c>
      <c r="L35" s="36">
        <v>0</v>
      </c>
      <c r="M35" s="36"/>
      <c r="N35" s="36">
        <v>621370.19999999995</v>
      </c>
      <c r="O35" s="36">
        <v>13963.430000000002</v>
      </c>
      <c r="P35" s="36">
        <v>0</v>
      </c>
      <c r="Q35" s="36">
        <v>0</v>
      </c>
      <c r="R35" s="2">
        <f t="shared" si="1"/>
        <v>712134.99</v>
      </c>
      <c r="S35" s="2">
        <f t="shared" si="2"/>
        <v>1.0000000009313226E-2</v>
      </c>
    </row>
    <row r="36" spans="2:21" x14ac:dyDescent="0.25">
      <c r="B36" s="22">
        <v>41791</v>
      </c>
      <c r="C36" s="23" t="s">
        <v>111</v>
      </c>
      <c r="D36" s="24"/>
      <c r="E36" s="24" t="s">
        <v>120</v>
      </c>
      <c r="F36" s="35">
        <v>331032</v>
      </c>
      <c r="G36" s="36">
        <v>0</v>
      </c>
      <c r="H36" s="36">
        <v>34660.799999999996</v>
      </c>
      <c r="I36" s="36">
        <v>693.22</v>
      </c>
      <c r="J36" s="36">
        <v>346.61</v>
      </c>
      <c r="K36" s="36">
        <v>0</v>
      </c>
      <c r="L36" s="36">
        <v>0</v>
      </c>
      <c r="M36" s="36"/>
      <c r="N36" s="36">
        <v>288840</v>
      </c>
      <c r="O36" s="36">
        <v>6490.8099999999995</v>
      </c>
      <c r="P36" s="36">
        <v>0</v>
      </c>
      <c r="Q36" s="36">
        <v>0</v>
      </c>
      <c r="R36" s="2">
        <f t="shared" si="1"/>
        <v>331031.44</v>
      </c>
      <c r="S36" s="2">
        <f t="shared" si="2"/>
        <v>0.55999999999767169</v>
      </c>
      <c r="T36" s="8"/>
      <c r="U36" s="8"/>
    </row>
    <row r="37" spans="2:21" x14ac:dyDescent="0.25">
      <c r="B37" s="22">
        <v>41791</v>
      </c>
      <c r="C37" s="23" t="s">
        <v>67</v>
      </c>
      <c r="D37" s="24" t="s">
        <v>68</v>
      </c>
      <c r="E37" s="4"/>
      <c r="F37" s="35">
        <v>1909640</v>
      </c>
      <c r="G37" s="36">
        <v>1618640</v>
      </c>
      <c r="H37" s="36">
        <v>194236.79999999999</v>
      </c>
      <c r="I37" s="36">
        <v>3884.74</v>
      </c>
      <c r="J37" s="36">
        <v>1942.36</v>
      </c>
      <c r="K37" s="36">
        <v>90935.2</v>
      </c>
      <c r="L37" s="36">
        <v>0</v>
      </c>
      <c r="M37" s="36"/>
      <c r="N37" s="36">
        <v>0</v>
      </c>
      <c r="O37" s="36">
        <v>0</v>
      </c>
      <c r="P37" s="36">
        <v>0</v>
      </c>
      <c r="Q37" s="36">
        <v>0</v>
      </c>
      <c r="R37" s="2">
        <f t="shared" si="1"/>
        <v>1909639.1</v>
      </c>
      <c r="S37" s="2">
        <f t="shared" si="2"/>
        <v>0.89999999990686774</v>
      </c>
      <c r="T37" s="8">
        <f t="shared" ref="T37" si="9">+G37+H37+I37+J37+Q37</f>
        <v>1818703.9000000001</v>
      </c>
      <c r="U37" s="8">
        <f t="shared" ref="U37" si="10">+K37+M37</f>
        <v>90935.2</v>
      </c>
    </row>
    <row r="38" spans="2:21" x14ac:dyDescent="0.25">
      <c r="B38" s="22">
        <v>41791</v>
      </c>
      <c r="C38" s="23" t="s">
        <v>87</v>
      </c>
      <c r="D38" s="27"/>
      <c r="E38" s="28" t="s">
        <v>88</v>
      </c>
      <c r="F38" s="35">
        <v>1438074</v>
      </c>
      <c r="G38" s="36">
        <v>0</v>
      </c>
      <c r="H38" s="36">
        <v>150574.20000000001</v>
      </c>
      <c r="I38" s="36">
        <v>3011.48</v>
      </c>
      <c r="J38" s="36">
        <v>1505.74</v>
      </c>
      <c r="K38" s="36">
        <v>0</v>
      </c>
      <c r="L38" s="36">
        <v>0</v>
      </c>
      <c r="M38" s="36"/>
      <c r="N38" s="36">
        <v>1254784.96</v>
      </c>
      <c r="O38" s="36">
        <v>28197.53</v>
      </c>
      <c r="P38" s="36">
        <v>0</v>
      </c>
      <c r="Q38" s="36">
        <v>0</v>
      </c>
      <c r="R38" s="2">
        <f t="shared" si="1"/>
        <v>1438073.91</v>
      </c>
      <c r="S38" s="2">
        <f t="shared" si="2"/>
        <v>9.0000000083819032E-2</v>
      </c>
    </row>
    <row r="39" spans="2:21" x14ac:dyDescent="0.25">
      <c r="B39" s="22">
        <v>41791</v>
      </c>
      <c r="C39" s="23" t="s">
        <v>69</v>
      </c>
      <c r="D39" s="24" t="s">
        <v>70</v>
      </c>
      <c r="E39" s="4"/>
      <c r="F39" s="35">
        <v>15793470.199999999</v>
      </c>
      <c r="G39" s="36">
        <v>13386791.329999998</v>
      </c>
      <c r="H39" s="36">
        <v>1606414.96</v>
      </c>
      <c r="I39" s="36">
        <v>32128.300000000007</v>
      </c>
      <c r="J39" s="36">
        <v>16064.199999999995</v>
      </c>
      <c r="K39" s="36">
        <v>752069.92000000027</v>
      </c>
      <c r="L39" s="36">
        <v>0</v>
      </c>
      <c r="M39" s="36"/>
      <c r="N39" s="36">
        <v>0</v>
      </c>
      <c r="O39" s="36">
        <v>0</v>
      </c>
      <c r="P39" s="36">
        <v>0</v>
      </c>
      <c r="Q39" s="36">
        <v>0</v>
      </c>
      <c r="R39" s="2">
        <f t="shared" si="1"/>
        <v>15793468.709999999</v>
      </c>
      <c r="S39" s="2">
        <f t="shared" si="2"/>
        <v>1.4900000002235174</v>
      </c>
      <c r="T39" s="8">
        <f>+G39+H39+I39+J39+Q39</f>
        <v>15041398.789999999</v>
      </c>
      <c r="U39" s="8">
        <f>+K39+M39</f>
        <v>752069.92000000027</v>
      </c>
    </row>
    <row r="40" spans="2:21" x14ac:dyDescent="0.25">
      <c r="B40" s="22">
        <v>41791</v>
      </c>
      <c r="C40" s="23" t="s">
        <v>91</v>
      </c>
      <c r="D40" s="27"/>
      <c r="E40" s="28" t="s">
        <v>92</v>
      </c>
      <c r="F40" s="37">
        <v>4660322</v>
      </c>
      <c r="G40" s="38">
        <v>0</v>
      </c>
      <c r="H40" s="38">
        <v>487961.10999999993</v>
      </c>
      <c r="I40" s="38">
        <v>9759.25</v>
      </c>
      <c r="J40" s="38">
        <v>4879.619999999999</v>
      </c>
      <c r="K40" s="38">
        <v>0</v>
      </c>
      <c r="L40" s="38">
        <v>0</v>
      </c>
      <c r="M40" s="38"/>
      <c r="N40" s="38">
        <v>4066342.56</v>
      </c>
      <c r="O40" s="38">
        <v>91378.83</v>
      </c>
      <c r="P40" s="38">
        <v>0</v>
      </c>
      <c r="Q40" s="38">
        <v>0</v>
      </c>
      <c r="R40" s="2">
        <f t="shared" si="1"/>
        <v>4660321.37</v>
      </c>
      <c r="S40" s="2">
        <f t="shared" si="2"/>
        <v>0.62999999988824129</v>
      </c>
    </row>
    <row r="41" spans="2:21" x14ac:dyDescent="0.25">
      <c r="B41" s="22">
        <v>41791</v>
      </c>
      <c r="C41" s="23" t="s">
        <v>93</v>
      </c>
      <c r="D41" s="24" t="s">
        <v>94</v>
      </c>
      <c r="E41" s="4"/>
      <c r="F41" s="39">
        <v>2169549</v>
      </c>
      <c r="G41" s="40">
        <v>1838944.5</v>
      </c>
      <c r="H41" s="40">
        <v>220673.34</v>
      </c>
      <c r="I41" s="40">
        <v>4413.47</v>
      </c>
      <c r="J41" s="40">
        <v>2206.73</v>
      </c>
      <c r="K41" s="40">
        <v>103311.9</v>
      </c>
      <c r="L41" s="40">
        <v>0</v>
      </c>
      <c r="M41" s="40"/>
      <c r="N41" s="40">
        <v>0</v>
      </c>
      <c r="O41" s="40">
        <v>0</v>
      </c>
      <c r="P41" s="40">
        <v>0</v>
      </c>
      <c r="Q41" s="40">
        <v>0</v>
      </c>
      <c r="R41" s="2">
        <f t="shared" si="1"/>
        <v>2169549.94</v>
      </c>
      <c r="S41" s="2">
        <f t="shared" si="2"/>
        <v>-0.93999999994412065</v>
      </c>
      <c r="T41" s="8">
        <f>+G41+H41+I41+J41+Q41</f>
        <v>2066238.04</v>
      </c>
      <c r="U41" s="8">
        <f>+K41+M41</f>
        <v>103311.9</v>
      </c>
    </row>
    <row r="42" spans="2:21" x14ac:dyDescent="0.25">
      <c r="B42" s="22">
        <v>41791</v>
      </c>
      <c r="C42" s="23" t="s">
        <v>97</v>
      </c>
      <c r="D42" s="27"/>
      <c r="E42" s="28" t="s">
        <v>98</v>
      </c>
      <c r="F42" s="39">
        <v>1823630</v>
      </c>
      <c r="G42" s="40">
        <v>0</v>
      </c>
      <c r="H42" s="40">
        <v>190944</v>
      </c>
      <c r="I42" s="40">
        <v>3818.88</v>
      </c>
      <c r="J42" s="40">
        <v>1909.44</v>
      </c>
      <c r="K42" s="40">
        <v>0</v>
      </c>
      <c r="L42" s="40">
        <v>0</v>
      </c>
      <c r="M42" s="40"/>
      <c r="N42" s="40">
        <v>1591200</v>
      </c>
      <c r="O42" s="40">
        <v>35757.449999999997</v>
      </c>
      <c r="P42" s="40">
        <v>0</v>
      </c>
      <c r="Q42" s="40">
        <v>0</v>
      </c>
      <c r="R42" s="2">
        <f t="shared" si="1"/>
        <v>1823629.77</v>
      </c>
      <c r="S42" s="2">
        <f t="shared" si="2"/>
        <v>0.22999999998137355</v>
      </c>
    </row>
    <row r="43" spans="2:21" x14ac:dyDescent="0.25">
      <c r="B43" s="22">
        <v>41791</v>
      </c>
      <c r="C43" s="23" t="s">
        <v>101</v>
      </c>
      <c r="D43" s="27"/>
      <c r="E43" s="28" t="s">
        <v>102</v>
      </c>
      <c r="F43" s="39">
        <v>231828</v>
      </c>
      <c r="G43" s="40">
        <v>0</v>
      </c>
      <c r="H43" s="40">
        <v>24273.65</v>
      </c>
      <c r="I43" s="40">
        <v>485.47</v>
      </c>
      <c r="J43" s="40">
        <v>242.74</v>
      </c>
      <c r="K43" s="40">
        <v>0</v>
      </c>
      <c r="L43" s="40">
        <v>0</v>
      </c>
      <c r="M43" s="40"/>
      <c r="N43" s="40">
        <v>202280.4</v>
      </c>
      <c r="O43" s="40">
        <v>4545.6499999999996</v>
      </c>
      <c r="P43" s="40">
        <v>0</v>
      </c>
      <c r="Q43" s="40">
        <v>0</v>
      </c>
      <c r="R43" s="2">
        <f t="shared" si="1"/>
        <v>231827.91</v>
      </c>
      <c r="S43" s="2">
        <f t="shared" si="2"/>
        <v>8.999999999650754E-2</v>
      </c>
    </row>
    <row r="44" spans="2:21" x14ac:dyDescent="0.25">
      <c r="B44" s="22">
        <v>41791</v>
      </c>
      <c r="C44" s="23" t="s">
        <v>105</v>
      </c>
      <c r="D44" s="24" t="s">
        <v>106</v>
      </c>
      <c r="E44" s="4"/>
      <c r="F44" s="39">
        <v>17588.399999999998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15633</v>
      </c>
      <c r="M44" s="40">
        <v>1954</v>
      </c>
      <c r="N44" s="41">
        <v>0</v>
      </c>
      <c r="O44" s="41">
        <v>0</v>
      </c>
      <c r="P44" s="41">
        <v>0</v>
      </c>
      <c r="Q44" s="41">
        <v>0</v>
      </c>
      <c r="R44" s="2">
        <f t="shared" si="1"/>
        <v>17587</v>
      </c>
      <c r="S44" s="2">
        <f t="shared" si="2"/>
        <v>1.3999999999978172</v>
      </c>
      <c r="T44" s="8">
        <f>+L44</f>
        <v>15633</v>
      </c>
      <c r="U44" s="8">
        <f>+K44+M44</f>
        <v>1954</v>
      </c>
    </row>
    <row r="45" spans="2:21" x14ac:dyDescent="0.25">
      <c r="B45" s="22">
        <v>41821</v>
      </c>
      <c r="C45" s="23" t="s">
        <v>113</v>
      </c>
      <c r="D45" s="24" t="s">
        <v>121</v>
      </c>
      <c r="E45" s="4"/>
      <c r="F45" s="33">
        <v>595298</v>
      </c>
      <c r="G45" s="34">
        <v>499587.52</v>
      </c>
      <c r="H45" s="34">
        <v>59950.5</v>
      </c>
      <c r="I45" s="34">
        <v>1199.01</v>
      </c>
      <c r="J45" s="34">
        <v>599.5</v>
      </c>
      <c r="K45" s="34">
        <v>28066.82</v>
      </c>
      <c r="L45" s="34">
        <v>0</v>
      </c>
      <c r="M45" s="34"/>
      <c r="N45" s="34">
        <v>0</v>
      </c>
      <c r="O45" s="34">
        <v>0</v>
      </c>
      <c r="P45" s="34">
        <v>0</v>
      </c>
      <c r="Q45" s="34">
        <v>5895</v>
      </c>
      <c r="R45" s="2">
        <f t="shared" si="1"/>
        <v>595298.35</v>
      </c>
      <c r="S45" s="2">
        <f t="shared" si="2"/>
        <v>-0.34999999997671694</v>
      </c>
      <c r="T45" s="42">
        <f>+G45+H45+I45+J45+Q45</f>
        <v>567231.53</v>
      </c>
      <c r="U45" s="42">
        <f>+K45+M45</f>
        <v>28066.82</v>
      </c>
    </row>
    <row r="46" spans="2:21" x14ac:dyDescent="0.25">
      <c r="B46" s="22">
        <v>41821</v>
      </c>
      <c r="C46" s="23" t="s">
        <v>89</v>
      </c>
      <c r="D46" s="24" t="s">
        <v>90</v>
      </c>
      <c r="E46" s="4"/>
      <c r="F46" s="31">
        <v>400</v>
      </c>
      <c r="G46" s="32">
        <v>0</v>
      </c>
      <c r="H46" s="32">
        <v>0</v>
      </c>
      <c r="I46" s="32">
        <v>0</v>
      </c>
      <c r="J46" s="32">
        <v>0</v>
      </c>
      <c r="K46" s="32">
        <v>0</v>
      </c>
      <c r="L46" s="32">
        <v>356</v>
      </c>
      <c r="M46" s="32">
        <v>44</v>
      </c>
      <c r="N46" s="32">
        <v>0</v>
      </c>
      <c r="O46" s="32">
        <v>0</v>
      </c>
      <c r="P46" s="32">
        <v>0</v>
      </c>
      <c r="Q46" s="32">
        <v>0</v>
      </c>
      <c r="R46" s="2">
        <f t="shared" si="1"/>
        <v>400</v>
      </c>
      <c r="S46" s="2">
        <f t="shared" si="2"/>
        <v>0</v>
      </c>
      <c r="T46" s="42">
        <f>+L46</f>
        <v>356</v>
      </c>
      <c r="U46" s="42">
        <f>+K46+M46</f>
        <v>44</v>
      </c>
    </row>
    <row r="47" spans="2:21" x14ac:dyDescent="0.25">
      <c r="B47" s="22">
        <v>41821</v>
      </c>
      <c r="C47" s="23" t="s">
        <v>122</v>
      </c>
      <c r="D47" s="27"/>
      <c r="E47" s="28" t="s">
        <v>123</v>
      </c>
      <c r="F47" s="43">
        <v>4096617</v>
      </c>
      <c r="G47" s="44">
        <v>0</v>
      </c>
      <c r="H47" s="44">
        <v>428938.2</v>
      </c>
      <c r="I47" s="44">
        <v>8578.7699999999986</v>
      </c>
      <c r="J47" s="44">
        <v>4289.38</v>
      </c>
      <c r="K47" s="44">
        <v>0</v>
      </c>
      <c r="L47" s="44">
        <v>0</v>
      </c>
      <c r="M47" s="44"/>
      <c r="N47" s="44">
        <v>3574485</v>
      </c>
      <c r="O47" s="44">
        <v>80325.820000000007</v>
      </c>
      <c r="P47" s="44">
        <v>0</v>
      </c>
      <c r="Q47" s="44">
        <v>0</v>
      </c>
      <c r="R47" s="2">
        <f t="shared" si="1"/>
        <v>4096617.17</v>
      </c>
      <c r="S47" s="2">
        <f t="shared" si="2"/>
        <v>-0.16999999992549419</v>
      </c>
    </row>
    <row r="48" spans="2:21" x14ac:dyDescent="0.25">
      <c r="B48" s="22">
        <v>41821</v>
      </c>
      <c r="C48" s="23" t="s">
        <v>124</v>
      </c>
      <c r="D48" s="27"/>
      <c r="E48" s="28" t="s">
        <v>125</v>
      </c>
      <c r="F48" s="33">
        <v>3246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/>
      <c r="N48" s="34">
        <v>0</v>
      </c>
      <c r="O48" s="34">
        <v>0</v>
      </c>
      <c r="P48" s="34">
        <v>3246</v>
      </c>
      <c r="Q48" s="34">
        <v>0</v>
      </c>
      <c r="R48" s="2">
        <f t="shared" si="1"/>
        <v>3246</v>
      </c>
      <c r="S48" s="2">
        <f t="shared" si="2"/>
        <v>0</v>
      </c>
    </row>
    <row r="49" spans="2:21" x14ac:dyDescent="0.25">
      <c r="B49" s="22">
        <v>41821</v>
      </c>
      <c r="C49" s="23" t="s">
        <v>103</v>
      </c>
      <c r="D49" s="27"/>
      <c r="E49" s="28" t="s">
        <v>126</v>
      </c>
      <c r="F49" s="31">
        <v>518341</v>
      </c>
      <c r="G49" s="32"/>
      <c r="H49" s="32">
        <v>54273.120000000003</v>
      </c>
      <c r="I49" s="32">
        <v>1085.46</v>
      </c>
      <c r="J49" s="32">
        <v>542.73</v>
      </c>
      <c r="K49" s="32"/>
      <c r="L49" s="34"/>
      <c r="M49" s="34"/>
      <c r="N49" s="32">
        <v>452276</v>
      </c>
      <c r="O49" s="32">
        <v>10163.549999999999</v>
      </c>
      <c r="P49" s="34"/>
      <c r="Q49" s="34"/>
      <c r="R49" s="2">
        <f t="shared" si="1"/>
        <v>518340.86</v>
      </c>
      <c r="S49" s="2">
        <f t="shared" si="2"/>
        <v>0.14000000001396984</v>
      </c>
    </row>
    <row r="50" spans="2:21" x14ac:dyDescent="0.25">
      <c r="B50" s="22">
        <v>41821</v>
      </c>
      <c r="C50" s="45" t="s">
        <v>127</v>
      </c>
      <c r="D50" s="46"/>
      <c r="E50" s="47" t="s">
        <v>128</v>
      </c>
      <c r="F50" s="33">
        <v>3763664.22</v>
      </c>
      <c r="G50" s="34">
        <v>0</v>
      </c>
      <c r="H50" s="34">
        <v>394051.19999999995</v>
      </c>
      <c r="I50" s="34">
        <v>7881.0199999999995</v>
      </c>
      <c r="J50" s="34">
        <f>3940.51+239</f>
        <v>4179.51</v>
      </c>
      <c r="K50" s="34">
        <v>0</v>
      </c>
      <c r="L50" s="34">
        <v>0</v>
      </c>
      <c r="M50" s="34"/>
      <c r="N50" s="34">
        <v>3283760</v>
      </c>
      <c r="O50" s="34">
        <v>73792.649999999994</v>
      </c>
      <c r="P50" s="34">
        <v>0</v>
      </c>
      <c r="Q50" s="34">
        <v>0</v>
      </c>
      <c r="R50" s="2">
        <f t="shared" si="1"/>
        <v>3763664.38</v>
      </c>
      <c r="S50" s="2">
        <f t="shared" si="2"/>
        <v>-0.15999999968335032</v>
      </c>
    </row>
    <row r="51" spans="2:21" x14ac:dyDescent="0.25">
      <c r="B51" s="22">
        <v>41821</v>
      </c>
      <c r="C51" s="23" t="s">
        <v>129</v>
      </c>
      <c r="D51" s="27"/>
      <c r="E51" s="28" t="s">
        <v>130</v>
      </c>
      <c r="F51" s="33">
        <v>786.52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/>
      <c r="N51" s="34">
        <v>0</v>
      </c>
      <c r="O51" s="34">
        <v>0</v>
      </c>
      <c r="P51" s="34">
        <v>786.52</v>
      </c>
      <c r="Q51" s="34">
        <v>0</v>
      </c>
      <c r="R51" s="2">
        <f t="shared" si="1"/>
        <v>786.52</v>
      </c>
      <c r="S51" s="2">
        <f t="shared" si="2"/>
        <v>0</v>
      </c>
    </row>
    <row r="52" spans="2:21" x14ac:dyDescent="0.25">
      <c r="B52" s="22">
        <v>41821</v>
      </c>
      <c r="C52" s="23" t="s">
        <v>116</v>
      </c>
      <c r="D52" s="24" t="s">
        <v>117</v>
      </c>
      <c r="E52" s="4"/>
      <c r="F52" s="33">
        <v>1203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/>
      <c r="N52" s="34">
        <v>0</v>
      </c>
      <c r="O52" s="34">
        <v>0</v>
      </c>
      <c r="P52" s="34">
        <v>1203</v>
      </c>
      <c r="Q52" s="34">
        <v>0</v>
      </c>
      <c r="R52" s="2">
        <f t="shared" si="1"/>
        <v>1203</v>
      </c>
      <c r="S52" s="2">
        <f t="shared" si="2"/>
        <v>0</v>
      </c>
      <c r="T52" s="42">
        <f>+P52</f>
        <v>1203</v>
      </c>
      <c r="U52" s="42">
        <f t="shared" ref="U52:U53" si="11">+K52+M52</f>
        <v>0</v>
      </c>
    </row>
    <row r="53" spans="2:21" x14ac:dyDescent="0.25">
      <c r="B53" s="22">
        <v>41821</v>
      </c>
      <c r="C53" s="23" t="s">
        <v>67</v>
      </c>
      <c r="D53" s="24" t="s">
        <v>68</v>
      </c>
      <c r="E53" s="4"/>
      <c r="F53" s="33">
        <v>1768798</v>
      </c>
      <c r="G53" s="34">
        <v>1499261.4</v>
      </c>
      <c r="H53" s="34">
        <v>179911.37</v>
      </c>
      <c r="I53" s="34">
        <v>3598.23</v>
      </c>
      <c r="J53" s="34">
        <v>1799.1100000000001</v>
      </c>
      <c r="K53" s="34">
        <v>84228.5</v>
      </c>
      <c r="L53" s="34">
        <v>0</v>
      </c>
      <c r="M53" s="34"/>
      <c r="N53" s="34">
        <v>0</v>
      </c>
      <c r="O53" s="34">
        <v>0</v>
      </c>
      <c r="P53" s="34">
        <v>0</v>
      </c>
      <c r="Q53" s="34">
        <v>0</v>
      </c>
      <c r="R53" s="2">
        <f t="shared" si="1"/>
        <v>1768798.61</v>
      </c>
      <c r="S53" s="2">
        <f t="shared" si="2"/>
        <v>-0.61000000010244548</v>
      </c>
      <c r="T53" s="42">
        <f t="shared" ref="T53" si="12">+G53+H53+I53+J53+Q53</f>
        <v>1684570.11</v>
      </c>
      <c r="U53" s="42">
        <f t="shared" si="11"/>
        <v>84228.5</v>
      </c>
    </row>
    <row r="54" spans="2:21" x14ac:dyDescent="0.25">
      <c r="B54" s="22">
        <v>41821</v>
      </c>
      <c r="C54" s="23" t="s">
        <v>87</v>
      </c>
      <c r="D54" s="27"/>
      <c r="E54" s="28" t="s">
        <v>88</v>
      </c>
      <c r="F54" s="33">
        <v>4383641</v>
      </c>
      <c r="G54" s="34">
        <v>0</v>
      </c>
      <c r="H54" s="34">
        <v>458991.16000000003</v>
      </c>
      <c r="I54" s="34">
        <v>9179.82</v>
      </c>
      <c r="J54" s="34">
        <v>4589.92</v>
      </c>
      <c r="K54" s="34">
        <v>0</v>
      </c>
      <c r="L54" s="34">
        <v>0</v>
      </c>
      <c r="M54" s="34"/>
      <c r="N54" s="34">
        <v>3824926.3600000003</v>
      </c>
      <c r="O54" s="34">
        <v>85953.75</v>
      </c>
      <c r="P54" s="34">
        <v>0</v>
      </c>
      <c r="Q54" s="34">
        <v>0</v>
      </c>
      <c r="R54" s="2">
        <f t="shared" si="1"/>
        <v>4383641.0100000007</v>
      </c>
      <c r="S54" s="2">
        <f t="shared" si="2"/>
        <v>-1.0000000707805157E-2</v>
      </c>
    </row>
    <row r="55" spans="2:21" x14ac:dyDescent="0.25">
      <c r="B55" s="22">
        <v>41821</v>
      </c>
      <c r="C55" s="23" t="s">
        <v>69</v>
      </c>
      <c r="D55" s="24" t="s">
        <v>70</v>
      </c>
      <c r="E55" s="4"/>
      <c r="F55" s="48">
        <v>12581921.68</v>
      </c>
      <c r="G55" s="49">
        <v>10664633.860000005</v>
      </c>
      <c r="H55" s="49">
        <v>1279756.0699999998</v>
      </c>
      <c r="I55" s="49">
        <v>25595.200000000001</v>
      </c>
      <c r="J55" s="49">
        <v>12797.539999999999</v>
      </c>
      <c r="K55" s="49">
        <v>599139.15999999992</v>
      </c>
      <c r="L55" s="49">
        <v>0</v>
      </c>
      <c r="M55" s="49"/>
      <c r="N55" s="49">
        <v>0</v>
      </c>
      <c r="O55" s="49">
        <v>0</v>
      </c>
      <c r="P55" s="49">
        <v>0</v>
      </c>
      <c r="Q55" s="49">
        <v>0</v>
      </c>
      <c r="R55" s="2">
        <f t="shared" si="1"/>
        <v>12581921.830000004</v>
      </c>
      <c r="S55" s="2">
        <f t="shared" si="2"/>
        <v>-0.15000000409781933</v>
      </c>
      <c r="T55" s="42">
        <f>+G55+H55+I55+J55+Q55</f>
        <v>11982782.670000004</v>
      </c>
      <c r="U55" s="42">
        <f>+K55+M55</f>
        <v>599139.15999999992</v>
      </c>
    </row>
    <row r="56" spans="2:21" x14ac:dyDescent="0.25">
      <c r="B56" s="22">
        <v>41821</v>
      </c>
      <c r="C56" s="23" t="s">
        <v>91</v>
      </c>
      <c r="D56" s="27"/>
      <c r="E56" s="28" t="s">
        <v>92</v>
      </c>
      <c r="F56" s="33">
        <v>3928997</v>
      </c>
      <c r="G56" s="34">
        <v>0</v>
      </c>
      <c r="H56" s="34">
        <v>411387.52</v>
      </c>
      <c r="I56" s="34">
        <v>8227.75</v>
      </c>
      <c r="J56" s="34">
        <v>4113.88</v>
      </c>
      <c r="K56" s="34">
        <v>0</v>
      </c>
      <c r="L56" s="34">
        <v>0</v>
      </c>
      <c r="M56" s="34"/>
      <c r="N56" s="34">
        <v>3428229.3499999996</v>
      </c>
      <c r="O56" s="34">
        <v>77039.170000000013</v>
      </c>
      <c r="P56" s="34">
        <v>0</v>
      </c>
      <c r="Q56" s="34">
        <v>0</v>
      </c>
      <c r="R56" s="2">
        <f t="shared" si="1"/>
        <v>3928997.6699999995</v>
      </c>
      <c r="S56" s="2">
        <f t="shared" si="2"/>
        <v>-0.66999999945983291</v>
      </c>
    </row>
    <row r="57" spans="2:21" x14ac:dyDescent="0.25">
      <c r="B57" s="22">
        <v>41821</v>
      </c>
      <c r="C57" s="23" t="s">
        <v>93</v>
      </c>
      <c r="D57" s="24" t="s">
        <v>94</v>
      </c>
      <c r="E57" s="4"/>
      <c r="F57" s="33">
        <v>980197</v>
      </c>
      <c r="G57" s="34">
        <v>830830</v>
      </c>
      <c r="H57" s="34">
        <v>99699.6</v>
      </c>
      <c r="I57" s="34">
        <v>1993.99</v>
      </c>
      <c r="J57" s="34">
        <v>997</v>
      </c>
      <c r="K57" s="34">
        <v>46676.03</v>
      </c>
      <c r="L57" s="34">
        <v>0</v>
      </c>
      <c r="M57" s="34"/>
      <c r="N57" s="34">
        <v>0</v>
      </c>
      <c r="O57" s="34">
        <v>0</v>
      </c>
      <c r="P57" s="34">
        <v>0</v>
      </c>
      <c r="Q57" s="34">
        <v>0</v>
      </c>
      <c r="R57" s="2">
        <f t="shared" si="1"/>
        <v>980196.62</v>
      </c>
      <c r="S57" s="2">
        <f t="shared" si="2"/>
        <v>0.38000000000465661</v>
      </c>
      <c r="T57" s="42">
        <f>+G57+H57+I57+J57+Q57</f>
        <v>933520.59</v>
      </c>
      <c r="U57" s="42">
        <f>+K57+M57</f>
        <v>46676.03</v>
      </c>
    </row>
    <row r="58" spans="2:21" x14ac:dyDescent="0.25">
      <c r="B58" s="22">
        <v>41821</v>
      </c>
      <c r="C58" s="23" t="s">
        <v>97</v>
      </c>
      <c r="D58" s="27"/>
      <c r="E58" s="28" t="s">
        <v>98</v>
      </c>
      <c r="F58" s="50">
        <v>716524</v>
      </c>
      <c r="G58" s="51">
        <v>0</v>
      </c>
      <c r="H58" s="51">
        <v>75024</v>
      </c>
      <c r="I58" s="51">
        <v>1500.48</v>
      </c>
      <c r="J58" s="51">
        <v>750.24</v>
      </c>
      <c r="K58" s="51">
        <v>0</v>
      </c>
      <c r="L58" s="51">
        <v>0</v>
      </c>
      <c r="M58" s="51"/>
      <c r="N58" s="51">
        <v>625200</v>
      </c>
      <c r="O58" s="51">
        <v>14049.5</v>
      </c>
      <c r="P58" s="51">
        <v>0</v>
      </c>
      <c r="Q58" s="51">
        <v>0</v>
      </c>
      <c r="R58" s="2">
        <f t="shared" si="1"/>
        <v>716524.22</v>
      </c>
      <c r="S58" s="2">
        <f t="shared" si="2"/>
        <v>-0.21999999997206032</v>
      </c>
    </row>
    <row r="59" spans="2:21" x14ac:dyDescent="0.25">
      <c r="B59" s="22">
        <v>41821</v>
      </c>
      <c r="C59" s="23" t="s">
        <v>97</v>
      </c>
      <c r="D59" s="27"/>
      <c r="E59" s="28" t="s">
        <v>96</v>
      </c>
      <c r="F59" s="50">
        <v>693144</v>
      </c>
      <c r="G59" s="51">
        <v>0</v>
      </c>
      <c r="H59" s="51">
        <v>72576</v>
      </c>
      <c r="I59" s="51">
        <v>1451.52</v>
      </c>
      <c r="J59" s="51">
        <v>725.76</v>
      </c>
      <c r="K59" s="51">
        <v>0</v>
      </c>
      <c r="L59" s="51">
        <v>0</v>
      </c>
      <c r="M59" s="51"/>
      <c r="N59" s="51">
        <v>604800</v>
      </c>
      <c r="O59" s="51">
        <v>13591.07</v>
      </c>
      <c r="P59" s="51">
        <v>0</v>
      </c>
      <c r="Q59" s="51">
        <v>0</v>
      </c>
      <c r="R59" s="2">
        <f t="shared" si="1"/>
        <v>693144.35</v>
      </c>
      <c r="S59" s="2">
        <f t="shared" si="2"/>
        <v>-0.34999999997671694</v>
      </c>
    </row>
    <row r="60" spans="2:21" x14ac:dyDescent="0.25">
      <c r="B60" s="22">
        <v>41821</v>
      </c>
      <c r="C60" s="23" t="s">
        <v>101</v>
      </c>
      <c r="D60" s="27"/>
      <c r="E60" s="28" t="s">
        <v>102</v>
      </c>
      <c r="F60" s="33">
        <v>786.52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/>
      <c r="N60" s="34">
        <v>0</v>
      </c>
      <c r="O60" s="34">
        <v>0</v>
      </c>
      <c r="P60" s="34">
        <v>786.52</v>
      </c>
      <c r="Q60" s="34">
        <v>0</v>
      </c>
      <c r="R60" s="2">
        <f t="shared" si="1"/>
        <v>786.52</v>
      </c>
      <c r="S60" s="2">
        <f t="shared" si="2"/>
        <v>0</v>
      </c>
    </row>
    <row r="61" spans="2:21" x14ac:dyDescent="0.25">
      <c r="B61" s="22">
        <v>41821</v>
      </c>
      <c r="C61" s="23" t="s">
        <v>105</v>
      </c>
      <c r="D61" s="24" t="s">
        <v>106</v>
      </c>
      <c r="E61" s="4"/>
      <c r="F61" s="33">
        <v>91006.5</v>
      </c>
      <c r="G61" s="34">
        <v>76079.899999999994</v>
      </c>
      <c r="H61" s="34">
        <v>9129.59</v>
      </c>
      <c r="I61" s="34">
        <v>182.59</v>
      </c>
      <c r="J61" s="34">
        <v>91.3</v>
      </c>
      <c r="K61" s="34">
        <v>4274.17</v>
      </c>
      <c r="L61" s="34">
        <v>312</v>
      </c>
      <c r="M61" s="34">
        <v>39</v>
      </c>
      <c r="N61" s="34">
        <v>0</v>
      </c>
      <c r="O61" s="34">
        <v>0</v>
      </c>
      <c r="P61" s="34">
        <v>0</v>
      </c>
      <c r="Q61" s="34">
        <v>898</v>
      </c>
      <c r="R61" s="2">
        <f t="shared" si="1"/>
        <v>91006.549999999988</v>
      </c>
      <c r="S61" s="2">
        <f t="shared" si="2"/>
        <v>-4.9999999988358468E-2</v>
      </c>
      <c r="T61" s="42">
        <f>+G61+H61+I61+J61+Q61</f>
        <v>86381.37999999999</v>
      </c>
      <c r="U61" s="42">
        <f>+K61+M61</f>
        <v>4313.17</v>
      </c>
    </row>
    <row r="62" spans="2:21" x14ac:dyDescent="0.25">
      <c r="B62" s="22">
        <v>41852</v>
      </c>
      <c r="C62" s="23" t="s">
        <v>109</v>
      </c>
      <c r="D62" s="27"/>
      <c r="E62" s="28" t="s">
        <v>110</v>
      </c>
      <c r="F62" s="52">
        <v>486595</v>
      </c>
      <c r="G62" s="53">
        <v>0</v>
      </c>
      <c r="H62" s="53">
        <v>50949.120000000003</v>
      </c>
      <c r="I62" s="53">
        <v>1018.98</v>
      </c>
      <c r="J62" s="53">
        <v>509.49</v>
      </c>
      <c r="K62" s="53">
        <v>0</v>
      </c>
      <c r="L62" s="53">
        <v>0</v>
      </c>
      <c r="M62" s="53"/>
      <c r="N62" s="53">
        <v>424576</v>
      </c>
      <c r="O62" s="53">
        <v>9541.07</v>
      </c>
      <c r="P62" s="53">
        <v>0</v>
      </c>
      <c r="Q62" s="53">
        <v>0</v>
      </c>
      <c r="R62" s="2">
        <f t="shared" si="1"/>
        <v>486594.66000000003</v>
      </c>
      <c r="S62" s="2">
        <f t="shared" si="2"/>
        <v>0.33999999996740371</v>
      </c>
    </row>
    <row r="63" spans="2:21" x14ac:dyDescent="0.25">
      <c r="B63" s="22">
        <v>41852</v>
      </c>
      <c r="C63" s="23" t="s">
        <v>131</v>
      </c>
      <c r="D63" s="27"/>
      <c r="E63" s="28" t="s">
        <v>132</v>
      </c>
      <c r="F63" s="52">
        <v>1030068</v>
      </c>
      <c r="G63" s="53">
        <v>0</v>
      </c>
      <c r="H63" s="53">
        <v>107853.71</v>
      </c>
      <c r="I63" s="53">
        <v>2157.0700000000002</v>
      </c>
      <c r="J63" s="53">
        <v>1078.54</v>
      </c>
      <c r="K63" s="53">
        <v>0</v>
      </c>
      <c r="L63" s="53">
        <v>0</v>
      </c>
      <c r="M63" s="53"/>
      <c r="N63" s="53">
        <v>898780.92999999993</v>
      </c>
      <c r="O63" s="53">
        <v>20197.41</v>
      </c>
      <c r="P63" s="53">
        <v>0</v>
      </c>
      <c r="Q63" s="53">
        <v>0</v>
      </c>
      <c r="R63" s="2">
        <f t="shared" si="1"/>
        <v>1030067.66</v>
      </c>
      <c r="S63" s="2">
        <f t="shared" si="2"/>
        <v>0.33999999996740371</v>
      </c>
    </row>
    <row r="64" spans="2:21" x14ac:dyDescent="0.25">
      <c r="B64" s="22">
        <v>41852</v>
      </c>
      <c r="C64" s="23" t="s">
        <v>122</v>
      </c>
      <c r="D64" s="27"/>
      <c r="E64" s="28" t="s">
        <v>123</v>
      </c>
      <c r="F64" s="43">
        <v>805895</v>
      </c>
      <c r="G64" s="44">
        <v>0</v>
      </c>
      <c r="H64" s="44">
        <v>84381.6</v>
      </c>
      <c r="I64" s="44">
        <v>1687.63</v>
      </c>
      <c r="J64" s="44">
        <v>843.81</v>
      </c>
      <c r="K64" s="44">
        <v>0</v>
      </c>
      <c r="L64" s="44">
        <v>0</v>
      </c>
      <c r="M64" s="44"/>
      <c r="N64" s="44">
        <v>703180</v>
      </c>
      <c r="O64" s="44">
        <v>15801.850000000002</v>
      </c>
      <c r="P64" s="44">
        <v>0</v>
      </c>
      <c r="Q64" s="44">
        <v>0</v>
      </c>
      <c r="R64" s="2">
        <f t="shared" si="1"/>
        <v>805894.89</v>
      </c>
      <c r="S64" s="2">
        <f t="shared" si="2"/>
        <v>0.10999999998603016</v>
      </c>
    </row>
    <row r="65" spans="2:21" x14ac:dyDescent="0.25">
      <c r="B65" s="22">
        <v>41852</v>
      </c>
      <c r="C65" s="23" t="s">
        <v>103</v>
      </c>
      <c r="D65" s="27"/>
      <c r="E65" s="28" t="s">
        <v>126</v>
      </c>
      <c r="F65" s="31">
        <v>1971701</v>
      </c>
      <c r="G65" s="32">
        <v>0</v>
      </c>
      <c r="H65" s="32">
        <v>206447.84</v>
      </c>
      <c r="I65" s="32">
        <v>4128.96</v>
      </c>
      <c r="J65" s="32">
        <v>2064.48</v>
      </c>
      <c r="K65" s="32">
        <v>0</v>
      </c>
      <c r="L65" s="34">
        <v>0</v>
      </c>
      <c r="M65" s="34"/>
      <c r="N65" s="32">
        <v>1720398.68</v>
      </c>
      <c r="O65" s="32">
        <v>38660.800000000003</v>
      </c>
      <c r="P65" s="34">
        <v>0</v>
      </c>
      <c r="Q65" s="34">
        <v>0</v>
      </c>
      <c r="R65" s="2">
        <f t="shared" si="1"/>
        <v>1971700.76</v>
      </c>
      <c r="S65" s="2">
        <f t="shared" si="2"/>
        <v>0.23999999999068677</v>
      </c>
    </row>
    <row r="66" spans="2:21" x14ac:dyDescent="0.25">
      <c r="B66" s="22">
        <v>41852</v>
      </c>
      <c r="C66" s="45" t="s">
        <v>127</v>
      </c>
      <c r="D66" s="46"/>
      <c r="E66" s="47" t="s">
        <v>128</v>
      </c>
      <c r="F66" s="33">
        <v>1560193</v>
      </c>
      <c r="G66" s="34">
        <v>0</v>
      </c>
      <c r="H66" s="34">
        <v>163360.68</v>
      </c>
      <c r="I66" s="34">
        <v>3267.21</v>
      </c>
      <c r="J66" s="34">
        <v>1633.61</v>
      </c>
      <c r="K66" s="34">
        <v>0</v>
      </c>
      <c r="L66" s="34">
        <v>0</v>
      </c>
      <c r="M66" s="34"/>
      <c r="N66" s="34">
        <v>1361339</v>
      </c>
      <c r="O66" s="34">
        <v>30592.01</v>
      </c>
      <c r="P66" s="34">
        <v>0</v>
      </c>
      <c r="Q66" s="34">
        <v>0</v>
      </c>
      <c r="R66" s="2">
        <f t="shared" si="1"/>
        <v>1560192.51</v>
      </c>
      <c r="S66" s="2">
        <f t="shared" si="2"/>
        <v>0.48999999999068677</v>
      </c>
    </row>
    <row r="67" spans="2:21" x14ac:dyDescent="0.25">
      <c r="B67" s="22">
        <v>41852</v>
      </c>
      <c r="C67" s="23" t="s">
        <v>114</v>
      </c>
      <c r="D67" s="24" t="s">
        <v>115</v>
      </c>
      <c r="E67" s="4"/>
      <c r="F67" s="33">
        <v>587707.35</v>
      </c>
      <c r="G67" s="34">
        <v>493217.4</v>
      </c>
      <c r="H67" s="34">
        <v>59186.079999999994</v>
      </c>
      <c r="I67" s="34">
        <v>1183.72</v>
      </c>
      <c r="J67" s="34">
        <v>591.86</v>
      </c>
      <c r="K67" s="34">
        <v>27708.95</v>
      </c>
      <c r="L67" s="34">
        <v>0</v>
      </c>
      <c r="M67" s="34"/>
      <c r="N67" s="34">
        <v>0</v>
      </c>
      <c r="O67" s="34">
        <v>0</v>
      </c>
      <c r="P67" s="34">
        <v>0</v>
      </c>
      <c r="Q67" s="34">
        <v>5819</v>
      </c>
      <c r="R67" s="2">
        <f t="shared" ref="R67:R127" si="13">+SUM(G67:Q67)</f>
        <v>587707.00999999989</v>
      </c>
      <c r="S67" s="2">
        <f t="shared" si="2"/>
        <v>0.34000000008381903</v>
      </c>
      <c r="T67" s="42">
        <f>+G67+H67+I67+J67+Q67</f>
        <v>559998.05999999994</v>
      </c>
      <c r="U67" s="42">
        <f>+K67+M67</f>
        <v>27708.95</v>
      </c>
    </row>
    <row r="68" spans="2:21" x14ac:dyDescent="0.25">
      <c r="B68" s="22">
        <v>41852</v>
      </c>
      <c r="C68" s="23" t="s">
        <v>116</v>
      </c>
      <c r="D68" s="24" t="s">
        <v>117</v>
      </c>
      <c r="E68" s="4"/>
      <c r="F68" s="33">
        <v>318541</v>
      </c>
      <c r="G68" s="34">
        <v>270000</v>
      </c>
      <c r="H68" s="34">
        <v>32400</v>
      </c>
      <c r="I68" s="34">
        <v>648</v>
      </c>
      <c r="J68" s="34">
        <v>324</v>
      </c>
      <c r="K68" s="34">
        <v>15168.6</v>
      </c>
      <c r="L68" s="34">
        <v>0</v>
      </c>
      <c r="M68" s="34"/>
      <c r="N68" s="34">
        <v>0</v>
      </c>
      <c r="O68" s="34">
        <v>0</v>
      </c>
      <c r="P68" s="34">
        <v>0</v>
      </c>
      <c r="Q68" s="34">
        <v>0</v>
      </c>
      <c r="R68" s="2">
        <f t="shared" si="13"/>
        <v>318540.59999999998</v>
      </c>
      <c r="S68" s="2">
        <f t="shared" si="2"/>
        <v>0.40000000002328306</v>
      </c>
      <c r="T68" s="42">
        <f t="shared" ref="T68:T70" si="14">+G68+H68+I68+J68+Q68</f>
        <v>303372</v>
      </c>
      <c r="U68" s="42">
        <f t="shared" ref="U68:U70" si="15">+K68+M68</f>
        <v>15168.6</v>
      </c>
    </row>
    <row r="69" spans="2:21" x14ac:dyDescent="0.25">
      <c r="B69" s="22">
        <v>41852</v>
      </c>
      <c r="C69" s="23" t="s">
        <v>118</v>
      </c>
      <c r="D69" s="24" t="s">
        <v>119</v>
      </c>
      <c r="E69" s="4"/>
      <c r="F69" s="33">
        <v>9751</v>
      </c>
      <c r="G69" s="34">
        <v>8265</v>
      </c>
      <c r="H69" s="34">
        <v>991.8</v>
      </c>
      <c r="I69" s="34">
        <v>19.84</v>
      </c>
      <c r="J69" s="34">
        <v>9.92</v>
      </c>
      <c r="K69" s="34">
        <v>464.33</v>
      </c>
      <c r="L69" s="34">
        <v>0</v>
      </c>
      <c r="M69" s="34"/>
      <c r="N69" s="34">
        <v>0</v>
      </c>
      <c r="O69" s="34">
        <v>0</v>
      </c>
      <c r="P69" s="34">
        <v>0</v>
      </c>
      <c r="Q69" s="34">
        <v>0</v>
      </c>
      <c r="R69" s="2">
        <f t="shared" si="13"/>
        <v>9750.89</v>
      </c>
      <c r="S69" s="2">
        <f t="shared" si="2"/>
        <v>0.11000000000058208</v>
      </c>
      <c r="T69" s="42">
        <f t="shared" si="14"/>
        <v>9286.56</v>
      </c>
      <c r="U69" s="42">
        <f t="shared" si="15"/>
        <v>464.33</v>
      </c>
    </row>
    <row r="70" spans="2:21" x14ac:dyDescent="0.25">
      <c r="B70" s="22">
        <v>41852</v>
      </c>
      <c r="C70" s="23" t="s">
        <v>67</v>
      </c>
      <c r="D70" s="24" t="s">
        <v>68</v>
      </c>
      <c r="E70" s="4"/>
      <c r="F70" s="33">
        <v>1843338</v>
      </c>
      <c r="G70" s="34">
        <v>1562442.08</v>
      </c>
      <c r="H70" s="34">
        <v>187493.05</v>
      </c>
      <c r="I70" s="34">
        <v>3749.8599999999997</v>
      </c>
      <c r="J70" s="34">
        <v>1874.9299999999998</v>
      </c>
      <c r="K70" s="34">
        <v>87778</v>
      </c>
      <c r="L70" s="34">
        <v>0</v>
      </c>
      <c r="M70" s="34"/>
      <c r="N70" s="34">
        <v>0</v>
      </c>
      <c r="O70" s="34">
        <v>0</v>
      </c>
      <c r="P70" s="34">
        <v>0</v>
      </c>
      <c r="Q70" s="34">
        <v>0</v>
      </c>
      <c r="R70" s="2">
        <f t="shared" si="13"/>
        <v>1843337.9200000002</v>
      </c>
      <c r="S70" s="2">
        <f t="shared" si="2"/>
        <v>7.9999999841675162E-2</v>
      </c>
      <c r="T70" s="42">
        <f t="shared" si="14"/>
        <v>1755559.9200000002</v>
      </c>
      <c r="U70" s="42">
        <f t="shared" si="15"/>
        <v>87778</v>
      </c>
    </row>
    <row r="71" spans="2:21" x14ac:dyDescent="0.25">
      <c r="B71" s="22">
        <v>41852</v>
      </c>
      <c r="C71" s="23" t="s">
        <v>87</v>
      </c>
      <c r="D71" s="27"/>
      <c r="E71" s="28" t="s">
        <v>88</v>
      </c>
      <c r="F71" s="33">
        <v>12817</v>
      </c>
      <c r="G71" s="34">
        <v>0</v>
      </c>
      <c r="H71" s="34">
        <v>710.07</v>
      </c>
      <c r="I71" s="34">
        <v>14.2</v>
      </c>
      <c r="J71" s="34">
        <v>7.1</v>
      </c>
      <c r="K71" s="34">
        <v>0</v>
      </c>
      <c r="L71" s="34">
        <v>0</v>
      </c>
      <c r="M71" s="34"/>
      <c r="N71" s="34">
        <v>11834.55</v>
      </c>
      <c r="O71" s="34">
        <v>251.32</v>
      </c>
      <c r="P71" s="34">
        <v>0</v>
      </c>
      <c r="Q71" s="34">
        <v>0</v>
      </c>
      <c r="R71" s="2">
        <f t="shared" si="13"/>
        <v>12817.24</v>
      </c>
      <c r="S71" s="2">
        <f t="shared" ref="S71:S134" si="16">+F71-R71</f>
        <v>-0.23999999999978172</v>
      </c>
    </row>
    <row r="72" spans="2:21" x14ac:dyDescent="0.25">
      <c r="B72" s="22">
        <v>41852</v>
      </c>
      <c r="C72" s="23" t="s">
        <v>69</v>
      </c>
      <c r="D72" s="24" t="s">
        <v>70</v>
      </c>
      <c r="E72" s="4"/>
      <c r="F72" s="48">
        <v>14333786</v>
      </c>
      <c r="G72" s="49">
        <v>12149538.699999999</v>
      </c>
      <c r="H72" s="49">
        <v>1457944.6600000004</v>
      </c>
      <c r="I72" s="49">
        <v>29158.929999999989</v>
      </c>
      <c r="J72" s="49">
        <v>14579.490000000005</v>
      </c>
      <c r="K72" s="49">
        <v>682561.05999999982</v>
      </c>
      <c r="L72" s="49">
        <v>0</v>
      </c>
      <c r="M72" s="49"/>
      <c r="N72" s="49">
        <v>0</v>
      </c>
      <c r="O72" s="49">
        <v>0</v>
      </c>
      <c r="P72" s="49">
        <v>0</v>
      </c>
      <c r="Q72" s="49">
        <v>0</v>
      </c>
      <c r="R72" s="2">
        <f t="shared" si="13"/>
        <v>14333782.84</v>
      </c>
      <c r="S72" s="2">
        <f t="shared" si="16"/>
        <v>3.1600000001490116</v>
      </c>
      <c r="T72" s="42">
        <f>+G72+H72+I72+J72+Q72</f>
        <v>13651221.779999999</v>
      </c>
      <c r="U72" s="42">
        <f>+K72+M72</f>
        <v>682561.05999999982</v>
      </c>
    </row>
    <row r="73" spans="2:21" x14ac:dyDescent="0.25">
      <c r="B73" s="22">
        <v>41852</v>
      </c>
      <c r="C73" s="23" t="s">
        <v>91</v>
      </c>
      <c r="D73" s="27"/>
      <c r="E73" s="28" t="s">
        <v>92</v>
      </c>
      <c r="F73" s="33">
        <v>894953</v>
      </c>
      <c r="G73" s="34">
        <v>0</v>
      </c>
      <c r="H73" s="34">
        <v>93706.44</v>
      </c>
      <c r="I73" s="34">
        <v>1874.14</v>
      </c>
      <c r="J73" s="34">
        <v>937.07</v>
      </c>
      <c r="K73" s="34">
        <v>0</v>
      </c>
      <c r="L73" s="34">
        <v>0</v>
      </c>
      <c r="M73" s="34"/>
      <c r="N73" s="34">
        <v>780887</v>
      </c>
      <c r="O73" s="34">
        <v>17548.099999999999</v>
      </c>
      <c r="P73" s="34">
        <v>0</v>
      </c>
      <c r="Q73" s="34">
        <v>0</v>
      </c>
      <c r="R73" s="2">
        <f t="shared" si="13"/>
        <v>894952.75</v>
      </c>
      <c r="S73" s="2">
        <f t="shared" si="16"/>
        <v>0.25</v>
      </c>
    </row>
    <row r="74" spans="2:21" x14ac:dyDescent="0.25">
      <c r="B74" s="22">
        <v>41852</v>
      </c>
      <c r="C74" s="23" t="s">
        <v>93</v>
      </c>
      <c r="D74" s="24" t="s">
        <v>94</v>
      </c>
      <c r="E74" s="4"/>
      <c r="F74" s="33">
        <v>496600</v>
      </c>
      <c r="G74" s="34">
        <v>420926</v>
      </c>
      <c r="H74" s="34">
        <v>50511.12</v>
      </c>
      <c r="I74" s="34">
        <v>1010.22</v>
      </c>
      <c r="J74" s="34">
        <v>505.11</v>
      </c>
      <c r="K74" s="34">
        <v>23647.62</v>
      </c>
      <c r="L74" s="34">
        <v>0</v>
      </c>
      <c r="M74" s="34"/>
      <c r="N74" s="34">
        <v>0</v>
      </c>
      <c r="O74" s="34">
        <v>0</v>
      </c>
      <c r="P74" s="34">
        <v>0</v>
      </c>
      <c r="Q74" s="34">
        <v>0</v>
      </c>
      <c r="R74" s="2">
        <f t="shared" si="13"/>
        <v>496600.06999999995</v>
      </c>
      <c r="S74" s="2">
        <f t="shared" si="16"/>
        <v>-6.9999999948777258E-2</v>
      </c>
      <c r="T74" s="42">
        <f>+G74+H74+I74+J74+Q74</f>
        <v>472952.44999999995</v>
      </c>
      <c r="U74" s="42">
        <f>+K74+M74</f>
        <v>23647.62</v>
      </c>
    </row>
    <row r="75" spans="2:21" x14ac:dyDescent="0.25">
      <c r="B75" s="22">
        <v>41852</v>
      </c>
      <c r="C75" s="23" t="s">
        <v>97</v>
      </c>
      <c r="D75" s="27"/>
      <c r="E75" s="28" t="s">
        <v>98</v>
      </c>
      <c r="F75" s="50">
        <v>2608001</v>
      </c>
      <c r="G75" s="51">
        <v>0</v>
      </c>
      <c r="H75" s="51">
        <v>273072</v>
      </c>
      <c r="I75" s="51">
        <v>5461.4400000000005</v>
      </c>
      <c r="J75" s="51">
        <v>2730.7200000000003</v>
      </c>
      <c r="K75" s="51">
        <v>0</v>
      </c>
      <c r="L75" s="51">
        <v>0</v>
      </c>
      <c r="M75" s="51"/>
      <c r="N75" s="51">
        <v>2275600</v>
      </c>
      <c r="O75" s="51">
        <v>51137.289999999994</v>
      </c>
      <c r="P75" s="51">
        <v>0</v>
      </c>
      <c r="Q75" s="51">
        <v>0</v>
      </c>
      <c r="R75" s="2">
        <f t="shared" si="13"/>
        <v>2608001.4500000002</v>
      </c>
      <c r="S75" s="2">
        <f t="shared" si="16"/>
        <v>-0.45000000018626451</v>
      </c>
    </row>
    <row r="76" spans="2:21" x14ac:dyDescent="0.25">
      <c r="B76" s="22">
        <v>41852</v>
      </c>
      <c r="C76" s="23" t="s">
        <v>97</v>
      </c>
      <c r="D76" s="27"/>
      <c r="E76" s="28" t="s">
        <v>96</v>
      </c>
      <c r="F76" s="50">
        <v>1383997</v>
      </c>
      <c r="G76" s="51">
        <v>0</v>
      </c>
      <c r="H76" s="51">
        <v>144912</v>
      </c>
      <c r="I76" s="51">
        <v>2898.24</v>
      </c>
      <c r="J76" s="51">
        <v>1449.12</v>
      </c>
      <c r="K76" s="51">
        <v>0</v>
      </c>
      <c r="L76" s="51">
        <v>0</v>
      </c>
      <c r="M76" s="51"/>
      <c r="N76" s="51">
        <v>1207600</v>
      </c>
      <c r="O76" s="51">
        <v>27137.19</v>
      </c>
      <c r="P76" s="51">
        <v>0</v>
      </c>
      <c r="Q76" s="51">
        <v>0</v>
      </c>
      <c r="R76" s="2">
        <f t="shared" si="13"/>
        <v>1383996.5499999998</v>
      </c>
      <c r="S76" s="2">
        <f t="shared" si="16"/>
        <v>0.45000000018626451</v>
      </c>
    </row>
    <row r="77" spans="2:21" x14ac:dyDescent="0.25">
      <c r="B77" s="22">
        <v>41852</v>
      </c>
      <c r="C77" s="23" t="s">
        <v>101</v>
      </c>
      <c r="D77" s="27"/>
      <c r="E77" s="28" t="s">
        <v>102</v>
      </c>
      <c r="F77" s="33">
        <v>388979</v>
      </c>
      <c r="G77" s="34">
        <v>0</v>
      </c>
      <c r="H77" s="34">
        <v>40728.299999999996</v>
      </c>
      <c r="I77" s="34">
        <v>814.57</v>
      </c>
      <c r="J77" s="34">
        <v>407.28</v>
      </c>
      <c r="K77" s="34">
        <v>0</v>
      </c>
      <c r="L77" s="34">
        <v>0</v>
      </c>
      <c r="M77" s="34"/>
      <c r="N77" s="34">
        <v>339402.46</v>
      </c>
      <c r="O77" s="34">
        <v>7627.05</v>
      </c>
      <c r="P77" s="34">
        <v>0</v>
      </c>
      <c r="Q77" s="34">
        <v>0</v>
      </c>
      <c r="R77" s="2">
        <f t="shared" si="13"/>
        <v>388979.66</v>
      </c>
      <c r="S77" s="2">
        <f t="shared" si="16"/>
        <v>-0.65999999997438863</v>
      </c>
    </row>
    <row r="78" spans="2:21" x14ac:dyDescent="0.25">
      <c r="B78" s="22">
        <v>41852</v>
      </c>
      <c r="C78" s="23" t="s">
        <v>105</v>
      </c>
      <c r="D78" s="24" t="s">
        <v>106</v>
      </c>
      <c r="E78" s="4"/>
      <c r="F78" s="33">
        <v>25609.5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22763</v>
      </c>
      <c r="M78" s="34">
        <v>2845</v>
      </c>
      <c r="N78" s="34">
        <v>0</v>
      </c>
      <c r="O78" s="34">
        <v>0</v>
      </c>
      <c r="P78" s="34">
        <v>0</v>
      </c>
      <c r="Q78" s="34">
        <v>0</v>
      </c>
      <c r="R78" s="2">
        <f t="shared" si="13"/>
        <v>25608</v>
      </c>
      <c r="S78" s="2">
        <f t="shared" si="16"/>
        <v>1.5</v>
      </c>
      <c r="T78" s="42">
        <f>+L78</f>
        <v>22763</v>
      </c>
      <c r="U78" s="42">
        <f>+K78+M78</f>
        <v>2845</v>
      </c>
    </row>
    <row r="79" spans="2:21" x14ac:dyDescent="0.25">
      <c r="B79" s="22">
        <v>41883</v>
      </c>
      <c r="C79" s="23" t="s">
        <v>133</v>
      </c>
      <c r="D79" s="24" t="s">
        <v>134</v>
      </c>
      <c r="E79" s="4"/>
      <c r="F79" s="54">
        <v>400882</v>
      </c>
      <c r="G79" s="55">
        <v>339793.65</v>
      </c>
      <c r="H79" s="55">
        <v>40775.24</v>
      </c>
      <c r="I79" s="55">
        <v>815.5</v>
      </c>
      <c r="J79" s="55">
        <v>407.75</v>
      </c>
      <c r="K79" s="55">
        <v>19089.61</v>
      </c>
      <c r="L79" s="55">
        <v>0</v>
      </c>
      <c r="M79" s="55"/>
      <c r="N79" s="55">
        <v>0</v>
      </c>
      <c r="O79" s="55">
        <v>0</v>
      </c>
      <c r="P79" s="55">
        <v>0</v>
      </c>
      <c r="Q79" s="55">
        <v>0</v>
      </c>
      <c r="R79" s="2">
        <f t="shared" si="13"/>
        <v>400881.75</v>
      </c>
      <c r="S79" s="2">
        <f t="shared" si="16"/>
        <v>0.25</v>
      </c>
      <c r="T79" s="2">
        <f>+G79+H79+I79+J79</f>
        <v>381792.14</v>
      </c>
      <c r="U79" s="2">
        <f>+K79+M79</f>
        <v>19089.61</v>
      </c>
    </row>
    <row r="80" spans="2:21" x14ac:dyDescent="0.25">
      <c r="B80" s="22">
        <v>41883</v>
      </c>
      <c r="C80" s="23" t="s">
        <v>135</v>
      </c>
      <c r="D80" s="27"/>
      <c r="E80" s="28" t="s">
        <v>136</v>
      </c>
      <c r="F80" s="54">
        <v>275501</v>
      </c>
      <c r="G80" s="55">
        <v>0</v>
      </c>
      <c r="H80" s="55">
        <v>28846.51</v>
      </c>
      <c r="I80" s="55">
        <v>576.92999999999995</v>
      </c>
      <c r="J80" s="55">
        <v>288.45999999999998</v>
      </c>
      <c r="K80" s="55">
        <v>0</v>
      </c>
      <c r="L80" s="55">
        <v>0</v>
      </c>
      <c r="M80" s="55"/>
      <c r="N80" s="55">
        <v>240387.6</v>
      </c>
      <c r="O80" s="55">
        <v>5401.99</v>
      </c>
      <c r="P80" s="55">
        <v>0</v>
      </c>
      <c r="Q80" s="55">
        <v>0</v>
      </c>
      <c r="R80" s="2">
        <f t="shared" si="13"/>
        <v>275501.49</v>
      </c>
      <c r="S80" s="2">
        <f t="shared" si="16"/>
        <v>-0.48999999999068677</v>
      </c>
    </row>
    <row r="81" spans="2:21" x14ac:dyDescent="0.25">
      <c r="B81" s="22">
        <v>41883</v>
      </c>
      <c r="C81" s="23" t="s">
        <v>131</v>
      </c>
      <c r="D81" s="27"/>
      <c r="E81" s="28" t="s">
        <v>132</v>
      </c>
      <c r="F81" s="54">
        <v>4868882</v>
      </c>
      <c r="G81" s="55">
        <v>0</v>
      </c>
      <c r="H81" s="55">
        <v>509049.65000000008</v>
      </c>
      <c r="I81" s="55">
        <v>10180.999999999998</v>
      </c>
      <c r="J81" s="55">
        <v>5090.5099999999993</v>
      </c>
      <c r="K81" s="55">
        <v>0</v>
      </c>
      <c r="L81" s="55">
        <v>0</v>
      </c>
      <c r="M81" s="55"/>
      <c r="N81" s="55">
        <v>4242080.4399999995</v>
      </c>
      <c r="O81" s="55">
        <v>95328.040000000008</v>
      </c>
      <c r="P81" s="55">
        <v>7152</v>
      </c>
      <c r="Q81" s="55">
        <v>0</v>
      </c>
      <c r="R81" s="2">
        <f t="shared" si="13"/>
        <v>4868881.6399999997</v>
      </c>
      <c r="S81" s="2">
        <f t="shared" si="16"/>
        <v>0.36000000033527613</v>
      </c>
    </row>
    <row r="82" spans="2:21" x14ac:dyDescent="0.25">
      <c r="B82" s="22">
        <v>41883</v>
      </c>
      <c r="C82" s="23" t="s">
        <v>113</v>
      </c>
      <c r="D82" s="24" t="s">
        <v>121</v>
      </c>
      <c r="E82" s="4"/>
      <c r="F82" s="43">
        <v>702719</v>
      </c>
      <c r="G82" s="44">
        <v>589737.19999999995</v>
      </c>
      <c r="H82" s="44">
        <v>70768.460000000006</v>
      </c>
      <c r="I82" s="44">
        <v>1415.37</v>
      </c>
      <c r="J82" s="44">
        <v>707.69</v>
      </c>
      <c r="K82" s="44">
        <v>33131.440000000002</v>
      </c>
      <c r="L82" s="44">
        <v>0</v>
      </c>
      <c r="M82" s="44"/>
      <c r="N82" s="44">
        <v>0</v>
      </c>
      <c r="O82" s="44">
        <v>0</v>
      </c>
      <c r="P82" s="44">
        <v>0</v>
      </c>
      <c r="Q82" s="44">
        <v>6958</v>
      </c>
      <c r="R82" s="2">
        <f t="shared" si="13"/>
        <v>702718.15999999992</v>
      </c>
      <c r="S82" s="2">
        <f t="shared" si="16"/>
        <v>0.84000000008381903</v>
      </c>
      <c r="T82" s="2">
        <f>+G82+H82+I82+J82+Q82</f>
        <v>669586.71999999986</v>
      </c>
      <c r="U82" s="2">
        <f t="shared" ref="U82:U83" si="17">+K82+M82</f>
        <v>33131.440000000002</v>
      </c>
    </row>
    <row r="83" spans="2:21" x14ac:dyDescent="0.25">
      <c r="B83" s="22">
        <v>41883</v>
      </c>
      <c r="C83" s="23" t="s">
        <v>89</v>
      </c>
      <c r="D83" s="24" t="s">
        <v>90</v>
      </c>
      <c r="E83" s="4"/>
      <c r="F83" s="56">
        <v>10299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9155</v>
      </c>
      <c r="M83" s="57">
        <v>1144</v>
      </c>
      <c r="N83" s="57">
        <v>0</v>
      </c>
      <c r="O83" s="57">
        <v>0</v>
      </c>
      <c r="P83" s="57">
        <v>0</v>
      </c>
      <c r="Q83" s="57">
        <v>0</v>
      </c>
      <c r="R83" s="2">
        <f t="shared" si="13"/>
        <v>10299</v>
      </c>
      <c r="S83" s="2">
        <f t="shared" si="16"/>
        <v>0</v>
      </c>
      <c r="T83" s="2">
        <f>+L83</f>
        <v>9155</v>
      </c>
      <c r="U83" s="2">
        <f t="shared" si="17"/>
        <v>1144</v>
      </c>
    </row>
    <row r="84" spans="2:21" x14ac:dyDescent="0.25">
      <c r="B84" s="22">
        <v>41883</v>
      </c>
      <c r="C84" s="23" t="s">
        <v>122</v>
      </c>
      <c r="D84" s="27"/>
      <c r="E84" s="28" t="s">
        <v>123</v>
      </c>
      <c r="F84" s="43">
        <v>3749325</v>
      </c>
      <c r="G84" s="44">
        <v>0</v>
      </c>
      <c r="H84" s="44">
        <v>392574.48</v>
      </c>
      <c r="I84" s="44">
        <v>7851.4900000000007</v>
      </c>
      <c r="J84" s="44">
        <v>3925.7600000000007</v>
      </c>
      <c r="K84" s="44">
        <v>0</v>
      </c>
      <c r="L84" s="44">
        <v>0</v>
      </c>
      <c r="M84" s="44"/>
      <c r="N84" s="44">
        <v>3271454</v>
      </c>
      <c r="O84" s="44">
        <v>73516.12000000001</v>
      </c>
      <c r="P84" s="44">
        <v>0</v>
      </c>
      <c r="Q84" s="44">
        <v>0</v>
      </c>
      <c r="R84" s="2">
        <f t="shared" si="13"/>
        <v>3749321.85</v>
      </c>
      <c r="S84" s="2">
        <f t="shared" si="16"/>
        <v>3.1499999999068677</v>
      </c>
    </row>
    <row r="85" spans="2:21" x14ac:dyDescent="0.25">
      <c r="B85" s="22">
        <v>41883</v>
      </c>
      <c r="C85" s="23" t="s">
        <v>116</v>
      </c>
      <c r="D85" s="24" t="s">
        <v>117</v>
      </c>
      <c r="E85" s="4"/>
      <c r="F85" s="43">
        <v>305735</v>
      </c>
      <c r="G85" s="44">
        <v>259146</v>
      </c>
      <c r="H85" s="44">
        <v>31097.52</v>
      </c>
      <c r="I85" s="44">
        <v>621.95000000000005</v>
      </c>
      <c r="J85" s="44">
        <v>310.98</v>
      </c>
      <c r="K85" s="44">
        <v>14558.82</v>
      </c>
      <c r="L85" s="44">
        <v>0</v>
      </c>
      <c r="M85" s="44"/>
      <c r="N85" s="44">
        <v>0</v>
      </c>
      <c r="O85" s="44">
        <v>0</v>
      </c>
      <c r="P85" s="44">
        <v>0</v>
      </c>
      <c r="Q85" s="44">
        <v>0</v>
      </c>
      <c r="R85" s="2">
        <f t="shared" si="13"/>
        <v>305735.27</v>
      </c>
      <c r="S85" s="2">
        <f t="shared" si="16"/>
        <v>-0.27000000001862645</v>
      </c>
      <c r="T85" s="2">
        <f t="shared" ref="T85:T87" si="18">+G85+H85+I85+J85</f>
        <v>291176.45</v>
      </c>
      <c r="U85" s="2">
        <f t="shared" ref="U85:U88" si="19">+K85+M85</f>
        <v>14558.82</v>
      </c>
    </row>
    <row r="86" spans="2:21" x14ac:dyDescent="0.25">
      <c r="B86" s="22">
        <v>41883</v>
      </c>
      <c r="C86" s="23" t="s">
        <v>118</v>
      </c>
      <c r="D86" s="24" t="s">
        <v>119</v>
      </c>
      <c r="E86" s="4"/>
      <c r="F86" s="43">
        <v>245453</v>
      </c>
      <c r="G86" s="44">
        <v>208050</v>
      </c>
      <c r="H86" s="44">
        <v>24966</v>
      </c>
      <c r="I86" s="44">
        <v>499.32</v>
      </c>
      <c r="J86" s="44">
        <v>249.66</v>
      </c>
      <c r="K86" s="44">
        <v>11688.25</v>
      </c>
      <c r="L86" s="44">
        <v>0</v>
      </c>
      <c r="M86" s="44"/>
      <c r="N86" s="44">
        <v>0</v>
      </c>
      <c r="O86" s="44">
        <v>0</v>
      </c>
      <c r="P86" s="44">
        <v>0</v>
      </c>
      <c r="Q86" s="44">
        <v>0</v>
      </c>
      <c r="R86" s="2">
        <f t="shared" si="13"/>
        <v>245453.23</v>
      </c>
      <c r="S86" s="2">
        <f t="shared" si="16"/>
        <v>-0.23000000001047738</v>
      </c>
      <c r="T86" s="2">
        <f t="shared" si="18"/>
        <v>233764.98</v>
      </c>
      <c r="U86" s="2">
        <f t="shared" si="19"/>
        <v>11688.25</v>
      </c>
    </row>
    <row r="87" spans="2:21" x14ac:dyDescent="0.25">
      <c r="B87" s="22">
        <v>41883</v>
      </c>
      <c r="C87" s="23" t="s">
        <v>67</v>
      </c>
      <c r="D87" s="24" t="s">
        <v>68</v>
      </c>
      <c r="E87" s="4"/>
      <c r="F87" s="43">
        <v>2205170.98</v>
      </c>
      <c r="G87" s="44">
        <v>1869136.4</v>
      </c>
      <c r="H87" s="44">
        <v>224296.37</v>
      </c>
      <c r="I87" s="44">
        <v>4485.93</v>
      </c>
      <c r="J87" s="44">
        <v>2242.96</v>
      </c>
      <c r="K87" s="44">
        <v>105008.07999999999</v>
      </c>
      <c r="L87" s="44">
        <v>0</v>
      </c>
      <c r="M87" s="44"/>
      <c r="N87" s="44">
        <v>0</v>
      </c>
      <c r="O87" s="44">
        <v>0</v>
      </c>
      <c r="P87" s="44">
        <v>0</v>
      </c>
      <c r="Q87" s="44">
        <v>0</v>
      </c>
      <c r="R87" s="2">
        <f t="shared" si="13"/>
        <v>2205169.7400000002</v>
      </c>
      <c r="S87" s="2">
        <f t="shared" si="16"/>
        <v>1.2399999997578561</v>
      </c>
      <c r="T87" s="2">
        <f t="shared" si="18"/>
        <v>2100161.66</v>
      </c>
      <c r="U87" s="2">
        <f t="shared" si="19"/>
        <v>105008.07999999999</v>
      </c>
    </row>
    <row r="88" spans="2:21" x14ac:dyDescent="0.25">
      <c r="B88" s="22">
        <v>41883</v>
      </c>
      <c r="C88" s="23" t="s">
        <v>69</v>
      </c>
      <c r="D88" s="24" t="s">
        <v>70</v>
      </c>
      <c r="E88" s="4"/>
      <c r="F88" s="56">
        <v>20767817.32</v>
      </c>
      <c r="G88" s="57">
        <v>17596539.899999999</v>
      </c>
      <c r="H88" s="57">
        <v>2111584.8000000017</v>
      </c>
      <c r="I88" s="57">
        <v>42231.79</v>
      </c>
      <c r="J88" s="57">
        <v>21115.830000000016</v>
      </c>
      <c r="K88" s="57">
        <v>988573.68</v>
      </c>
      <c r="L88" s="57">
        <v>0</v>
      </c>
      <c r="M88" s="57"/>
      <c r="N88" s="57">
        <v>0</v>
      </c>
      <c r="O88" s="57">
        <v>0</v>
      </c>
      <c r="P88" s="57">
        <v>7775.32</v>
      </c>
      <c r="Q88" s="57">
        <v>0</v>
      </c>
      <c r="R88" s="2">
        <f t="shared" si="13"/>
        <v>20767821.319999997</v>
      </c>
      <c r="S88" s="2">
        <f t="shared" si="16"/>
        <v>-3.9999999962747097</v>
      </c>
      <c r="T88" s="2">
        <f>+G88+H88+I88+J88+P88</f>
        <v>19779247.639999997</v>
      </c>
      <c r="U88" s="2">
        <f t="shared" si="19"/>
        <v>988573.68</v>
      </c>
    </row>
    <row r="89" spans="2:21" x14ac:dyDescent="0.25">
      <c r="B89" s="22">
        <v>41883</v>
      </c>
      <c r="C89" s="23" t="s">
        <v>91</v>
      </c>
      <c r="D89" s="27"/>
      <c r="E89" s="28" t="s">
        <v>92</v>
      </c>
      <c r="F89" s="43">
        <v>978266</v>
      </c>
      <c r="G89" s="44">
        <v>0</v>
      </c>
      <c r="H89" s="44">
        <v>102429.73000000001</v>
      </c>
      <c r="I89" s="44">
        <v>2048.6</v>
      </c>
      <c r="J89" s="44">
        <v>1024.29</v>
      </c>
      <c r="K89" s="44">
        <v>0</v>
      </c>
      <c r="L89" s="44">
        <v>0</v>
      </c>
      <c r="M89" s="44"/>
      <c r="N89" s="44">
        <v>853581.05</v>
      </c>
      <c r="O89" s="44">
        <v>19181.669999999998</v>
      </c>
      <c r="P89" s="44">
        <v>0</v>
      </c>
      <c r="Q89" s="44">
        <v>0</v>
      </c>
      <c r="R89" s="2">
        <f t="shared" si="13"/>
        <v>978265.34000000008</v>
      </c>
      <c r="S89" s="2">
        <f t="shared" si="16"/>
        <v>0.65999999991618097</v>
      </c>
    </row>
    <row r="90" spans="2:21" x14ac:dyDescent="0.25">
      <c r="B90" s="22">
        <v>41883</v>
      </c>
      <c r="C90" s="23" t="s">
        <v>93</v>
      </c>
      <c r="D90" s="24" t="s">
        <v>94</v>
      </c>
      <c r="E90" s="4"/>
      <c r="F90" s="43">
        <v>963603</v>
      </c>
      <c r="G90" s="44">
        <v>816765</v>
      </c>
      <c r="H90" s="44">
        <v>98011.8</v>
      </c>
      <c r="I90" s="44">
        <v>1960.23</v>
      </c>
      <c r="J90" s="44">
        <v>980.12</v>
      </c>
      <c r="K90" s="44">
        <v>45885.85</v>
      </c>
      <c r="L90" s="44">
        <v>0</v>
      </c>
      <c r="M90" s="44"/>
      <c r="N90" s="44">
        <v>0</v>
      </c>
      <c r="O90" s="44">
        <v>0</v>
      </c>
      <c r="P90" s="44">
        <v>0</v>
      </c>
      <c r="Q90" s="44">
        <v>0</v>
      </c>
      <c r="R90" s="2">
        <f t="shared" si="13"/>
        <v>963603</v>
      </c>
      <c r="S90" s="2">
        <f t="shared" si="16"/>
        <v>0</v>
      </c>
      <c r="T90" s="2">
        <f>+G90+H90+I90+J90</f>
        <v>917717.15</v>
      </c>
      <c r="U90" s="2">
        <f>+K90+M90</f>
        <v>45885.85</v>
      </c>
    </row>
    <row r="91" spans="2:21" x14ac:dyDescent="0.25">
      <c r="B91" s="22">
        <v>41883</v>
      </c>
      <c r="C91" s="23" t="s">
        <v>137</v>
      </c>
      <c r="D91" s="27"/>
      <c r="E91" s="28" t="s">
        <v>138</v>
      </c>
      <c r="F91" s="43">
        <v>2022.48</v>
      </c>
      <c r="G91" s="44">
        <v>0</v>
      </c>
      <c r="H91" s="44">
        <v>0</v>
      </c>
      <c r="I91" s="44">
        <v>0</v>
      </c>
      <c r="J91" s="44">
        <v>0</v>
      </c>
      <c r="K91" s="44">
        <v>0</v>
      </c>
      <c r="L91" s="44">
        <v>0</v>
      </c>
      <c r="M91" s="44"/>
      <c r="N91" s="44">
        <v>0</v>
      </c>
      <c r="O91" s="44">
        <v>0</v>
      </c>
      <c r="P91" s="44">
        <v>2022.48</v>
      </c>
      <c r="Q91" s="44">
        <v>0</v>
      </c>
      <c r="R91" s="2">
        <f t="shared" si="13"/>
        <v>2022.48</v>
      </c>
      <c r="S91" s="2">
        <f t="shared" si="16"/>
        <v>0</v>
      </c>
    </row>
    <row r="92" spans="2:21" x14ac:dyDescent="0.25">
      <c r="B92" s="22">
        <v>41883</v>
      </c>
      <c r="C92" s="23" t="s">
        <v>139</v>
      </c>
      <c r="D92" s="24" t="s">
        <v>140</v>
      </c>
      <c r="E92" s="4"/>
      <c r="F92" s="43">
        <v>355954</v>
      </c>
      <c r="G92" s="44">
        <v>301712</v>
      </c>
      <c r="H92" s="44">
        <v>36205.440000000002</v>
      </c>
      <c r="I92" s="44">
        <v>724.11</v>
      </c>
      <c r="J92" s="44">
        <v>362.05</v>
      </c>
      <c r="K92" s="44">
        <v>16950.18</v>
      </c>
      <c r="L92" s="44">
        <v>0</v>
      </c>
      <c r="M92" s="44"/>
      <c r="N92" s="44">
        <v>0</v>
      </c>
      <c r="O92" s="44">
        <v>0</v>
      </c>
      <c r="P92" s="44">
        <v>0</v>
      </c>
      <c r="Q92" s="44">
        <v>0</v>
      </c>
      <c r="R92" s="2">
        <f t="shared" si="13"/>
        <v>355953.77999999997</v>
      </c>
      <c r="S92" s="2">
        <f t="shared" si="16"/>
        <v>0.22000000003026798</v>
      </c>
      <c r="T92" s="2">
        <f>+G92+H92+I92+J92</f>
        <v>339003.6</v>
      </c>
      <c r="U92" s="2">
        <f>+K92+M92</f>
        <v>16950.18</v>
      </c>
    </row>
    <row r="93" spans="2:21" x14ac:dyDescent="0.25">
      <c r="B93" s="22">
        <v>41883</v>
      </c>
      <c r="C93" s="23" t="s">
        <v>97</v>
      </c>
      <c r="D93" s="27"/>
      <c r="E93" s="28" t="s">
        <v>98</v>
      </c>
      <c r="F93" s="43">
        <v>2222833.4</v>
      </c>
      <c r="G93" s="44">
        <v>0</v>
      </c>
      <c r="H93" s="44">
        <v>232272</v>
      </c>
      <c r="I93" s="44">
        <v>4645.4400000000005</v>
      </c>
      <c r="J93" s="44">
        <v>2322.7200000000003</v>
      </c>
      <c r="K93" s="44">
        <v>0</v>
      </c>
      <c r="L93" s="44">
        <v>0</v>
      </c>
      <c r="M93" s="44"/>
      <c r="N93" s="44">
        <v>1935600</v>
      </c>
      <c r="O93" s="44">
        <v>43496.81</v>
      </c>
      <c r="P93" s="44">
        <v>4494.3999999999996</v>
      </c>
      <c r="Q93" s="44">
        <v>0</v>
      </c>
      <c r="R93" s="2">
        <f t="shared" si="13"/>
        <v>2222831.37</v>
      </c>
      <c r="S93" s="2">
        <f t="shared" si="16"/>
        <v>2.029999999795109</v>
      </c>
    </row>
    <row r="94" spans="2:21" x14ac:dyDescent="0.25">
      <c r="B94" s="22">
        <v>41883</v>
      </c>
      <c r="C94" s="23" t="s">
        <v>95</v>
      </c>
      <c r="D94" s="27"/>
      <c r="E94" s="28" t="s">
        <v>96</v>
      </c>
      <c r="F94" s="43">
        <v>1076391</v>
      </c>
      <c r="G94" s="44">
        <v>0</v>
      </c>
      <c r="H94" s="44">
        <v>112704</v>
      </c>
      <c r="I94" s="44">
        <v>2254.08</v>
      </c>
      <c r="J94" s="44">
        <v>1127.04</v>
      </c>
      <c r="K94" s="44">
        <v>0</v>
      </c>
      <c r="L94" s="44">
        <v>0</v>
      </c>
      <c r="M94" s="44"/>
      <c r="N94" s="44">
        <v>939200</v>
      </c>
      <c r="O94" s="44">
        <v>21105.71</v>
      </c>
      <c r="P94" s="44">
        <v>0</v>
      </c>
      <c r="Q94" s="44">
        <v>0</v>
      </c>
      <c r="R94" s="2">
        <f t="shared" si="13"/>
        <v>1076390.83</v>
      </c>
      <c r="S94" s="2">
        <f t="shared" si="16"/>
        <v>0.16999999992549419</v>
      </c>
    </row>
    <row r="95" spans="2:21" x14ac:dyDescent="0.25">
      <c r="B95" s="22">
        <v>41883</v>
      </c>
      <c r="C95" s="23" t="s">
        <v>101</v>
      </c>
      <c r="D95" s="27"/>
      <c r="E95" s="28" t="s">
        <v>102</v>
      </c>
      <c r="F95" s="43">
        <v>80561</v>
      </c>
      <c r="G95" s="44">
        <v>0</v>
      </c>
      <c r="H95" s="44">
        <v>8435.14</v>
      </c>
      <c r="I95" s="44">
        <v>168.7</v>
      </c>
      <c r="J95" s="44">
        <v>84.35</v>
      </c>
      <c r="K95" s="44">
        <v>0</v>
      </c>
      <c r="L95" s="44">
        <v>0</v>
      </c>
      <c r="M95" s="44"/>
      <c r="N95" s="44">
        <v>70292.820000000007</v>
      </c>
      <c r="O95" s="44">
        <v>1579.62</v>
      </c>
      <c r="P95" s="44">
        <v>0</v>
      </c>
      <c r="Q95" s="44">
        <v>0</v>
      </c>
      <c r="R95" s="2">
        <f t="shared" si="13"/>
        <v>80560.63</v>
      </c>
      <c r="S95" s="2">
        <f t="shared" si="16"/>
        <v>0.36999999999534339</v>
      </c>
    </row>
    <row r="96" spans="2:21" x14ac:dyDescent="0.25">
      <c r="B96" s="22">
        <v>41883</v>
      </c>
      <c r="C96" s="23" t="s">
        <v>105</v>
      </c>
      <c r="D96" s="24" t="s">
        <v>106</v>
      </c>
      <c r="E96" s="4"/>
      <c r="F96" s="43">
        <v>113127.94</v>
      </c>
      <c r="G96" s="44">
        <v>59365.8</v>
      </c>
      <c r="H96" s="44">
        <v>7123.9</v>
      </c>
      <c r="I96" s="44">
        <v>142.47999999999999</v>
      </c>
      <c r="J96" s="44">
        <v>71.239999999999995</v>
      </c>
      <c r="K96" s="44">
        <v>3335.17</v>
      </c>
      <c r="L96" s="44">
        <v>37679</v>
      </c>
      <c r="M96" s="44">
        <v>4710</v>
      </c>
      <c r="N96" s="44">
        <v>0</v>
      </c>
      <c r="O96" s="44">
        <v>0</v>
      </c>
      <c r="P96" s="44">
        <v>0</v>
      </c>
      <c r="Q96" s="44">
        <v>700</v>
      </c>
      <c r="R96" s="2">
        <f t="shared" si="13"/>
        <v>113127.59</v>
      </c>
      <c r="S96" s="2">
        <f t="shared" si="16"/>
        <v>0.35000000000582077</v>
      </c>
      <c r="T96" s="2">
        <f>+G96+H96+I96+J96+Q96</f>
        <v>67403.42</v>
      </c>
      <c r="U96" s="2">
        <f>+K96+M96</f>
        <v>8045.17</v>
      </c>
    </row>
    <row r="97" spans="2:21" x14ac:dyDescent="0.25">
      <c r="B97" s="22">
        <v>41913</v>
      </c>
      <c r="C97" s="23" t="s">
        <v>67</v>
      </c>
      <c r="D97" s="24" t="s">
        <v>68</v>
      </c>
      <c r="E97" s="4"/>
      <c r="F97" s="31">
        <v>2838105</v>
      </c>
      <c r="G97" s="32">
        <v>2405621.84</v>
      </c>
      <c r="H97" s="32">
        <v>288674.62</v>
      </c>
      <c r="I97" s="32">
        <v>5773.5</v>
      </c>
      <c r="J97" s="32">
        <v>2886.7400000000002</v>
      </c>
      <c r="K97" s="32">
        <v>135147.83000000002</v>
      </c>
      <c r="L97" s="32">
        <v>0</v>
      </c>
      <c r="M97" s="32"/>
      <c r="N97" s="32">
        <v>0</v>
      </c>
      <c r="O97" s="32">
        <v>0</v>
      </c>
      <c r="P97" s="32">
        <v>0</v>
      </c>
      <c r="Q97" s="32">
        <v>0</v>
      </c>
      <c r="R97" s="2">
        <f t="shared" si="13"/>
        <v>2838104.5300000003</v>
      </c>
      <c r="S97" s="2">
        <f t="shared" si="16"/>
        <v>0.46999999973922968</v>
      </c>
      <c r="T97">
        <f>+G97+H97+I97+J97</f>
        <v>2702956.7</v>
      </c>
      <c r="U97">
        <f>+K97+M97</f>
        <v>135147.83000000002</v>
      </c>
    </row>
    <row r="98" spans="2:21" x14ac:dyDescent="0.25">
      <c r="B98" s="22">
        <v>41913</v>
      </c>
      <c r="C98" s="23" t="s">
        <v>113</v>
      </c>
      <c r="D98" s="24" t="s">
        <v>121</v>
      </c>
      <c r="E98" s="4"/>
      <c r="F98" s="31">
        <v>599208</v>
      </c>
      <c r="G98" s="32">
        <v>502869.2</v>
      </c>
      <c r="H98" s="32">
        <v>60344.3</v>
      </c>
      <c r="I98" s="32">
        <v>1206.8899999999999</v>
      </c>
      <c r="J98" s="32">
        <v>603.44000000000005</v>
      </c>
      <c r="K98" s="32">
        <v>28251.190000000002</v>
      </c>
      <c r="L98" s="32">
        <v>0</v>
      </c>
      <c r="M98" s="32"/>
      <c r="N98" s="32">
        <v>0</v>
      </c>
      <c r="O98" s="32">
        <v>0</v>
      </c>
      <c r="P98" s="32">
        <v>0</v>
      </c>
      <c r="Q98" s="32">
        <v>5933</v>
      </c>
      <c r="R98" s="2">
        <f t="shared" si="13"/>
        <v>599208.02</v>
      </c>
      <c r="S98" s="2">
        <f t="shared" si="16"/>
        <v>-2.0000000018626451E-2</v>
      </c>
      <c r="T98">
        <f>+G98+H98+I98+J98+Q98</f>
        <v>570956.82999999996</v>
      </c>
      <c r="U98">
        <f t="shared" ref="U98:U100" si="20">+K98+M98</f>
        <v>28251.190000000002</v>
      </c>
    </row>
    <row r="99" spans="2:21" x14ac:dyDescent="0.25">
      <c r="B99" s="22">
        <v>41913</v>
      </c>
      <c r="C99" s="23" t="s">
        <v>133</v>
      </c>
      <c r="D99" s="24" t="s">
        <v>134</v>
      </c>
      <c r="E99" s="4"/>
      <c r="F99" s="31">
        <v>327745</v>
      </c>
      <c r="G99" s="32">
        <v>277801.65000000002</v>
      </c>
      <c r="H99" s="58">
        <v>33336.199999999997</v>
      </c>
      <c r="I99" s="32">
        <v>666.72</v>
      </c>
      <c r="J99" s="32">
        <v>333.36</v>
      </c>
      <c r="K99" s="32">
        <v>15606.9</v>
      </c>
      <c r="L99" s="32">
        <v>0</v>
      </c>
      <c r="M99" s="32"/>
      <c r="N99" s="32">
        <v>0</v>
      </c>
      <c r="O99" s="32">
        <v>0</v>
      </c>
      <c r="P99" s="32">
        <v>0</v>
      </c>
      <c r="Q99" s="32">
        <v>0</v>
      </c>
      <c r="R99" s="2">
        <f t="shared" si="13"/>
        <v>327744.83</v>
      </c>
      <c r="S99" s="2">
        <f t="shared" si="16"/>
        <v>0.16999999998370185</v>
      </c>
      <c r="T99">
        <f t="shared" ref="T99" si="21">+G99+H99+I99+J99</f>
        <v>312137.93</v>
      </c>
      <c r="U99">
        <f t="shared" si="20"/>
        <v>15606.9</v>
      </c>
    </row>
    <row r="100" spans="2:21" x14ac:dyDescent="0.25">
      <c r="B100" s="22">
        <v>41913</v>
      </c>
      <c r="C100" s="23" t="s">
        <v>69</v>
      </c>
      <c r="D100" s="24" t="s">
        <v>70</v>
      </c>
      <c r="E100" s="4"/>
      <c r="F100" s="56">
        <v>15749011.65</v>
      </c>
      <c r="G100" s="57">
        <v>13348988.470000006</v>
      </c>
      <c r="H100" s="57">
        <v>1601893.5900000005</v>
      </c>
      <c r="I100" s="57">
        <v>32037.839999999982</v>
      </c>
      <c r="J100" s="57">
        <v>16019.000000000002</v>
      </c>
      <c r="K100" s="57">
        <v>749946.22000000009</v>
      </c>
      <c r="L100" s="57">
        <v>0</v>
      </c>
      <c r="M100" s="57"/>
      <c r="N100" s="57">
        <v>0</v>
      </c>
      <c r="O100" s="57">
        <v>0</v>
      </c>
      <c r="P100" s="57">
        <v>124.5</v>
      </c>
      <c r="Q100" s="57">
        <v>0</v>
      </c>
      <c r="R100" s="2">
        <f t="shared" si="13"/>
        <v>15749009.620000007</v>
      </c>
      <c r="S100" s="2">
        <f t="shared" si="16"/>
        <v>2.0299999937415123</v>
      </c>
      <c r="T100" s="2">
        <f>+G100+H100+I100+J100+P100</f>
        <v>14999063.400000006</v>
      </c>
      <c r="U100">
        <f t="shared" si="20"/>
        <v>749946.22000000009</v>
      </c>
    </row>
    <row r="101" spans="2:21" x14ac:dyDescent="0.25">
      <c r="B101" s="22">
        <v>41913</v>
      </c>
      <c r="C101" s="23" t="s">
        <v>91</v>
      </c>
      <c r="D101" s="27"/>
      <c r="E101" s="28" t="s">
        <v>141</v>
      </c>
      <c r="F101" s="31">
        <v>1986166</v>
      </c>
      <c r="G101" s="32">
        <v>0</v>
      </c>
      <c r="H101" s="32">
        <v>207962.5</v>
      </c>
      <c r="I101" s="32">
        <v>4159.26</v>
      </c>
      <c r="J101" s="32">
        <v>2079.6400000000003</v>
      </c>
      <c r="K101" s="32">
        <v>0</v>
      </c>
      <c r="L101" s="32">
        <v>0</v>
      </c>
      <c r="M101" s="32"/>
      <c r="N101" s="32">
        <v>1733020.8</v>
      </c>
      <c r="O101" s="32">
        <v>38944.44</v>
      </c>
      <c r="P101" s="32">
        <v>0</v>
      </c>
      <c r="Q101" s="32">
        <v>0</v>
      </c>
      <c r="R101" s="2">
        <f t="shared" si="13"/>
        <v>1986166.6400000001</v>
      </c>
      <c r="S101" s="2">
        <f t="shared" si="16"/>
        <v>-0.64000000013038516</v>
      </c>
    </row>
    <row r="102" spans="2:21" x14ac:dyDescent="0.25">
      <c r="B102" s="22">
        <v>41913</v>
      </c>
      <c r="C102" s="23" t="s">
        <v>116</v>
      </c>
      <c r="D102" s="24" t="s">
        <v>117</v>
      </c>
      <c r="E102" s="4"/>
      <c r="F102" s="56">
        <v>524671</v>
      </c>
      <c r="G102" s="57">
        <v>444718.78</v>
      </c>
      <c r="H102" s="57">
        <v>53366.25</v>
      </c>
      <c r="I102" s="57">
        <v>1067.33</v>
      </c>
      <c r="J102" s="57">
        <v>533.66</v>
      </c>
      <c r="K102" s="57">
        <v>24984.31</v>
      </c>
      <c r="L102" s="57">
        <v>0</v>
      </c>
      <c r="M102" s="57"/>
      <c r="N102" s="57">
        <v>0</v>
      </c>
      <c r="O102" s="57">
        <v>0</v>
      </c>
      <c r="P102" s="57">
        <v>0</v>
      </c>
      <c r="Q102" s="57">
        <v>0</v>
      </c>
      <c r="R102" s="2">
        <f t="shared" si="13"/>
        <v>524670.33000000007</v>
      </c>
      <c r="S102" s="2">
        <f t="shared" si="16"/>
        <v>0.66999999992549419</v>
      </c>
      <c r="T102">
        <f t="shared" ref="T102:T103" si="22">+G102+H102+I102+J102</f>
        <v>499686.02</v>
      </c>
      <c r="U102">
        <f t="shared" ref="U102:U103" si="23">+K102+M102</f>
        <v>24984.31</v>
      </c>
    </row>
    <row r="103" spans="2:21" x14ac:dyDescent="0.25">
      <c r="B103" s="22">
        <v>41913</v>
      </c>
      <c r="C103" s="23" t="s">
        <v>93</v>
      </c>
      <c r="D103" s="24" t="s">
        <v>94</v>
      </c>
      <c r="E103" s="4"/>
      <c r="F103" s="31">
        <v>990902</v>
      </c>
      <c r="G103" s="32">
        <v>839904</v>
      </c>
      <c r="H103" s="32">
        <v>100788.48000000001</v>
      </c>
      <c r="I103" s="32">
        <v>2015.77</v>
      </c>
      <c r="J103" s="32">
        <v>1007.88</v>
      </c>
      <c r="K103" s="32">
        <v>47185.81</v>
      </c>
      <c r="L103" s="32">
        <v>0</v>
      </c>
      <c r="M103" s="32"/>
      <c r="N103" s="32">
        <v>0</v>
      </c>
      <c r="O103" s="32">
        <v>0</v>
      </c>
      <c r="P103" s="32">
        <v>0</v>
      </c>
      <c r="Q103" s="32">
        <v>0</v>
      </c>
      <c r="R103" s="2">
        <f t="shared" si="13"/>
        <v>990901.94</v>
      </c>
      <c r="S103" s="2">
        <f t="shared" si="16"/>
        <v>6.0000000055879354E-2</v>
      </c>
      <c r="T103">
        <f t="shared" si="22"/>
        <v>943716.13</v>
      </c>
      <c r="U103">
        <f t="shared" si="23"/>
        <v>47185.81</v>
      </c>
    </row>
    <row r="104" spans="2:21" x14ac:dyDescent="0.25">
      <c r="B104" s="22">
        <v>41913</v>
      </c>
      <c r="C104" s="23" t="s">
        <v>97</v>
      </c>
      <c r="D104" s="27"/>
      <c r="E104" s="28" t="s">
        <v>142</v>
      </c>
      <c r="F104" s="31">
        <v>2210544</v>
      </c>
      <c r="G104" s="32">
        <v>0</v>
      </c>
      <c r="H104" s="32">
        <v>231456</v>
      </c>
      <c r="I104" s="32">
        <v>4629.1200000000008</v>
      </c>
      <c r="J104" s="32">
        <v>2314.5600000000004</v>
      </c>
      <c r="K104" s="32">
        <v>0</v>
      </c>
      <c r="L104" s="32">
        <v>0</v>
      </c>
      <c r="M104" s="32"/>
      <c r="N104" s="32">
        <v>1928800</v>
      </c>
      <c r="O104" s="32">
        <v>43344.000000000007</v>
      </c>
      <c r="P104" s="32">
        <v>0</v>
      </c>
      <c r="Q104" s="32">
        <v>0</v>
      </c>
      <c r="R104" s="2">
        <f t="shared" si="13"/>
        <v>2210543.6800000002</v>
      </c>
      <c r="S104" s="2">
        <f t="shared" si="16"/>
        <v>0.31999999983236194</v>
      </c>
    </row>
    <row r="105" spans="2:21" x14ac:dyDescent="0.25">
      <c r="B105" s="22">
        <v>41913</v>
      </c>
      <c r="C105" s="23" t="s">
        <v>99</v>
      </c>
      <c r="D105" s="24" t="s">
        <v>100</v>
      </c>
      <c r="E105" s="4"/>
      <c r="F105" s="56">
        <v>466043</v>
      </c>
      <c r="G105" s="57">
        <v>391114.89999999997</v>
      </c>
      <c r="H105" s="57">
        <v>46933.78</v>
      </c>
      <c r="I105" s="57">
        <v>938.67000000000007</v>
      </c>
      <c r="J105" s="57">
        <v>469.34000000000003</v>
      </c>
      <c r="K105" s="57">
        <v>21972.829999999998</v>
      </c>
      <c r="L105" s="57">
        <v>0</v>
      </c>
      <c r="M105" s="57"/>
      <c r="N105" s="57">
        <v>0</v>
      </c>
      <c r="O105" s="57">
        <v>0</v>
      </c>
      <c r="P105" s="57">
        <v>0</v>
      </c>
      <c r="Q105" s="57">
        <v>4614</v>
      </c>
      <c r="R105" s="2">
        <f t="shared" si="13"/>
        <v>466043.51999999996</v>
      </c>
      <c r="S105" s="2">
        <f t="shared" si="16"/>
        <v>-0.51999999996041879</v>
      </c>
      <c r="T105" s="2">
        <f>+G105+H105+I105+J105+Q105</f>
        <v>444070.68999999994</v>
      </c>
      <c r="U105">
        <f>+K105+M105</f>
        <v>21972.829999999998</v>
      </c>
    </row>
    <row r="106" spans="2:21" x14ac:dyDescent="0.25">
      <c r="B106" s="22">
        <v>41913</v>
      </c>
      <c r="C106" s="23" t="s">
        <v>109</v>
      </c>
      <c r="D106" s="27"/>
      <c r="E106" s="28" t="s">
        <v>143</v>
      </c>
      <c r="F106" s="56">
        <v>167938.2</v>
      </c>
      <c r="G106" s="57">
        <v>0</v>
      </c>
      <c r="H106" s="57">
        <v>17588.759999999998</v>
      </c>
      <c r="I106" s="57">
        <v>351.78000000000003</v>
      </c>
      <c r="J106" s="57">
        <v>175.89000000000001</v>
      </c>
      <c r="K106" s="57">
        <v>0</v>
      </c>
      <c r="L106" s="57">
        <v>0</v>
      </c>
      <c r="M106" s="57"/>
      <c r="N106" s="57">
        <v>144573</v>
      </c>
      <c r="O106" s="57">
        <v>3248.84</v>
      </c>
      <c r="P106" s="57">
        <v>2000</v>
      </c>
      <c r="Q106" s="57">
        <v>0</v>
      </c>
      <c r="R106" s="2">
        <f t="shared" si="13"/>
        <v>167938.27</v>
      </c>
      <c r="S106" s="2">
        <f t="shared" si="16"/>
        <v>-6.9999999977881089E-2</v>
      </c>
    </row>
    <row r="107" spans="2:21" x14ac:dyDescent="0.25">
      <c r="B107" s="22">
        <v>41913</v>
      </c>
      <c r="C107" s="23" t="s">
        <v>122</v>
      </c>
      <c r="D107" s="27"/>
      <c r="E107" s="28" t="s">
        <v>123</v>
      </c>
      <c r="F107" s="31">
        <v>1843416</v>
      </c>
      <c r="G107" s="32">
        <v>0</v>
      </c>
      <c r="H107" s="32">
        <v>193015.68000000002</v>
      </c>
      <c r="I107" s="32">
        <v>3860.31</v>
      </c>
      <c r="J107" s="32">
        <v>1930.1599999999999</v>
      </c>
      <c r="K107" s="32">
        <v>0</v>
      </c>
      <c r="L107" s="32">
        <v>0</v>
      </c>
      <c r="M107" s="32"/>
      <c r="N107" s="32">
        <v>1608464</v>
      </c>
      <c r="O107" s="32">
        <v>36145.399999999994</v>
      </c>
      <c r="P107" s="32">
        <v>0</v>
      </c>
      <c r="Q107" s="32">
        <v>0</v>
      </c>
      <c r="R107" s="2">
        <f t="shared" si="13"/>
        <v>1843415.5499999998</v>
      </c>
      <c r="S107" s="2">
        <f t="shared" si="16"/>
        <v>0.45000000018626451</v>
      </c>
    </row>
    <row r="108" spans="2:21" x14ac:dyDescent="0.25">
      <c r="B108" s="22">
        <v>41913</v>
      </c>
      <c r="C108" s="23" t="s">
        <v>131</v>
      </c>
      <c r="D108" s="27"/>
      <c r="E108" s="28" t="s">
        <v>144</v>
      </c>
      <c r="F108" s="43">
        <v>3988616</v>
      </c>
      <c r="G108" s="44">
        <v>0</v>
      </c>
      <c r="H108" s="44">
        <v>417629.93999999994</v>
      </c>
      <c r="I108" s="44">
        <v>8352.59</v>
      </c>
      <c r="J108" s="44">
        <v>4176.3100000000004</v>
      </c>
      <c r="K108" s="44">
        <v>0</v>
      </c>
      <c r="L108" s="44">
        <v>0</v>
      </c>
      <c r="M108" s="44"/>
      <c r="N108" s="44">
        <v>3480249.5599999996</v>
      </c>
      <c r="O108" s="44">
        <v>78208.17</v>
      </c>
      <c r="P108" s="44">
        <v>0</v>
      </c>
      <c r="Q108" s="44">
        <v>0</v>
      </c>
      <c r="R108" s="2">
        <f t="shared" si="13"/>
        <v>3988616.5699999994</v>
      </c>
      <c r="S108" s="2">
        <f t="shared" si="16"/>
        <v>-0.56999999936670065</v>
      </c>
    </row>
    <row r="109" spans="2:21" x14ac:dyDescent="0.25">
      <c r="B109" s="22">
        <v>41913</v>
      </c>
      <c r="C109" s="23" t="s">
        <v>101</v>
      </c>
      <c r="D109" s="27"/>
      <c r="E109" s="28" t="s">
        <v>145</v>
      </c>
      <c r="F109" s="56">
        <v>1023851</v>
      </c>
      <c r="G109" s="57">
        <v>0</v>
      </c>
      <c r="H109" s="57">
        <v>107202.75</v>
      </c>
      <c r="I109" s="57">
        <v>2144.06</v>
      </c>
      <c r="J109" s="57">
        <v>1072.03</v>
      </c>
      <c r="K109" s="57">
        <v>0</v>
      </c>
      <c r="L109" s="57">
        <v>0</v>
      </c>
      <c r="M109" s="57"/>
      <c r="N109" s="57">
        <v>893356.23</v>
      </c>
      <c r="O109" s="57">
        <v>20075.5</v>
      </c>
      <c r="P109" s="57">
        <v>0</v>
      </c>
      <c r="Q109" s="57">
        <v>0</v>
      </c>
      <c r="R109" s="2">
        <f t="shared" si="13"/>
        <v>1023850.57</v>
      </c>
      <c r="S109" s="2">
        <f t="shared" si="16"/>
        <v>0.43000000005122274</v>
      </c>
    </row>
    <row r="110" spans="2:21" x14ac:dyDescent="0.25">
      <c r="B110" s="22">
        <v>41913</v>
      </c>
      <c r="C110" s="23" t="s">
        <v>103</v>
      </c>
      <c r="D110" s="27"/>
      <c r="E110" s="28" t="s">
        <v>126</v>
      </c>
      <c r="F110" s="50">
        <v>7597.78</v>
      </c>
      <c r="G110" s="51">
        <v>0</v>
      </c>
      <c r="H110" s="51">
        <v>811.44</v>
      </c>
      <c r="I110" s="51">
        <v>16.23</v>
      </c>
      <c r="J110" s="51">
        <v>8.11</v>
      </c>
      <c r="K110" s="51">
        <v>0</v>
      </c>
      <c r="L110" s="51">
        <v>0</v>
      </c>
      <c r="M110" s="51"/>
      <c r="N110" s="51">
        <v>0</v>
      </c>
      <c r="O110" s="51">
        <v>0</v>
      </c>
      <c r="P110" s="51">
        <v>6762</v>
      </c>
      <c r="Q110" s="51">
        <v>0</v>
      </c>
      <c r="R110" s="2">
        <f t="shared" si="13"/>
        <v>7597.78</v>
      </c>
      <c r="S110" s="2">
        <f t="shared" si="16"/>
        <v>0</v>
      </c>
    </row>
    <row r="111" spans="2:21" x14ac:dyDescent="0.25">
      <c r="B111" s="22">
        <v>41913</v>
      </c>
      <c r="C111" s="23" t="s">
        <v>105</v>
      </c>
      <c r="D111" s="24" t="s">
        <v>106</v>
      </c>
      <c r="E111" s="4"/>
      <c r="F111" s="43">
        <v>51172</v>
      </c>
      <c r="G111" s="44">
        <v>33092.800000000003</v>
      </c>
      <c r="H111" s="44">
        <v>3971.14</v>
      </c>
      <c r="I111" s="44">
        <v>79.42</v>
      </c>
      <c r="J111" s="44">
        <v>39.71</v>
      </c>
      <c r="K111" s="44">
        <v>1859.15</v>
      </c>
      <c r="L111" s="44">
        <v>10435</v>
      </c>
      <c r="M111" s="44">
        <v>1304</v>
      </c>
      <c r="N111" s="44">
        <v>0</v>
      </c>
      <c r="O111" s="44">
        <v>0</v>
      </c>
      <c r="P111" s="44">
        <v>0</v>
      </c>
      <c r="Q111" s="44">
        <v>390</v>
      </c>
      <c r="R111" s="2">
        <f t="shared" si="13"/>
        <v>51171.22</v>
      </c>
      <c r="S111" s="2">
        <f t="shared" si="16"/>
        <v>0.77999999999883585</v>
      </c>
      <c r="T111" s="2">
        <f>+G111+H111+I111+J111+L111+Q111</f>
        <v>48008.07</v>
      </c>
      <c r="U111">
        <f>+K111+M111</f>
        <v>3163.15</v>
      </c>
    </row>
    <row r="112" spans="2:21" x14ac:dyDescent="0.25">
      <c r="B112" s="22">
        <v>41913</v>
      </c>
      <c r="C112" s="23" t="s">
        <v>129</v>
      </c>
      <c r="D112" s="27"/>
      <c r="E112" s="28" t="s">
        <v>130</v>
      </c>
      <c r="F112" s="43">
        <v>1186488.24</v>
      </c>
      <c r="G112" s="44"/>
      <c r="H112" s="44">
        <v>124231.8</v>
      </c>
      <c r="I112" s="44">
        <v>2484.64</v>
      </c>
      <c r="J112" s="44">
        <v>1242.32</v>
      </c>
      <c r="K112" s="44"/>
      <c r="L112" s="44"/>
      <c r="M112" s="44"/>
      <c r="N112" s="44">
        <v>1035265</v>
      </c>
      <c r="O112" s="44">
        <v>23264.48</v>
      </c>
      <c r="P112" s="44"/>
      <c r="Q112" s="44"/>
      <c r="R112" s="2">
        <f t="shared" si="13"/>
        <v>1186488.24</v>
      </c>
      <c r="S112" s="2">
        <f t="shared" si="16"/>
        <v>0</v>
      </c>
    </row>
    <row r="113" spans="2:21" x14ac:dyDescent="0.25">
      <c r="B113" s="22">
        <v>41913</v>
      </c>
      <c r="C113" s="23" t="s">
        <v>146</v>
      </c>
      <c r="D113" s="24" t="s">
        <v>147</v>
      </c>
      <c r="E113" s="4"/>
      <c r="F113" s="43">
        <v>113167</v>
      </c>
      <c r="G113" s="44">
        <v>95922</v>
      </c>
      <c r="H113" s="44">
        <v>11510.64</v>
      </c>
      <c r="I113" s="44">
        <v>230.21</v>
      </c>
      <c r="J113" s="44">
        <v>115.11</v>
      </c>
      <c r="K113" s="44">
        <v>5388.9</v>
      </c>
      <c r="L113" s="44"/>
      <c r="M113" s="44"/>
      <c r="N113" s="44"/>
      <c r="O113" s="44"/>
      <c r="P113" s="44"/>
      <c r="Q113" s="44"/>
      <c r="R113" s="2">
        <f t="shared" si="13"/>
        <v>113166.86</v>
      </c>
      <c r="S113" s="2">
        <f t="shared" si="16"/>
        <v>0.13999999999941792</v>
      </c>
      <c r="T113">
        <f>+G113+H113+I113+J113</f>
        <v>107777.96</v>
      </c>
      <c r="U113">
        <f>+K113+M113</f>
        <v>5388.9</v>
      </c>
    </row>
    <row r="114" spans="2:21" x14ac:dyDescent="0.25">
      <c r="B114" s="22">
        <v>41944</v>
      </c>
      <c r="C114" s="23" t="s">
        <v>135</v>
      </c>
      <c r="D114" s="27"/>
      <c r="E114" s="28" t="s">
        <v>136</v>
      </c>
      <c r="F114" s="31">
        <v>87295</v>
      </c>
      <c r="G114" s="32">
        <v>0</v>
      </c>
      <c r="H114" s="32">
        <v>9140.25</v>
      </c>
      <c r="I114" s="32">
        <v>182.8</v>
      </c>
      <c r="J114" s="32">
        <v>91.4</v>
      </c>
      <c r="K114" s="32">
        <v>0</v>
      </c>
      <c r="L114" s="32">
        <v>0</v>
      </c>
      <c r="M114" s="32"/>
      <c r="N114" s="32">
        <v>76168.800000000003</v>
      </c>
      <c r="O114" s="32">
        <v>1711.67</v>
      </c>
      <c r="P114" s="32">
        <v>0</v>
      </c>
      <c r="Q114" s="32">
        <v>0</v>
      </c>
      <c r="R114" s="2">
        <f t="shared" si="13"/>
        <v>87294.92</v>
      </c>
      <c r="S114" s="2">
        <f t="shared" si="16"/>
        <v>8.000000000174623E-2</v>
      </c>
    </row>
    <row r="115" spans="2:21" x14ac:dyDescent="0.25">
      <c r="B115" s="22">
        <v>41944</v>
      </c>
      <c r="C115" s="23" t="s">
        <v>107</v>
      </c>
      <c r="D115" s="24"/>
      <c r="E115" s="24" t="s">
        <v>108</v>
      </c>
      <c r="F115" s="31">
        <v>955825</v>
      </c>
      <c r="G115" s="32">
        <v>0</v>
      </c>
      <c r="H115" s="32">
        <v>100080.12</v>
      </c>
      <c r="I115" s="32">
        <v>2001.6</v>
      </c>
      <c r="J115" s="32">
        <v>1000.8000000000001</v>
      </c>
      <c r="K115" s="32">
        <v>0</v>
      </c>
      <c r="L115" s="32">
        <v>0</v>
      </c>
      <c r="M115" s="32"/>
      <c r="N115" s="32">
        <v>834001</v>
      </c>
      <c r="O115" s="32">
        <v>18741.66</v>
      </c>
      <c r="P115" s="32">
        <v>0</v>
      </c>
      <c r="Q115" s="32">
        <v>0</v>
      </c>
      <c r="R115" s="2">
        <f t="shared" si="13"/>
        <v>955825.18</v>
      </c>
      <c r="S115" s="2">
        <f t="shared" si="16"/>
        <v>-0.18000000005122274</v>
      </c>
    </row>
    <row r="116" spans="2:21" x14ac:dyDescent="0.25">
      <c r="B116" s="22">
        <v>41944</v>
      </c>
      <c r="C116" s="23" t="s">
        <v>89</v>
      </c>
      <c r="D116" s="24" t="s">
        <v>90</v>
      </c>
      <c r="E116" s="4"/>
      <c r="F116" s="31">
        <v>600</v>
      </c>
      <c r="G116" s="32">
        <v>0</v>
      </c>
      <c r="H116" s="32">
        <v>0</v>
      </c>
      <c r="I116" s="32">
        <v>0</v>
      </c>
      <c r="J116" s="32">
        <v>0</v>
      </c>
      <c r="K116" s="32">
        <v>0</v>
      </c>
      <c r="L116" s="32">
        <v>532</v>
      </c>
      <c r="M116" s="32">
        <v>66</v>
      </c>
      <c r="N116" s="32">
        <v>0</v>
      </c>
      <c r="O116" s="32">
        <v>0</v>
      </c>
      <c r="P116" s="32">
        <v>0</v>
      </c>
      <c r="Q116" s="32">
        <v>0</v>
      </c>
      <c r="R116" s="2">
        <f t="shared" si="13"/>
        <v>598</v>
      </c>
      <c r="S116" s="2">
        <f t="shared" si="16"/>
        <v>2</v>
      </c>
      <c r="T116" s="8">
        <f>+G116+H116+I116+J116+L116</f>
        <v>532</v>
      </c>
      <c r="U116" s="8">
        <f>+M116+K116</f>
        <v>66</v>
      </c>
    </row>
    <row r="117" spans="2:21" x14ac:dyDescent="0.25">
      <c r="B117" s="22">
        <v>41944</v>
      </c>
      <c r="C117" s="23" t="s">
        <v>67</v>
      </c>
      <c r="D117" s="24" t="s">
        <v>68</v>
      </c>
      <c r="E117" s="4"/>
      <c r="F117" s="31">
        <v>1977864</v>
      </c>
      <c r="G117" s="32">
        <v>1676468.97</v>
      </c>
      <c r="H117" s="32">
        <v>201176.27000000002</v>
      </c>
      <c r="I117" s="32">
        <v>4023.53</v>
      </c>
      <c r="J117" s="32">
        <v>2011.76</v>
      </c>
      <c r="K117" s="32">
        <v>94184.02</v>
      </c>
      <c r="L117" s="32">
        <v>0</v>
      </c>
      <c r="M117" s="32"/>
      <c r="N117" s="32">
        <v>0</v>
      </c>
      <c r="O117" s="32">
        <v>0</v>
      </c>
      <c r="P117" s="32">
        <v>0</v>
      </c>
      <c r="Q117" s="32">
        <v>0</v>
      </c>
      <c r="R117" s="2">
        <f t="shared" si="13"/>
        <v>1977864.55</v>
      </c>
      <c r="S117" s="2">
        <f t="shared" si="16"/>
        <v>-0.55000000004656613</v>
      </c>
      <c r="T117" s="8">
        <f t="shared" ref="T117:T119" si="24">+G117+H117+I117+J117+L117</f>
        <v>1883680.53</v>
      </c>
      <c r="U117" s="8">
        <f t="shared" ref="U117:U119" si="25">+M117+K117</f>
        <v>94184.02</v>
      </c>
    </row>
    <row r="118" spans="2:21" x14ac:dyDescent="0.25">
      <c r="B118" s="22">
        <v>41944</v>
      </c>
      <c r="C118" s="23" t="s">
        <v>133</v>
      </c>
      <c r="D118" s="24" t="s">
        <v>134</v>
      </c>
      <c r="E118" s="4"/>
      <c r="F118" s="31">
        <v>331401</v>
      </c>
      <c r="G118" s="32">
        <v>280901.25</v>
      </c>
      <c r="H118" s="58">
        <v>33708.15</v>
      </c>
      <c r="I118" s="32">
        <v>674.16000000000008</v>
      </c>
      <c r="J118" s="32">
        <v>337.09000000000003</v>
      </c>
      <c r="K118" s="32">
        <v>15781.039999999999</v>
      </c>
      <c r="L118" s="32">
        <v>0</v>
      </c>
      <c r="M118" s="32"/>
      <c r="N118" s="32">
        <v>0</v>
      </c>
      <c r="O118" s="32">
        <v>0</v>
      </c>
      <c r="P118" s="32">
        <v>0</v>
      </c>
      <c r="Q118" s="32">
        <v>0</v>
      </c>
      <c r="R118" s="2">
        <f t="shared" si="13"/>
        <v>331401.69</v>
      </c>
      <c r="S118" s="2">
        <f t="shared" si="16"/>
        <v>-0.69000000000232831</v>
      </c>
      <c r="T118" s="8">
        <f t="shared" si="24"/>
        <v>315620.65000000002</v>
      </c>
      <c r="U118" s="8">
        <f t="shared" si="25"/>
        <v>15781.039999999999</v>
      </c>
    </row>
    <row r="119" spans="2:21" x14ac:dyDescent="0.25">
      <c r="B119" s="22">
        <v>41944</v>
      </c>
      <c r="C119" s="23" t="s">
        <v>69</v>
      </c>
      <c r="D119" s="24" t="s">
        <v>70</v>
      </c>
      <c r="E119" s="4"/>
      <c r="F119" s="56">
        <v>24044101</v>
      </c>
      <c r="G119" s="57">
        <v>20380155.739999998</v>
      </c>
      <c r="H119" s="57">
        <v>2445618.6899999995</v>
      </c>
      <c r="I119" s="57">
        <v>48912.37999999999</v>
      </c>
      <c r="J119" s="57">
        <v>24456.170000000002</v>
      </c>
      <c r="K119" s="57">
        <v>1144957.1600000001</v>
      </c>
      <c r="L119" s="57">
        <v>0</v>
      </c>
      <c r="M119" s="57"/>
      <c r="N119" s="57">
        <v>0</v>
      </c>
      <c r="O119" s="57">
        <v>0</v>
      </c>
      <c r="P119" s="57">
        <v>0</v>
      </c>
      <c r="Q119" s="57">
        <v>0</v>
      </c>
      <c r="R119" s="2">
        <f t="shared" si="13"/>
        <v>24044100.140000001</v>
      </c>
      <c r="S119" s="2">
        <f t="shared" si="16"/>
        <v>0.85999999940395355</v>
      </c>
      <c r="T119" s="8">
        <f t="shared" si="24"/>
        <v>22899142.98</v>
      </c>
      <c r="U119" s="8">
        <f t="shared" si="25"/>
        <v>1144957.1600000001</v>
      </c>
    </row>
    <row r="120" spans="2:21" x14ac:dyDescent="0.25">
      <c r="B120" s="22">
        <v>41944</v>
      </c>
      <c r="C120" s="23" t="s">
        <v>91</v>
      </c>
      <c r="D120" s="27"/>
      <c r="E120" s="28" t="s">
        <v>141</v>
      </c>
      <c r="F120" s="31">
        <v>2265192</v>
      </c>
      <c r="G120" s="32">
        <v>0</v>
      </c>
      <c r="H120" s="32">
        <v>237177.95</v>
      </c>
      <c r="I120" s="32">
        <v>4743.5600000000004</v>
      </c>
      <c r="J120" s="32">
        <v>2371.7800000000002</v>
      </c>
      <c r="K120" s="32">
        <v>0</v>
      </c>
      <c r="L120" s="32">
        <v>0</v>
      </c>
      <c r="M120" s="32"/>
      <c r="N120" s="32">
        <v>1976482.9</v>
      </c>
      <c r="O120" s="32">
        <v>44415.53</v>
      </c>
      <c r="P120" s="32">
        <v>0</v>
      </c>
      <c r="Q120" s="32">
        <v>0</v>
      </c>
      <c r="R120" s="2">
        <f t="shared" si="13"/>
        <v>2265191.7199999997</v>
      </c>
      <c r="S120" s="2">
        <f t="shared" si="16"/>
        <v>0.28000000026077032</v>
      </c>
    </row>
    <row r="121" spans="2:21" x14ac:dyDescent="0.25">
      <c r="B121" s="22">
        <v>41944</v>
      </c>
      <c r="C121" s="23" t="s">
        <v>116</v>
      </c>
      <c r="D121" s="24" t="s">
        <v>117</v>
      </c>
      <c r="E121" s="4"/>
      <c r="F121" s="56">
        <v>525722</v>
      </c>
      <c r="G121" s="57">
        <v>445610</v>
      </c>
      <c r="H121" s="57">
        <v>53473.2</v>
      </c>
      <c r="I121" s="57">
        <v>1069.47</v>
      </c>
      <c r="J121" s="57">
        <v>534.73</v>
      </c>
      <c r="K121" s="57">
        <v>25034.37</v>
      </c>
      <c r="L121" s="57">
        <v>0</v>
      </c>
      <c r="M121" s="57"/>
      <c r="N121" s="57">
        <v>0</v>
      </c>
      <c r="O121" s="57">
        <v>0</v>
      </c>
      <c r="P121" s="57">
        <v>0</v>
      </c>
      <c r="Q121" s="57">
        <v>0</v>
      </c>
      <c r="R121" s="2">
        <f t="shared" si="13"/>
        <v>525721.77</v>
      </c>
      <c r="S121" s="2">
        <f t="shared" si="16"/>
        <v>0.22999999998137355</v>
      </c>
      <c r="T121" s="8">
        <f t="shared" ref="T121:T122" si="26">+G121+H121+I121+J121+L121</f>
        <v>500687.39999999997</v>
      </c>
      <c r="U121" s="8">
        <f t="shared" ref="U121:U122" si="27">+M121+K121</f>
        <v>25034.37</v>
      </c>
    </row>
    <row r="122" spans="2:21" x14ac:dyDescent="0.25">
      <c r="B122" s="22">
        <v>41944</v>
      </c>
      <c r="C122" s="23" t="s">
        <v>93</v>
      </c>
      <c r="D122" s="24" t="s">
        <v>94</v>
      </c>
      <c r="E122" s="4"/>
      <c r="F122" s="31">
        <v>1493884</v>
      </c>
      <c r="G122" s="32">
        <v>1266240</v>
      </c>
      <c r="H122" s="32">
        <v>151948.80000000002</v>
      </c>
      <c r="I122" s="32">
        <v>3038.9700000000003</v>
      </c>
      <c r="J122" s="32">
        <v>1519.5</v>
      </c>
      <c r="K122" s="32">
        <v>71137.36</v>
      </c>
      <c r="L122" s="32">
        <v>0</v>
      </c>
      <c r="M122" s="32"/>
      <c r="N122" s="32">
        <v>0</v>
      </c>
      <c r="O122" s="32">
        <v>0</v>
      </c>
      <c r="P122" s="32">
        <v>0</v>
      </c>
      <c r="Q122" s="32">
        <v>0</v>
      </c>
      <c r="R122" s="2">
        <f t="shared" si="13"/>
        <v>1493884.6300000001</v>
      </c>
      <c r="S122" s="2">
        <f t="shared" si="16"/>
        <v>-0.63000000012107193</v>
      </c>
      <c r="T122" s="8">
        <f t="shared" si="26"/>
        <v>1422747.27</v>
      </c>
      <c r="U122" s="8">
        <f t="shared" si="27"/>
        <v>71137.36</v>
      </c>
    </row>
    <row r="123" spans="2:21" x14ac:dyDescent="0.25">
      <c r="B123" s="22">
        <v>41944</v>
      </c>
      <c r="C123" s="23" t="s">
        <v>97</v>
      </c>
      <c r="D123" s="27"/>
      <c r="E123" s="28" t="s">
        <v>142</v>
      </c>
      <c r="F123" s="31">
        <v>2268536</v>
      </c>
      <c r="G123" s="32">
        <v>0</v>
      </c>
      <c r="H123" s="32">
        <v>237528</v>
      </c>
      <c r="I123" s="32">
        <v>4750.5600000000004</v>
      </c>
      <c r="J123" s="32">
        <v>2375.2800000000002</v>
      </c>
      <c r="K123" s="32">
        <v>0</v>
      </c>
      <c r="L123" s="32">
        <v>0</v>
      </c>
      <c r="M123" s="32"/>
      <c r="N123" s="32">
        <v>1979400</v>
      </c>
      <c r="O123" s="32">
        <v>44481.07</v>
      </c>
      <c r="P123" s="32">
        <v>0</v>
      </c>
      <c r="Q123" s="32">
        <v>0</v>
      </c>
      <c r="R123" s="2">
        <f t="shared" si="13"/>
        <v>2268534.9099999997</v>
      </c>
      <c r="S123" s="2">
        <f t="shared" si="16"/>
        <v>1.0900000003166497</v>
      </c>
    </row>
    <row r="124" spans="2:21" x14ac:dyDescent="0.25">
      <c r="B124" s="22">
        <v>41944</v>
      </c>
      <c r="C124" s="23" t="s">
        <v>95</v>
      </c>
      <c r="D124" s="27"/>
      <c r="E124" s="28" t="s">
        <v>96</v>
      </c>
      <c r="F124" s="31">
        <v>622732.80000000005</v>
      </c>
      <c r="G124" s="32">
        <v>0</v>
      </c>
      <c r="H124" s="32">
        <v>65203.56</v>
      </c>
      <c r="I124" s="32">
        <v>1304.07</v>
      </c>
      <c r="J124" s="32">
        <v>652.04</v>
      </c>
      <c r="K124" s="32">
        <v>0</v>
      </c>
      <c r="L124" s="32"/>
      <c r="M124" s="32"/>
      <c r="N124" s="32">
        <v>543363</v>
      </c>
      <c r="O124" s="32">
        <v>12210.46</v>
      </c>
      <c r="P124" s="32"/>
      <c r="Q124" s="32">
        <v>0</v>
      </c>
      <c r="R124" s="2">
        <f t="shared" si="13"/>
        <v>622733.13</v>
      </c>
      <c r="S124" s="2">
        <f t="shared" si="16"/>
        <v>-0.32999999995809048</v>
      </c>
    </row>
    <row r="125" spans="2:21" x14ac:dyDescent="0.25">
      <c r="B125" s="22">
        <v>41944</v>
      </c>
      <c r="C125" s="23" t="s">
        <v>99</v>
      </c>
      <c r="D125" s="24" t="s">
        <v>100</v>
      </c>
      <c r="E125" s="4"/>
      <c r="F125" s="56">
        <v>547201</v>
      </c>
      <c r="G125" s="57">
        <v>459222.89999999997</v>
      </c>
      <c r="H125" s="57">
        <v>55106.75</v>
      </c>
      <c r="I125" s="57">
        <v>1102.1400000000001</v>
      </c>
      <c r="J125" s="57">
        <v>551.07000000000005</v>
      </c>
      <c r="K125" s="57">
        <v>25799.14</v>
      </c>
      <c r="L125" s="57">
        <v>0</v>
      </c>
      <c r="M125" s="57"/>
      <c r="N125" s="57">
        <v>0</v>
      </c>
      <c r="O125" s="57">
        <v>0</v>
      </c>
      <c r="P125" s="57">
        <v>0</v>
      </c>
      <c r="Q125" s="57">
        <v>5418</v>
      </c>
      <c r="R125" s="2">
        <f t="shared" si="13"/>
        <v>547200</v>
      </c>
      <c r="S125" s="2">
        <f t="shared" si="16"/>
        <v>1</v>
      </c>
      <c r="T125" s="8">
        <f>+G125+H125+I125+J125+L125+Q125</f>
        <v>521400.86</v>
      </c>
      <c r="U125" s="8">
        <f>+M125+K125</f>
        <v>25799.14</v>
      </c>
    </row>
    <row r="126" spans="2:21" x14ac:dyDescent="0.25">
      <c r="B126" s="22">
        <v>41944</v>
      </c>
      <c r="C126" s="23" t="s">
        <v>109</v>
      </c>
      <c r="D126" s="27"/>
      <c r="E126" s="28" t="s">
        <v>143</v>
      </c>
      <c r="F126" s="56">
        <v>499531</v>
      </c>
      <c r="G126" s="57">
        <v>0</v>
      </c>
      <c r="H126" s="57">
        <v>52303.68</v>
      </c>
      <c r="I126" s="57">
        <v>1046.08</v>
      </c>
      <c r="J126" s="57">
        <v>523.04</v>
      </c>
      <c r="K126" s="57">
        <v>0</v>
      </c>
      <c r="L126" s="57">
        <v>0</v>
      </c>
      <c r="M126" s="57"/>
      <c r="N126" s="57">
        <v>435864</v>
      </c>
      <c r="O126" s="57">
        <v>9794.74</v>
      </c>
      <c r="P126" s="57">
        <v>0</v>
      </c>
      <c r="Q126" s="57">
        <v>0</v>
      </c>
      <c r="R126" s="2">
        <f t="shared" si="13"/>
        <v>499531.54</v>
      </c>
      <c r="S126" s="2">
        <f t="shared" si="16"/>
        <v>-0.53999999997904524</v>
      </c>
    </row>
    <row r="127" spans="2:21" x14ac:dyDescent="0.25">
      <c r="B127" s="22">
        <v>41944</v>
      </c>
      <c r="C127" s="23" t="s">
        <v>122</v>
      </c>
      <c r="D127" s="27"/>
      <c r="E127" s="28" t="s">
        <v>123</v>
      </c>
      <c r="F127" s="31">
        <v>2009581.2</v>
      </c>
      <c r="G127" s="32">
        <v>0</v>
      </c>
      <c r="H127" s="32">
        <v>210415.51</v>
      </c>
      <c r="I127" s="32">
        <v>4208.32</v>
      </c>
      <c r="J127" s="32">
        <v>2104.1499999999996</v>
      </c>
      <c r="K127" s="32">
        <v>0</v>
      </c>
      <c r="L127" s="32">
        <v>0</v>
      </c>
      <c r="M127" s="32"/>
      <c r="N127" s="32">
        <v>1752859</v>
      </c>
      <c r="O127" s="32">
        <v>39390.270000000004</v>
      </c>
      <c r="P127" s="32">
        <v>603.6</v>
      </c>
      <c r="Q127" s="32">
        <v>0</v>
      </c>
      <c r="R127" s="2">
        <f t="shared" si="13"/>
        <v>2009580.85</v>
      </c>
      <c r="S127" s="2">
        <f t="shared" si="16"/>
        <v>0.34999999986030161</v>
      </c>
    </row>
    <row r="128" spans="2:21" x14ac:dyDescent="0.25">
      <c r="B128" s="22">
        <v>41944</v>
      </c>
      <c r="C128" s="23" t="s">
        <v>131</v>
      </c>
      <c r="D128" s="27"/>
      <c r="E128" s="28" t="s">
        <v>144</v>
      </c>
      <c r="F128" s="43">
        <v>4469130</v>
      </c>
      <c r="G128" s="44">
        <v>0</v>
      </c>
      <c r="H128" s="44">
        <v>467942.15000000008</v>
      </c>
      <c r="I128" s="44">
        <v>9358.8300000000017</v>
      </c>
      <c r="J128" s="44">
        <v>4679.43</v>
      </c>
      <c r="K128" s="44">
        <v>0</v>
      </c>
      <c r="L128" s="44">
        <v>0</v>
      </c>
      <c r="M128" s="44"/>
      <c r="N128" s="44">
        <v>3899517.96</v>
      </c>
      <c r="O128" s="44">
        <v>87629.97</v>
      </c>
      <c r="P128" s="44">
        <v>0</v>
      </c>
      <c r="Q128" s="44">
        <v>0</v>
      </c>
      <c r="R128" s="2">
        <f t="shared" ref="R128:R164" si="28">+SUM(G128:Q128)</f>
        <v>4469128.34</v>
      </c>
      <c r="S128" s="2">
        <f t="shared" si="16"/>
        <v>1.6600000001490116</v>
      </c>
    </row>
    <row r="129" spans="2:21" x14ac:dyDescent="0.25">
      <c r="B129" s="22">
        <v>41944</v>
      </c>
      <c r="C129" s="23" t="s">
        <v>101</v>
      </c>
      <c r="D129" s="27"/>
      <c r="E129" s="28" t="s">
        <v>145</v>
      </c>
      <c r="F129" s="56">
        <v>1645649</v>
      </c>
      <c r="G129" s="57">
        <v>0</v>
      </c>
      <c r="H129" s="57">
        <v>172308.31999999998</v>
      </c>
      <c r="I129" s="57">
        <v>3446.16</v>
      </c>
      <c r="J129" s="57">
        <v>1723.0799999999997</v>
      </c>
      <c r="K129" s="57">
        <v>0</v>
      </c>
      <c r="L129" s="57">
        <v>0</v>
      </c>
      <c r="M129" s="57"/>
      <c r="N129" s="57">
        <v>1435902.61</v>
      </c>
      <c r="O129" s="57">
        <v>32267.620000000003</v>
      </c>
      <c r="P129" s="57">
        <v>0</v>
      </c>
      <c r="Q129" s="57">
        <v>0</v>
      </c>
      <c r="R129" s="2">
        <f t="shared" si="28"/>
        <v>1645647.7900000003</v>
      </c>
      <c r="S129" s="2">
        <f t="shared" si="16"/>
        <v>1.2099999997299165</v>
      </c>
    </row>
    <row r="130" spans="2:21" x14ac:dyDescent="0.25">
      <c r="B130" s="22">
        <v>41944</v>
      </c>
      <c r="C130" s="23" t="s">
        <v>103</v>
      </c>
      <c r="D130" s="27"/>
      <c r="E130" s="28" t="s">
        <v>126</v>
      </c>
      <c r="F130" s="50">
        <v>1892957</v>
      </c>
      <c r="G130" s="51">
        <v>0</v>
      </c>
      <c r="H130" s="51">
        <v>198202.94</v>
      </c>
      <c r="I130" s="51">
        <v>3964.06</v>
      </c>
      <c r="J130" s="51">
        <v>1982.03</v>
      </c>
      <c r="K130" s="51">
        <v>0</v>
      </c>
      <c r="L130" s="51">
        <v>0</v>
      </c>
      <c r="M130" s="51"/>
      <c r="N130" s="51">
        <v>1651691.15</v>
      </c>
      <c r="O130" s="51">
        <v>37116.800000000003</v>
      </c>
      <c r="P130" s="51">
        <v>0</v>
      </c>
      <c r="Q130" s="51">
        <v>0</v>
      </c>
      <c r="R130" s="2">
        <f t="shared" si="28"/>
        <v>1892956.98</v>
      </c>
      <c r="S130" s="2">
        <f t="shared" si="16"/>
        <v>2.0000000018626451E-2</v>
      </c>
    </row>
    <row r="131" spans="2:21" x14ac:dyDescent="0.25">
      <c r="B131" s="22">
        <v>41944</v>
      </c>
      <c r="C131" s="23" t="s">
        <v>105</v>
      </c>
      <c r="D131" s="24" t="s">
        <v>106</v>
      </c>
      <c r="E131" s="4"/>
      <c r="F131" s="43">
        <v>17941</v>
      </c>
      <c r="G131" s="44">
        <v>0</v>
      </c>
      <c r="H131" s="44">
        <v>0</v>
      </c>
      <c r="I131" s="44">
        <v>0</v>
      </c>
      <c r="J131" s="44">
        <v>0</v>
      </c>
      <c r="K131" s="44">
        <v>0</v>
      </c>
      <c r="L131" s="44">
        <v>15636</v>
      </c>
      <c r="M131" s="44">
        <v>1954</v>
      </c>
      <c r="N131" s="44">
        <v>0</v>
      </c>
      <c r="O131" s="44">
        <v>0</v>
      </c>
      <c r="P131" s="44">
        <v>0</v>
      </c>
      <c r="Q131" s="44">
        <v>0</v>
      </c>
      <c r="R131" s="2">
        <f t="shared" si="28"/>
        <v>17590</v>
      </c>
      <c r="S131" s="2">
        <f t="shared" si="16"/>
        <v>351</v>
      </c>
      <c r="T131" s="8">
        <f t="shared" ref="T131:T132" si="29">+G131+H131+I131+J131+L131</f>
        <v>15636</v>
      </c>
      <c r="U131" s="8">
        <f t="shared" ref="U131:U132" si="30">+M131+K131</f>
        <v>1954</v>
      </c>
    </row>
    <row r="132" spans="2:21" x14ac:dyDescent="0.25">
      <c r="B132" s="22">
        <v>41944</v>
      </c>
      <c r="C132" s="23" t="s">
        <v>146</v>
      </c>
      <c r="D132" s="24" t="s">
        <v>147</v>
      </c>
      <c r="E132" s="4"/>
      <c r="F132" s="59">
        <v>274908</v>
      </c>
      <c r="G132" s="44">
        <v>233016</v>
      </c>
      <c r="H132" s="44">
        <v>27961.919999999998</v>
      </c>
      <c r="I132" s="44">
        <v>559.24</v>
      </c>
      <c r="J132" s="44">
        <v>279.62</v>
      </c>
      <c r="K132" s="44">
        <v>13090.84</v>
      </c>
      <c r="L132" s="44">
        <v>0</v>
      </c>
      <c r="M132" s="44"/>
      <c r="N132" s="44">
        <v>0</v>
      </c>
      <c r="O132" s="44">
        <v>0</v>
      </c>
      <c r="P132" s="44">
        <v>0</v>
      </c>
      <c r="Q132" s="44">
        <v>0</v>
      </c>
      <c r="R132" s="2">
        <f t="shared" si="28"/>
        <v>274907.62</v>
      </c>
      <c r="S132" s="2">
        <f t="shared" si="16"/>
        <v>0.38000000000465661</v>
      </c>
      <c r="T132" s="8">
        <f t="shared" si="29"/>
        <v>261816.77999999997</v>
      </c>
      <c r="U132" s="8">
        <f t="shared" si="30"/>
        <v>13090.84</v>
      </c>
    </row>
    <row r="133" spans="2:21" x14ac:dyDescent="0.25">
      <c r="B133" s="22">
        <v>41974</v>
      </c>
      <c r="C133" s="23" t="s">
        <v>107</v>
      </c>
      <c r="D133" s="24"/>
      <c r="E133" s="24" t="s">
        <v>108</v>
      </c>
      <c r="F133" s="31">
        <v>1523044</v>
      </c>
      <c r="G133" s="32">
        <v>0</v>
      </c>
      <c r="H133" s="32">
        <v>159471.10999999999</v>
      </c>
      <c r="I133" s="32">
        <v>3189.4300000000007</v>
      </c>
      <c r="J133" s="32">
        <v>1594.7200000000003</v>
      </c>
      <c r="K133" s="32">
        <v>0</v>
      </c>
      <c r="L133" s="32">
        <v>0</v>
      </c>
      <c r="M133" s="32"/>
      <c r="N133" s="32">
        <v>1328925.8999999999</v>
      </c>
      <c r="O133" s="32">
        <v>29863.64</v>
      </c>
      <c r="P133" s="32">
        <v>0</v>
      </c>
      <c r="Q133" s="32">
        <v>0</v>
      </c>
      <c r="R133" s="2">
        <f t="shared" si="28"/>
        <v>1523044.7999999998</v>
      </c>
      <c r="S133" s="2">
        <f t="shared" si="16"/>
        <v>-0.79999999981373549</v>
      </c>
    </row>
    <row r="134" spans="2:21" x14ac:dyDescent="0.25">
      <c r="B134" s="22">
        <v>41974</v>
      </c>
      <c r="C134" s="23" t="s">
        <v>89</v>
      </c>
      <c r="D134" s="24" t="s">
        <v>90</v>
      </c>
      <c r="E134" s="4"/>
      <c r="F134" s="31">
        <v>200</v>
      </c>
      <c r="G134" s="32">
        <v>0</v>
      </c>
      <c r="H134" s="32">
        <v>0</v>
      </c>
      <c r="I134" s="32">
        <v>0</v>
      </c>
      <c r="J134" s="32">
        <v>0</v>
      </c>
      <c r="K134" s="32">
        <v>0</v>
      </c>
      <c r="L134" s="32">
        <v>179</v>
      </c>
      <c r="M134" s="32">
        <v>22</v>
      </c>
      <c r="N134" s="32">
        <v>0</v>
      </c>
      <c r="O134" s="32">
        <v>0</v>
      </c>
      <c r="P134" s="32">
        <v>0</v>
      </c>
      <c r="Q134" s="32">
        <v>0</v>
      </c>
      <c r="R134" s="2">
        <f t="shared" si="28"/>
        <v>201</v>
      </c>
      <c r="S134" s="2">
        <f t="shared" si="16"/>
        <v>-1</v>
      </c>
      <c r="T134">
        <f>+G134+H134+I134+J134+L134</f>
        <v>179</v>
      </c>
      <c r="U134">
        <f>+M134+K134</f>
        <v>22</v>
      </c>
    </row>
    <row r="135" spans="2:21" x14ac:dyDescent="0.25">
      <c r="B135" s="22">
        <v>41974</v>
      </c>
      <c r="C135" s="23" t="s">
        <v>67</v>
      </c>
      <c r="D135" s="24" t="s">
        <v>68</v>
      </c>
      <c r="E135" s="4"/>
      <c r="F135" s="31">
        <v>1082658</v>
      </c>
      <c r="G135" s="32">
        <v>917678.72</v>
      </c>
      <c r="H135" s="32">
        <v>110121.45000000001</v>
      </c>
      <c r="I135" s="32">
        <v>2202.44</v>
      </c>
      <c r="J135" s="32">
        <v>1101.21</v>
      </c>
      <c r="K135" s="32">
        <v>51555.19</v>
      </c>
      <c r="L135" s="32">
        <v>0</v>
      </c>
      <c r="M135" s="32"/>
      <c r="N135" s="32">
        <v>0</v>
      </c>
      <c r="O135" s="32">
        <v>0</v>
      </c>
      <c r="P135" s="32">
        <v>0</v>
      </c>
      <c r="Q135" s="32">
        <v>0</v>
      </c>
      <c r="R135" s="2">
        <f t="shared" si="28"/>
        <v>1082659.0099999998</v>
      </c>
      <c r="S135" s="2">
        <f t="shared" ref="S135:S164" si="31">+F135-R135</f>
        <v>-1.0099999997764826</v>
      </c>
      <c r="T135">
        <f t="shared" ref="T135:T138" si="32">+G135+H135+I135+J135+L135</f>
        <v>1031103.8199999998</v>
      </c>
      <c r="U135">
        <f t="shared" ref="U135:U138" si="33">+M135+K135</f>
        <v>51555.19</v>
      </c>
    </row>
    <row r="136" spans="2:21" x14ac:dyDescent="0.25">
      <c r="B136" s="22">
        <v>41974</v>
      </c>
      <c r="C136" s="23" t="s">
        <v>113</v>
      </c>
      <c r="D136" s="24" t="s">
        <v>121</v>
      </c>
      <c r="E136" s="4"/>
      <c r="F136" s="31">
        <v>654414</v>
      </c>
      <c r="G136" s="32">
        <v>549198.80000000005</v>
      </c>
      <c r="H136" s="32">
        <v>65903.850000000006</v>
      </c>
      <c r="I136" s="32">
        <v>1318.07</v>
      </c>
      <c r="J136" s="32">
        <v>659.04</v>
      </c>
      <c r="K136" s="32">
        <v>30853.989999999998</v>
      </c>
      <c r="L136" s="32">
        <v>0</v>
      </c>
      <c r="M136" s="32"/>
      <c r="N136" s="32">
        <v>0</v>
      </c>
      <c r="O136" s="32">
        <v>0</v>
      </c>
      <c r="P136" s="32">
        <v>0</v>
      </c>
      <c r="Q136" s="32">
        <v>6480</v>
      </c>
      <c r="R136" s="2">
        <f t="shared" si="28"/>
        <v>654413.75</v>
      </c>
      <c r="S136" s="2">
        <f t="shared" si="31"/>
        <v>0.25</v>
      </c>
      <c r="T136">
        <f>+G136+H136+I136+J136+L136+Q136</f>
        <v>623559.76</v>
      </c>
      <c r="U136">
        <f t="shared" si="33"/>
        <v>30853.989999999998</v>
      </c>
    </row>
    <row r="137" spans="2:21" x14ac:dyDescent="0.25">
      <c r="B137" s="22">
        <v>41974</v>
      </c>
      <c r="C137" s="23" t="s">
        <v>139</v>
      </c>
      <c r="D137" s="24" t="s">
        <v>148</v>
      </c>
      <c r="E137" s="4"/>
      <c r="F137" s="31">
        <v>536298</v>
      </c>
      <c r="G137" s="32">
        <v>454575</v>
      </c>
      <c r="H137" s="58">
        <v>54549</v>
      </c>
      <c r="I137" s="32">
        <v>1090.98</v>
      </c>
      <c r="J137" s="32">
        <v>545.49</v>
      </c>
      <c r="K137" s="32">
        <v>25538.02</v>
      </c>
      <c r="L137" s="32">
        <v>0</v>
      </c>
      <c r="M137" s="32"/>
      <c r="N137" s="32">
        <v>0</v>
      </c>
      <c r="O137" s="32">
        <v>0</v>
      </c>
      <c r="P137" s="32">
        <v>0</v>
      </c>
      <c r="Q137" s="32">
        <v>0</v>
      </c>
      <c r="R137" s="2">
        <f t="shared" si="28"/>
        <v>536298.49</v>
      </c>
      <c r="S137" s="2">
        <f t="shared" si="31"/>
        <v>-0.48999999999068677</v>
      </c>
      <c r="T137">
        <f t="shared" si="32"/>
        <v>510760.47</v>
      </c>
      <c r="U137">
        <f t="shared" si="33"/>
        <v>25538.02</v>
      </c>
    </row>
    <row r="138" spans="2:21" x14ac:dyDescent="0.25">
      <c r="B138" s="22">
        <v>41974</v>
      </c>
      <c r="C138" s="23" t="s">
        <v>69</v>
      </c>
      <c r="D138" s="24" t="s">
        <v>70</v>
      </c>
      <c r="E138" s="4"/>
      <c r="F138" s="56">
        <v>20049828.009999998</v>
      </c>
      <c r="G138" s="57">
        <v>16994544.500000007</v>
      </c>
      <c r="H138" s="57">
        <v>2039345.370000001</v>
      </c>
      <c r="I138" s="57">
        <v>40786.959999999992</v>
      </c>
      <c r="J138" s="57">
        <v>20393.489999999991</v>
      </c>
      <c r="K138" s="57">
        <v>954753.57999999961</v>
      </c>
      <c r="L138" s="57">
        <v>0</v>
      </c>
      <c r="M138" s="57"/>
      <c r="N138" s="57">
        <v>0</v>
      </c>
      <c r="O138" s="57">
        <v>0</v>
      </c>
      <c r="P138" s="57">
        <v>0</v>
      </c>
      <c r="Q138" s="57">
        <v>0</v>
      </c>
      <c r="R138" s="2">
        <f t="shared" si="28"/>
        <v>20049823.900000006</v>
      </c>
      <c r="S138" s="2">
        <f t="shared" si="31"/>
        <v>4.109999991953373</v>
      </c>
      <c r="T138">
        <f t="shared" si="32"/>
        <v>19095070.320000008</v>
      </c>
      <c r="U138">
        <f t="shared" si="33"/>
        <v>954753.57999999961</v>
      </c>
    </row>
    <row r="139" spans="2:21" x14ac:dyDescent="0.25">
      <c r="B139" s="22">
        <v>41974</v>
      </c>
      <c r="C139" s="23" t="s">
        <v>91</v>
      </c>
      <c r="D139" s="27"/>
      <c r="E139" s="28" t="s">
        <v>141</v>
      </c>
      <c r="F139" s="31">
        <v>2185230.2400000002</v>
      </c>
      <c r="G139" s="32">
        <v>0</v>
      </c>
      <c r="H139" s="32">
        <v>228805.58</v>
      </c>
      <c r="I139" s="32">
        <v>4576.1400000000003</v>
      </c>
      <c r="J139" s="32">
        <v>2288.0700000000002</v>
      </c>
      <c r="K139" s="32">
        <v>0</v>
      </c>
      <c r="L139" s="32">
        <v>0</v>
      </c>
      <c r="M139" s="32"/>
      <c r="N139" s="32">
        <v>1906713.2</v>
      </c>
      <c r="O139" s="32">
        <v>42847.64</v>
      </c>
      <c r="P139" s="32">
        <v>0</v>
      </c>
      <c r="Q139" s="32">
        <v>0</v>
      </c>
      <c r="R139" s="2">
        <f t="shared" si="28"/>
        <v>2185230.63</v>
      </c>
      <c r="S139" s="2">
        <f t="shared" si="31"/>
        <v>-0.38999999966472387</v>
      </c>
    </row>
    <row r="140" spans="2:21" x14ac:dyDescent="0.25">
      <c r="B140" s="22">
        <v>41974</v>
      </c>
      <c r="C140" s="23" t="s">
        <v>116</v>
      </c>
      <c r="D140" s="24" t="s">
        <v>117</v>
      </c>
      <c r="E140" s="4"/>
      <c r="F140" s="56">
        <v>825504</v>
      </c>
      <c r="G140" s="57">
        <v>699710.62</v>
      </c>
      <c r="H140" s="57">
        <v>83965.26999999999</v>
      </c>
      <c r="I140" s="57">
        <v>1679.31</v>
      </c>
      <c r="J140" s="57">
        <v>839.65000000000009</v>
      </c>
      <c r="K140" s="57">
        <v>39309.75</v>
      </c>
      <c r="L140" s="57">
        <v>0</v>
      </c>
      <c r="M140" s="57"/>
      <c r="N140" s="57">
        <v>0</v>
      </c>
      <c r="O140" s="57">
        <v>0</v>
      </c>
      <c r="P140" s="57">
        <v>0</v>
      </c>
      <c r="Q140" s="57">
        <v>0</v>
      </c>
      <c r="R140" s="2">
        <f t="shared" si="28"/>
        <v>825504.60000000009</v>
      </c>
      <c r="S140" s="2">
        <f t="shared" si="31"/>
        <v>-0.60000000009313226</v>
      </c>
      <c r="T140">
        <f t="shared" ref="T140:T141" si="34">+G140+H140+I140+J140+L140</f>
        <v>786194.85000000009</v>
      </c>
      <c r="U140">
        <f t="shared" ref="U140:U141" si="35">+M140+K140</f>
        <v>39309.75</v>
      </c>
    </row>
    <row r="141" spans="2:21" x14ac:dyDescent="0.25">
      <c r="B141" s="22">
        <v>41974</v>
      </c>
      <c r="C141" s="23" t="s">
        <v>93</v>
      </c>
      <c r="D141" s="24" t="s">
        <v>94</v>
      </c>
      <c r="E141" s="4"/>
      <c r="F141" s="31">
        <v>503115</v>
      </c>
      <c r="G141" s="32">
        <v>426448</v>
      </c>
      <c r="H141" s="32">
        <v>51173.760000000002</v>
      </c>
      <c r="I141" s="32">
        <v>1023.47</v>
      </c>
      <c r="J141" s="32">
        <v>511.74</v>
      </c>
      <c r="K141" s="32">
        <v>23957.84</v>
      </c>
      <c r="L141" s="32">
        <v>0</v>
      </c>
      <c r="M141" s="32"/>
      <c r="N141" s="32">
        <v>0</v>
      </c>
      <c r="O141" s="32">
        <v>0</v>
      </c>
      <c r="P141" s="32">
        <v>0</v>
      </c>
      <c r="Q141" s="32">
        <v>0</v>
      </c>
      <c r="R141" s="2">
        <f t="shared" si="28"/>
        <v>503114.81</v>
      </c>
      <c r="S141" s="2">
        <f t="shared" si="31"/>
        <v>0.19000000000232831</v>
      </c>
      <c r="T141">
        <f t="shared" si="34"/>
        <v>479156.97</v>
      </c>
      <c r="U141">
        <f t="shared" si="35"/>
        <v>23957.84</v>
      </c>
    </row>
    <row r="142" spans="2:21" x14ac:dyDescent="0.25">
      <c r="B142" s="22">
        <v>41974</v>
      </c>
      <c r="C142" s="23" t="s">
        <v>97</v>
      </c>
      <c r="D142" s="27"/>
      <c r="E142" s="28" t="s">
        <v>142</v>
      </c>
      <c r="F142" s="31">
        <v>1362210</v>
      </c>
      <c r="G142" s="32">
        <v>0</v>
      </c>
      <c r="H142" s="32">
        <v>142630.79999999999</v>
      </c>
      <c r="I142" s="32">
        <v>2852.62</v>
      </c>
      <c r="J142" s="32">
        <v>1426.3000000000002</v>
      </c>
      <c r="K142" s="32">
        <v>0</v>
      </c>
      <c r="L142" s="32">
        <v>0</v>
      </c>
      <c r="M142" s="32"/>
      <c r="N142" s="32">
        <v>1188590</v>
      </c>
      <c r="O142" s="32">
        <v>26710.000000000004</v>
      </c>
      <c r="P142" s="32">
        <v>0</v>
      </c>
      <c r="Q142" s="32">
        <v>0</v>
      </c>
      <c r="R142" s="2">
        <f t="shared" si="28"/>
        <v>1362209.72</v>
      </c>
      <c r="S142" s="2">
        <f t="shared" si="31"/>
        <v>0.28000000002793968</v>
      </c>
    </row>
    <row r="143" spans="2:21" x14ac:dyDescent="0.25">
      <c r="B143" s="22">
        <v>41974</v>
      </c>
      <c r="C143" s="23" t="s">
        <v>95</v>
      </c>
      <c r="D143" s="27"/>
      <c r="E143" s="28" t="s">
        <v>96</v>
      </c>
      <c r="F143" s="31">
        <v>242217</v>
      </c>
      <c r="G143" s="32">
        <v>0</v>
      </c>
      <c r="H143" s="32">
        <v>25361.4</v>
      </c>
      <c r="I143" s="32">
        <v>507.23</v>
      </c>
      <c r="J143" s="32">
        <v>253.61</v>
      </c>
      <c r="K143" s="32">
        <v>0</v>
      </c>
      <c r="L143" s="32">
        <v>0</v>
      </c>
      <c r="M143" s="32"/>
      <c r="N143" s="32">
        <v>211345</v>
      </c>
      <c r="O143" s="32">
        <v>4749.34</v>
      </c>
      <c r="P143" s="32">
        <v>0</v>
      </c>
      <c r="Q143" s="32">
        <v>0</v>
      </c>
      <c r="R143" s="2">
        <f t="shared" si="28"/>
        <v>242216.58</v>
      </c>
      <c r="S143" s="2">
        <f t="shared" si="31"/>
        <v>0.42000000001280569</v>
      </c>
    </row>
    <row r="144" spans="2:21" x14ac:dyDescent="0.25">
      <c r="B144" s="22">
        <v>41974</v>
      </c>
      <c r="C144" s="23" t="s">
        <v>99</v>
      </c>
      <c r="D144" s="24" t="s">
        <v>100</v>
      </c>
      <c r="E144" s="4"/>
      <c r="F144" s="56">
        <v>559696</v>
      </c>
      <c r="G144" s="57">
        <v>469709.80000000005</v>
      </c>
      <c r="H144" s="57">
        <v>56365.17</v>
      </c>
      <c r="I144" s="57">
        <v>1127.29</v>
      </c>
      <c r="J144" s="57">
        <v>563.65</v>
      </c>
      <c r="K144" s="57">
        <v>26388.3</v>
      </c>
      <c r="L144" s="57">
        <v>0</v>
      </c>
      <c r="M144" s="57"/>
      <c r="N144" s="57">
        <v>0</v>
      </c>
      <c r="O144" s="57">
        <v>0</v>
      </c>
      <c r="P144" s="57">
        <v>0</v>
      </c>
      <c r="Q144" s="57">
        <v>5542</v>
      </c>
      <c r="R144" s="2">
        <f t="shared" si="28"/>
        <v>559696.2100000002</v>
      </c>
      <c r="S144" s="2">
        <f t="shared" si="31"/>
        <v>-0.21000000019557774</v>
      </c>
      <c r="T144" s="2">
        <f>+G144+H144+I144+J144+L144+Q144</f>
        <v>533307.91000000015</v>
      </c>
      <c r="U144">
        <f>+M144+K144</f>
        <v>26388.3</v>
      </c>
    </row>
    <row r="145" spans="2:21" x14ac:dyDescent="0.25">
      <c r="B145" s="22">
        <v>41974</v>
      </c>
      <c r="C145" s="23" t="s">
        <v>109</v>
      </c>
      <c r="D145" s="27"/>
      <c r="E145" s="28" t="s">
        <v>143</v>
      </c>
      <c r="F145" s="56">
        <v>486748</v>
      </c>
      <c r="G145" s="57">
        <v>0</v>
      </c>
      <c r="H145" s="57">
        <v>50965.2</v>
      </c>
      <c r="I145" s="57">
        <v>1019.3</v>
      </c>
      <c r="J145" s="57">
        <v>509.65</v>
      </c>
      <c r="K145" s="57">
        <v>0</v>
      </c>
      <c r="L145" s="57">
        <v>0</v>
      </c>
      <c r="M145" s="57"/>
      <c r="N145" s="57">
        <v>424710</v>
      </c>
      <c r="O145" s="57">
        <v>9544.09</v>
      </c>
      <c r="P145" s="57">
        <v>0</v>
      </c>
      <c r="Q145" s="57">
        <v>0</v>
      </c>
      <c r="R145" s="2">
        <f t="shared" si="28"/>
        <v>486748.24000000005</v>
      </c>
      <c r="S145" s="2">
        <f t="shared" si="31"/>
        <v>-0.24000000004889444</v>
      </c>
    </row>
    <row r="146" spans="2:21" x14ac:dyDescent="0.25">
      <c r="B146" s="22">
        <v>41974</v>
      </c>
      <c r="C146" s="23" t="s">
        <v>131</v>
      </c>
      <c r="D146" s="27"/>
      <c r="E146" s="28" t="s">
        <v>144</v>
      </c>
      <c r="F146" s="43">
        <v>1962078</v>
      </c>
      <c r="G146" s="44">
        <v>0</v>
      </c>
      <c r="H146" s="44">
        <v>205440.16</v>
      </c>
      <c r="I146" s="44">
        <v>4108.8</v>
      </c>
      <c r="J146" s="44">
        <v>2054.41</v>
      </c>
      <c r="K146" s="44">
        <v>0</v>
      </c>
      <c r="L146" s="44">
        <v>0</v>
      </c>
      <c r="M146" s="44"/>
      <c r="N146" s="44">
        <v>1712001.42</v>
      </c>
      <c r="O146" s="44">
        <v>38472.1</v>
      </c>
      <c r="P146" s="44">
        <v>0</v>
      </c>
      <c r="Q146" s="44">
        <v>0</v>
      </c>
      <c r="R146" s="2">
        <f t="shared" si="28"/>
        <v>1962076.8900000001</v>
      </c>
      <c r="S146" s="2">
        <f t="shared" si="31"/>
        <v>1.1099999998696148</v>
      </c>
    </row>
    <row r="147" spans="2:21" x14ac:dyDescent="0.25">
      <c r="B147" s="22">
        <v>41974</v>
      </c>
      <c r="C147" s="23" t="s">
        <v>101</v>
      </c>
      <c r="D147" s="27"/>
      <c r="E147" s="28" t="s">
        <v>145</v>
      </c>
      <c r="F147" s="56">
        <v>1791948.76</v>
      </c>
      <c r="G147" s="57">
        <v>0</v>
      </c>
      <c r="H147" s="57">
        <v>187629.18999999997</v>
      </c>
      <c r="I147" s="57">
        <v>3752.5700000000006</v>
      </c>
      <c r="J147" s="57">
        <v>1876.29</v>
      </c>
      <c r="K147" s="57">
        <v>0</v>
      </c>
      <c r="L147" s="57">
        <v>0</v>
      </c>
      <c r="M147" s="57"/>
      <c r="N147" s="57">
        <v>1562490.09</v>
      </c>
      <c r="O147" s="57">
        <v>35112.270000000004</v>
      </c>
      <c r="P147" s="57">
        <v>1086.48</v>
      </c>
      <c r="Q147" s="57">
        <v>0</v>
      </c>
      <c r="R147" s="2">
        <f t="shared" si="28"/>
        <v>1791946.8900000001</v>
      </c>
      <c r="S147" s="2">
        <f t="shared" si="31"/>
        <v>1.8699999998789281</v>
      </c>
    </row>
    <row r="148" spans="2:21" x14ac:dyDescent="0.25">
      <c r="B148" s="22">
        <v>41974</v>
      </c>
      <c r="C148" s="23" t="s">
        <v>103</v>
      </c>
      <c r="D148" s="27"/>
      <c r="E148" s="28" t="s">
        <v>126</v>
      </c>
      <c r="F148" s="50">
        <v>988595</v>
      </c>
      <c r="G148" s="51">
        <v>0</v>
      </c>
      <c r="H148" s="51">
        <v>103511.29</v>
      </c>
      <c r="I148" s="51">
        <v>2070.23</v>
      </c>
      <c r="J148" s="51">
        <v>1035.1099999999999</v>
      </c>
      <c r="K148" s="51">
        <v>0</v>
      </c>
      <c r="L148" s="51">
        <v>0</v>
      </c>
      <c r="M148" s="51"/>
      <c r="N148" s="51">
        <v>862594.1</v>
      </c>
      <c r="O148" s="51">
        <v>19384.21</v>
      </c>
      <c r="P148" s="51">
        <v>0</v>
      </c>
      <c r="Q148" s="51">
        <v>0</v>
      </c>
      <c r="R148" s="2">
        <f t="shared" si="28"/>
        <v>988594.94</v>
      </c>
      <c r="S148" s="2">
        <f t="shared" si="31"/>
        <v>6.0000000055879354E-2</v>
      </c>
    </row>
    <row r="149" spans="2:21" x14ac:dyDescent="0.25">
      <c r="B149" s="22">
        <v>41974</v>
      </c>
      <c r="C149" s="23" t="s">
        <v>105</v>
      </c>
      <c r="D149" s="24" t="s">
        <v>106</v>
      </c>
      <c r="E149" s="4"/>
      <c r="F149" s="43">
        <v>49359</v>
      </c>
      <c r="G149" s="44">
        <v>26049.4</v>
      </c>
      <c r="H149" s="44">
        <v>3125.93</v>
      </c>
      <c r="I149" s="44">
        <v>62.52</v>
      </c>
      <c r="J149" s="44">
        <v>31.26</v>
      </c>
      <c r="K149" s="44">
        <v>1463.46</v>
      </c>
      <c r="L149" s="44">
        <v>16283</v>
      </c>
      <c r="M149" s="44">
        <v>2035</v>
      </c>
      <c r="N149" s="44">
        <v>0</v>
      </c>
      <c r="O149" s="44">
        <v>0</v>
      </c>
      <c r="P149" s="44">
        <v>0</v>
      </c>
      <c r="Q149" s="44">
        <v>307</v>
      </c>
      <c r="R149" s="2">
        <f t="shared" si="28"/>
        <v>49357.57</v>
      </c>
      <c r="S149" s="2">
        <f t="shared" si="31"/>
        <v>1.430000000000291</v>
      </c>
      <c r="T149" s="2">
        <f>+G149+H149+I149+J149+L149+Q149</f>
        <v>45859.11</v>
      </c>
      <c r="U149">
        <f>+M149+K149</f>
        <v>3498.46</v>
      </c>
    </row>
    <row r="150" spans="2:21" x14ac:dyDescent="0.25">
      <c r="B150" s="22">
        <v>41974</v>
      </c>
      <c r="C150" s="23" t="s">
        <v>127</v>
      </c>
      <c r="D150" s="27"/>
      <c r="E150" s="28" t="s">
        <v>149</v>
      </c>
      <c r="F150" s="43">
        <v>1022528</v>
      </c>
      <c r="G150" s="44">
        <v>0</v>
      </c>
      <c r="H150" s="44">
        <v>107064.24</v>
      </c>
      <c r="I150" s="44">
        <v>2141.2800000000002</v>
      </c>
      <c r="J150" s="44">
        <v>1070.6400000000001</v>
      </c>
      <c r="K150" s="44">
        <v>0</v>
      </c>
      <c r="L150" s="44">
        <v>0</v>
      </c>
      <c r="M150" s="44"/>
      <c r="N150" s="44">
        <v>892202</v>
      </c>
      <c r="O150" s="44">
        <v>20049.560000000001</v>
      </c>
      <c r="P150" s="44">
        <v>0</v>
      </c>
      <c r="Q150" s="44">
        <v>0</v>
      </c>
      <c r="R150" s="2">
        <f t="shared" si="28"/>
        <v>1022527.7200000001</v>
      </c>
      <c r="S150" s="2">
        <f t="shared" si="31"/>
        <v>0.27999999991152436</v>
      </c>
    </row>
    <row r="151" spans="2:21" x14ac:dyDescent="0.25">
      <c r="B151" s="22">
        <v>42005</v>
      </c>
      <c r="C151" s="23" t="s">
        <v>107</v>
      </c>
      <c r="E151" s="24" t="s">
        <v>108</v>
      </c>
      <c r="F151" s="31">
        <v>854640</v>
      </c>
      <c r="G151" s="32">
        <v>0</v>
      </c>
      <c r="H151" s="32">
        <v>89485.440000000002</v>
      </c>
      <c r="I151" s="32">
        <v>1789.71</v>
      </c>
      <c r="J151" s="32">
        <v>894.85</v>
      </c>
      <c r="K151" s="32">
        <v>0</v>
      </c>
      <c r="L151" s="32">
        <v>0</v>
      </c>
      <c r="M151" s="32"/>
      <c r="N151" s="32">
        <v>745712</v>
      </c>
      <c r="O151" s="32">
        <v>16757.63</v>
      </c>
      <c r="P151" s="32">
        <v>0</v>
      </c>
      <c r="Q151" s="32">
        <v>0</v>
      </c>
      <c r="R151" s="2">
        <f t="shared" si="28"/>
        <v>854639.63</v>
      </c>
      <c r="S151" s="2">
        <f t="shared" si="31"/>
        <v>0.36999999999534339</v>
      </c>
    </row>
    <row r="152" spans="2:21" x14ac:dyDescent="0.25">
      <c r="B152" s="22">
        <v>42005</v>
      </c>
      <c r="C152" s="23" t="s">
        <v>67</v>
      </c>
      <c r="D152" s="24" t="s">
        <v>68</v>
      </c>
      <c r="E152" s="4"/>
      <c r="F152" s="31">
        <v>2280674</v>
      </c>
      <c r="G152" s="32">
        <v>1933134.49</v>
      </c>
      <c r="H152" s="32">
        <v>231976.14</v>
      </c>
      <c r="I152" s="32">
        <v>4639.53</v>
      </c>
      <c r="J152" s="32">
        <v>2319.7600000000002</v>
      </c>
      <c r="K152" s="32">
        <v>108603.49</v>
      </c>
      <c r="L152" s="32">
        <v>0</v>
      </c>
      <c r="M152" s="32"/>
      <c r="N152" s="32">
        <v>0</v>
      </c>
      <c r="O152" s="32">
        <v>0</v>
      </c>
      <c r="P152" s="32">
        <v>0</v>
      </c>
      <c r="Q152" s="32">
        <v>0</v>
      </c>
      <c r="R152" s="2">
        <f t="shared" si="28"/>
        <v>2280673.4099999997</v>
      </c>
      <c r="S152" s="2">
        <f t="shared" si="31"/>
        <v>0.59000000031664968</v>
      </c>
      <c r="T152" s="42">
        <f>+G152+H152+I152+J152+P152+Q152</f>
        <v>2172069.9199999995</v>
      </c>
      <c r="U152" s="42">
        <f>+K152+M152</f>
        <v>108603.49</v>
      </c>
    </row>
    <row r="153" spans="2:21" x14ac:dyDescent="0.25">
      <c r="B153" s="22">
        <v>42005</v>
      </c>
      <c r="C153" s="23" t="s">
        <v>113</v>
      </c>
      <c r="D153" s="24" t="s">
        <v>121</v>
      </c>
      <c r="E153" s="4"/>
      <c r="F153" s="31">
        <v>828081</v>
      </c>
      <c r="G153" s="32">
        <v>694944</v>
      </c>
      <c r="H153" s="32">
        <v>83393.279999999999</v>
      </c>
      <c r="I153" s="32">
        <v>1667.87</v>
      </c>
      <c r="J153" s="32">
        <v>833.93999999999994</v>
      </c>
      <c r="K153" s="32">
        <v>39041.949999999997</v>
      </c>
      <c r="L153" s="32">
        <v>0</v>
      </c>
      <c r="M153" s="32"/>
      <c r="N153" s="32">
        <v>0</v>
      </c>
      <c r="O153" s="32">
        <v>0</v>
      </c>
      <c r="P153" s="32">
        <v>0</v>
      </c>
      <c r="Q153" s="32">
        <v>8199</v>
      </c>
      <c r="R153" s="2">
        <f t="shared" si="28"/>
        <v>828080.03999999992</v>
      </c>
      <c r="S153" s="2">
        <f t="shared" si="31"/>
        <v>0.96000000007916242</v>
      </c>
      <c r="T153" s="42">
        <f t="shared" ref="T153:T155" si="36">+G153+H153+I153+J153+P153+Q153</f>
        <v>789038.09</v>
      </c>
      <c r="U153" s="42">
        <f t="shared" ref="U153:U155" si="37">+K153+M153</f>
        <v>39041.949999999997</v>
      </c>
    </row>
    <row r="154" spans="2:21" x14ac:dyDescent="0.25">
      <c r="B154" s="22">
        <v>42005</v>
      </c>
      <c r="C154" s="23" t="s">
        <v>69</v>
      </c>
      <c r="D154" s="24" t="s">
        <v>70</v>
      </c>
      <c r="E154" s="4"/>
      <c r="F154" s="56">
        <v>20635336</v>
      </c>
      <c r="G154" s="57">
        <v>17490827.52</v>
      </c>
      <c r="H154" s="57">
        <v>2098899.34</v>
      </c>
      <c r="I154" s="57">
        <v>41978.009999999995</v>
      </c>
      <c r="J154" s="57">
        <v>20988.960000000006</v>
      </c>
      <c r="K154" s="57">
        <v>982634.69999999972</v>
      </c>
      <c r="L154" s="57">
        <v>0</v>
      </c>
      <c r="M154" s="57"/>
      <c r="N154" s="57">
        <v>0</v>
      </c>
      <c r="O154" s="57">
        <v>0</v>
      </c>
      <c r="P154" s="57">
        <v>0</v>
      </c>
      <c r="Q154" s="57">
        <v>0</v>
      </c>
      <c r="R154" s="2">
        <f t="shared" si="28"/>
        <v>20635328.530000001</v>
      </c>
      <c r="S154" s="2">
        <f t="shared" si="31"/>
        <v>7.4699999988079071</v>
      </c>
      <c r="T154" s="42">
        <f t="shared" si="36"/>
        <v>19652693.830000002</v>
      </c>
      <c r="U154" s="42">
        <f t="shared" si="37"/>
        <v>982634.69999999972</v>
      </c>
    </row>
    <row r="155" spans="2:21" x14ac:dyDescent="0.25">
      <c r="B155" s="22">
        <v>42005</v>
      </c>
      <c r="C155" s="23" t="s">
        <v>133</v>
      </c>
      <c r="D155" s="24" t="s">
        <v>134</v>
      </c>
      <c r="E155" s="4"/>
      <c r="F155" s="56">
        <v>507</v>
      </c>
      <c r="G155" s="57">
        <v>0</v>
      </c>
      <c r="H155" s="57">
        <v>51.6</v>
      </c>
      <c r="I155" s="57">
        <v>1.03</v>
      </c>
      <c r="J155" s="57">
        <v>0.52</v>
      </c>
      <c r="K155" s="57">
        <v>24.16</v>
      </c>
      <c r="L155" s="57">
        <v>0</v>
      </c>
      <c r="M155" s="57"/>
      <c r="N155" s="57">
        <v>0</v>
      </c>
      <c r="O155" s="57">
        <v>0</v>
      </c>
      <c r="P155" s="57">
        <v>430</v>
      </c>
      <c r="Q155" s="57">
        <v>0</v>
      </c>
      <c r="R155" s="2">
        <f t="shared" si="28"/>
        <v>507.31</v>
      </c>
      <c r="S155" s="2">
        <f t="shared" si="31"/>
        <v>-0.31000000000000227</v>
      </c>
      <c r="T155" s="42">
        <f t="shared" si="36"/>
        <v>483.15</v>
      </c>
      <c r="U155" s="42">
        <f t="shared" si="37"/>
        <v>24.16</v>
      </c>
    </row>
    <row r="156" spans="2:21" x14ac:dyDescent="0.25">
      <c r="B156" s="22">
        <v>42005</v>
      </c>
      <c r="C156" s="23" t="s">
        <v>91</v>
      </c>
      <c r="D156" s="27"/>
      <c r="E156" s="28" t="s">
        <v>141</v>
      </c>
      <c r="F156" s="31">
        <v>3385453.43</v>
      </c>
      <c r="G156" s="32">
        <v>0</v>
      </c>
      <c r="H156" s="32">
        <v>354475.37</v>
      </c>
      <c r="I156" s="32">
        <v>7089.4799999999987</v>
      </c>
      <c r="J156" s="32">
        <v>3544.7699999999995</v>
      </c>
      <c r="K156" s="32">
        <v>0</v>
      </c>
      <c r="L156" s="32">
        <v>0</v>
      </c>
      <c r="M156" s="32"/>
      <c r="N156" s="32">
        <v>2953961.2799999993</v>
      </c>
      <c r="O156" s="32">
        <v>66381.420000000013</v>
      </c>
      <c r="P156" s="32">
        <v>0</v>
      </c>
      <c r="Q156" s="32">
        <v>0</v>
      </c>
      <c r="R156" s="2">
        <f t="shared" si="28"/>
        <v>3385452.3199999994</v>
      </c>
      <c r="S156" s="2">
        <f t="shared" si="31"/>
        <v>1.1100000008009374</v>
      </c>
    </row>
    <row r="157" spans="2:21" x14ac:dyDescent="0.25">
      <c r="B157" s="22">
        <v>42005</v>
      </c>
      <c r="C157" s="23" t="s">
        <v>116</v>
      </c>
      <c r="D157" s="24" t="s">
        <v>117</v>
      </c>
      <c r="E157" s="4"/>
      <c r="F157" s="56">
        <v>418746</v>
      </c>
      <c r="G157" s="57">
        <v>354936</v>
      </c>
      <c r="H157" s="57">
        <v>42592.32</v>
      </c>
      <c r="I157" s="57">
        <v>851.84</v>
      </c>
      <c r="J157" s="57">
        <v>425.92</v>
      </c>
      <c r="K157" s="57">
        <v>19940.3</v>
      </c>
      <c r="L157" s="57">
        <v>0</v>
      </c>
      <c r="M157" s="57"/>
      <c r="N157" s="57">
        <v>0</v>
      </c>
      <c r="O157" s="57">
        <v>0</v>
      </c>
      <c r="P157" s="57">
        <v>0</v>
      </c>
      <c r="Q157" s="57">
        <v>0</v>
      </c>
      <c r="R157" s="2">
        <f t="shared" si="28"/>
        <v>418746.38</v>
      </c>
      <c r="S157" s="2">
        <f t="shared" si="31"/>
        <v>-0.38000000000465661</v>
      </c>
      <c r="T157" s="42">
        <f t="shared" ref="T157:T158" si="38">+G157+H157+I157+J157+P157+Q157</f>
        <v>398806.08</v>
      </c>
      <c r="U157" s="42">
        <f t="shared" ref="U157:U158" si="39">+K157+M157</f>
        <v>19940.3</v>
      </c>
    </row>
    <row r="158" spans="2:21" x14ac:dyDescent="0.25">
      <c r="B158" s="22">
        <v>42005</v>
      </c>
      <c r="C158" s="23" t="s">
        <v>93</v>
      </c>
      <c r="D158" s="24" t="s">
        <v>94</v>
      </c>
      <c r="E158" s="4"/>
      <c r="F158" s="31">
        <v>1482314.74</v>
      </c>
      <c r="G158" s="32">
        <v>1255241</v>
      </c>
      <c r="H158" s="32">
        <v>150779.16</v>
      </c>
      <c r="I158" s="32">
        <v>3015.5699999999997</v>
      </c>
      <c r="J158" s="32">
        <v>1507.7899999999997</v>
      </c>
      <c r="K158" s="32">
        <v>70519.44</v>
      </c>
      <c r="L158" s="32">
        <v>0</v>
      </c>
      <c r="M158" s="32"/>
      <c r="N158" s="32">
        <v>0</v>
      </c>
      <c r="O158" s="32">
        <v>0</v>
      </c>
      <c r="P158" s="32">
        <v>1252</v>
      </c>
      <c r="Q158" s="32">
        <v>0</v>
      </c>
      <c r="R158" s="2">
        <f t="shared" si="28"/>
        <v>1482314.96</v>
      </c>
      <c r="S158" s="2">
        <f t="shared" si="31"/>
        <v>-0.21999999997206032</v>
      </c>
      <c r="T158" s="42">
        <f t="shared" si="38"/>
        <v>1411795.52</v>
      </c>
      <c r="U158" s="42">
        <f t="shared" si="39"/>
        <v>70519.44</v>
      </c>
    </row>
    <row r="159" spans="2:21" x14ac:dyDescent="0.25">
      <c r="B159" s="22">
        <v>42005</v>
      </c>
      <c r="C159" s="23" t="s">
        <v>97</v>
      </c>
      <c r="D159" s="27"/>
      <c r="E159" s="28" t="s">
        <v>142</v>
      </c>
      <c r="F159" s="31">
        <v>1961048</v>
      </c>
      <c r="G159" s="32">
        <v>0</v>
      </c>
      <c r="H159" s="32">
        <v>205332.47999999998</v>
      </c>
      <c r="I159" s="32">
        <v>4106.6399999999994</v>
      </c>
      <c r="J159" s="32">
        <v>2053.34</v>
      </c>
      <c r="K159" s="32">
        <v>0</v>
      </c>
      <c r="L159" s="32">
        <v>0</v>
      </c>
      <c r="M159" s="32"/>
      <c r="N159" s="32">
        <v>1711104</v>
      </c>
      <c r="O159" s="32">
        <v>38451.939999999995</v>
      </c>
      <c r="P159" s="32">
        <v>0</v>
      </c>
      <c r="Q159" s="32">
        <v>0</v>
      </c>
      <c r="R159" s="2">
        <f t="shared" si="28"/>
        <v>1961048.4</v>
      </c>
      <c r="S159" s="2">
        <f t="shared" si="31"/>
        <v>-0.39999999990686774</v>
      </c>
    </row>
    <row r="160" spans="2:21" x14ac:dyDescent="0.25">
      <c r="B160" s="22">
        <v>42005</v>
      </c>
      <c r="C160" s="23" t="s">
        <v>99</v>
      </c>
      <c r="D160" s="24" t="s">
        <v>100</v>
      </c>
      <c r="E160" s="4"/>
      <c r="F160" s="56">
        <v>621913</v>
      </c>
      <c r="G160" s="57">
        <v>521923.8</v>
      </c>
      <c r="H160" s="57">
        <v>62630.850000000006</v>
      </c>
      <c r="I160" s="57">
        <v>1252.6099999999999</v>
      </c>
      <c r="J160" s="57">
        <v>626.31999999999994</v>
      </c>
      <c r="K160" s="57">
        <v>29321.670000000002</v>
      </c>
      <c r="L160" s="57">
        <v>0</v>
      </c>
      <c r="M160" s="57"/>
      <c r="N160" s="57">
        <v>0</v>
      </c>
      <c r="O160" s="57">
        <v>0</v>
      </c>
      <c r="P160" s="57">
        <v>0</v>
      </c>
      <c r="Q160" s="57">
        <v>6158</v>
      </c>
      <c r="R160" s="2">
        <f t="shared" si="28"/>
        <v>621913.25</v>
      </c>
      <c r="S160" s="2">
        <f t="shared" si="31"/>
        <v>-0.25</v>
      </c>
      <c r="T160" s="42">
        <f>+G160+H160+I160+J160+P160+Q160</f>
        <v>592591.57999999996</v>
      </c>
      <c r="U160" s="42">
        <f t="shared" ref="U160:U161" si="40">+K160+M160</f>
        <v>29321.670000000002</v>
      </c>
    </row>
    <row r="161" spans="2:21" x14ac:dyDescent="0.25">
      <c r="B161" s="22">
        <v>42005</v>
      </c>
      <c r="C161" s="23" t="s">
        <v>111</v>
      </c>
      <c r="E161" s="24" t="s">
        <v>120</v>
      </c>
      <c r="F161" s="31">
        <v>1076255</v>
      </c>
      <c r="G161" s="32">
        <v>0</v>
      </c>
      <c r="H161" s="32">
        <v>112689.72</v>
      </c>
      <c r="I161" s="32">
        <v>2253.79</v>
      </c>
      <c r="J161" s="32">
        <v>1126.9000000000001</v>
      </c>
      <c r="K161" s="32">
        <v>0</v>
      </c>
      <c r="L161" s="32">
        <v>0</v>
      </c>
      <c r="M161" s="32"/>
      <c r="N161" s="32">
        <v>939081</v>
      </c>
      <c r="O161" s="32">
        <v>21103.03</v>
      </c>
      <c r="P161" s="32">
        <v>0</v>
      </c>
      <c r="Q161" s="32">
        <v>0</v>
      </c>
      <c r="R161" s="2">
        <f t="shared" si="28"/>
        <v>1076254.44</v>
      </c>
      <c r="S161" s="2">
        <f t="shared" si="31"/>
        <v>0.56000000005587935</v>
      </c>
      <c r="U161">
        <f t="shared" si="40"/>
        <v>0</v>
      </c>
    </row>
    <row r="162" spans="2:21" x14ac:dyDescent="0.25">
      <c r="B162" s="22">
        <v>42005</v>
      </c>
      <c r="C162" s="23" t="s">
        <v>131</v>
      </c>
      <c r="D162" s="27"/>
      <c r="E162" s="28" t="s">
        <v>144</v>
      </c>
      <c r="F162" s="43">
        <v>9673844</v>
      </c>
      <c r="G162" s="44">
        <v>0</v>
      </c>
      <c r="H162" s="44">
        <v>1012904.0599999999</v>
      </c>
      <c r="I162" s="44">
        <v>20258.070000000003</v>
      </c>
      <c r="J162" s="44">
        <v>10129.06</v>
      </c>
      <c r="K162" s="44">
        <v>0</v>
      </c>
      <c r="L162" s="44">
        <v>0</v>
      </c>
      <c r="M162" s="44"/>
      <c r="N162" s="44">
        <v>8440867.0700000003</v>
      </c>
      <c r="O162" s="44">
        <v>189683.13</v>
      </c>
      <c r="P162" s="44">
        <v>0</v>
      </c>
      <c r="Q162" s="44">
        <v>0</v>
      </c>
      <c r="R162" s="2">
        <f t="shared" si="28"/>
        <v>9673841.3900000006</v>
      </c>
      <c r="S162" s="2">
        <f t="shared" si="31"/>
        <v>2.6099999994039536</v>
      </c>
    </row>
    <row r="163" spans="2:21" x14ac:dyDescent="0.25">
      <c r="B163" s="22">
        <v>42005</v>
      </c>
      <c r="C163" s="23" t="s">
        <v>101</v>
      </c>
      <c r="D163" s="27"/>
      <c r="E163" s="28" t="s">
        <v>145</v>
      </c>
      <c r="F163" s="56">
        <v>1670321</v>
      </c>
      <c r="G163" s="57">
        <v>0</v>
      </c>
      <c r="H163" s="57">
        <v>174891.69</v>
      </c>
      <c r="I163" s="57">
        <v>3497.83</v>
      </c>
      <c r="J163" s="57">
        <v>1748.9099999999999</v>
      </c>
      <c r="K163" s="57">
        <v>0</v>
      </c>
      <c r="L163" s="57">
        <v>0</v>
      </c>
      <c r="M163" s="57"/>
      <c r="N163" s="57">
        <v>1457430.6700000002</v>
      </c>
      <c r="O163" s="57">
        <v>32751.399999999994</v>
      </c>
      <c r="P163" s="57">
        <v>0</v>
      </c>
      <c r="Q163" s="57">
        <v>0</v>
      </c>
      <c r="R163" s="2">
        <f t="shared" si="28"/>
        <v>1670320.5</v>
      </c>
      <c r="S163" s="2">
        <f t="shared" si="31"/>
        <v>0.5</v>
      </c>
    </row>
    <row r="164" spans="2:21" x14ac:dyDescent="0.25">
      <c r="B164" s="22">
        <v>42005</v>
      </c>
      <c r="C164" s="23" t="s">
        <v>105</v>
      </c>
      <c r="D164" s="24" t="s">
        <v>106</v>
      </c>
      <c r="E164" s="4"/>
      <c r="F164" s="43">
        <v>35589.899999999994</v>
      </c>
      <c r="G164" s="44">
        <v>18335.2</v>
      </c>
      <c r="H164" s="44">
        <v>2200.2199999999998</v>
      </c>
      <c r="I164" s="44">
        <v>44</v>
      </c>
      <c r="J164" s="44">
        <v>22</v>
      </c>
      <c r="K164" s="44">
        <v>1030.07</v>
      </c>
      <c r="L164" s="44">
        <v>12215</v>
      </c>
      <c r="M164" s="44">
        <v>1527</v>
      </c>
      <c r="N164" s="44">
        <v>0</v>
      </c>
      <c r="O164" s="44">
        <v>0</v>
      </c>
      <c r="P164" s="44">
        <v>0</v>
      </c>
      <c r="Q164" s="44">
        <v>216</v>
      </c>
      <c r="R164" s="2">
        <f t="shared" si="28"/>
        <v>35589.490000000005</v>
      </c>
      <c r="S164" s="2">
        <f t="shared" si="31"/>
        <v>0.40999999998894054</v>
      </c>
      <c r="T164" s="42">
        <f>+G164+H164+I164+J164+P164+Q164</f>
        <v>20817.420000000002</v>
      </c>
      <c r="U164" s="42">
        <f>+K164+M164</f>
        <v>2557.0699999999997</v>
      </c>
    </row>
    <row r="165" spans="2:21" x14ac:dyDescent="0.25">
      <c r="B165" s="22">
        <v>42036</v>
      </c>
      <c r="C165" s="23" t="s">
        <v>150</v>
      </c>
      <c r="D165" s="28" t="s">
        <v>151</v>
      </c>
      <c r="E165" s="4"/>
      <c r="F165" s="57">
        <v>801702</v>
      </c>
      <c r="G165" s="57">
        <v>679535</v>
      </c>
      <c r="H165" s="57">
        <v>81544.2</v>
      </c>
      <c r="I165" s="57">
        <v>1630.88</v>
      </c>
      <c r="J165" s="57">
        <v>815.45</v>
      </c>
      <c r="K165" s="26">
        <v>38176.28</v>
      </c>
      <c r="L165" s="57">
        <v>0</v>
      </c>
      <c r="M165" s="57">
        <v>0</v>
      </c>
      <c r="N165" s="57">
        <v>0</v>
      </c>
      <c r="O165" s="57">
        <v>0</v>
      </c>
      <c r="P165" s="57">
        <v>0</v>
      </c>
      <c r="Q165" s="57">
        <v>0</v>
      </c>
    </row>
    <row r="166" spans="2:21" x14ac:dyDescent="0.25">
      <c r="B166" s="22">
        <v>42036</v>
      </c>
      <c r="C166" s="23" t="s">
        <v>67</v>
      </c>
      <c r="D166" s="28" t="s">
        <v>68</v>
      </c>
      <c r="E166" s="4"/>
      <c r="F166" s="57">
        <v>2619999</v>
      </c>
      <c r="G166" s="57">
        <v>2220752.9999999995</v>
      </c>
      <c r="H166" s="57">
        <v>266490.37</v>
      </c>
      <c r="I166" s="57">
        <v>5329.8200000000006</v>
      </c>
      <c r="J166" s="57">
        <v>2664.8900000000003</v>
      </c>
      <c r="K166" s="26">
        <v>124761.71</v>
      </c>
      <c r="L166" s="57">
        <v>0</v>
      </c>
      <c r="M166" s="57">
        <v>0</v>
      </c>
      <c r="N166" s="57">
        <v>0</v>
      </c>
      <c r="O166" s="57">
        <v>0</v>
      </c>
      <c r="P166" s="57">
        <v>0</v>
      </c>
      <c r="Q166" s="57">
        <v>0</v>
      </c>
    </row>
    <row r="167" spans="2:21" x14ac:dyDescent="0.25">
      <c r="B167" s="22">
        <v>42036</v>
      </c>
      <c r="C167" s="23" t="s">
        <v>135</v>
      </c>
      <c r="D167" s="32"/>
      <c r="E167" s="4"/>
      <c r="F167" s="57">
        <v>1273845</v>
      </c>
      <c r="G167" s="57"/>
      <c r="H167" s="57">
        <v>133378.56</v>
      </c>
      <c r="I167" s="57">
        <v>2667.57</v>
      </c>
      <c r="J167" s="57">
        <v>1333.79</v>
      </c>
      <c r="K167" s="26"/>
      <c r="L167" s="57"/>
      <c r="M167" s="57"/>
      <c r="N167" s="57">
        <v>1111488</v>
      </c>
      <c r="O167" s="57">
        <v>24977.360000000001</v>
      </c>
      <c r="P167" s="57"/>
      <c r="Q167" s="57"/>
    </row>
    <row r="168" spans="2:21" x14ac:dyDescent="0.25">
      <c r="B168" s="22">
        <v>42036</v>
      </c>
      <c r="C168" s="23" t="s">
        <v>113</v>
      </c>
      <c r="D168" s="28" t="s">
        <v>121</v>
      </c>
      <c r="E168" s="4"/>
      <c r="F168" s="57">
        <v>849933</v>
      </c>
      <c r="G168" s="57">
        <v>713282.8</v>
      </c>
      <c r="H168" s="57">
        <v>85593.940000000017</v>
      </c>
      <c r="I168" s="57">
        <v>1711.88</v>
      </c>
      <c r="J168" s="57">
        <v>855.94</v>
      </c>
      <c r="K168" s="26">
        <v>40072.230000000003</v>
      </c>
      <c r="L168" s="57">
        <v>0</v>
      </c>
      <c r="M168" s="57">
        <v>0</v>
      </c>
      <c r="N168" s="57">
        <v>0</v>
      </c>
      <c r="O168" s="57">
        <v>0</v>
      </c>
      <c r="P168" s="57">
        <v>0</v>
      </c>
      <c r="Q168" s="57">
        <v>8416</v>
      </c>
    </row>
    <row r="169" spans="2:21" x14ac:dyDescent="0.25">
      <c r="B169" s="22">
        <v>42036</v>
      </c>
      <c r="C169" s="23" t="s">
        <v>107</v>
      </c>
      <c r="D169" s="32"/>
      <c r="E169" s="4"/>
      <c r="F169" s="57">
        <v>984633</v>
      </c>
      <c r="G169" s="57">
        <v>0</v>
      </c>
      <c r="H169" s="57">
        <v>103096.39999999998</v>
      </c>
      <c r="I169" s="57">
        <v>2061.9300000000003</v>
      </c>
      <c r="J169" s="57">
        <v>1030.97</v>
      </c>
      <c r="K169" s="26">
        <v>0</v>
      </c>
      <c r="L169" s="57">
        <v>0</v>
      </c>
      <c r="M169" s="57">
        <v>0</v>
      </c>
      <c r="N169" s="57">
        <v>859136.60000000009</v>
      </c>
      <c r="O169" s="57">
        <v>19306.510000000002</v>
      </c>
      <c r="P169" s="57">
        <v>0</v>
      </c>
      <c r="Q169" s="57">
        <v>0</v>
      </c>
    </row>
    <row r="170" spans="2:21" x14ac:dyDescent="0.25">
      <c r="B170" s="22">
        <v>42036</v>
      </c>
      <c r="C170" s="23" t="s">
        <v>69</v>
      </c>
      <c r="D170" s="28" t="s">
        <v>70</v>
      </c>
      <c r="E170" s="4"/>
      <c r="F170" s="57">
        <v>24477886</v>
      </c>
      <c r="G170" s="57">
        <v>20747837.180000007</v>
      </c>
      <c r="H170" s="57">
        <v>2489740.459999999</v>
      </c>
      <c r="I170" s="57">
        <v>49794.889999999985</v>
      </c>
      <c r="J170" s="57">
        <v>24897.39</v>
      </c>
      <c r="K170" s="26">
        <v>1165613.4700000002</v>
      </c>
      <c r="L170" s="57">
        <v>0</v>
      </c>
      <c r="M170" s="57">
        <v>0</v>
      </c>
      <c r="N170" s="57">
        <v>0</v>
      </c>
      <c r="O170" s="57">
        <v>0</v>
      </c>
      <c r="P170" s="57">
        <v>0</v>
      </c>
      <c r="Q170" s="57">
        <v>0</v>
      </c>
    </row>
    <row r="171" spans="2:21" x14ac:dyDescent="0.25">
      <c r="B171" s="22">
        <v>42036</v>
      </c>
      <c r="C171" s="23" t="s">
        <v>89</v>
      </c>
      <c r="D171" s="28" t="s">
        <v>90</v>
      </c>
      <c r="E171" s="4"/>
      <c r="F171" s="57">
        <v>10000</v>
      </c>
      <c r="G171" s="57">
        <v>0</v>
      </c>
      <c r="H171" s="57">
        <v>0</v>
      </c>
      <c r="I171" s="57">
        <v>0</v>
      </c>
      <c r="J171" s="57">
        <v>0</v>
      </c>
      <c r="K171" s="26">
        <v>0</v>
      </c>
      <c r="L171" s="57">
        <v>8893.2800000000007</v>
      </c>
      <c r="M171" s="57">
        <v>1112</v>
      </c>
      <c r="N171" s="57">
        <v>0</v>
      </c>
      <c r="O171" s="57">
        <v>0</v>
      </c>
      <c r="P171" s="57">
        <v>0</v>
      </c>
      <c r="Q171" s="57">
        <v>0</v>
      </c>
    </row>
    <row r="172" spans="2:21" x14ac:dyDescent="0.25">
      <c r="B172" s="22">
        <v>42036</v>
      </c>
      <c r="C172" s="23" t="s">
        <v>91</v>
      </c>
      <c r="D172" s="32"/>
      <c r="E172" s="4"/>
      <c r="F172" s="57">
        <v>4310911</v>
      </c>
      <c r="G172" s="57">
        <v>0</v>
      </c>
      <c r="H172" s="57">
        <v>451375.82</v>
      </c>
      <c r="I172" s="57">
        <v>9027.5</v>
      </c>
      <c r="J172" s="57">
        <v>4513.7700000000004</v>
      </c>
      <c r="K172" s="26">
        <v>0</v>
      </c>
      <c r="L172" s="57">
        <v>0</v>
      </c>
      <c r="M172" s="57">
        <v>0</v>
      </c>
      <c r="N172" s="57">
        <v>3761465.0499999993</v>
      </c>
      <c r="O172" s="57">
        <v>84527.62000000001</v>
      </c>
      <c r="P172" s="57">
        <v>0</v>
      </c>
      <c r="Q172" s="57">
        <v>0</v>
      </c>
    </row>
    <row r="173" spans="2:21" x14ac:dyDescent="0.25">
      <c r="B173" s="22">
        <v>42036</v>
      </c>
      <c r="C173" s="23" t="s">
        <v>116</v>
      </c>
      <c r="D173" s="28" t="s">
        <v>152</v>
      </c>
      <c r="E173" s="4"/>
      <c r="F173" s="57">
        <v>444937</v>
      </c>
      <c r="G173" s="57">
        <v>377136</v>
      </c>
      <c r="H173" s="57">
        <v>45256.36</v>
      </c>
      <c r="I173" s="57">
        <v>905.13</v>
      </c>
      <c r="J173" s="57">
        <v>452.57000000000005</v>
      </c>
      <c r="K173" s="26">
        <v>21187.1</v>
      </c>
      <c r="L173" s="57">
        <v>0</v>
      </c>
      <c r="M173" s="57">
        <v>0</v>
      </c>
      <c r="N173" s="57">
        <v>0</v>
      </c>
      <c r="O173" s="57">
        <v>0</v>
      </c>
      <c r="P173" s="57">
        <v>0</v>
      </c>
      <c r="Q173" s="57">
        <v>0</v>
      </c>
    </row>
    <row r="174" spans="2:21" x14ac:dyDescent="0.25">
      <c r="B174" s="22">
        <v>42036</v>
      </c>
      <c r="C174" s="23" t="s">
        <v>97</v>
      </c>
      <c r="D174" s="32"/>
      <c r="E174" s="4"/>
      <c r="F174" s="57">
        <v>2416692</v>
      </c>
      <c r="G174" s="57">
        <v>0</v>
      </c>
      <c r="H174" s="57">
        <v>253058.52</v>
      </c>
      <c r="I174" s="57">
        <v>5061.17</v>
      </c>
      <c r="J174" s="57">
        <v>2530.56</v>
      </c>
      <c r="K174" s="26">
        <v>0</v>
      </c>
      <c r="L174" s="57">
        <v>0</v>
      </c>
      <c r="M174" s="57">
        <v>0</v>
      </c>
      <c r="N174" s="57">
        <v>2101321</v>
      </c>
      <c r="O174" s="57">
        <v>47220.889999999992</v>
      </c>
      <c r="P174" s="57">
        <v>7500</v>
      </c>
      <c r="Q174" s="57">
        <v>0</v>
      </c>
    </row>
    <row r="175" spans="2:21" x14ac:dyDescent="0.25">
      <c r="B175" s="22">
        <v>42036</v>
      </c>
      <c r="C175" s="23" t="s">
        <v>122</v>
      </c>
      <c r="D175" s="32"/>
      <c r="E175" s="4"/>
      <c r="F175" s="57">
        <v>3542289.1</v>
      </c>
      <c r="G175" s="57">
        <v>0</v>
      </c>
      <c r="H175" s="57">
        <v>370902.24</v>
      </c>
      <c r="I175" s="57">
        <v>7418.05</v>
      </c>
      <c r="J175" s="57">
        <v>3709.02</v>
      </c>
      <c r="K175" s="26">
        <v>0</v>
      </c>
      <c r="L175" s="57">
        <v>0</v>
      </c>
      <c r="M175" s="57">
        <v>0</v>
      </c>
      <c r="N175" s="57">
        <v>3088602</v>
      </c>
      <c r="O175" s="57">
        <v>69407.070000000007</v>
      </c>
      <c r="P175" s="57">
        <v>2250</v>
      </c>
      <c r="Q175" s="57">
        <v>0</v>
      </c>
    </row>
    <row r="176" spans="2:21" x14ac:dyDescent="0.25">
      <c r="B176" s="22">
        <v>42036</v>
      </c>
      <c r="C176" s="23" t="s">
        <v>118</v>
      </c>
      <c r="D176" s="28" t="s">
        <v>119</v>
      </c>
      <c r="E176" s="4"/>
      <c r="F176" s="44">
        <v>470313</v>
      </c>
      <c r="G176" s="44">
        <v>398644.5</v>
      </c>
      <c r="H176" s="44">
        <v>47837.34</v>
      </c>
      <c r="I176" s="44">
        <v>956.75</v>
      </c>
      <c r="J176" s="44">
        <v>478.38</v>
      </c>
      <c r="K176" s="30">
        <v>22395.84</v>
      </c>
      <c r="L176" s="44">
        <v>0</v>
      </c>
      <c r="M176" s="44">
        <v>0</v>
      </c>
      <c r="N176" s="44">
        <v>0</v>
      </c>
      <c r="O176" s="44">
        <v>0</v>
      </c>
      <c r="P176" s="44">
        <v>0</v>
      </c>
      <c r="Q176" s="44">
        <v>0</v>
      </c>
    </row>
    <row r="177" spans="2:17" x14ac:dyDescent="0.25">
      <c r="B177" s="22">
        <v>42036</v>
      </c>
      <c r="C177" s="23" t="s">
        <v>105</v>
      </c>
      <c r="D177" s="28" t="s">
        <v>106</v>
      </c>
      <c r="E177" s="4"/>
      <c r="F177" s="44">
        <v>71523</v>
      </c>
      <c r="G177" s="44">
        <v>27446.9</v>
      </c>
      <c r="H177" s="44">
        <v>3293.63</v>
      </c>
      <c r="I177" s="44">
        <v>65.87</v>
      </c>
      <c r="J177" s="44">
        <v>32.94</v>
      </c>
      <c r="K177" s="30">
        <v>1541.97</v>
      </c>
      <c r="L177" s="44">
        <v>34504.5</v>
      </c>
      <c r="M177" s="44">
        <v>4313.5</v>
      </c>
      <c r="N177" s="44">
        <v>0</v>
      </c>
      <c r="O177" s="44">
        <v>0</v>
      </c>
      <c r="P177" s="44"/>
      <c r="Q177" s="44">
        <v>324</v>
      </c>
    </row>
    <row r="178" spans="2:17" x14ac:dyDescent="0.25">
      <c r="B178" s="22">
        <v>42036</v>
      </c>
      <c r="C178" s="23" t="s">
        <v>103</v>
      </c>
      <c r="D178" s="51"/>
      <c r="E178" s="51"/>
      <c r="F178" s="44">
        <v>1417184</v>
      </c>
      <c r="G178" s="44">
        <v>0</v>
      </c>
      <c r="H178" s="44">
        <v>148386.92000000001</v>
      </c>
      <c r="I178" s="44">
        <v>2967.73</v>
      </c>
      <c r="J178" s="44">
        <v>1483.87</v>
      </c>
      <c r="K178" s="30">
        <v>0</v>
      </c>
      <c r="L178" s="44">
        <v>0</v>
      </c>
      <c r="M178" s="44">
        <v>0</v>
      </c>
      <c r="N178" s="44">
        <v>1236557.7</v>
      </c>
      <c r="O178" s="44">
        <v>27787.93</v>
      </c>
      <c r="P178" s="44">
        <v>0</v>
      </c>
      <c r="Q178" s="44">
        <v>0</v>
      </c>
    </row>
    <row r="179" spans="2:17" x14ac:dyDescent="0.25">
      <c r="B179" s="22">
        <v>42036</v>
      </c>
      <c r="C179" s="23" t="s">
        <v>101</v>
      </c>
      <c r="D179" s="51"/>
      <c r="E179" s="51"/>
      <c r="F179" s="57">
        <v>3442949</v>
      </c>
      <c r="G179" s="57">
        <v>0</v>
      </c>
      <c r="H179" s="57">
        <v>360495.4</v>
      </c>
      <c r="I179" s="57">
        <v>7209.9100000000008</v>
      </c>
      <c r="J179" s="57">
        <v>3604.9700000000007</v>
      </c>
      <c r="K179" s="26">
        <v>0</v>
      </c>
      <c r="L179" s="57">
        <v>0</v>
      </c>
      <c r="M179" s="57">
        <v>0</v>
      </c>
      <c r="N179" s="57">
        <v>3004128.3800000004</v>
      </c>
      <c r="O179" s="57">
        <v>67508.76999999999</v>
      </c>
      <c r="P179" s="57">
        <v>0</v>
      </c>
      <c r="Q179" s="57">
        <v>0</v>
      </c>
    </row>
    <row r="180" spans="2:17" x14ac:dyDescent="0.25">
      <c r="B180" s="22">
        <v>42036</v>
      </c>
      <c r="C180" s="23" t="s">
        <v>111</v>
      </c>
      <c r="D180" s="51"/>
      <c r="E180" s="51"/>
      <c r="F180" s="57">
        <v>462291</v>
      </c>
      <c r="G180" s="57">
        <v>0</v>
      </c>
      <c r="H180" s="57">
        <v>48404.4</v>
      </c>
      <c r="I180" s="57">
        <v>968.09</v>
      </c>
      <c r="J180" s="57">
        <v>484.04</v>
      </c>
      <c r="K180" s="57">
        <v>0</v>
      </c>
      <c r="L180" s="57">
        <v>0</v>
      </c>
      <c r="M180" s="57">
        <v>0</v>
      </c>
      <c r="N180" s="57">
        <v>403370</v>
      </c>
      <c r="O180" s="57">
        <v>9064.5300000000007</v>
      </c>
      <c r="P180" s="57">
        <v>0</v>
      </c>
      <c r="Q180" s="57">
        <v>0</v>
      </c>
    </row>
    <row r="181" spans="2:17" x14ac:dyDescent="0.25">
      <c r="B181" s="22">
        <v>42036</v>
      </c>
      <c r="C181" s="23" t="s">
        <v>131</v>
      </c>
      <c r="D181" s="51"/>
      <c r="E181" s="51"/>
      <c r="F181" s="44">
        <v>8494519</v>
      </c>
      <c r="G181" s="44">
        <v>0</v>
      </c>
      <c r="H181" s="44">
        <v>889422.59</v>
      </c>
      <c r="I181" s="44">
        <v>17788.460000000003</v>
      </c>
      <c r="J181" s="44">
        <v>8894.2200000000012</v>
      </c>
      <c r="K181" s="44">
        <v>0</v>
      </c>
      <c r="L181" s="44">
        <v>0</v>
      </c>
      <c r="M181" s="44">
        <v>0</v>
      </c>
      <c r="N181" s="44">
        <v>7411854.8400000008</v>
      </c>
      <c r="O181" s="44">
        <v>166559.20000000001</v>
      </c>
      <c r="P181" s="44">
        <v>0</v>
      </c>
      <c r="Q181" s="4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working</vt:lpstr>
      <vt:lpstr>final for vat 704</vt:lpstr>
      <vt:lpstr>as per Ledger INPUT</vt:lpstr>
      <vt:lpstr>as per Ledger Output</vt:lpstr>
      <vt:lpstr>Reduction Working</vt:lpstr>
      <vt:lpstr>J2</vt:lpstr>
      <vt:lpstr>working!Print_Area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2016-01-06T10:12:42Z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