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Q1" sheetId="1" r:id="rId1"/>
    <sheet name="Q2" sheetId="2" r:id="rId2"/>
    <sheet name="Q3" sheetId="3" r:id="rId3"/>
    <sheet name="Q4" sheetId="4" r:id="rId4"/>
    <sheet name="Q5" sheetId="5" r:id="rId5"/>
    <sheet name="Q6" sheetId="6" r:id="rId6"/>
    <sheet name="Q7" sheetId="7" r:id="rId7"/>
  </sheets>
  <calcPr calcId="145621"/>
</workbook>
</file>

<file path=xl/calcChain.xml><?xml version="1.0" encoding="utf-8"?>
<calcChain xmlns="http://schemas.openxmlformats.org/spreadsheetml/2006/main">
  <c r="H41" i="7" l="1"/>
  <c r="H40" i="7"/>
  <c r="H38" i="7"/>
  <c r="H37" i="7"/>
  <c r="H35" i="7"/>
  <c r="H30" i="7"/>
  <c r="I24" i="7"/>
  <c r="I23" i="7"/>
  <c r="D16" i="6"/>
  <c r="D14" i="6"/>
  <c r="D11" i="6"/>
  <c r="C29" i="5"/>
  <c r="C28" i="5"/>
  <c r="C27" i="5"/>
  <c r="C25" i="5"/>
  <c r="D20" i="5"/>
  <c r="D18" i="5"/>
  <c r="C17" i="5"/>
  <c r="D15" i="5"/>
  <c r="D14" i="5"/>
  <c r="D11" i="5"/>
  <c r="D9" i="5"/>
  <c r="C31" i="4"/>
  <c r="C33" i="4" s="1"/>
  <c r="C29" i="4"/>
  <c r="C18" i="4"/>
  <c r="D17" i="4"/>
  <c r="D15" i="4"/>
  <c r="D13" i="4"/>
  <c r="D11" i="4"/>
  <c r="D33" i="4" l="1"/>
  <c r="C34" i="4" s="1"/>
  <c r="D20" i="3"/>
  <c r="E19" i="3"/>
  <c r="E20" i="3" s="1"/>
  <c r="D56" i="2"/>
  <c r="E56" i="2"/>
  <c r="F56" i="2"/>
  <c r="E55" i="2"/>
  <c r="D55" i="2"/>
  <c r="F55" i="2" s="1"/>
  <c r="F54" i="2"/>
  <c r="E54" i="2"/>
  <c r="D54" i="2"/>
  <c r="F53" i="2"/>
  <c r="D53" i="2"/>
  <c r="F45" i="2"/>
  <c r="F44" i="2"/>
  <c r="F41" i="2"/>
  <c r="F40" i="2"/>
  <c r="E30" i="2" l="1"/>
  <c r="E29" i="2"/>
  <c r="E28" i="2"/>
  <c r="E27" i="2"/>
  <c r="E24" i="2"/>
  <c r="E23" i="2"/>
  <c r="E22" i="2"/>
  <c r="E20" i="2"/>
  <c r="D16" i="2"/>
  <c r="E12" i="2"/>
  <c r="D12" i="2"/>
  <c r="E11" i="2"/>
  <c r="E10" i="2"/>
  <c r="D11" i="2"/>
  <c r="D10" i="2"/>
  <c r="F66" i="1"/>
  <c r="F64" i="1"/>
  <c r="E64" i="1"/>
  <c r="E63" i="1"/>
  <c r="F61" i="1"/>
  <c r="F60" i="1"/>
  <c r="F59" i="1"/>
  <c r="F58" i="1"/>
  <c r="E47" i="1" l="1"/>
  <c r="E46" i="1"/>
  <c r="E29" i="1"/>
  <c r="F29" i="1" s="1"/>
  <c r="F24" i="1" l="1"/>
  <c r="D20" i="1"/>
  <c r="E15" i="1"/>
  <c r="E17" i="1" s="1"/>
  <c r="F12" i="1"/>
  <c r="E11" i="1"/>
  <c r="D19" i="1" l="1"/>
  <c r="E20" i="1"/>
  <c r="F21" i="1" s="1"/>
  <c r="F25" i="1" s="1"/>
  <c r="F31" i="1" s="1"/>
</calcChain>
</file>

<file path=xl/sharedStrings.xml><?xml version="1.0" encoding="utf-8"?>
<sst xmlns="http://schemas.openxmlformats.org/spreadsheetml/2006/main" count="272" uniqueCount="240">
  <si>
    <t>Answer to Question 1</t>
  </si>
  <si>
    <t>1 (A)</t>
  </si>
  <si>
    <t>Computation of total income of Kamal for AY 2014-15</t>
  </si>
  <si>
    <t>Income from Salary</t>
  </si>
  <si>
    <t>Salary including Dearness Allowance</t>
  </si>
  <si>
    <t>Bonus</t>
  </si>
  <si>
    <t>Perquisites:</t>
  </si>
  <si>
    <t xml:space="preserve">   Salary to servant provided by employer</t>
  </si>
  <si>
    <t xml:space="preserve">   Gas, Electricity and Water facility</t>
  </si>
  <si>
    <t>Notes:</t>
  </si>
  <si>
    <t>1. Perquisite of laptop is not taxable</t>
  </si>
  <si>
    <t>Income from House Property</t>
  </si>
  <si>
    <t>Actual rent receivable (taken as Gross Annual Value, in absence of other information)</t>
  </si>
  <si>
    <t>Less: Municipal taxes paid</t>
  </si>
  <si>
    <t>Net Annual Value</t>
  </si>
  <si>
    <t>Less: Deductions u/s 24</t>
  </si>
  <si>
    <t xml:space="preserve">   30% of NAV</t>
  </si>
  <si>
    <t xml:space="preserve">   Interest on borrowed capital</t>
  </si>
  <si>
    <t>2. Insurance for his flat is not allowed as deduction since 30% of NAV is already deductible u/s 24.</t>
  </si>
  <si>
    <t>3. Interest on borrowed capital is calculated assuming that the outstanding balance of the loan is Rs 160,000 as on 1-4-2013.</t>
  </si>
  <si>
    <t>4. Net loss in speculation business of Rs 5,200 (20,200-15,000) cannot be set off against other incomes of the current year but can be carried forward to the next year.</t>
  </si>
  <si>
    <t>Income from Other Sources</t>
  </si>
  <si>
    <t>Gift received from friends</t>
  </si>
  <si>
    <t>Gross Total Income</t>
  </si>
  <si>
    <r>
      <t xml:space="preserve">Less: </t>
    </r>
    <r>
      <rPr>
        <u/>
        <sz val="11"/>
        <color theme="1"/>
        <rFont val="Calibri"/>
        <family val="2"/>
        <scheme val="minor"/>
      </rPr>
      <t>Deductions u/s 80C</t>
    </r>
  </si>
  <si>
    <t xml:space="preserve">   Contribution to PPF</t>
  </si>
  <si>
    <t xml:space="preserve">   Contribution to ULIP</t>
  </si>
  <si>
    <t>5. Tax saver deposit in name of married son is not eligible for deduction u/s 80C.</t>
  </si>
  <si>
    <t xml:space="preserve">   LIC Premium for policy of married daughter</t>
  </si>
  <si>
    <t xml:space="preserve">   (upto 10% of sum assured)</t>
  </si>
  <si>
    <t>Total Income</t>
  </si>
  <si>
    <t>1 (B)</t>
  </si>
  <si>
    <t>Computation of value of taxable services and service tax payable thereon</t>
  </si>
  <si>
    <t>Processing of raw material to make it fit for production</t>
  </si>
  <si>
    <t>Advance received for the above services</t>
  </si>
  <si>
    <t>1. Since taxable services provided by Farm Heroes was more than Rs 10 lacs in the preceding year, they cannot enjoy the small service providers' exemption in the current year.</t>
  </si>
  <si>
    <t>2. Supply of farm labour and testing of soil of farm land are covered under the negative list, hence they are not taxable services.</t>
  </si>
  <si>
    <t xml:space="preserve">3. Value of services provided free is not taxable. </t>
  </si>
  <si>
    <t>Total value of taxable services</t>
  </si>
  <si>
    <t>Service tax payable on the above</t>
  </si>
  <si>
    <t>1 (C)</t>
  </si>
  <si>
    <t>Calculation of VAT payable for January 2014 for Mr Vijay</t>
  </si>
  <si>
    <t>Sale of product X in Gujarat</t>
  </si>
  <si>
    <t>Sale Amount</t>
  </si>
  <si>
    <t>Sale of product Y in Gujarat</t>
  </si>
  <si>
    <t>Sale of product Z in Delhi</t>
  </si>
  <si>
    <t>VAT/CST Rate</t>
  </si>
  <si>
    <t>VAT/CST amount</t>
  </si>
  <si>
    <t>Total Output VAT and Output CST</t>
  </si>
  <si>
    <t>1. No Input VAT credit is available for raw material A since it is exempt from VAT</t>
  </si>
  <si>
    <t>Less: Input VAT paid on purchase of raw material B</t>
  </si>
  <si>
    <t>Input VAT</t>
  </si>
  <si>
    <t xml:space="preserve">           Input VAT paid on purchase of raw material C</t>
  </si>
  <si>
    <t>2. Only 50% Input VAT credit is available for raw material C since only 50% of it is used for manufacture of taxable goods.</t>
  </si>
  <si>
    <t>Input VAT credit to be carried forward to February 2014</t>
  </si>
  <si>
    <t>Hence no VAT is payable by Mr Vijay for January 2014</t>
  </si>
  <si>
    <t>3. No output VAT is leviable on product E since it is exempt from levy of VAT.</t>
  </si>
  <si>
    <t>Answer to Question 2</t>
  </si>
  <si>
    <t>2 (A)</t>
  </si>
  <si>
    <t>Date of acquisition &amp; installation of P&amp;M</t>
  </si>
  <si>
    <t>Actual cost (Rs. crs)</t>
  </si>
  <si>
    <t>For AY 2014-15 (PY 2013-14)</t>
  </si>
  <si>
    <t>Normal Depn (Rs.)</t>
  </si>
  <si>
    <t>Additional Depn (Rs.)</t>
  </si>
  <si>
    <t>Note: Both normal and additional depreciation are available for full year as the P&amp;M was put to use for more than 180 days</t>
  </si>
  <si>
    <t>Total</t>
  </si>
  <si>
    <t>Deduction u/s 32AC is</t>
  </si>
  <si>
    <t>Computation of normal &amp; additional depreciation and deduction u/s 32AC available to JK Ltd</t>
  </si>
  <si>
    <t>For AY 2015-16 (PY 2014-15)</t>
  </si>
  <si>
    <t>Op WDV of P&amp;M installed in PY 2013-14</t>
  </si>
  <si>
    <t>New P&amp;M installed on 15-4-2014</t>
  </si>
  <si>
    <t>Normal depreciation</t>
  </si>
  <si>
    <t>Additional depreciation on new P&amp;M</t>
  </si>
  <si>
    <t>Deduction u/s 32AC:</t>
  </si>
  <si>
    <t>Total P&amp;M installed in PY 2013-14 and PY 2014-15</t>
  </si>
  <si>
    <t>15% of the above</t>
  </si>
  <si>
    <t>Less: Deduction already allowed in PY 2013-14</t>
  </si>
  <si>
    <t>Further deduction u/s 32AC allowed in PY 2014-15</t>
  </si>
  <si>
    <t>Note: If asset acquired on 31-8-2013 is sold on 1-5-2016, the deduction u/s 32AC allowed in respect of it will be reversed.</t>
  </si>
  <si>
    <t xml:space="preserve">             In other words, Rs 3 cr (being 15% of 20 cr) will be business income in the PY 2016-17.</t>
  </si>
  <si>
    <t xml:space="preserve">             Also, any STCG u/s 50 may also be taxable in the PY 2016-17.</t>
  </si>
  <si>
    <t>2(B)</t>
  </si>
  <si>
    <t>Professional fee received (inclusive of service tax) and net of TDS</t>
  </si>
  <si>
    <t>TDS u/s 194J @ 10%</t>
  </si>
  <si>
    <t>Value of taxable services including service tax</t>
  </si>
  <si>
    <t>Since service tax is included in the above, it has to found out using back calculation</t>
  </si>
  <si>
    <t>Service tax amount</t>
  </si>
  <si>
    <t>Value of taxable services</t>
  </si>
  <si>
    <t>Note: Unlike section 194-I, TDS u/s 194-J is applicable on the total of value of taxable services and the amount of service tax.</t>
  </si>
  <si>
    <t xml:space="preserve">             But there is a recent CBDT circular saying that no TDS shall be applicable on any service tax amount. </t>
  </si>
  <si>
    <t>2(C)</t>
  </si>
  <si>
    <t>Sale price</t>
  </si>
  <si>
    <t>Output VAT</t>
  </si>
  <si>
    <t>Input VAT Credit</t>
  </si>
  <si>
    <t>Net VAT Liability</t>
  </si>
  <si>
    <t>Figures in Rupees</t>
  </si>
  <si>
    <t>Javed</t>
  </si>
  <si>
    <t>Kabir</t>
  </si>
  <si>
    <t>Hakim</t>
  </si>
  <si>
    <t>Mohan</t>
  </si>
  <si>
    <t>Answer to Question 3</t>
  </si>
  <si>
    <t>3 (A)</t>
  </si>
  <si>
    <t>Tax treatment of medical benefits received in the hands of Ms Rakhi for PY 2013-14</t>
  </si>
  <si>
    <t>Reimbursement of medical expenses</t>
  </si>
  <si>
    <t xml:space="preserve">    On treatment of self employed daughter</t>
  </si>
  <si>
    <t xml:space="preserve">    On treatment of herself</t>
  </si>
  <si>
    <t>Exempt</t>
  </si>
  <si>
    <t>Taxable</t>
  </si>
  <si>
    <t xml:space="preserve">    On treatment of her mother in law</t>
  </si>
  <si>
    <t>1. Mother in law is not included in definition of family member for the purpose of medical benefits.</t>
  </si>
  <si>
    <t>Payment of mediclaim policy on her health</t>
  </si>
  <si>
    <t>Medical Allowance (2000 x 12)</t>
  </si>
  <si>
    <t>Reimbursement of medical expenses on treatment of son in govt hospital</t>
  </si>
  <si>
    <t>Expenses incurred by company on treatment of minor son abroad, including cost of travel and stay abroad (exempt upto the limit prescribed by RBI)</t>
  </si>
  <si>
    <t>3 (B)</t>
  </si>
  <si>
    <t>In case of renting of immovable property service, a deduction of property taxes paid in respect of the immovable property is allowed from the gross amount charged for renting of the said immovable property vide Notification No.29/2012 ST dated 20.06.2012. However, where any amount in excess of the amount required to be paid towards service tax liability has been paid on account of non-availment of such deduction, such excess amount may be adjusted against the service tax liability within 1 year from the date of payment of such property tax. The details of such adjustment shall be intimated to the Superintendent of Central Excise having jurisdiction over the service provider within a period of 15 days from the date of such adjustment.</t>
  </si>
  <si>
    <t>3 (C)</t>
  </si>
  <si>
    <t>VAT registration may be cancelled in the following circumstances</t>
  </si>
  <si>
    <t>discontinuance of business, or</t>
  </si>
  <si>
    <t>disposal of business, or</t>
  </si>
  <si>
    <t>transfer of business to a new location, or</t>
  </si>
  <si>
    <t>annual turnover of the assessee falling below the specified amount</t>
  </si>
  <si>
    <t>Answer to Question 4</t>
  </si>
  <si>
    <t>4 (A)</t>
  </si>
  <si>
    <t>Option - 1: Taking House 1 as self occupied and House 2 as deemed to be let out</t>
  </si>
  <si>
    <t>House 1</t>
  </si>
  <si>
    <t>House 2</t>
  </si>
  <si>
    <t>Gross Annual Value</t>
  </si>
  <si>
    <t>(Higher of MV and FR, but Limited to SR)</t>
  </si>
  <si>
    <t>NIL</t>
  </si>
  <si>
    <t>Less: Municipal Taxes Paid</t>
  </si>
  <si>
    <t>NA</t>
  </si>
  <si>
    <t>Less: Deductions u/s 24:</t>
  </si>
  <si>
    <t>Net Annual Value (NAV)</t>
  </si>
  <si>
    <t>Income from house property</t>
  </si>
  <si>
    <t>Total Income from house property</t>
  </si>
  <si>
    <t>Option - 2: Taking House 2 as self occupied and House 1 as deemed to be let out</t>
  </si>
  <si>
    <t>Since Option 2 results in lower IFHP, Nisha should choose House 1 as deemed to be let out as House 2 as self occupied</t>
  </si>
  <si>
    <t>Her Income from House Property is Rs 40,000</t>
  </si>
  <si>
    <t>4 (B)</t>
  </si>
  <si>
    <t>Bundled service refers to combining two or more services by a service provider, each of which may be taxed at different rates, or one of the services may be taxable while the others are exempt. For example, Renting of a residential dwelling which is for use partly as a residence and partly for non residential purpose like an office of a lawyer or the clinic of a doctor would also be a case of bundled services as renting service is being provided both for residential use and for non residential use. Taxability of such bundled services has to be determined in terms of the principles laid down in section 66F of the Finance Act, 1994. The section says that (a) if various elements of such service are naturally bundled in the ordinary course of business, it shall be treated as provision of the single service which gives such bundle its essential character;
 (b) if various elements of such service are not naturally bundled in the ordinary course of business, it shall be treated as provision of the single service which results in highest liability of service tax. For example, a hotel provides a 4 days-3 nights package with the facility of breakfast. This is a natural bundling of services in the ordinary course of business. The service of hotel accommodation gives the bundle the essential character and would, therefore, be treated as service of providing hotel accommodation.</t>
  </si>
  <si>
    <t>4 (C)</t>
  </si>
  <si>
    <t>VAT system can be said to be non beneficial as compared to single last point system because while in the latter, there is just a single tax at the last point in the supply chain, whereas in the former, there are multiple levels of taxation starting from the first person in the supply chain, mostly the manufacturer. The tax chain continues with the wholesaler, distributor and retailer too. Other three deficiencies of VAT system in India are as follows: 1) VAT system requires extensive record keeping in the form of invoices, registers to keep track of sales, purchases and input credits. Hence there is an increased compliance cost. 2) Since tax is imposed at various stages, it increases the working capital requirements and the corresponding interest burden. 3) VAT is a regressive tax. Its burden falls disproportionately on the poor since the poor are likely to spend a greater proportion of their income compared to a rich person.</t>
  </si>
  <si>
    <t>Answer to Question 5</t>
  </si>
  <si>
    <t>5 (A)</t>
  </si>
  <si>
    <t>Computation of taxable capital gains of Mr. Roy for AY 2014-15</t>
  </si>
  <si>
    <t>Sale consideration of the property</t>
  </si>
  <si>
    <t>(Since actual sale consideration is less than stamp duty value, stamp duty value shall be taken as the deemed sale consideration u/s 50C)</t>
  </si>
  <si>
    <t>Rs.</t>
  </si>
  <si>
    <t>Less: Expenses on transfer</t>
  </si>
  <si>
    <t xml:space="preserve">          (2% of Rs 53 lacs)</t>
  </si>
  <si>
    <t>Net sale consideration</t>
  </si>
  <si>
    <t>Less: Indexed cost of acquisition</t>
  </si>
  <si>
    <t xml:space="preserve">          600000 x (939/140)</t>
  </si>
  <si>
    <t>Long Term Capital Gain</t>
  </si>
  <si>
    <t>Less: Exemption u/s 54</t>
  </si>
  <si>
    <t xml:space="preserve">           Exemption u/s 54EC</t>
  </si>
  <si>
    <t>Taxable Long Term Capital Gains</t>
  </si>
  <si>
    <t>Tax is calculated as follows:</t>
  </si>
  <si>
    <t>On first Rs 200000</t>
  </si>
  <si>
    <t>On balance Rs 69714, @ 20%</t>
  </si>
  <si>
    <t>Less: Rebate u/s 87A</t>
  </si>
  <si>
    <t>Balance</t>
  </si>
  <si>
    <t>Add: 3% Education Cess</t>
  </si>
  <si>
    <t>Total tax liability</t>
  </si>
  <si>
    <t>Rounded off to</t>
  </si>
  <si>
    <t>Since Mr. Roy has no other income, he can set off   Rs 200000 (the basic exemption limit) against his LTCG income.</t>
  </si>
  <si>
    <t>1. Rs 5 lacs worth of REC bonds purchased on 15-6-2014 are not considered for exemption u/s 54EC, as they are purchased more than 6 months after the date of transfer</t>
  </si>
  <si>
    <t xml:space="preserve">2. Rs 3 lacs deposited in Capital Gains Deposit Scheme on 1-11-2014 is not considered for exemption u/s 54 since the same is deposited after 31-7-2014, the due date of filing return of income. </t>
  </si>
  <si>
    <t>5 (B)</t>
  </si>
  <si>
    <t>(1) The statement is false. If Mr Vikas is a registered service provider, he has to file a NIL return even if he did not provide any services during the respective half year.</t>
  </si>
  <si>
    <t>(2) The statement is true. A return filed belatedly is still a return filed under Rule 7 of the Service Tax Rules, 1994. As per Rule 7B, an assessee may revise a return filed under Rule 7 within 90 days.</t>
  </si>
  <si>
    <t>5 (C)</t>
  </si>
  <si>
    <t>(1) True. The entire VAT system is based upon the mechanism of issuing invoice and taking credit based on it.</t>
  </si>
  <si>
    <t>(2) False. VAT does not increase price as input credit is available at all subsequent stages.</t>
  </si>
  <si>
    <t>(3) False. There is no fixed VAT rate throughout the country. Rates may vary from State to State.</t>
  </si>
  <si>
    <t>(4) True. If the invoice is issued inclusive of VAT amount, then at least the rate of VAT included in the amount should be mentioned.</t>
  </si>
  <si>
    <t>Answer to Question 6</t>
  </si>
  <si>
    <t>6 (A)</t>
  </si>
  <si>
    <t>Computation of Gross Total Income of Mr Garg for the AY 2014-15</t>
  </si>
  <si>
    <t xml:space="preserve">Looks like the question should have mentioned PY 2013-14 instead of PY 2012-13 in the first line </t>
  </si>
  <si>
    <t>Income from business</t>
  </si>
  <si>
    <t>Less: Unabsorbed depreciation</t>
  </si>
  <si>
    <t>Long term capital gain on sale of land</t>
  </si>
  <si>
    <t>Less: B/f Short Term Capital Loss</t>
  </si>
  <si>
    <t>1. Loss from speculative business of Rs 22,000 relating to AY 2013-14 shall be carried forward.</t>
  </si>
  <si>
    <t>2. Loss from maintenance of race horses of Rs 15,000 relating to AY 2014-15 shall be carried forward.</t>
  </si>
  <si>
    <t>3. Loss from gambling of Rs 9,100 can neither be set off nor carried forward.</t>
  </si>
  <si>
    <t>6 (B)</t>
  </si>
  <si>
    <t>Deduction u/s 80CCG is available only to Ria and Roma, as their GTI does not exceed Rs 12 lacs</t>
  </si>
  <si>
    <t>The deduction is 50% of investment or Rs 25,000, whichever is lower.</t>
  </si>
  <si>
    <t>So deduction available to Ria</t>
  </si>
  <si>
    <t>Rs 25,000</t>
  </si>
  <si>
    <t>Deduction available to Roma</t>
  </si>
  <si>
    <t>Rs 17,500 (being 50% of Rs 35,000)</t>
  </si>
  <si>
    <t>Raj will have capital gains or capital loss (depending on sale consideration) in case he sells his investments in FY 2014-15.</t>
  </si>
  <si>
    <t>6 (C)</t>
  </si>
  <si>
    <t>Service tax is always to be charged upon the gross amount of taxable services. These would include costs incurred by the service provider in course of providing the service like telephone, travelling, etc.</t>
  </si>
  <si>
    <t>It does not make a difference even if the service provider indicates these expenses separately in his invoice.</t>
  </si>
  <si>
    <t>The only case where any expenditure is excluded from the value of taxable service is when the service provider incurs them as "pure agent" of the service receiver.</t>
  </si>
  <si>
    <t>6 (D)</t>
  </si>
  <si>
    <t>Invoices are crucial documents for administering VAT. The entire system of VAT is based upon the invoice.</t>
  </si>
  <si>
    <t>A purchaser takes input credit based upon the VAT amount indicated in the invoice. Hence it is important for him to keep safe custody of the invoice.</t>
  </si>
  <si>
    <t>The State VAT department can do cross-checking based upon the declarations in the invoice, like registration numbers of the seller (and in some cases the purchaser)</t>
  </si>
  <si>
    <t>VAT invoice enables every dealer in the supply chain to take credit of VAT paid by him to his vendor.</t>
  </si>
  <si>
    <t>Answer to Question 7</t>
  </si>
  <si>
    <t>7 (A)</t>
  </si>
  <si>
    <t>(1) (A)</t>
  </si>
  <si>
    <t>(1) (B)</t>
  </si>
  <si>
    <t>TDS @ 10% (i.e Rs 1900) has to be deducted at source u/s 194 - J from sitting fees paid to directors</t>
  </si>
  <si>
    <t>TDs @ 1% (i.e. Rs 60,000) has to be deducted at source u/s 194 - IA from payment made by Mr Y to Mr X.</t>
  </si>
  <si>
    <t>(2) (A)</t>
  </si>
  <si>
    <t>With the available information, it is not possible to determine the due date of filing return of Mr Vineet.</t>
  </si>
  <si>
    <t xml:space="preserve">Assuming that the due dateof filing return was 31-7-2014, Mr Vineet has filed a belated return on 12-9-2014. </t>
  </si>
  <si>
    <t>As per the SC decision in Kumar Jagadish Chandra Sinha vs CIT (1996), a belated return cannot be revised.</t>
  </si>
  <si>
    <t>Had Mr. Vineet filed his original return in time, i.e, by 31-7-2014, he would have been able to file a revised return by 31-3-2016.</t>
  </si>
  <si>
    <t>(2) (B)</t>
  </si>
  <si>
    <t>The Statemetn is false. U/s 140 of the Income Tax Act, where the Karta of an HUF is absent from India, any other adult member (not necessarily male) may sign the return of income.</t>
  </si>
  <si>
    <t>(3) U/s 208, obligation to pay advance tax arises in every case where the advance tax liability is Rs 10,000 or more.</t>
  </si>
  <si>
    <t>An assessee has to estimate his current income and calculate tax liability as per the rates in force on that income.</t>
  </si>
  <si>
    <t>If any tax has been deducted at source, the same may be reduced from his tax liability and only the balance may be paid as advacne tax.</t>
  </si>
  <si>
    <t>7 (B)</t>
  </si>
  <si>
    <t xml:space="preserve">As per Rule 2B of the Service Tax (Determination of Value) Rules, 2006, the value of taxable service shall be the difference between the buying / selling rate and the RBI reference rate, </t>
  </si>
  <si>
    <t>multiplied by the total units of the currency.</t>
  </si>
  <si>
    <t>Hence the value of taxable service in this case is</t>
  </si>
  <si>
    <t>46000 x (60.50 - 60)</t>
  </si>
  <si>
    <t>Service tax payable thereon @ 12.36%</t>
  </si>
  <si>
    <t>7 (C)</t>
  </si>
  <si>
    <t>Inputs purchased during the month</t>
  </si>
  <si>
    <t>(Input VAT excluded, as credit for the same is available)</t>
  </si>
  <si>
    <t>Raw material purchased inter state</t>
  </si>
  <si>
    <t>(Input CST included, as credit for the same is not available)</t>
  </si>
  <si>
    <t>Transportation charges</t>
  </si>
  <si>
    <t>Total cost</t>
  </si>
  <si>
    <t>Sale proceeds of 90% of stock @ 20% profit on cost</t>
  </si>
  <si>
    <t>Output VAT on the above sale value @ 4%</t>
  </si>
  <si>
    <t>Less: Opening balance of VAT credit as on 1-12-2013</t>
  </si>
  <si>
    <t xml:space="preserve">           Credit of inputs purchased during the month</t>
  </si>
  <si>
    <t>Computation of VAT payable / Credit Carried Forward of Mr. X for Dec 2013</t>
  </si>
  <si>
    <t>Balance credit carried forward to January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</si>
</sst>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4"/>
      <color theme="1"/>
      <name val="Calibri"/>
      <family val="2"/>
      <scheme val="minor"/>
    </font>
    <font>
      <b/>
      <u/>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
    <xf numFmtId="0" fontId="0" fillId="0" borderId="0" xfId="0"/>
    <xf numFmtId="164" fontId="0" fillId="0" borderId="0" xfId="1" applyNumberFormat="1" applyFont="1"/>
    <xf numFmtId="0" fontId="2" fillId="0" borderId="0" xfId="0" applyFont="1"/>
    <xf numFmtId="0" fontId="3" fillId="0" borderId="0" xfId="0" applyFont="1"/>
    <xf numFmtId="164" fontId="0" fillId="0" borderId="1" xfId="1" applyNumberFormat="1" applyFont="1" applyBorder="1"/>
    <xf numFmtId="0" fontId="0" fillId="0" borderId="0" xfId="0" applyAlignment="1">
      <alignment wrapText="1"/>
    </xf>
    <xf numFmtId="0" fontId="2" fillId="0" borderId="0" xfId="0" applyFont="1" applyAlignment="1">
      <alignment horizontal="right"/>
    </xf>
    <xf numFmtId="164" fontId="2" fillId="0" borderId="0" xfId="1" applyNumberFormat="1" applyFont="1" applyAlignment="1">
      <alignment horizontal="right"/>
    </xf>
    <xf numFmtId="164" fontId="2" fillId="0" borderId="1" xfId="1" applyNumberFormat="1" applyFont="1" applyBorder="1"/>
    <xf numFmtId="0" fontId="4" fillId="0" borderId="0" xfId="0" applyFont="1"/>
    <xf numFmtId="0" fontId="0" fillId="0" borderId="0" xfId="0" applyAlignment="1">
      <alignment horizontal="right"/>
    </xf>
    <xf numFmtId="164" fontId="0" fillId="0" borderId="2" xfId="1" applyNumberFormat="1" applyFont="1" applyBorder="1"/>
    <xf numFmtId="9" fontId="0" fillId="0" borderId="0" xfId="2" applyFont="1"/>
    <xf numFmtId="164" fontId="2" fillId="0" borderId="0" xfId="1" applyNumberFormat="1" applyFont="1"/>
    <xf numFmtId="14" fontId="0" fillId="0" borderId="0" xfId="0" applyNumberFormat="1"/>
    <xf numFmtId="164" fontId="2" fillId="0" borderId="2" xfId="1" applyNumberFormat="1" applyFont="1" applyBorder="1"/>
    <xf numFmtId="0" fontId="2" fillId="0" borderId="0" xfId="0" applyFont="1" applyAlignment="1">
      <alignment wrapText="1"/>
    </xf>
    <xf numFmtId="0" fontId="5" fillId="0" borderId="0" xfId="0" applyFont="1"/>
    <xf numFmtId="164" fontId="0" fillId="0" borderId="0" xfId="0" applyNumberFormat="1"/>
    <xf numFmtId="0" fontId="0" fillId="0" borderId="0" xfId="0" applyFont="1"/>
    <xf numFmtId="164" fontId="2" fillId="0" borderId="0" xfId="0" applyNumberFormat="1" applyFont="1"/>
    <xf numFmtId="164" fontId="0" fillId="0" borderId="0" xfId="1" applyNumberFormat="1" applyFont="1" applyAlignment="1">
      <alignment wrapText="1"/>
    </xf>
    <xf numFmtId="0" fontId="0" fillId="0" borderId="0" xfId="0" applyAlignment="1"/>
    <xf numFmtId="0" fontId="0" fillId="0" borderId="0" xfId="0" applyFont="1" applyAlignment="1">
      <alignment vertical="center"/>
    </xf>
    <xf numFmtId="0" fontId="0" fillId="0" borderId="0" xfId="0" applyFont="1" applyAlignment="1">
      <alignment horizontal="left" vertical="center" indent="1"/>
    </xf>
    <xf numFmtId="0" fontId="0" fillId="0" borderId="0" xfId="0" applyAlignment="1">
      <alignment horizontal="left" wrapText="1"/>
    </xf>
    <xf numFmtId="164" fontId="0" fillId="0" borderId="0" xfId="1" applyNumberFormat="1" applyFont="1" applyAlignment="1">
      <alignment horizontal="center"/>
    </xf>
    <xf numFmtId="0" fontId="0" fillId="0" borderId="0" xfId="0" applyAlignment="1">
      <alignment horizontal="center"/>
    </xf>
    <xf numFmtId="0" fontId="0" fillId="0" borderId="0" xfId="0" applyAlignment="1">
      <alignment horizontal="left" vertical="top" wrapText="1"/>
    </xf>
    <xf numFmtId="164" fontId="0" fillId="0" borderId="1" xfId="0" applyNumberFormat="1" applyBorder="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72"/>
  <sheetViews>
    <sheetView tabSelected="1" workbookViewId="0"/>
  </sheetViews>
  <sheetFormatPr defaultRowHeight="15" x14ac:dyDescent="0.25"/>
  <cols>
    <col min="2" max="2" width="4.28515625" customWidth="1"/>
    <col min="3" max="3" width="39.5703125" customWidth="1"/>
    <col min="4" max="5" width="11.5703125" bestFit="1" customWidth="1"/>
  </cols>
  <sheetData>
    <row r="2" spans="2:6" ht="18.75" x14ac:dyDescent="0.3">
      <c r="B2" s="9" t="s">
        <v>0</v>
      </c>
    </row>
    <row r="4" spans="2:6" ht="18.75" x14ac:dyDescent="0.3">
      <c r="B4" s="9" t="s">
        <v>1</v>
      </c>
    </row>
    <row r="5" spans="2:6" x14ac:dyDescent="0.25">
      <c r="B5" s="2" t="s">
        <v>2</v>
      </c>
    </row>
    <row r="6" spans="2:6" x14ac:dyDescent="0.25">
      <c r="B6" s="3" t="s">
        <v>3</v>
      </c>
    </row>
    <row r="7" spans="2:6" x14ac:dyDescent="0.25">
      <c r="C7" t="s">
        <v>4</v>
      </c>
      <c r="E7" s="1">
        <v>500000</v>
      </c>
      <c r="F7" s="1"/>
    </row>
    <row r="8" spans="2:6" x14ac:dyDescent="0.25">
      <c r="C8" t="s">
        <v>5</v>
      </c>
      <c r="E8" s="1">
        <v>15000</v>
      </c>
      <c r="F8" s="1"/>
    </row>
    <row r="9" spans="2:6" x14ac:dyDescent="0.25">
      <c r="C9" t="s">
        <v>6</v>
      </c>
      <c r="D9" s="1"/>
      <c r="E9" s="1"/>
      <c r="F9" s="1"/>
    </row>
    <row r="10" spans="2:6" x14ac:dyDescent="0.25">
      <c r="C10" t="s">
        <v>7</v>
      </c>
      <c r="D10" s="1">
        <v>12000</v>
      </c>
      <c r="E10" s="1"/>
      <c r="F10" s="1"/>
    </row>
    <row r="11" spans="2:6" x14ac:dyDescent="0.25">
      <c r="C11" t="s">
        <v>8</v>
      </c>
      <c r="D11" s="4">
        <v>14500</v>
      </c>
      <c r="E11" s="4">
        <f>D11+D10</f>
        <v>26500</v>
      </c>
      <c r="F11" s="1"/>
    </row>
    <row r="12" spans="2:6" x14ac:dyDescent="0.25">
      <c r="C12" s="6" t="s">
        <v>3</v>
      </c>
      <c r="D12" s="1"/>
      <c r="F12" s="1">
        <f>SUM(E7:E11)</f>
        <v>541500</v>
      </c>
    </row>
    <row r="13" spans="2:6" x14ac:dyDescent="0.25">
      <c r="D13" s="1"/>
      <c r="E13" s="1"/>
      <c r="F13" s="1"/>
    </row>
    <row r="14" spans="2:6" x14ac:dyDescent="0.25">
      <c r="B14" s="3" t="s">
        <v>11</v>
      </c>
      <c r="D14" s="1"/>
      <c r="E14" s="1"/>
      <c r="F14" s="1"/>
    </row>
    <row r="15" spans="2:6" ht="45" x14ac:dyDescent="0.25">
      <c r="C15" s="5" t="s">
        <v>12</v>
      </c>
      <c r="E15" s="1">
        <f>5500*12</f>
        <v>66000</v>
      </c>
      <c r="F15" s="1"/>
    </row>
    <row r="16" spans="2:6" x14ac:dyDescent="0.25">
      <c r="C16" t="s">
        <v>13</v>
      </c>
      <c r="E16" s="4">
        <v>4500</v>
      </c>
      <c r="F16" s="1"/>
    </row>
    <row r="17" spans="2:6" x14ac:dyDescent="0.25">
      <c r="C17" t="s">
        <v>14</v>
      </c>
      <c r="E17" s="1">
        <f>+E15-E16</f>
        <v>61500</v>
      </c>
      <c r="F17" s="1"/>
    </row>
    <row r="18" spans="2:6" x14ac:dyDescent="0.25">
      <c r="C18" t="s">
        <v>15</v>
      </c>
      <c r="D18" s="1"/>
      <c r="E18" s="1"/>
      <c r="F18" s="1"/>
    </row>
    <row r="19" spans="2:6" x14ac:dyDescent="0.25">
      <c r="C19" t="s">
        <v>16</v>
      </c>
      <c r="D19" s="1">
        <f>+E17*0.3</f>
        <v>18450</v>
      </c>
      <c r="E19" s="1"/>
      <c r="F19" s="1"/>
    </row>
    <row r="20" spans="2:6" x14ac:dyDescent="0.25">
      <c r="C20" t="s">
        <v>17</v>
      </c>
      <c r="D20" s="4">
        <f>160000*0.15</f>
        <v>24000</v>
      </c>
      <c r="E20" s="4">
        <f>+D20+D19</f>
        <v>42450</v>
      </c>
      <c r="F20" s="1"/>
    </row>
    <row r="21" spans="2:6" x14ac:dyDescent="0.25">
      <c r="C21" s="6" t="s">
        <v>11</v>
      </c>
      <c r="D21" s="1"/>
      <c r="E21" s="1"/>
      <c r="F21" s="1">
        <f>+E17-E20</f>
        <v>19050</v>
      </c>
    </row>
    <row r="22" spans="2:6" x14ac:dyDescent="0.25">
      <c r="D22" s="1"/>
      <c r="E22" s="1"/>
      <c r="F22" s="1"/>
    </row>
    <row r="23" spans="2:6" x14ac:dyDescent="0.25">
      <c r="B23" s="3" t="s">
        <v>21</v>
      </c>
      <c r="D23" s="1"/>
      <c r="E23" s="1"/>
      <c r="F23" s="1"/>
    </row>
    <row r="24" spans="2:6" x14ac:dyDescent="0.25">
      <c r="C24" t="s">
        <v>22</v>
      </c>
      <c r="D24" s="1"/>
      <c r="F24" s="4">
        <f>25000*4</f>
        <v>100000</v>
      </c>
    </row>
    <row r="25" spans="2:6" x14ac:dyDescent="0.25">
      <c r="C25" s="6" t="s">
        <v>23</v>
      </c>
      <c r="D25" s="1"/>
      <c r="E25" s="1"/>
      <c r="F25" s="1">
        <f>+SUM(F12:F24)</f>
        <v>660550</v>
      </c>
    </row>
    <row r="26" spans="2:6" x14ac:dyDescent="0.25">
      <c r="C26" t="s">
        <v>24</v>
      </c>
      <c r="D26" s="1"/>
      <c r="E26" s="1"/>
      <c r="F26" s="1"/>
    </row>
    <row r="27" spans="2:6" x14ac:dyDescent="0.25">
      <c r="C27" t="s">
        <v>25</v>
      </c>
      <c r="E27" s="1">
        <v>10500</v>
      </c>
      <c r="F27" s="1"/>
    </row>
    <row r="28" spans="2:6" x14ac:dyDescent="0.25">
      <c r="C28" t="s">
        <v>26</v>
      </c>
      <c r="E28" s="1">
        <v>6000</v>
      </c>
      <c r="F28" s="1"/>
    </row>
    <row r="29" spans="2:6" x14ac:dyDescent="0.25">
      <c r="C29" t="s">
        <v>28</v>
      </c>
      <c r="E29" s="4">
        <f>200000*0.1</f>
        <v>20000</v>
      </c>
      <c r="F29" s="4">
        <f>+SUM(E27:E29)</f>
        <v>36500</v>
      </c>
    </row>
    <row r="30" spans="2:6" x14ac:dyDescent="0.25">
      <c r="C30" t="s">
        <v>29</v>
      </c>
      <c r="D30" s="1"/>
      <c r="E30" s="1"/>
      <c r="F30" s="1"/>
    </row>
    <row r="31" spans="2:6" x14ac:dyDescent="0.25">
      <c r="D31" s="1"/>
      <c r="E31" s="7" t="s">
        <v>30</v>
      </c>
      <c r="F31" s="8">
        <f>+F25-F29</f>
        <v>624050</v>
      </c>
    </row>
    <row r="34" spans="2:6" x14ac:dyDescent="0.25">
      <c r="C34" t="s">
        <v>9</v>
      </c>
    </row>
    <row r="35" spans="2:6" x14ac:dyDescent="0.25">
      <c r="C35" t="s">
        <v>10</v>
      </c>
    </row>
    <row r="36" spans="2:6" x14ac:dyDescent="0.25">
      <c r="C36" t="s">
        <v>18</v>
      </c>
    </row>
    <row r="37" spans="2:6" x14ac:dyDescent="0.25">
      <c r="C37" t="s">
        <v>19</v>
      </c>
    </row>
    <row r="38" spans="2:6" x14ac:dyDescent="0.25">
      <c r="C38" t="s">
        <v>20</v>
      </c>
    </row>
    <row r="39" spans="2:6" x14ac:dyDescent="0.25">
      <c r="C39" t="s">
        <v>27</v>
      </c>
    </row>
    <row r="42" spans="2:6" ht="18.75" x14ac:dyDescent="0.3">
      <c r="B42" s="9" t="s">
        <v>31</v>
      </c>
    </row>
    <row r="43" spans="2:6" x14ac:dyDescent="0.25">
      <c r="B43" s="2" t="s">
        <v>32</v>
      </c>
    </row>
    <row r="44" spans="2:6" x14ac:dyDescent="0.25">
      <c r="C44" t="s">
        <v>33</v>
      </c>
      <c r="E44" s="1">
        <v>635000</v>
      </c>
      <c r="F44" s="1"/>
    </row>
    <row r="45" spans="2:6" x14ac:dyDescent="0.25">
      <c r="C45" t="s">
        <v>34</v>
      </c>
      <c r="E45" s="1">
        <v>213000</v>
      </c>
      <c r="F45" s="1"/>
    </row>
    <row r="46" spans="2:6" ht="15.75" thickBot="1" x14ac:dyDescent="0.3">
      <c r="D46" s="10" t="s">
        <v>38</v>
      </c>
      <c r="E46" s="11">
        <f>+E45+E44</f>
        <v>848000</v>
      </c>
      <c r="F46" s="1"/>
    </row>
    <row r="47" spans="2:6" ht="15.75" thickTop="1" x14ac:dyDescent="0.25">
      <c r="D47" s="10" t="s">
        <v>39</v>
      </c>
      <c r="E47" s="1">
        <f>+E46*0.1236</f>
        <v>104812.8</v>
      </c>
      <c r="F47" s="1"/>
    </row>
    <row r="48" spans="2:6" x14ac:dyDescent="0.25">
      <c r="E48" s="1"/>
      <c r="F48" s="1"/>
    </row>
    <row r="49" spans="2:6" x14ac:dyDescent="0.25">
      <c r="B49" t="s">
        <v>9</v>
      </c>
      <c r="E49" s="1"/>
      <c r="F49" s="1"/>
    </row>
    <row r="50" spans="2:6" x14ac:dyDescent="0.25">
      <c r="B50" t="s">
        <v>35</v>
      </c>
      <c r="E50" s="1"/>
      <c r="F50" s="1"/>
    </row>
    <row r="51" spans="2:6" x14ac:dyDescent="0.25">
      <c r="B51" t="s">
        <v>36</v>
      </c>
      <c r="E51" s="1"/>
      <c r="F51" s="1"/>
    </row>
    <row r="52" spans="2:6" x14ac:dyDescent="0.25">
      <c r="B52" t="s">
        <v>37</v>
      </c>
      <c r="E52" s="1"/>
      <c r="F52" s="1"/>
    </row>
    <row r="53" spans="2:6" x14ac:dyDescent="0.25">
      <c r="E53" s="1"/>
      <c r="F53" s="1"/>
    </row>
    <row r="54" spans="2:6" x14ac:dyDescent="0.25">
      <c r="E54" s="1"/>
      <c r="F54" s="1"/>
    </row>
    <row r="55" spans="2:6" ht="18.75" x14ac:dyDescent="0.3">
      <c r="B55" s="9" t="s">
        <v>40</v>
      </c>
      <c r="E55" s="1"/>
      <c r="F55" s="1"/>
    </row>
    <row r="56" spans="2:6" x14ac:dyDescent="0.25">
      <c r="B56" s="2" t="s">
        <v>41</v>
      </c>
      <c r="E56" s="1"/>
      <c r="F56" s="1"/>
    </row>
    <row r="57" spans="2:6" x14ac:dyDescent="0.25">
      <c r="D57" t="s">
        <v>43</v>
      </c>
      <c r="E57" s="1" t="s">
        <v>46</v>
      </c>
      <c r="F57" s="1" t="s">
        <v>47</v>
      </c>
    </row>
    <row r="58" spans="2:6" x14ac:dyDescent="0.25">
      <c r="C58" t="s">
        <v>42</v>
      </c>
      <c r="D58" s="1">
        <v>500000</v>
      </c>
      <c r="E58" s="12">
        <v>0.04</v>
      </c>
      <c r="F58" s="1">
        <f>+D58*E58</f>
        <v>20000</v>
      </c>
    </row>
    <row r="59" spans="2:6" x14ac:dyDescent="0.25">
      <c r="C59" t="s">
        <v>44</v>
      </c>
      <c r="D59" s="1">
        <v>600000</v>
      </c>
      <c r="E59" s="12">
        <v>0</v>
      </c>
      <c r="F59" s="1">
        <f>+D59*E59</f>
        <v>0</v>
      </c>
    </row>
    <row r="60" spans="2:6" x14ac:dyDescent="0.25">
      <c r="C60" t="s">
        <v>45</v>
      </c>
      <c r="D60" s="1">
        <v>400000</v>
      </c>
      <c r="E60" s="12">
        <v>0.02</v>
      </c>
      <c r="F60" s="4">
        <f>+D60*E60</f>
        <v>8000</v>
      </c>
    </row>
    <row r="61" spans="2:6" x14ac:dyDescent="0.25">
      <c r="C61" s="6" t="s">
        <v>48</v>
      </c>
      <c r="D61" s="1"/>
      <c r="E61" s="12"/>
      <c r="F61" s="1">
        <f>SUM(F58:F60)</f>
        <v>28000</v>
      </c>
    </row>
    <row r="62" spans="2:6" x14ac:dyDescent="0.25">
      <c r="D62" s="1"/>
      <c r="E62" s="12" t="s">
        <v>51</v>
      </c>
      <c r="F62" s="1"/>
    </row>
    <row r="63" spans="2:6" x14ac:dyDescent="0.25">
      <c r="C63" t="s">
        <v>50</v>
      </c>
      <c r="D63" s="1"/>
      <c r="E63" s="1">
        <f>760000*1%</f>
        <v>7600</v>
      </c>
      <c r="F63" s="1"/>
    </row>
    <row r="64" spans="2:6" x14ac:dyDescent="0.25">
      <c r="C64" t="s">
        <v>52</v>
      </c>
      <c r="D64" s="1"/>
      <c r="E64" s="4">
        <f>1000000*0.125/2</f>
        <v>62500</v>
      </c>
      <c r="F64" s="4">
        <f>+E64+E63</f>
        <v>70100</v>
      </c>
    </row>
    <row r="65" spans="2:6" x14ac:dyDescent="0.25">
      <c r="D65" s="1"/>
      <c r="E65" s="1"/>
      <c r="F65" s="1"/>
    </row>
    <row r="66" spans="2:6" x14ac:dyDescent="0.25">
      <c r="C66" s="2" t="s">
        <v>54</v>
      </c>
      <c r="D66" s="13"/>
      <c r="E66" s="13"/>
      <c r="F66" s="13">
        <f>+F64-F61</f>
        <v>42100</v>
      </c>
    </row>
    <row r="67" spans="2:6" x14ac:dyDescent="0.25">
      <c r="C67" t="s">
        <v>55</v>
      </c>
      <c r="D67" s="1"/>
      <c r="E67" s="1"/>
      <c r="F67" s="1"/>
    </row>
    <row r="68" spans="2:6" x14ac:dyDescent="0.25">
      <c r="D68" s="1"/>
      <c r="E68" s="1"/>
      <c r="F68" s="1"/>
    </row>
    <row r="69" spans="2:6" x14ac:dyDescent="0.25">
      <c r="B69" t="s">
        <v>9</v>
      </c>
      <c r="D69" s="1"/>
      <c r="E69" s="1"/>
      <c r="F69" s="1"/>
    </row>
    <row r="70" spans="2:6" x14ac:dyDescent="0.25">
      <c r="B70" t="s">
        <v>49</v>
      </c>
      <c r="E70" s="1"/>
      <c r="F70" s="1"/>
    </row>
    <row r="71" spans="2:6" x14ac:dyDescent="0.25">
      <c r="B71" t="s">
        <v>53</v>
      </c>
    </row>
    <row r="72" spans="2:6" x14ac:dyDescent="0.25">
      <c r="B72" t="s">
        <v>56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56"/>
  <sheetViews>
    <sheetView workbookViewId="0"/>
  </sheetViews>
  <sheetFormatPr defaultRowHeight="15" x14ac:dyDescent="0.25"/>
  <cols>
    <col min="2" max="2" width="19.140625" customWidth="1"/>
    <col min="3" max="4" width="12.5703125" bestFit="1" customWidth="1"/>
    <col min="5" max="5" width="16" customWidth="1"/>
    <col min="6" max="6" width="12.5703125" bestFit="1" customWidth="1"/>
  </cols>
  <sheetData>
    <row r="2" spans="2:5" ht="18.75" x14ac:dyDescent="0.3">
      <c r="B2" s="9" t="s">
        <v>57</v>
      </c>
    </row>
    <row r="4" spans="2:5" ht="18.75" x14ac:dyDescent="0.3">
      <c r="B4" s="9" t="s">
        <v>58</v>
      </c>
    </row>
    <row r="5" spans="2:5" ht="18.75" x14ac:dyDescent="0.3">
      <c r="B5" s="9"/>
    </row>
    <row r="6" spans="2:5" x14ac:dyDescent="0.25">
      <c r="B6" s="2" t="s">
        <v>67</v>
      </c>
    </row>
    <row r="8" spans="2:5" x14ac:dyDescent="0.25">
      <c r="B8" s="17" t="s">
        <v>61</v>
      </c>
    </row>
    <row r="9" spans="2:5" ht="45" x14ac:dyDescent="0.25">
      <c r="B9" s="16" t="s">
        <v>59</v>
      </c>
      <c r="C9" s="16" t="s">
        <v>60</v>
      </c>
      <c r="D9" s="16" t="s">
        <v>62</v>
      </c>
      <c r="E9" s="16" t="s">
        <v>63</v>
      </c>
    </row>
    <row r="10" spans="2:5" x14ac:dyDescent="0.25">
      <c r="B10" s="14">
        <v>41419</v>
      </c>
      <c r="C10" s="1">
        <v>900000000</v>
      </c>
      <c r="D10" s="1">
        <f>+C10*0.15</f>
        <v>135000000</v>
      </c>
      <c r="E10" s="1">
        <f>+C10*0.2</f>
        <v>180000000</v>
      </c>
    </row>
    <row r="11" spans="2:5" x14ac:dyDescent="0.25">
      <c r="B11" s="14">
        <v>41517</v>
      </c>
      <c r="C11" s="1">
        <v>200000000</v>
      </c>
      <c r="D11" s="1">
        <f>+C11*0.15</f>
        <v>30000000</v>
      </c>
      <c r="E11" s="1">
        <f>+C11*0.2</f>
        <v>40000000</v>
      </c>
    </row>
    <row r="12" spans="2:5" ht="15.75" thickBot="1" x14ac:dyDescent="0.3">
      <c r="C12" s="1" t="s">
        <v>65</v>
      </c>
      <c r="D12" s="15">
        <f>SUM(D10:D11)</f>
        <v>165000000</v>
      </c>
      <c r="E12" s="15">
        <f>SUM(E10:E11)</f>
        <v>220000000</v>
      </c>
    </row>
    <row r="13" spans="2:5" ht="15.75" thickTop="1" x14ac:dyDescent="0.25">
      <c r="C13" s="1"/>
      <c r="D13" s="1"/>
    </row>
    <row r="14" spans="2:5" x14ac:dyDescent="0.25">
      <c r="B14" t="s">
        <v>64</v>
      </c>
      <c r="C14" s="1"/>
      <c r="D14" s="1"/>
    </row>
    <row r="15" spans="2:5" x14ac:dyDescent="0.25">
      <c r="C15" s="1"/>
      <c r="D15" s="1"/>
    </row>
    <row r="16" spans="2:5" x14ac:dyDescent="0.25">
      <c r="B16" s="2" t="s">
        <v>66</v>
      </c>
      <c r="C16" s="13"/>
      <c r="D16" s="13">
        <f>1100000000*0.15</f>
        <v>165000000</v>
      </c>
    </row>
    <row r="17" spans="2:5" x14ac:dyDescent="0.25">
      <c r="C17" s="1"/>
      <c r="D17" s="1"/>
    </row>
    <row r="18" spans="2:5" x14ac:dyDescent="0.25">
      <c r="B18" s="17" t="s">
        <v>68</v>
      </c>
      <c r="C18" s="1"/>
      <c r="D18" s="1"/>
    </row>
    <row r="19" spans="2:5" x14ac:dyDescent="0.25">
      <c r="C19" s="1"/>
      <c r="D19" s="1"/>
    </row>
    <row r="20" spans="2:5" x14ac:dyDescent="0.25">
      <c r="B20" t="s">
        <v>69</v>
      </c>
      <c r="C20" s="1"/>
      <c r="D20" s="1"/>
      <c r="E20" s="18">
        <f>+C10+C11-D12-E12</f>
        <v>715000000</v>
      </c>
    </row>
    <row r="21" spans="2:5" x14ac:dyDescent="0.25">
      <c r="B21" t="s">
        <v>70</v>
      </c>
      <c r="C21" s="1"/>
      <c r="D21" s="1"/>
      <c r="E21" s="18">
        <v>1200000000</v>
      </c>
    </row>
    <row r="22" spans="2:5" x14ac:dyDescent="0.25">
      <c r="C22" s="1"/>
      <c r="D22" s="1" t="s">
        <v>65</v>
      </c>
      <c r="E22" s="18">
        <f>+E21+E20</f>
        <v>1915000000</v>
      </c>
    </row>
    <row r="23" spans="2:5" x14ac:dyDescent="0.25">
      <c r="B23" s="2" t="s">
        <v>71</v>
      </c>
      <c r="C23" s="2"/>
      <c r="D23" s="2"/>
      <c r="E23" s="20">
        <f>+E22*0.15</f>
        <v>287250000</v>
      </c>
    </row>
    <row r="24" spans="2:5" x14ac:dyDescent="0.25">
      <c r="B24" s="2" t="s">
        <v>72</v>
      </c>
      <c r="C24" s="2"/>
      <c r="D24" s="2"/>
      <c r="E24" s="20">
        <f>+E21*0.2</f>
        <v>240000000</v>
      </c>
    </row>
    <row r="25" spans="2:5" x14ac:dyDescent="0.25">
      <c r="E25" s="18"/>
    </row>
    <row r="26" spans="2:5" x14ac:dyDescent="0.25">
      <c r="B26" s="19" t="s">
        <v>73</v>
      </c>
      <c r="E26" s="18"/>
    </row>
    <row r="27" spans="2:5" x14ac:dyDescent="0.25">
      <c r="B27" s="19" t="s">
        <v>74</v>
      </c>
      <c r="E27" s="18">
        <f>+C10+C11+E21</f>
        <v>2300000000</v>
      </c>
    </row>
    <row r="28" spans="2:5" x14ac:dyDescent="0.25">
      <c r="B28" s="19" t="s">
        <v>75</v>
      </c>
      <c r="E28" s="18">
        <f>+E27*0.15</f>
        <v>345000000</v>
      </c>
    </row>
    <row r="29" spans="2:5" x14ac:dyDescent="0.25">
      <c r="B29" s="19" t="s">
        <v>76</v>
      </c>
      <c r="E29" s="18">
        <f>+D16</f>
        <v>165000000</v>
      </c>
    </row>
    <row r="30" spans="2:5" x14ac:dyDescent="0.25">
      <c r="B30" s="2" t="s">
        <v>77</v>
      </c>
      <c r="C30" s="2"/>
      <c r="D30" s="2"/>
      <c r="E30" s="20">
        <f>+E28-E29</f>
        <v>180000000</v>
      </c>
    </row>
    <row r="31" spans="2:5" x14ac:dyDescent="0.25">
      <c r="E31" s="18"/>
    </row>
    <row r="33" spans="2:6" x14ac:dyDescent="0.25">
      <c r="B33" t="s">
        <v>78</v>
      </c>
    </row>
    <row r="34" spans="2:6" x14ac:dyDescent="0.25">
      <c r="B34" t="s">
        <v>79</v>
      </c>
    </row>
    <row r="35" spans="2:6" x14ac:dyDescent="0.25">
      <c r="B35" t="s">
        <v>80</v>
      </c>
    </row>
    <row r="38" spans="2:6" ht="18.75" x14ac:dyDescent="0.3">
      <c r="B38" s="9" t="s">
        <v>81</v>
      </c>
    </row>
    <row r="39" spans="2:6" x14ac:dyDescent="0.25">
      <c r="B39" t="s">
        <v>82</v>
      </c>
      <c r="F39" s="1">
        <v>1800000</v>
      </c>
    </row>
    <row r="40" spans="2:6" x14ac:dyDescent="0.25">
      <c r="D40" t="s">
        <v>83</v>
      </c>
      <c r="F40" s="1">
        <f>+F39*0.1/0.9</f>
        <v>200000</v>
      </c>
    </row>
    <row r="41" spans="2:6" ht="15.75" thickBot="1" x14ac:dyDescent="0.3">
      <c r="B41" t="s">
        <v>84</v>
      </c>
      <c r="F41" s="11">
        <f>+F40+F39</f>
        <v>2000000</v>
      </c>
    </row>
    <row r="42" spans="2:6" ht="15.75" thickTop="1" x14ac:dyDescent="0.25">
      <c r="F42" s="1"/>
    </row>
    <row r="43" spans="2:6" x14ac:dyDescent="0.25">
      <c r="B43" t="s">
        <v>85</v>
      </c>
    </row>
    <row r="44" spans="2:6" x14ac:dyDescent="0.25">
      <c r="D44" s="2" t="s">
        <v>86</v>
      </c>
      <c r="E44" s="2"/>
      <c r="F44" s="13">
        <f>+F41*12.36/112.36</f>
        <v>220007.11997152012</v>
      </c>
    </row>
    <row r="45" spans="2:6" x14ac:dyDescent="0.25">
      <c r="D45" s="2" t="s">
        <v>87</v>
      </c>
      <c r="E45" s="2"/>
      <c r="F45" s="20">
        <f>+F41-F44</f>
        <v>1779992.88002848</v>
      </c>
    </row>
    <row r="47" spans="2:6" x14ac:dyDescent="0.25">
      <c r="B47" t="s">
        <v>88</v>
      </c>
    </row>
    <row r="48" spans="2:6" x14ac:dyDescent="0.25">
      <c r="B48" t="s">
        <v>89</v>
      </c>
    </row>
    <row r="50" spans="2:6" ht="18.75" x14ac:dyDescent="0.3">
      <c r="B50" s="9" t="s">
        <v>90</v>
      </c>
    </row>
    <row r="51" spans="2:6" ht="18.75" x14ac:dyDescent="0.3">
      <c r="B51" s="9"/>
      <c r="F51" t="s">
        <v>95</v>
      </c>
    </row>
    <row r="52" spans="2:6" x14ac:dyDescent="0.25">
      <c r="C52" s="2" t="s">
        <v>91</v>
      </c>
      <c r="D52" s="2" t="s">
        <v>92</v>
      </c>
      <c r="E52" s="2" t="s">
        <v>93</v>
      </c>
      <c r="F52" s="2" t="s">
        <v>94</v>
      </c>
    </row>
    <row r="53" spans="2:6" x14ac:dyDescent="0.25">
      <c r="B53" t="s">
        <v>96</v>
      </c>
      <c r="C53" s="1">
        <v>5000</v>
      </c>
      <c r="D53" s="1">
        <f>+C53*0.125</f>
        <v>625</v>
      </c>
      <c r="E53" s="1">
        <v>0</v>
      </c>
      <c r="F53" s="1">
        <f>D53-E53</f>
        <v>625</v>
      </c>
    </row>
    <row r="54" spans="2:6" x14ac:dyDescent="0.25">
      <c r="B54" t="s">
        <v>97</v>
      </c>
      <c r="C54" s="1">
        <v>5500</v>
      </c>
      <c r="D54" s="1">
        <f>+C54*0.125</f>
        <v>687.5</v>
      </c>
      <c r="E54" s="1">
        <f>D53</f>
        <v>625</v>
      </c>
      <c r="F54" s="1">
        <f>D54-E54</f>
        <v>62.5</v>
      </c>
    </row>
    <row r="55" spans="2:6" x14ac:dyDescent="0.25">
      <c r="B55" t="s">
        <v>98</v>
      </c>
      <c r="C55" s="1">
        <v>6000</v>
      </c>
      <c r="D55" s="1">
        <f>+C55*0.125</f>
        <v>750</v>
      </c>
      <c r="E55" s="1">
        <f>D54</f>
        <v>687.5</v>
      </c>
      <c r="F55" s="1">
        <f>D55-E55</f>
        <v>62.5</v>
      </c>
    </row>
    <row r="56" spans="2:6" x14ac:dyDescent="0.25">
      <c r="B56" t="s">
        <v>99</v>
      </c>
      <c r="C56" s="1">
        <v>7000</v>
      </c>
      <c r="D56" s="1">
        <f>+C56*0.125</f>
        <v>875</v>
      </c>
      <c r="E56" s="1">
        <f>D55</f>
        <v>750</v>
      </c>
      <c r="F56" s="1">
        <f>D56-E56</f>
        <v>125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7"/>
  <sheetViews>
    <sheetView workbookViewId="0"/>
  </sheetViews>
  <sheetFormatPr defaultRowHeight="15" x14ac:dyDescent="0.25"/>
  <cols>
    <col min="3" max="3" width="41.42578125" customWidth="1"/>
  </cols>
  <sheetData>
    <row r="2" spans="2:5" ht="18.75" x14ac:dyDescent="0.3">
      <c r="B2" s="9" t="s">
        <v>100</v>
      </c>
    </row>
    <row r="4" spans="2:5" ht="18.75" x14ac:dyDescent="0.3">
      <c r="B4" s="9" t="s">
        <v>101</v>
      </c>
    </row>
    <row r="5" spans="2:5" x14ac:dyDescent="0.25">
      <c r="C5" t="s">
        <v>102</v>
      </c>
    </row>
    <row r="7" spans="2:5" x14ac:dyDescent="0.25">
      <c r="D7" t="s">
        <v>106</v>
      </c>
      <c r="E7" t="s">
        <v>107</v>
      </c>
    </row>
    <row r="8" spans="2:5" x14ac:dyDescent="0.25">
      <c r="B8">
        <v>1</v>
      </c>
      <c r="C8" s="2" t="s">
        <v>103</v>
      </c>
    </row>
    <row r="9" spans="2:5" x14ac:dyDescent="0.25">
      <c r="C9" t="s">
        <v>104</v>
      </c>
      <c r="D9" s="1">
        <v>4000</v>
      </c>
      <c r="E9" s="1"/>
    </row>
    <row r="10" spans="2:5" x14ac:dyDescent="0.25">
      <c r="C10" t="s">
        <v>105</v>
      </c>
      <c r="D10" s="1">
        <v>8000</v>
      </c>
      <c r="E10" s="1"/>
    </row>
    <row r="11" spans="2:5" x14ac:dyDescent="0.25">
      <c r="C11" t="s">
        <v>108</v>
      </c>
      <c r="D11" s="1"/>
      <c r="E11" s="1">
        <v>5000</v>
      </c>
    </row>
    <row r="12" spans="2:5" x14ac:dyDescent="0.25">
      <c r="D12" s="1"/>
      <c r="E12" s="1"/>
    </row>
    <row r="13" spans="2:5" x14ac:dyDescent="0.25">
      <c r="B13">
        <v>2</v>
      </c>
      <c r="C13" t="s">
        <v>110</v>
      </c>
      <c r="D13" s="1">
        <v>7500</v>
      </c>
    </row>
    <row r="14" spans="2:5" x14ac:dyDescent="0.25">
      <c r="D14" s="1"/>
      <c r="E14" s="1"/>
    </row>
    <row r="15" spans="2:5" x14ac:dyDescent="0.25">
      <c r="B15">
        <v>3</v>
      </c>
      <c r="C15" t="s">
        <v>111</v>
      </c>
      <c r="D15" s="1"/>
      <c r="E15" s="1">
        <v>24000</v>
      </c>
    </row>
    <row r="16" spans="2:5" x14ac:dyDescent="0.25">
      <c r="D16" s="1"/>
      <c r="E16" s="1"/>
    </row>
    <row r="17" spans="2:8" ht="30" x14ac:dyDescent="0.25">
      <c r="B17">
        <v>4</v>
      </c>
      <c r="C17" s="5" t="s">
        <v>112</v>
      </c>
      <c r="D17" s="1">
        <v>5000</v>
      </c>
      <c r="E17" s="1"/>
    </row>
    <row r="18" spans="2:8" x14ac:dyDescent="0.25">
      <c r="D18" s="1"/>
      <c r="E18" s="1"/>
    </row>
    <row r="19" spans="2:8" ht="60" x14ac:dyDescent="0.25">
      <c r="B19">
        <v>5</v>
      </c>
      <c r="C19" s="5" t="s">
        <v>113</v>
      </c>
      <c r="D19" s="1">
        <v>200000</v>
      </c>
      <c r="E19" s="1">
        <f>105000+120000-D19</f>
        <v>25000</v>
      </c>
    </row>
    <row r="20" spans="2:8" x14ac:dyDescent="0.25">
      <c r="C20" s="6" t="s">
        <v>65</v>
      </c>
      <c r="D20" s="13">
        <f>SUM(D9:D19)</f>
        <v>224500</v>
      </c>
      <c r="E20" s="13">
        <f>SUM(E9:E19)</f>
        <v>54000</v>
      </c>
    </row>
    <row r="21" spans="2:8" x14ac:dyDescent="0.25">
      <c r="D21" s="1"/>
      <c r="E21" s="1"/>
    </row>
    <row r="22" spans="2:8" x14ac:dyDescent="0.25">
      <c r="C22" t="s">
        <v>9</v>
      </c>
      <c r="D22" s="1"/>
      <c r="E22" s="1"/>
    </row>
    <row r="23" spans="2:8" x14ac:dyDescent="0.25">
      <c r="C23" t="s">
        <v>109</v>
      </c>
      <c r="D23" s="1"/>
      <c r="E23" s="1"/>
    </row>
    <row r="24" spans="2:8" x14ac:dyDescent="0.25">
      <c r="D24" s="1"/>
      <c r="E24" s="1"/>
    </row>
    <row r="25" spans="2:8" x14ac:dyDescent="0.25">
      <c r="D25" s="1"/>
      <c r="E25" s="1"/>
    </row>
    <row r="26" spans="2:8" ht="18.75" x14ac:dyDescent="0.3">
      <c r="B26" s="9" t="s">
        <v>114</v>
      </c>
      <c r="D26" s="1"/>
      <c r="E26" s="1"/>
    </row>
    <row r="27" spans="2:8" ht="143.25" customHeight="1" x14ac:dyDescent="0.25">
      <c r="B27" s="25" t="s">
        <v>115</v>
      </c>
      <c r="C27" s="25"/>
      <c r="D27" s="25"/>
      <c r="E27" s="25"/>
      <c r="F27" s="25"/>
      <c r="G27" s="5"/>
      <c r="H27" s="5"/>
    </row>
    <row r="28" spans="2:8" x14ac:dyDescent="0.25">
      <c r="B28" s="5"/>
      <c r="C28" s="5"/>
      <c r="D28" s="21"/>
      <c r="E28" s="21"/>
      <c r="F28" s="5"/>
      <c r="G28" s="5"/>
      <c r="H28" s="5"/>
    </row>
    <row r="29" spans="2:8" x14ac:dyDescent="0.25">
      <c r="B29" s="5"/>
      <c r="C29" s="5"/>
      <c r="D29" s="21"/>
      <c r="E29" s="21"/>
      <c r="F29" s="5"/>
      <c r="G29" s="5"/>
      <c r="H29" s="5"/>
    </row>
    <row r="30" spans="2:8" ht="18.75" x14ac:dyDescent="0.3">
      <c r="B30" s="9" t="s">
        <v>116</v>
      </c>
      <c r="C30" s="5"/>
      <c r="D30" s="21"/>
      <c r="E30" s="21"/>
      <c r="F30" s="5"/>
      <c r="G30" s="5"/>
      <c r="H30" s="5"/>
    </row>
    <row r="31" spans="2:8" x14ac:dyDescent="0.25">
      <c r="B31" s="22" t="s">
        <v>117</v>
      </c>
      <c r="C31" s="5"/>
      <c r="D31" s="21"/>
      <c r="E31" s="21"/>
      <c r="F31" s="5"/>
      <c r="G31" s="5"/>
      <c r="H31" s="5"/>
    </row>
    <row r="32" spans="2:8" x14ac:dyDescent="0.25">
      <c r="B32" s="23"/>
      <c r="C32" s="5"/>
      <c r="D32" s="21"/>
      <c r="E32" s="21"/>
      <c r="F32" s="5"/>
      <c r="G32" s="5"/>
      <c r="H32" s="5"/>
    </row>
    <row r="33" spans="2:5" x14ac:dyDescent="0.25">
      <c r="B33" s="24" t="s">
        <v>118</v>
      </c>
      <c r="D33" s="1"/>
      <c r="E33" s="1"/>
    </row>
    <row r="34" spans="2:5" x14ac:dyDescent="0.25">
      <c r="B34" s="24" t="s">
        <v>119</v>
      </c>
      <c r="D34" s="1"/>
      <c r="E34" s="1"/>
    </row>
    <row r="35" spans="2:5" x14ac:dyDescent="0.25">
      <c r="B35" s="24" t="s">
        <v>120</v>
      </c>
      <c r="D35" s="1"/>
      <c r="E35" s="1"/>
    </row>
    <row r="36" spans="2:5" x14ac:dyDescent="0.25">
      <c r="B36" s="24" t="s">
        <v>121</v>
      </c>
      <c r="D36" s="1"/>
      <c r="E36" s="1"/>
    </row>
    <row r="37" spans="2:5" x14ac:dyDescent="0.25">
      <c r="D37" s="1"/>
      <c r="E37" s="1"/>
    </row>
  </sheetData>
  <dataConsolidate/>
  <mergeCells count="1">
    <mergeCell ref="B27:F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68"/>
  <sheetViews>
    <sheetView workbookViewId="0"/>
  </sheetViews>
  <sheetFormatPr defaultRowHeight="15" x14ac:dyDescent="0.25"/>
  <cols>
    <col min="2" max="2" width="36.140625" customWidth="1"/>
    <col min="4" max="4" width="11.5703125" bestFit="1" customWidth="1"/>
  </cols>
  <sheetData>
    <row r="2" spans="2:4" ht="18.75" x14ac:dyDescent="0.3">
      <c r="B2" s="9" t="s">
        <v>122</v>
      </c>
    </row>
    <row r="4" spans="2:4" ht="18.75" x14ac:dyDescent="0.3">
      <c r="B4" s="9" t="s">
        <v>123</v>
      </c>
    </row>
    <row r="5" spans="2:4" x14ac:dyDescent="0.25">
      <c r="B5" t="s">
        <v>124</v>
      </c>
    </row>
    <row r="7" spans="2:4" x14ac:dyDescent="0.25">
      <c r="C7" t="s">
        <v>125</v>
      </c>
      <c r="D7" t="s">
        <v>126</v>
      </c>
    </row>
    <row r="8" spans="2:4" x14ac:dyDescent="0.25">
      <c r="B8" t="s">
        <v>127</v>
      </c>
    </row>
    <row r="9" spans="2:4" x14ac:dyDescent="0.25">
      <c r="B9" t="s">
        <v>128</v>
      </c>
      <c r="C9" s="26" t="s">
        <v>129</v>
      </c>
      <c r="D9" s="1">
        <v>165000</v>
      </c>
    </row>
    <row r="10" spans="2:4" x14ac:dyDescent="0.25">
      <c r="C10" s="1"/>
      <c r="D10" s="1"/>
    </row>
    <row r="11" spans="2:4" x14ac:dyDescent="0.25">
      <c r="B11" t="s">
        <v>130</v>
      </c>
      <c r="C11" s="26" t="s">
        <v>131</v>
      </c>
      <c r="D11" s="1">
        <f>115000*0.08</f>
        <v>9200</v>
      </c>
    </row>
    <row r="12" spans="2:4" x14ac:dyDescent="0.25">
      <c r="C12" s="1"/>
      <c r="D12" s="1"/>
    </row>
    <row r="13" spans="2:4" x14ac:dyDescent="0.25">
      <c r="B13" t="s">
        <v>133</v>
      </c>
      <c r="C13" s="26" t="s">
        <v>129</v>
      </c>
      <c r="D13" s="1">
        <f>+D9-D11</f>
        <v>155800</v>
      </c>
    </row>
    <row r="14" spans="2:4" x14ac:dyDescent="0.25">
      <c r="B14" t="s">
        <v>132</v>
      </c>
      <c r="C14" s="1"/>
      <c r="D14" s="1"/>
    </row>
    <row r="15" spans="2:4" x14ac:dyDescent="0.25">
      <c r="B15" t="s">
        <v>16</v>
      </c>
      <c r="C15" s="26" t="s">
        <v>129</v>
      </c>
      <c r="D15" s="1">
        <f>-D13*0.3</f>
        <v>-46740</v>
      </c>
    </row>
    <row r="16" spans="2:4" x14ac:dyDescent="0.25">
      <c r="B16" t="s">
        <v>17</v>
      </c>
      <c r="C16" s="1"/>
      <c r="D16" s="1">
        <v>-55000</v>
      </c>
    </row>
    <row r="17" spans="2:4" ht="15.75" thickBot="1" x14ac:dyDescent="0.3">
      <c r="B17" t="s">
        <v>134</v>
      </c>
      <c r="C17" s="11">
        <v>0</v>
      </c>
      <c r="D17" s="11">
        <f>SUM(D13:D16)</f>
        <v>54060</v>
      </c>
    </row>
    <row r="18" spans="2:4" ht="15.75" thickTop="1" x14ac:dyDescent="0.25">
      <c r="B18" t="s">
        <v>135</v>
      </c>
      <c r="C18" s="1">
        <f>+C17+D17</f>
        <v>54060</v>
      </c>
      <c r="D18" s="1"/>
    </row>
    <row r="19" spans="2:4" x14ac:dyDescent="0.25">
      <c r="C19" s="1"/>
      <c r="D19" s="1"/>
    </row>
    <row r="20" spans="2:4" x14ac:dyDescent="0.25">
      <c r="C20" s="1"/>
      <c r="D20" s="1"/>
    </row>
    <row r="21" spans="2:4" x14ac:dyDescent="0.25">
      <c r="B21" t="s">
        <v>136</v>
      </c>
    </row>
    <row r="23" spans="2:4" x14ac:dyDescent="0.25">
      <c r="C23" t="s">
        <v>125</v>
      </c>
      <c r="D23" t="s">
        <v>126</v>
      </c>
    </row>
    <row r="24" spans="2:4" x14ac:dyDescent="0.25">
      <c r="B24" t="s">
        <v>127</v>
      </c>
    </row>
    <row r="25" spans="2:4" x14ac:dyDescent="0.25">
      <c r="B25" t="s">
        <v>128</v>
      </c>
      <c r="C25" s="26">
        <v>100000</v>
      </c>
      <c r="D25" s="26" t="s">
        <v>129</v>
      </c>
    </row>
    <row r="26" spans="2:4" x14ac:dyDescent="0.25">
      <c r="C26" s="1"/>
      <c r="D26" s="1"/>
    </row>
    <row r="27" spans="2:4" x14ac:dyDescent="0.25">
      <c r="B27" t="s">
        <v>130</v>
      </c>
      <c r="C27" s="26">
        <v>0</v>
      </c>
      <c r="D27" s="26" t="s">
        <v>131</v>
      </c>
    </row>
    <row r="28" spans="2:4" x14ac:dyDescent="0.25">
      <c r="C28" s="1"/>
      <c r="D28" s="1"/>
    </row>
    <row r="29" spans="2:4" x14ac:dyDescent="0.25">
      <c r="B29" t="s">
        <v>133</v>
      </c>
      <c r="C29" s="26">
        <f>+C25-C27</f>
        <v>100000</v>
      </c>
      <c r="D29" s="26" t="s">
        <v>129</v>
      </c>
    </row>
    <row r="30" spans="2:4" x14ac:dyDescent="0.25">
      <c r="B30" t="s">
        <v>132</v>
      </c>
      <c r="C30" s="1"/>
      <c r="D30" s="1"/>
    </row>
    <row r="31" spans="2:4" x14ac:dyDescent="0.25">
      <c r="B31" t="s">
        <v>16</v>
      </c>
      <c r="C31" s="26">
        <f>-C29*0.3</f>
        <v>-30000</v>
      </c>
      <c r="D31" s="26" t="s">
        <v>129</v>
      </c>
    </row>
    <row r="32" spans="2:4" x14ac:dyDescent="0.25">
      <c r="B32" t="s">
        <v>17</v>
      </c>
      <c r="C32" s="1"/>
      <c r="D32" s="1">
        <v>-30000</v>
      </c>
    </row>
    <row r="33" spans="2:9" ht="15.75" thickBot="1" x14ac:dyDescent="0.3">
      <c r="B33" t="s">
        <v>134</v>
      </c>
      <c r="C33" s="11">
        <f>C29+C31</f>
        <v>70000</v>
      </c>
      <c r="D33" s="11">
        <f>SUM(D29:D32)</f>
        <v>-30000</v>
      </c>
    </row>
    <row r="34" spans="2:9" ht="15.75" thickTop="1" x14ac:dyDescent="0.25">
      <c r="B34" t="s">
        <v>135</v>
      </c>
      <c r="C34" s="1">
        <f>+C33+D33</f>
        <v>40000</v>
      </c>
      <c r="D34" s="1"/>
    </row>
    <row r="36" spans="2:9" x14ac:dyDescent="0.25">
      <c r="B36" t="s">
        <v>137</v>
      </c>
    </row>
    <row r="37" spans="2:9" x14ac:dyDescent="0.25">
      <c r="B37" t="s">
        <v>138</v>
      </c>
    </row>
    <row r="40" spans="2:9" ht="18.75" x14ac:dyDescent="0.3">
      <c r="B40" s="9" t="s">
        <v>139</v>
      </c>
    </row>
    <row r="41" spans="2:9" ht="15" customHeight="1" x14ac:dyDescent="0.25">
      <c r="B41" s="28" t="s">
        <v>140</v>
      </c>
      <c r="C41" s="28"/>
      <c r="D41" s="28"/>
      <c r="E41" s="28"/>
      <c r="F41" s="28"/>
      <c r="G41" s="28"/>
      <c r="H41" s="28"/>
      <c r="I41" s="28"/>
    </row>
    <row r="42" spans="2:9" x14ac:dyDescent="0.25">
      <c r="B42" s="28"/>
      <c r="C42" s="28"/>
      <c r="D42" s="28"/>
      <c r="E42" s="28"/>
      <c r="F42" s="28"/>
      <c r="G42" s="28"/>
      <c r="H42" s="28"/>
      <c r="I42" s="28"/>
    </row>
    <row r="43" spans="2:9" x14ac:dyDescent="0.25">
      <c r="B43" s="28"/>
      <c r="C43" s="28"/>
      <c r="D43" s="28"/>
      <c r="E43" s="28"/>
      <c r="F43" s="28"/>
      <c r="G43" s="28"/>
      <c r="H43" s="28"/>
      <c r="I43" s="28"/>
    </row>
    <row r="44" spans="2:9" x14ac:dyDescent="0.25">
      <c r="B44" s="28"/>
      <c r="C44" s="28"/>
      <c r="D44" s="28"/>
      <c r="E44" s="28"/>
      <c r="F44" s="28"/>
      <c r="G44" s="28"/>
      <c r="H44" s="28"/>
      <c r="I44" s="28"/>
    </row>
    <row r="45" spans="2:9" x14ac:dyDescent="0.25">
      <c r="B45" s="28"/>
      <c r="C45" s="28"/>
      <c r="D45" s="28"/>
      <c r="E45" s="28"/>
      <c r="F45" s="28"/>
      <c r="G45" s="28"/>
      <c r="H45" s="28"/>
      <c r="I45" s="28"/>
    </row>
    <row r="46" spans="2:9" x14ac:dyDescent="0.25">
      <c r="B46" s="28"/>
      <c r="C46" s="28"/>
      <c r="D46" s="28"/>
      <c r="E46" s="28"/>
      <c r="F46" s="28"/>
      <c r="G46" s="28"/>
      <c r="H46" s="28"/>
      <c r="I46" s="28"/>
    </row>
    <row r="47" spans="2:9" x14ac:dyDescent="0.25">
      <c r="B47" s="28"/>
      <c r="C47" s="28"/>
      <c r="D47" s="28"/>
      <c r="E47" s="28"/>
      <c r="F47" s="28"/>
      <c r="G47" s="28"/>
      <c r="H47" s="28"/>
      <c r="I47" s="28"/>
    </row>
    <row r="48" spans="2:9" x14ac:dyDescent="0.25">
      <c r="B48" s="28"/>
      <c r="C48" s="28"/>
      <c r="D48" s="28"/>
      <c r="E48" s="28"/>
      <c r="F48" s="28"/>
      <c r="G48" s="28"/>
      <c r="H48" s="28"/>
      <c r="I48" s="28"/>
    </row>
    <row r="49" spans="2:9" x14ac:dyDescent="0.25">
      <c r="B49" s="28"/>
      <c r="C49" s="28"/>
      <c r="D49" s="28"/>
      <c r="E49" s="28"/>
      <c r="F49" s="28"/>
      <c r="G49" s="28"/>
      <c r="H49" s="28"/>
      <c r="I49" s="28"/>
    </row>
    <row r="50" spans="2:9" x14ac:dyDescent="0.25">
      <c r="B50" s="28"/>
      <c r="C50" s="28"/>
      <c r="D50" s="28"/>
      <c r="E50" s="28"/>
      <c r="F50" s="28"/>
      <c r="G50" s="28"/>
      <c r="H50" s="28"/>
      <c r="I50" s="28"/>
    </row>
    <row r="51" spans="2:9" x14ac:dyDescent="0.25">
      <c r="B51" s="28"/>
      <c r="C51" s="28"/>
      <c r="D51" s="28"/>
      <c r="E51" s="28"/>
      <c r="F51" s="28"/>
      <c r="G51" s="28"/>
      <c r="H51" s="28"/>
      <c r="I51" s="28"/>
    </row>
    <row r="52" spans="2:9" x14ac:dyDescent="0.25">
      <c r="B52" s="28"/>
      <c r="C52" s="28"/>
      <c r="D52" s="28"/>
      <c r="E52" s="28"/>
      <c r="F52" s="28"/>
      <c r="G52" s="28"/>
      <c r="H52" s="28"/>
      <c r="I52" s="28"/>
    </row>
    <row r="53" spans="2:9" x14ac:dyDescent="0.25">
      <c r="B53" s="28"/>
      <c r="C53" s="28"/>
      <c r="D53" s="28"/>
      <c r="E53" s="28"/>
      <c r="F53" s="28"/>
      <c r="G53" s="28"/>
      <c r="H53" s="28"/>
      <c r="I53" s="28"/>
    </row>
    <row r="54" spans="2:9" x14ac:dyDescent="0.25">
      <c r="B54" s="28"/>
      <c r="C54" s="28"/>
      <c r="D54" s="28"/>
      <c r="E54" s="28"/>
      <c r="F54" s="28"/>
      <c r="G54" s="28"/>
      <c r="H54" s="28"/>
      <c r="I54" s="28"/>
    </row>
    <row r="55" spans="2:9" x14ac:dyDescent="0.25">
      <c r="B55" s="28"/>
      <c r="C55" s="28"/>
      <c r="D55" s="28"/>
      <c r="E55" s="28"/>
      <c r="F55" s="28"/>
      <c r="G55" s="28"/>
      <c r="H55" s="28"/>
      <c r="I55" s="28"/>
    </row>
    <row r="56" spans="2:9" x14ac:dyDescent="0.25">
      <c r="B56" s="28"/>
      <c r="C56" s="28"/>
      <c r="D56" s="28"/>
      <c r="E56" s="28"/>
      <c r="F56" s="28"/>
      <c r="G56" s="28"/>
      <c r="H56" s="28"/>
      <c r="I56" s="28"/>
    </row>
    <row r="58" spans="2:9" ht="18.75" x14ac:dyDescent="0.3">
      <c r="B58" s="9" t="s">
        <v>141</v>
      </c>
    </row>
    <row r="59" spans="2:9" x14ac:dyDescent="0.25">
      <c r="B59" s="28" t="s">
        <v>142</v>
      </c>
      <c r="C59" s="28"/>
      <c r="D59" s="28"/>
      <c r="E59" s="28"/>
      <c r="F59" s="28"/>
      <c r="G59" s="28"/>
      <c r="H59" s="28"/>
      <c r="I59" s="28"/>
    </row>
    <row r="60" spans="2:9" x14ac:dyDescent="0.25">
      <c r="B60" s="28"/>
      <c r="C60" s="28"/>
      <c r="D60" s="28"/>
      <c r="E60" s="28"/>
      <c r="F60" s="28"/>
      <c r="G60" s="28"/>
      <c r="H60" s="28"/>
      <c r="I60" s="28"/>
    </row>
    <row r="61" spans="2:9" x14ac:dyDescent="0.25">
      <c r="B61" s="28"/>
      <c r="C61" s="28"/>
      <c r="D61" s="28"/>
      <c r="E61" s="28"/>
      <c r="F61" s="28"/>
      <c r="G61" s="28"/>
      <c r="H61" s="28"/>
      <c r="I61" s="28"/>
    </row>
    <row r="62" spans="2:9" x14ac:dyDescent="0.25">
      <c r="B62" s="28"/>
      <c r="C62" s="28"/>
      <c r="D62" s="28"/>
      <c r="E62" s="28"/>
      <c r="F62" s="28"/>
      <c r="G62" s="28"/>
      <c r="H62" s="28"/>
      <c r="I62" s="28"/>
    </row>
    <row r="63" spans="2:9" x14ac:dyDescent="0.25">
      <c r="B63" s="28"/>
      <c r="C63" s="28"/>
      <c r="D63" s="28"/>
      <c r="E63" s="28"/>
      <c r="F63" s="28"/>
      <c r="G63" s="28"/>
      <c r="H63" s="28"/>
      <c r="I63" s="28"/>
    </row>
    <row r="64" spans="2:9" x14ac:dyDescent="0.25">
      <c r="B64" s="28"/>
      <c r="C64" s="28"/>
      <c r="D64" s="28"/>
      <c r="E64" s="28"/>
      <c r="F64" s="28"/>
      <c r="G64" s="28"/>
      <c r="H64" s="28"/>
      <c r="I64" s="28"/>
    </row>
    <row r="65" spans="2:9" x14ac:dyDescent="0.25">
      <c r="B65" s="28"/>
      <c r="C65" s="28"/>
      <c r="D65" s="28"/>
      <c r="E65" s="28"/>
      <c r="F65" s="28"/>
      <c r="G65" s="28"/>
      <c r="H65" s="28"/>
      <c r="I65" s="28"/>
    </row>
    <row r="66" spans="2:9" x14ac:dyDescent="0.25">
      <c r="B66" s="28"/>
      <c r="C66" s="28"/>
      <c r="D66" s="28"/>
      <c r="E66" s="28"/>
      <c r="F66" s="28"/>
      <c r="G66" s="28"/>
      <c r="H66" s="28"/>
      <c r="I66" s="28"/>
    </row>
    <row r="67" spans="2:9" x14ac:dyDescent="0.25">
      <c r="B67" s="28"/>
      <c r="C67" s="28"/>
      <c r="D67" s="28"/>
      <c r="E67" s="28"/>
      <c r="F67" s="28"/>
      <c r="G67" s="28"/>
      <c r="H67" s="28"/>
      <c r="I67" s="28"/>
    </row>
    <row r="68" spans="2:9" x14ac:dyDescent="0.25">
      <c r="B68" s="28"/>
      <c r="C68" s="28"/>
      <c r="D68" s="28"/>
      <c r="E68" s="28"/>
      <c r="F68" s="28"/>
      <c r="G68" s="28"/>
      <c r="H68" s="28"/>
      <c r="I68" s="28"/>
    </row>
  </sheetData>
  <mergeCells count="2">
    <mergeCell ref="B41:I56"/>
    <mergeCell ref="B59:I6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6"/>
  <sheetViews>
    <sheetView workbookViewId="0"/>
  </sheetViews>
  <sheetFormatPr defaultRowHeight="15" x14ac:dyDescent="0.25"/>
  <cols>
    <col min="2" max="2" width="43.5703125" customWidth="1"/>
    <col min="3" max="3" width="10" bestFit="1" customWidth="1"/>
    <col min="4" max="4" width="12.5703125" bestFit="1" customWidth="1"/>
  </cols>
  <sheetData>
    <row r="2" spans="2:4" ht="18.75" x14ac:dyDescent="0.3">
      <c r="B2" s="9" t="s">
        <v>143</v>
      </c>
    </row>
    <row r="4" spans="2:4" ht="18.75" x14ac:dyDescent="0.3">
      <c r="B4" s="9" t="s">
        <v>144</v>
      </c>
    </row>
    <row r="5" spans="2:4" x14ac:dyDescent="0.25">
      <c r="B5" t="s">
        <v>145</v>
      </c>
    </row>
    <row r="6" spans="2:4" x14ac:dyDescent="0.25">
      <c r="C6" s="27" t="s">
        <v>148</v>
      </c>
      <c r="D6" s="27" t="s">
        <v>148</v>
      </c>
    </row>
    <row r="7" spans="2:4" x14ac:dyDescent="0.25">
      <c r="B7" t="s">
        <v>146</v>
      </c>
      <c r="C7" s="1"/>
      <c r="D7" s="1">
        <v>6500000</v>
      </c>
    </row>
    <row r="8" spans="2:4" ht="60" x14ac:dyDescent="0.25">
      <c r="B8" s="5" t="s">
        <v>147</v>
      </c>
      <c r="C8" s="1"/>
      <c r="D8" s="1"/>
    </row>
    <row r="9" spans="2:4" x14ac:dyDescent="0.25">
      <c r="B9" s="5" t="s">
        <v>149</v>
      </c>
      <c r="C9" s="1"/>
      <c r="D9" s="4">
        <f>5300000*0.02</f>
        <v>106000</v>
      </c>
    </row>
    <row r="10" spans="2:4" x14ac:dyDescent="0.25">
      <c r="B10" s="5" t="s">
        <v>150</v>
      </c>
      <c r="C10" s="1"/>
      <c r="D10" s="1"/>
    </row>
    <row r="11" spans="2:4" x14ac:dyDescent="0.25">
      <c r="B11" s="5" t="s">
        <v>151</v>
      </c>
      <c r="C11" s="1"/>
      <c r="D11" s="1">
        <f>+D7-D9</f>
        <v>6394000</v>
      </c>
    </row>
    <row r="12" spans="2:4" x14ac:dyDescent="0.25">
      <c r="C12" s="1"/>
      <c r="D12" s="1"/>
    </row>
    <row r="13" spans="2:4" x14ac:dyDescent="0.25">
      <c r="B13" s="5" t="s">
        <v>152</v>
      </c>
      <c r="C13" s="1"/>
      <c r="D13" s="1"/>
    </row>
    <row r="14" spans="2:4" x14ac:dyDescent="0.25">
      <c r="B14" s="5" t="s">
        <v>153</v>
      </c>
      <c r="C14" s="1"/>
      <c r="D14" s="4">
        <f>600000*6.70714285714286</f>
        <v>4024285.7142857146</v>
      </c>
    </row>
    <row r="15" spans="2:4" x14ac:dyDescent="0.25">
      <c r="B15" s="5" t="s">
        <v>154</v>
      </c>
      <c r="C15" s="1"/>
      <c r="D15" s="1">
        <f>+D11-D14</f>
        <v>2369714.2857142854</v>
      </c>
    </row>
    <row r="16" spans="2:4" x14ac:dyDescent="0.25">
      <c r="C16" s="1"/>
      <c r="D16" s="1"/>
    </row>
    <row r="17" spans="2:4" x14ac:dyDescent="0.25">
      <c r="B17" s="5" t="s">
        <v>155</v>
      </c>
      <c r="C17" s="1">
        <f>1000000+400000</f>
        <v>1400000</v>
      </c>
      <c r="D17" s="1"/>
    </row>
    <row r="18" spans="2:4" x14ac:dyDescent="0.25">
      <c r="B18" s="5" t="s">
        <v>156</v>
      </c>
      <c r="C18" s="4">
        <v>700000</v>
      </c>
      <c r="D18" s="4">
        <f>+C18+C17</f>
        <v>2100000</v>
      </c>
    </row>
    <row r="19" spans="2:4" x14ac:dyDescent="0.25">
      <c r="C19" s="1"/>
      <c r="D19" s="1"/>
    </row>
    <row r="20" spans="2:4" x14ac:dyDescent="0.25">
      <c r="B20" s="5" t="s">
        <v>157</v>
      </c>
      <c r="D20" s="29">
        <f>+D15-D18</f>
        <v>269714.28571428545</v>
      </c>
    </row>
    <row r="22" spans="2:4" ht="45" x14ac:dyDescent="0.25">
      <c r="B22" s="5" t="s">
        <v>166</v>
      </c>
      <c r="D22" s="1"/>
    </row>
    <row r="23" spans="2:4" x14ac:dyDescent="0.25">
      <c r="B23" t="s">
        <v>158</v>
      </c>
    </row>
    <row r="24" spans="2:4" x14ac:dyDescent="0.25">
      <c r="B24" s="5" t="s">
        <v>159</v>
      </c>
      <c r="C24" t="s">
        <v>129</v>
      </c>
    </row>
    <row r="25" spans="2:4" x14ac:dyDescent="0.25">
      <c r="B25" t="s">
        <v>160</v>
      </c>
      <c r="C25" s="1">
        <f>69714*0.2</f>
        <v>13942.800000000001</v>
      </c>
      <c r="D25" s="1"/>
    </row>
    <row r="26" spans="2:4" x14ac:dyDescent="0.25">
      <c r="B26" s="5" t="s">
        <v>161</v>
      </c>
      <c r="C26" s="1">
        <v>2000</v>
      </c>
      <c r="D26" s="1"/>
    </row>
    <row r="27" spans="2:4" x14ac:dyDescent="0.25">
      <c r="B27" t="s">
        <v>162</v>
      </c>
      <c r="C27" s="1">
        <f>+C25-C26</f>
        <v>11942.800000000001</v>
      </c>
      <c r="D27" s="1"/>
    </row>
    <row r="28" spans="2:4" x14ac:dyDescent="0.25">
      <c r="B28" s="5" t="s">
        <v>163</v>
      </c>
      <c r="C28" s="1">
        <f>+C27*0.03</f>
        <v>358.28399999999999</v>
      </c>
      <c r="D28" s="1"/>
    </row>
    <row r="29" spans="2:4" x14ac:dyDescent="0.25">
      <c r="B29" t="s">
        <v>164</v>
      </c>
      <c r="C29" s="1">
        <f>+C27+C28</f>
        <v>12301.084000000001</v>
      </c>
      <c r="D29" s="1"/>
    </row>
    <row r="30" spans="2:4" x14ac:dyDescent="0.25">
      <c r="B30" s="5" t="s">
        <v>165</v>
      </c>
      <c r="C30" s="1">
        <v>12300</v>
      </c>
    </row>
    <row r="32" spans="2:4" x14ac:dyDescent="0.25">
      <c r="B32" s="5" t="s">
        <v>9</v>
      </c>
    </row>
    <row r="33" spans="2:2" x14ac:dyDescent="0.25">
      <c r="B33" t="s">
        <v>167</v>
      </c>
    </row>
    <row r="34" spans="2:2" x14ac:dyDescent="0.25">
      <c r="B34" t="s">
        <v>168</v>
      </c>
    </row>
    <row r="37" spans="2:2" ht="18.75" x14ac:dyDescent="0.3">
      <c r="B37" s="9" t="s">
        <v>169</v>
      </c>
    </row>
    <row r="38" spans="2:2" x14ac:dyDescent="0.25">
      <c r="B38" t="s">
        <v>170</v>
      </c>
    </row>
    <row r="39" spans="2:2" x14ac:dyDescent="0.25">
      <c r="B39" t="s">
        <v>171</v>
      </c>
    </row>
    <row r="42" spans="2:2" ht="18.75" x14ac:dyDescent="0.3">
      <c r="B42" s="9" t="s">
        <v>172</v>
      </c>
    </row>
    <row r="43" spans="2:2" x14ac:dyDescent="0.25">
      <c r="B43" t="s">
        <v>173</v>
      </c>
    </row>
    <row r="44" spans="2:2" x14ac:dyDescent="0.25">
      <c r="B44" t="s">
        <v>174</v>
      </c>
    </row>
    <row r="45" spans="2:2" x14ac:dyDescent="0.25">
      <c r="B45" t="s">
        <v>175</v>
      </c>
    </row>
    <row r="46" spans="2:2" x14ac:dyDescent="0.25">
      <c r="B46" t="s">
        <v>176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1"/>
  <sheetViews>
    <sheetView workbookViewId="0"/>
  </sheetViews>
  <sheetFormatPr defaultRowHeight="15" x14ac:dyDescent="0.25"/>
  <cols>
    <col min="2" max="2" width="34.28515625" customWidth="1"/>
    <col min="4" max="4" width="10" bestFit="1" customWidth="1"/>
  </cols>
  <sheetData>
    <row r="2" spans="2:4" ht="18.75" x14ac:dyDescent="0.3">
      <c r="B2" s="9" t="s">
        <v>177</v>
      </c>
    </row>
    <row r="4" spans="2:4" ht="18.75" x14ac:dyDescent="0.3">
      <c r="B4" s="9" t="s">
        <v>178</v>
      </c>
    </row>
    <row r="5" spans="2:4" x14ac:dyDescent="0.25">
      <c r="B5" s="2" t="s">
        <v>179</v>
      </c>
    </row>
    <row r="6" spans="2:4" x14ac:dyDescent="0.25">
      <c r="B6" t="s">
        <v>180</v>
      </c>
    </row>
    <row r="8" spans="2:4" x14ac:dyDescent="0.25">
      <c r="B8" t="s">
        <v>3</v>
      </c>
      <c r="C8" s="1"/>
      <c r="D8" s="1">
        <v>15000</v>
      </c>
    </row>
    <row r="9" spans="2:4" x14ac:dyDescent="0.25">
      <c r="C9" s="1"/>
      <c r="D9" s="1"/>
    </row>
    <row r="10" spans="2:4" x14ac:dyDescent="0.25">
      <c r="B10" t="s">
        <v>181</v>
      </c>
      <c r="C10" s="1">
        <v>66000</v>
      </c>
      <c r="D10" s="1"/>
    </row>
    <row r="11" spans="2:4" x14ac:dyDescent="0.25">
      <c r="B11" t="s">
        <v>182</v>
      </c>
      <c r="C11" s="4">
        <v>11000</v>
      </c>
      <c r="D11" s="1">
        <f>+C10-C11:C11</f>
        <v>55000</v>
      </c>
    </row>
    <row r="12" spans="2:4" x14ac:dyDescent="0.25">
      <c r="C12" s="1"/>
      <c r="D12" s="1"/>
    </row>
    <row r="13" spans="2:4" x14ac:dyDescent="0.25">
      <c r="B13" t="s">
        <v>183</v>
      </c>
      <c r="C13" s="1">
        <v>10800</v>
      </c>
      <c r="D13" s="1"/>
    </row>
    <row r="14" spans="2:4" x14ac:dyDescent="0.25">
      <c r="B14" t="s">
        <v>184</v>
      </c>
      <c r="C14" s="4">
        <v>9800</v>
      </c>
      <c r="D14" s="4">
        <f>+C13-C14</f>
        <v>1000</v>
      </c>
    </row>
    <row r="15" spans="2:4" x14ac:dyDescent="0.25">
      <c r="C15" s="1"/>
      <c r="D15" s="1"/>
    </row>
    <row r="16" spans="2:4" x14ac:dyDescent="0.25">
      <c r="B16" t="s">
        <v>23</v>
      </c>
      <c r="C16" s="1"/>
      <c r="D16" s="1">
        <f>+SUM(D8:D15)</f>
        <v>71000</v>
      </c>
    </row>
    <row r="17" spans="2:4" x14ac:dyDescent="0.25">
      <c r="C17" s="1"/>
      <c r="D17" s="1"/>
    </row>
    <row r="18" spans="2:4" x14ac:dyDescent="0.25">
      <c r="B18" t="s">
        <v>9</v>
      </c>
      <c r="C18" s="1"/>
      <c r="D18" s="1"/>
    </row>
    <row r="19" spans="2:4" x14ac:dyDescent="0.25">
      <c r="B19" t="s">
        <v>185</v>
      </c>
      <c r="C19" s="1"/>
      <c r="D19" s="1"/>
    </row>
    <row r="20" spans="2:4" x14ac:dyDescent="0.25">
      <c r="B20" t="s">
        <v>186</v>
      </c>
      <c r="C20" s="1"/>
      <c r="D20" s="1"/>
    </row>
    <row r="21" spans="2:4" x14ac:dyDescent="0.25">
      <c r="B21" t="s">
        <v>187</v>
      </c>
      <c r="C21" s="1"/>
      <c r="D21" s="1"/>
    </row>
    <row r="22" spans="2:4" x14ac:dyDescent="0.25">
      <c r="C22" s="1"/>
      <c r="D22" s="1"/>
    </row>
    <row r="23" spans="2:4" ht="18.75" x14ac:dyDescent="0.3">
      <c r="B23" s="9" t="s">
        <v>188</v>
      </c>
      <c r="C23" s="1"/>
      <c r="D23" s="1"/>
    </row>
    <row r="24" spans="2:4" x14ac:dyDescent="0.25">
      <c r="B24" t="s">
        <v>189</v>
      </c>
    </row>
    <row r="25" spans="2:4" x14ac:dyDescent="0.25">
      <c r="B25" t="s">
        <v>190</v>
      </c>
    </row>
    <row r="26" spans="2:4" x14ac:dyDescent="0.25">
      <c r="B26" t="s">
        <v>191</v>
      </c>
      <c r="C26" t="s">
        <v>192</v>
      </c>
    </row>
    <row r="27" spans="2:4" x14ac:dyDescent="0.25">
      <c r="B27" t="s">
        <v>193</v>
      </c>
      <c r="C27" t="s">
        <v>194</v>
      </c>
    </row>
    <row r="29" spans="2:4" x14ac:dyDescent="0.25">
      <c r="B29" t="s">
        <v>195</v>
      </c>
    </row>
    <row r="32" spans="2:4" ht="18.75" x14ac:dyDescent="0.3">
      <c r="B32" s="9" t="s">
        <v>196</v>
      </c>
    </row>
    <row r="33" spans="2:2" x14ac:dyDescent="0.25">
      <c r="B33" t="s">
        <v>197</v>
      </c>
    </row>
    <row r="34" spans="2:2" x14ac:dyDescent="0.25">
      <c r="B34" t="s">
        <v>198</v>
      </c>
    </row>
    <row r="35" spans="2:2" x14ac:dyDescent="0.25">
      <c r="B35" t="s">
        <v>199</v>
      </c>
    </row>
    <row r="37" spans="2:2" ht="18.75" x14ac:dyDescent="0.3">
      <c r="B37" s="9" t="s">
        <v>200</v>
      </c>
    </row>
    <row r="38" spans="2:2" x14ac:dyDescent="0.25">
      <c r="B38" t="s">
        <v>201</v>
      </c>
    </row>
    <row r="39" spans="2:2" x14ac:dyDescent="0.25">
      <c r="B39" t="s">
        <v>202</v>
      </c>
    </row>
    <row r="40" spans="2:2" x14ac:dyDescent="0.25">
      <c r="B40" t="s">
        <v>203</v>
      </c>
    </row>
    <row r="41" spans="2:2" x14ac:dyDescent="0.25">
      <c r="B41" t="s">
        <v>204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2"/>
  <sheetViews>
    <sheetView topLeftCell="A25" workbookViewId="0">
      <selection activeCell="B42" sqref="B42"/>
    </sheetView>
  </sheetViews>
  <sheetFormatPr defaultRowHeight="15" x14ac:dyDescent="0.25"/>
  <cols>
    <col min="8" max="8" width="11.5703125" bestFit="1" customWidth="1"/>
    <col min="9" max="9" width="10" bestFit="1" customWidth="1"/>
  </cols>
  <sheetData>
    <row r="2" spans="2:3" ht="18.75" x14ac:dyDescent="0.3">
      <c r="B2" s="9" t="s">
        <v>205</v>
      </c>
    </row>
    <row r="4" spans="2:3" ht="18.75" x14ac:dyDescent="0.3">
      <c r="B4" s="9" t="s">
        <v>206</v>
      </c>
    </row>
    <row r="5" spans="2:3" x14ac:dyDescent="0.25">
      <c r="B5" t="s">
        <v>207</v>
      </c>
      <c r="C5" t="s">
        <v>209</v>
      </c>
    </row>
    <row r="6" spans="2:3" x14ac:dyDescent="0.25">
      <c r="B6" t="s">
        <v>208</v>
      </c>
      <c r="C6" t="s">
        <v>210</v>
      </c>
    </row>
    <row r="8" spans="2:3" x14ac:dyDescent="0.25">
      <c r="B8" t="s">
        <v>211</v>
      </c>
      <c r="C8" t="s">
        <v>212</v>
      </c>
    </row>
    <row r="9" spans="2:3" x14ac:dyDescent="0.25">
      <c r="C9" t="s">
        <v>213</v>
      </c>
    </row>
    <row r="10" spans="2:3" x14ac:dyDescent="0.25">
      <c r="C10" t="s">
        <v>214</v>
      </c>
    </row>
    <row r="11" spans="2:3" x14ac:dyDescent="0.25">
      <c r="C11" t="s">
        <v>215</v>
      </c>
    </row>
    <row r="13" spans="2:3" x14ac:dyDescent="0.25">
      <c r="B13" t="s">
        <v>216</v>
      </c>
      <c r="C13" t="s">
        <v>217</v>
      </c>
    </row>
    <row r="15" spans="2:3" x14ac:dyDescent="0.25">
      <c r="B15" t="s">
        <v>218</v>
      </c>
    </row>
    <row r="16" spans="2:3" x14ac:dyDescent="0.25">
      <c r="B16" t="s">
        <v>219</v>
      </c>
    </row>
    <row r="17" spans="2:9" x14ac:dyDescent="0.25">
      <c r="B17" t="s">
        <v>220</v>
      </c>
    </row>
    <row r="20" spans="2:9" ht="18.75" x14ac:dyDescent="0.3">
      <c r="B20" s="9" t="s">
        <v>221</v>
      </c>
    </row>
    <row r="21" spans="2:9" x14ac:dyDescent="0.25">
      <c r="B21" t="s">
        <v>222</v>
      </c>
    </row>
    <row r="22" spans="2:9" x14ac:dyDescent="0.25">
      <c r="B22" t="s">
        <v>223</v>
      </c>
    </row>
    <row r="23" spans="2:9" x14ac:dyDescent="0.25">
      <c r="B23" t="s">
        <v>224</v>
      </c>
      <c r="G23" t="s">
        <v>225</v>
      </c>
      <c r="I23" s="1">
        <f>46000*0.5</f>
        <v>23000</v>
      </c>
    </row>
    <row r="24" spans="2:9" x14ac:dyDescent="0.25">
      <c r="B24" t="s">
        <v>226</v>
      </c>
      <c r="I24" s="1">
        <f>+I23*0.1236</f>
        <v>2842.8</v>
      </c>
    </row>
    <row r="27" spans="2:9" ht="18.75" x14ac:dyDescent="0.3">
      <c r="B27" s="9" t="s">
        <v>227</v>
      </c>
    </row>
    <row r="28" spans="2:9" x14ac:dyDescent="0.25">
      <c r="B28" t="s">
        <v>238</v>
      </c>
    </row>
    <row r="30" spans="2:9" x14ac:dyDescent="0.25">
      <c r="B30" t="s">
        <v>228</v>
      </c>
      <c r="G30" s="1"/>
      <c r="H30" s="1">
        <f>225000*100/112.5</f>
        <v>200000</v>
      </c>
      <c r="I30" s="1"/>
    </row>
    <row r="31" spans="2:9" x14ac:dyDescent="0.25">
      <c r="B31" t="s">
        <v>229</v>
      </c>
      <c r="G31" s="1"/>
      <c r="H31" s="1"/>
      <c r="I31" s="1"/>
    </row>
    <row r="32" spans="2:9" x14ac:dyDescent="0.25">
      <c r="B32" t="s">
        <v>230</v>
      </c>
      <c r="G32" s="1"/>
      <c r="H32" s="1">
        <v>51000</v>
      </c>
      <c r="I32" s="1"/>
    </row>
    <row r="33" spans="2:9" x14ac:dyDescent="0.25">
      <c r="B33" t="s">
        <v>231</v>
      </c>
      <c r="G33" s="1"/>
      <c r="H33" s="1"/>
      <c r="I33" s="1"/>
    </row>
    <row r="34" spans="2:9" x14ac:dyDescent="0.25">
      <c r="B34" t="s">
        <v>232</v>
      </c>
      <c r="G34" s="1"/>
      <c r="H34" s="1">
        <v>35000</v>
      </c>
      <c r="I34" s="1"/>
    </row>
    <row r="35" spans="2:9" x14ac:dyDescent="0.25">
      <c r="G35" s="1" t="s">
        <v>233</v>
      </c>
      <c r="H35" s="1">
        <f>SUM(H30:H34)</f>
        <v>286000</v>
      </c>
      <c r="I35" s="1"/>
    </row>
    <row r="36" spans="2:9" x14ac:dyDescent="0.25">
      <c r="G36" s="1"/>
      <c r="H36" s="1"/>
      <c r="I36" s="1"/>
    </row>
    <row r="37" spans="2:9" x14ac:dyDescent="0.25">
      <c r="B37" t="s">
        <v>234</v>
      </c>
      <c r="G37" s="1"/>
      <c r="H37" s="1">
        <f>+H35*0.9*1.2</f>
        <v>308880</v>
      </c>
      <c r="I37" s="1"/>
    </row>
    <row r="38" spans="2:9" x14ac:dyDescent="0.25">
      <c r="B38" t="s">
        <v>235</v>
      </c>
      <c r="G38" s="1"/>
      <c r="H38" s="1">
        <f>+H37*0.04</f>
        <v>12355.2</v>
      </c>
      <c r="I38" s="1"/>
    </row>
    <row r="39" spans="2:9" x14ac:dyDescent="0.25">
      <c r="B39" t="s">
        <v>236</v>
      </c>
      <c r="G39" s="1">
        <v>6700</v>
      </c>
      <c r="H39" s="1"/>
      <c r="I39" s="1"/>
    </row>
    <row r="40" spans="2:9" x14ac:dyDescent="0.25">
      <c r="B40" t="s">
        <v>237</v>
      </c>
      <c r="G40" s="4">
        <v>25000</v>
      </c>
      <c r="H40" s="4">
        <f>+G40+G39</f>
        <v>31700</v>
      </c>
      <c r="I40" s="1"/>
    </row>
    <row r="41" spans="2:9" ht="15.75" thickBot="1" x14ac:dyDescent="0.3">
      <c r="B41" s="2" t="s">
        <v>239</v>
      </c>
      <c r="C41" s="2"/>
      <c r="D41" s="2"/>
      <c r="E41" s="2"/>
      <c r="F41" s="2"/>
      <c r="G41" s="13"/>
      <c r="H41" s="15">
        <f>+H40-H38</f>
        <v>19344.8</v>
      </c>
      <c r="I41" s="1"/>
    </row>
    <row r="42" spans="2:9" ht="15.75" thickTop="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Q1</vt:lpstr>
      <vt:lpstr>Q2</vt:lpstr>
      <vt:lpstr>Q3</vt:lpstr>
      <vt:lpstr>Q4</vt:lpstr>
      <vt:lpstr>Q5</vt:lpstr>
      <vt:lpstr>Q6</vt:lpstr>
      <vt:lpstr>Q7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Deepak</dc:creator>
  <cp:lastModifiedBy>Deepak</cp:lastModifiedBy>
  <dcterms:created xsi:type="dcterms:W3CDTF">2014-06-02T14:59:43Z</dcterms:created>
  <dcterms:modified xsi:type="dcterms:W3CDTF">2014-06-03T13:13:41Z</dcterms:modified>
</cp:coreProperties>
</file>