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activeTab="1"/>
  </bookViews>
  <sheets>
    <sheet name="Master Data" sheetId="7" r:id="rId1"/>
    <sheet name="P&amp;L" sheetId="2" r:id="rId2"/>
    <sheet name="BS" sheetId="3" r:id="rId3"/>
    <sheet name="Cash Flow" sheetId="5" r:id="rId4"/>
    <sheet name="Ratio" sheetId="6" r:id="rId5"/>
    <sheet name="DCF" sheetId="8" r:id="rId6"/>
    <sheet name="Buffett Valuation" sheetId="9" r:id="rId7"/>
    <sheet name="Fair Value" sheetId="11" r:id="rId8"/>
  </sheets>
  <externalReferences>
    <externalReference r:id="rId9"/>
  </externalReferences>
  <definedNames>
    <definedName name="discount">'[1]DCF Valuation'!$N$13:$N$16</definedName>
    <definedName name="Ticker">[1]Data!$A$2</definedName>
  </definedNames>
  <calcPr calcId="125725"/>
</workbook>
</file>

<file path=xl/calcChain.xml><?xml version="1.0" encoding="utf-8"?>
<calcChain xmlns="http://schemas.openxmlformats.org/spreadsheetml/2006/main">
  <c r="B24" i="11"/>
  <c r="E48" i="9" l="1"/>
  <c r="E47"/>
  <c r="E33"/>
  <c r="E34"/>
  <c r="F19" i="6" l="1"/>
  <c r="E19"/>
  <c r="D19"/>
  <c r="C19"/>
  <c r="B19"/>
  <c r="F7"/>
  <c r="E7"/>
  <c r="D7"/>
  <c r="C7"/>
  <c r="B7"/>
  <c r="H8" i="2"/>
  <c r="B16" i="8"/>
  <c r="H39" i="2" l="1"/>
  <c r="H34"/>
  <c r="H33"/>
  <c r="H26"/>
  <c r="H24"/>
  <c r="H22"/>
  <c r="H19"/>
  <c r="H18"/>
  <c r="H17"/>
  <c r="C9" i="9" l="1"/>
  <c r="F41" i="2"/>
  <c r="E41"/>
  <c r="D41"/>
  <c r="C41"/>
  <c r="B41"/>
  <c r="B28" i="8"/>
  <c r="B10"/>
  <c r="C25" i="9"/>
  <c r="C24"/>
  <c r="C23"/>
  <c r="C22"/>
  <c r="C21"/>
  <c r="F11" i="5"/>
  <c r="E11"/>
  <c r="D11"/>
  <c r="C11"/>
  <c r="B11"/>
  <c r="B16" i="7"/>
  <c r="B15"/>
  <c r="B6" i="11" l="1"/>
  <c r="C6"/>
  <c r="D6"/>
  <c r="E6"/>
  <c r="F6"/>
  <c r="F4"/>
  <c r="E4"/>
  <c r="D4"/>
  <c r="C4"/>
  <c r="B4"/>
  <c r="B6" i="7" l="1"/>
  <c r="F25" i="9"/>
  <c r="F24"/>
  <c r="F23"/>
  <c r="F22"/>
  <c r="F21"/>
  <c r="E25"/>
  <c r="E24"/>
  <c r="E23"/>
  <c r="E22"/>
  <c r="E21"/>
  <c r="C7"/>
  <c r="C4"/>
  <c r="B27" i="8"/>
  <c r="C13" i="9" l="1"/>
  <c r="F29"/>
  <c r="E29"/>
  <c r="C19" i="8" l="1"/>
  <c r="C18"/>
  <c r="C17"/>
  <c r="C16"/>
  <c r="C15"/>
  <c r="E11"/>
  <c r="D11"/>
  <c r="B11" s="1"/>
  <c r="B2" l="1"/>
  <c r="B15" s="1"/>
  <c r="B17" s="1"/>
  <c r="B18" s="1"/>
  <c r="B19" s="1"/>
  <c r="B23" s="1"/>
  <c r="B25" s="1"/>
  <c r="F38" i="6"/>
  <c r="E38"/>
  <c r="D38"/>
  <c r="C38"/>
  <c r="B38"/>
  <c r="F37"/>
  <c r="E37"/>
  <c r="D37"/>
  <c r="C37"/>
  <c r="B37"/>
  <c r="F36"/>
  <c r="E36"/>
  <c r="D36"/>
  <c r="C36"/>
  <c r="B36"/>
  <c r="F35"/>
  <c r="E35"/>
  <c r="D35"/>
  <c r="C35"/>
  <c r="B35"/>
  <c r="F34"/>
  <c r="E34"/>
  <c r="D34"/>
  <c r="C34"/>
  <c r="B34"/>
  <c r="E31"/>
  <c r="D31"/>
  <c r="C31"/>
  <c r="B31"/>
  <c r="E30"/>
  <c r="D30"/>
  <c r="C30"/>
  <c r="B30"/>
  <c r="E29"/>
  <c r="D29"/>
  <c r="C29"/>
  <c r="B29"/>
  <c r="E28"/>
  <c r="D28"/>
  <c r="C28"/>
  <c r="B28"/>
  <c r="F25"/>
  <c r="E25"/>
  <c r="D25"/>
  <c r="C25"/>
  <c r="B25"/>
  <c r="F24"/>
  <c r="E24"/>
  <c r="D24"/>
  <c r="C24"/>
  <c r="B24"/>
  <c r="F23"/>
  <c r="E23"/>
  <c r="D23"/>
  <c r="C23"/>
  <c r="B23"/>
  <c r="F20"/>
  <c r="E20"/>
  <c r="D20"/>
  <c r="C20"/>
  <c r="B20"/>
  <c r="F17"/>
  <c r="E17"/>
  <c r="D17"/>
  <c r="C17"/>
  <c r="B17"/>
  <c r="F14"/>
  <c r="E14"/>
  <c r="D14"/>
  <c r="C14"/>
  <c r="B14"/>
  <c r="F13"/>
  <c r="E13"/>
  <c r="D13"/>
  <c r="C13"/>
  <c r="B13"/>
  <c r="F12"/>
  <c r="E12"/>
  <c r="D12"/>
  <c r="C12"/>
  <c r="B12"/>
  <c r="F11"/>
  <c r="E11"/>
  <c r="D11"/>
  <c r="C11"/>
  <c r="B11"/>
  <c r="C29" i="9" l="1"/>
  <c r="J25"/>
  <c r="D18" i="8"/>
  <c r="D19"/>
  <c r="D15"/>
  <c r="D16"/>
  <c r="D17"/>
  <c r="C6" i="6"/>
  <c r="C18" s="1"/>
  <c r="D6"/>
  <c r="D18" s="1"/>
  <c r="E6"/>
  <c r="E18" s="1"/>
  <c r="F6"/>
  <c r="F18" s="1"/>
  <c r="B6"/>
  <c r="B18" s="1"/>
  <c r="F5"/>
  <c r="D21" i="9" s="1"/>
  <c r="E5" i="6"/>
  <c r="D22" i="9" s="1"/>
  <c r="D5" i="6"/>
  <c r="D23" i="9" s="1"/>
  <c r="C5" i="6"/>
  <c r="D24" i="9" s="1"/>
  <c r="B5" i="6"/>
  <c r="F39" i="2"/>
  <c r="E39"/>
  <c r="E4" i="6" s="1"/>
  <c r="D39" i="2"/>
  <c r="C39"/>
  <c r="C4" i="6" s="1"/>
  <c r="B39" i="2"/>
  <c r="B13" i="7"/>
  <c r="B14"/>
  <c r="B12"/>
  <c r="B24" i="8" l="1"/>
  <c r="B26" s="1"/>
  <c r="B15" i="11" s="1"/>
  <c r="D25" i="9"/>
  <c r="D29" s="1"/>
  <c r="C10"/>
  <c r="B3" i="11"/>
  <c r="B12" s="1"/>
  <c r="B25" i="9"/>
  <c r="D3" i="11"/>
  <c r="B23" i="9"/>
  <c r="F3" i="11"/>
  <c r="B21" i="9"/>
  <c r="B24"/>
  <c r="C3" i="11"/>
  <c r="B22" i="9"/>
  <c r="E3" i="11"/>
  <c r="F4" i="6"/>
  <c r="D4"/>
  <c r="B4"/>
  <c r="C8" i="9" s="1"/>
  <c r="B47" l="1"/>
  <c r="C14"/>
  <c r="B33"/>
  <c r="C11"/>
  <c r="E11" s="1"/>
  <c r="C12"/>
  <c r="H22"/>
  <c r="J22"/>
  <c r="G22"/>
  <c r="I22"/>
  <c r="G24"/>
  <c r="I24"/>
  <c r="H24"/>
  <c r="J24"/>
  <c r="F7" i="11"/>
  <c r="F5"/>
  <c r="D5"/>
  <c r="D8" s="1"/>
  <c r="D7"/>
  <c r="B14"/>
  <c r="B7"/>
  <c r="B5"/>
  <c r="B8" s="1"/>
  <c r="E7"/>
  <c r="E5"/>
  <c r="E8" s="1"/>
  <c r="C7"/>
  <c r="C5"/>
  <c r="C8" s="1"/>
  <c r="J21" i="9"/>
  <c r="I21"/>
  <c r="G21"/>
  <c r="H21"/>
  <c r="J23"/>
  <c r="G23"/>
  <c r="H23"/>
  <c r="I23"/>
  <c r="G25"/>
  <c r="H25"/>
  <c r="B29"/>
  <c r="I25"/>
  <c r="F8" i="11" l="1"/>
  <c r="B13" s="1"/>
  <c r="H8" i="9"/>
  <c r="C33" s="1"/>
  <c r="H10"/>
  <c r="H7"/>
  <c r="B34"/>
  <c r="H9"/>
  <c r="H11" l="1"/>
  <c r="B35"/>
  <c r="C34"/>
  <c r="H12"/>
  <c r="C47"/>
  <c r="D47" s="1"/>
  <c r="B36" l="1"/>
  <c r="C35"/>
  <c r="B48"/>
  <c r="C48" l="1"/>
  <c r="D48" s="1"/>
  <c r="B37"/>
  <c r="C36"/>
  <c r="C37" l="1"/>
  <c r="B49"/>
  <c r="B16" i="11" l="1"/>
  <c r="E36" i="9"/>
  <c r="C49"/>
  <c r="D49" s="1"/>
  <c r="B50" l="1"/>
  <c r="E37"/>
  <c r="E39" s="1"/>
  <c r="C50" l="1"/>
  <c r="D50" s="1"/>
  <c r="B51" l="1"/>
  <c r="C51" l="1"/>
  <c r="E50" l="1"/>
  <c r="D51"/>
  <c r="B17" i="11" l="1"/>
  <c r="B21" s="1"/>
  <c r="E51" i="9"/>
  <c r="E53" s="1"/>
  <c r="B20" i="11" l="1"/>
  <c r="B23" l="1"/>
  <c r="B25" s="1"/>
</calcChain>
</file>

<file path=xl/comments1.xml><?xml version="1.0" encoding="utf-8"?>
<comments xmlns="http://schemas.openxmlformats.org/spreadsheetml/2006/main">
  <authors>
    <author>Author</author>
  </authors>
  <commentList>
    <comment ref="A2" authorId="0">
      <text>
        <r>
          <rPr>
            <b/>
            <sz val="9"/>
            <color indexed="81"/>
            <rFont val="Tahoma"/>
            <family val="2"/>
          </rPr>
          <t xml:space="preserve">Safal Niveshak: </t>
        </r>
        <r>
          <rPr>
            <sz val="9"/>
            <color indexed="81"/>
            <rFont val="Tahoma"/>
            <family val="2"/>
          </rPr>
          <t xml:space="preserve">Normalize!
It's better to take a 3-5 years average FCF as this starting number instead of the latest year's FCF. This is for the simple reason that the latest year can be a best/worst number.
FCF can be calculated from the Cash Flow Statement in the annual report.
</t>
        </r>
        <r>
          <rPr>
            <b/>
            <sz val="9"/>
            <color indexed="81"/>
            <rFont val="Tahoma"/>
            <family val="2"/>
          </rPr>
          <t xml:space="preserve">FCF formula = Net Cash from/(used in) Operating Activities </t>
        </r>
        <r>
          <rPr>
            <b/>
            <i/>
            <sz val="9"/>
            <color indexed="81"/>
            <rFont val="Tahoma"/>
            <family val="2"/>
          </rPr>
          <t>minus</t>
        </r>
        <r>
          <rPr>
            <b/>
            <sz val="9"/>
            <color indexed="81"/>
            <rFont val="Tahoma"/>
            <family val="2"/>
          </rPr>
          <t xml:space="preserve"> Purchase of Fixed Assets</t>
        </r>
        <r>
          <rPr>
            <sz val="9"/>
            <color indexed="81"/>
            <rFont val="Tahoma"/>
            <family val="2"/>
          </rPr>
          <t xml:space="preserve">
</t>
        </r>
      </text>
    </comment>
    <comment ref="A4" authorId="0">
      <text>
        <r>
          <rPr>
            <b/>
            <sz val="9"/>
            <color indexed="81"/>
            <rFont val="Tahoma"/>
            <family val="2"/>
          </rPr>
          <t>Safal Niveshak:</t>
        </r>
        <r>
          <rPr>
            <sz val="9"/>
            <color indexed="81"/>
            <rFont val="Tahoma"/>
            <family val="2"/>
          </rPr>
          <t xml:space="preserve"> In a 2-stage DCF, we break the next 10 years into two phases of five years each, and then calculate the FCF growth based on growth rates assumed in Cells B9 and B10 below.
</t>
        </r>
      </text>
    </comment>
    <comment ref="A5" authorId="0">
      <text>
        <r>
          <rPr>
            <b/>
            <sz val="9"/>
            <color indexed="81"/>
            <rFont val="Tahoma"/>
            <family val="2"/>
          </rPr>
          <t xml:space="preserve">Safal Niveshak: </t>
        </r>
        <r>
          <rPr>
            <sz val="9"/>
            <color indexed="81"/>
            <rFont val="Tahoma"/>
            <family val="2"/>
          </rPr>
          <t>Be conservative!
Prefer to value stocks based on the present data rather than what will happen in the future. Anything could happen even in 1 year, and if the growth rate is too high and the company cannot meet those expectations, there is no where to go but down.
The best practice is to keep growth rates as low as possible. If the company looks to be undervalued with 0% growth rate, you have more upside than downside. The higher you set the growth rate, the higher you set up the downside potential. Just be reasonable and use common sense.
On most of the stocks I value, I rarely go above 15% (for the first 5-year period), and that’s only for the safest, cash-generating businesses like Colgate, HUL, Infosys etc. This is approx. 2x India's expected long-term GDP growth rate.
The goal of choosing a growth rate is to find a number which is conservative yet not very low or pessimistic, and close to reality in order to capture potential future gains without eliminating too many investment candidates.</t>
        </r>
      </text>
    </comment>
    <comment ref="A6" authorId="0">
      <text>
        <r>
          <rPr>
            <b/>
            <sz val="9"/>
            <color indexed="81"/>
            <rFont val="Tahoma"/>
            <family val="2"/>
          </rPr>
          <t xml:space="preserve">Safal Niveshak: </t>
        </r>
        <r>
          <rPr>
            <sz val="9"/>
            <color indexed="81"/>
            <rFont val="Tahoma"/>
            <family val="2"/>
          </rPr>
          <t xml:space="preserve">This is the rate at which you discount the future cash flows to the present value.
So what would be a good rate? Considering that the “average” market return is about 10-15%, a minimum discount rate should be set to 10%. I use 10% as a minimum for stable and predictable companies such as Colgate, Infosys, HUL while 15% is a good return for less predictable companies such as, say Opto Circuits.
</t>
        </r>
        <r>
          <rPr>
            <b/>
            <sz val="9"/>
            <color indexed="81"/>
            <rFont val="Tahoma"/>
            <family val="2"/>
          </rPr>
          <t xml:space="preserve">
</t>
        </r>
        <r>
          <rPr>
            <sz val="9"/>
            <color indexed="81"/>
            <rFont val="Tahoma"/>
            <family val="2"/>
          </rPr>
          <t>Also, do not adjust the entire risk of a investment in its discount rate. In other words, if Opto Circuits is a "riskier" investment that say Titan, adjust for some risk in the cash flow growth estimates and some in the discount rate.
Ignore simple yet junk models like CAPM to get the discount rate. People in the finance world pour out their hearts to obtain the most accurate discount rate by analyzing risk free rates, beta, risk premium and WACC. It's just short of rubbish!
What’s the point in learning every method of hammering a nail when all you have to do is hit it on the head. So do not over-complicate this aspect.
The beauty of old school Graham and Buffett is that their investments are based on common sense, not volatility and other mumbo jumbo.
There is no hard and fast rule for choosing a discount rate. Using a high discount rate to discount the future cash just means you are willing to pay less today for the future cash and vice versa.
Do understand that - “You can’t compensate for risk by using a high discount rate.” 
The important aspect is not deciding upon a discount rate, but in being logical and reasonable about cash projections.
Another way you can look at discount rate is to not using different discount rates for different businesses. It won't really matter what rate you use as long as you are being intellectually honest and conservative about future cash flows.</t>
        </r>
      </text>
    </comment>
    <comment ref="A7" authorId="0">
      <text>
        <r>
          <rPr>
            <b/>
            <sz val="9"/>
            <color indexed="81"/>
            <rFont val="Tahoma"/>
            <family val="2"/>
          </rPr>
          <t xml:space="preserve">Safal Niveshak: </t>
        </r>
        <r>
          <rPr>
            <sz val="9"/>
            <color indexed="81"/>
            <rFont val="Tahoma"/>
            <family val="2"/>
          </rPr>
          <t xml:space="preserve">Since it isn’t practical to forecast cash flows for an infinite number of years, it’s usual to end the DCF with a terminal value.
The best terminal growth rate is 0%, and the highest you should go (for safest businesses) is 2%.
</t>
        </r>
      </text>
    </comment>
    <comment ref="A11" authorId="0">
      <text>
        <r>
          <rPr>
            <b/>
            <sz val="9"/>
            <color indexed="81"/>
            <rFont val="Tahoma"/>
            <family val="2"/>
          </rPr>
          <t xml:space="preserve">Safal Niveshak: </t>
        </r>
        <r>
          <rPr>
            <sz val="9"/>
            <color indexed="81"/>
            <rFont val="Tahoma"/>
            <family val="2"/>
          </rPr>
          <t xml:space="preserve">If this figure is negative, i.e., in brackets, it means that the company has more Cash than Debt. This is automatically added to the PV of cash flows below to give a complete picture of the company's valuation.
</t>
        </r>
      </text>
    </comment>
  </commentList>
</comments>
</file>

<file path=xl/comments2.xml><?xml version="1.0" encoding="utf-8"?>
<comments xmlns="http://schemas.openxmlformats.org/spreadsheetml/2006/main">
  <authors>
    <author>Author</author>
  </authors>
  <commentList>
    <comment ref="G12" authorId="0">
      <text>
        <r>
          <rPr>
            <b/>
            <sz val="9"/>
            <color indexed="81"/>
            <rFont val="Tahoma"/>
            <family val="2"/>
          </rPr>
          <t xml:space="preserve">Safal Niveshak: </t>
        </r>
        <r>
          <rPr>
            <sz val="9"/>
            <color indexed="81"/>
            <rFont val="Tahoma"/>
            <family val="2"/>
          </rPr>
          <t xml:space="preserve">Sustainable Growth is usually calculated as:
</t>
        </r>
        <r>
          <rPr>
            <b/>
            <sz val="9"/>
            <color indexed="81"/>
            <rFont val="Tahoma"/>
            <family val="2"/>
          </rPr>
          <t xml:space="preserve">(ROE * (1 - Payout Ratio))
</t>
        </r>
        <r>
          <rPr>
            <sz val="9"/>
            <color indexed="81"/>
            <rFont val="Tahoma"/>
            <family val="2"/>
          </rPr>
          <t>Here, (1 - Payout Ratio) = Profits retained by the company after paying the dividend. In the long term, a company's profit growth is sustained at its RoE levels, thus this formula.</t>
        </r>
      </text>
    </comment>
    <comment ref="B47" authorId="0">
      <text>
        <r>
          <rPr>
            <b/>
            <sz val="9"/>
            <color indexed="81"/>
            <rFont val="Tahoma"/>
            <family val="2"/>
          </rPr>
          <t>Safal Niveshak:</t>
        </r>
        <r>
          <rPr>
            <sz val="9"/>
            <color indexed="81"/>
            <rFont val="Tahoma"/>
            <family val="2"/>
          </rPr>
          <t xml:space="preserve"> This is the latest year's book value per share.
</t>
        </r>
      </text>
    </comment>
    <comment ref="D47" authorId="0">
      <text>
        <r>
          <rPr>
            <b/>
            <sz val="9"/>
            <color indexed="81"/>
            <rFont val="Tahoma"/>
            <family val="2"/>
          </rPr>
          <t xml:space="preserve">Safal Niveshak: </t>
        </r>
        <r>
          <rPr>
            <sz val="9"/>
            <color indexed="81"/>
            <rFont val="Tahoma"/>
            <family val="2"/>
          </rPr>
          <t xml:space="preserve">DPS is calculated as: EPS x Payout Ratio.
Payout ratio = DPS / EPS, or how much of a year's earnings is paid out at dividends.
</t>
        </r>
      </text>
    </comment>
    <comment ref="B48" authorId="0">
      <text>
        <r>
          <rPr>
            <b/>
            <sz val="9"/>
            <color indexed="81"/>
            <rFont val="Tahoma"/>
            <family val="2"/>
          </rPr>
          <t xml:space="preserve">Safal Niveshak: </t>
        </r>
        <r>
          <rPr>
            <sz val="9"/>
            <color indexed="81"/>
            <rFont val="Tahoma"/>
            <family val="2"/>
          </rPr>
          <t>This book value and those in subsequent years are calculated using  the formula…</t>
        </r>
        <r>
          <rPr>
            <b/>
            <sz val="9"/>
            <color indexed="81"/>
            <rFont val="Tahoma"/>
            <family val="2"/>
          </rPr>
          <t xml:space="preserve">
</t>
        </r>
        <r>
          <rPr>
            <i/>
            <sz val="9"/>
            <color indexed="81"/>
            <rFont val="Tahoma"/>
            <family val="2"/>
          </rPr>
          <t>Previous year's Book Value + Latest year's EPS - Latest year's Dividend per share</t>
        </r>
        <r>
          <rPr>
            <sz val="9"/>
            <color indexed="81"/>
            <rFont val="Tahoma"/>
            <family val="2"/>
          </rPr>
          <t xml:space="preserve">
This is because this year's shareholder's equity (book value) is simply last years equity + profits generated in this year - dividends paid in this year.</t>
        </r>
      </text>
    </comment>
  </commentList>
</comments>
</file>

<file path=xl/comments3.xml><?xml version="1.0" encoding="utf-8"?>
<comments xmlns="http://schemas.openxmlformats.org/spreadsheetml/2006/main">
  <authors>
    <author>Author</author>
  </authors>
  <commentList>
    <comment ref="A12" authorId="0">
      <text>
        <r>
          <rPr>
            <b/>
            <sz val="9"/>
            <color indexed="81"/>
            <rFont val="Tahoma"/>
            <family val="2"/>
          </rPr>
          <t xml:space="preserve">Safal Niveshak: </t>
        </r>
        <r>
          <rPr>
            <sz val="9"/>
            <color indexed="81"/>
            <rFont val="Tahoma"/>
            <family val="2"/>
          </rPr>
          <t>The Graham number or Benjamin Graham number measures a stock's fair value. Named after Benjamin Graham, the founder of value investing, the Graham Number can be calculated as follows:</t>
        </r>
        <r>
          <rPr>
            <b/>
            <sz val="9"/>
            <color indexed="81"/>
            <rFont val="Tahoma"/>
            <family val="2"/>
          </rPr>
          <t xml:space="preserve">
Graham Number = SQRT(22.5*Latest year's book value per share*Last 3 or 5 years' average earnings per share)
</t>
        </r>
        <r>
          <rPr>
            <sz val="9"/>
            <color indexed="81"/>
            <rFont val="Tahoma"/>
            <family val="2"/>
          </rPr>
          <t xml:space="preserve">
The final number is, theoretically, the maximum price that a defensive investor should pay for the given stock. Put another way, a stock priced below the Graham Number would be considered a good value, if it also meet a number of other criteria.
The complete Graham selection procedure is much more elaborate. No decision should be made based on this number alone.</t>
        </r>
      </text>
    </comment>
    <comment ref="A16" authorId="0">
      <text>
        <r>
          <rPr>
            <b/>
            <sz val="9"/>
            <color indexed="81"/>
            <rFont val="Tahoma"/>
            <family val="2"/>
          </rPr>
          <t xml:space="preserve">Safal Niveshak: </t>
        </r>
        <r>
          <rPr>
            <sz val="9"/>
            <color indexed="81"/>
            <rFont val="Tahoma"/>
            <family val="2"/>
          </rPr>
          <t>This number is discounted to its present value.</t>
        </r>
        <r>
          <rPr>
            <sz val="9"/>
            <color indexed="81"/>
            <rFont val="Tahoma"/>
            <family val="2"/>
          </rPr>
          <t xml:space="preserve">
</t>
        </r>
      </text>
    </comment>
    <comment ref="A17" authorId="0">
      <text>
        <r>
          <rPr>
            <b/>
            <sz val="9"/>
            <color indexed="81"/>
            <rFont val="Tahoma"/>
            <family val="2"/>
          </rPr>
          <t xml:space="preserve">Safal Niveshak: </t>
        </r>
        <r>
          <rPr>
            <sz val="9"/>
            <color indexed="81"/>
            <rFont val="Tahoma"/>
            <family val="2"/>
          </rPr>
          <t xml:space="preserve">This number is discounted to its present value.
</t>
        </r>
      </text>
    </comment>
    <comment ref="A22" authorId="0">
      <text>
        <r>
          <rPr>
            <b/>
            <sz val="9"/>
            <color indexed="81"/>
            <rFont val="Tahoma"/>
            <family val="2"/>
          </rPr>
          <t xml:space="preserve">Safal Niveshak: </t>
        </r>
        <r>
          <rPr>
            <sz val="9"/>
            <color indexed="81"/>
            <rFont val="Tahoma"/>
            <family val="2"/>
          </rPr>
          <t>Valuation is an imprecise art (yes, however smart you may think you are!). Also, the future is inherently unpredictable.
Thus, it’s important to bring in the most-important investing concept of “margin of safety” into the picture.
This is what Graham wrote about margin of safety in The Intelligent Investor…
"</t>
        </r>
        <r>
          <rPr>
            <i/>
            <sz val="9"/>
            <color indexed="81"/>
            <rFont val="Tahoma"/>
            <family val="2"/>
          </rPr>
          <t xml:space="preserve">Confronted with the challenge to distill the secret of sound investment into three words, we venture the motto, MARGIN OF SAFETY."
</t>
        </r>
        <r>
          <rPr>
            <sz val="9"/>
            <color indexed="81"/>
            <rFont val="Tahoma"/>
            <family val="2"/>
          </rPr>
          <t xml:space="preserve">
Margin of safety is simply the discount factor that you use with your intrinsic value calculation. So if you arrive at an intrinsic value of Rs 100 for a stock that trades at Rs 80, you might think that you have found a bargain.
But what if your intrinsic value calculation is wrong? Yes, it will be wrong, at least 100% of the times!
Thus, you will do yourself a world of good by buying the stock only at say 50% discount to your intrinsic value calculation, or around Rs 50.
Now when you bring your intrinsic value assumption down to Rs 50 – by giving a 50% discount to the original calculated value of Rs 100, don’t think that you are trying to be ultra-conservative.
What you are doing is providing yourself protection against:
1. Bad luck
2. Bad timing, and
3. Bad judgment.
Margin of safety was, and will always be, the bedrock of value investing. You can’t ignore this at any cost…or it will turn out to be a costly affair!</t>
        </r>
      </text>
    </comment>
    <comment ref="A23" authorId="0">
      <text>
        <r>
          <rPr>
            <b/>
            <sz val="9"/>
            <color indexed="81"/>
            <rFont val="Tahoma"/>
            <family val="2"/>
          </rPr>
          <t xml:space="preserve">Safal Niveshak: </t>
        </r>
        <r>
          <rPr>
            <sz val="9"/>
            <color indexed="81"/>
            <rFont val="Tahoma"/>
            <family val="2"/>
          </rPr>
          <t xml:space="preserve">This is the fair value or comfortable buying price of the stock after adjusting for Margin of Safety.
</t>
        </r>
      </text>
    </comment>
    <comment ref="A25" authorId="0">
      <text>
        <r>
          <rPr>
            <b/>
            <sz val="9"/>
            <color indexed="81"/>
            <rFont val="Tahoma"/>
            <family val="2"/>
          </rPr>
          <t xml:space="preserve">Safal Niveshak: </t>
        </r>
        <r>
          <rPr>
            <sz val="9"/>
            <color indexed="81"/>
            <rFont val="Tahoma"/>
            <family val="2"/>
          </rPr>
          <t xml:space="preserve">Here are the definitions...
</t>
        </r>
        <r>
          <rPr>
            <b/>
            <sz val="9"/>
            <color indexed="81"/>
            <rFont val="Tahoma"/>
            <family val="2"/>
          </rPr>
          <t>Premium =</t>
        </r>
        <r>
          <rPr>
            <sz val="9"/>
            <color indexed="81"/>
            <rFont val="Tahoma"/>
            <family val="2"/>
          </rPr>
          <t xml:space="preserve"> Stock Price is more than the Fair Value, which means the stock is expensive.
</t>
        </r>
        <r>
          <rPr>
            <b/>
            <sz val="9"/>
            <color indexed="81"/>
            <rFont val="Tahoma"/>
            <family val="2"/>
          </rPr>
          <t>Discount =</t>
        </r>
        <r>
          <rPr>
            <sz val="9"/>
            <color indexed="81"/>
            <rFont val="Tahoma"/>
            <family val="2"/>
          </rPr>
          <t xml:space="preserve"> Stock Price is less than the Fair Value, which means the stock is cheap.
</t>
        </r>
        <r>
          <rPr>
            <b/>
            <sz val="9"/>
            <color indexed="81"/>
            <rFont val="Tahoma"/>
            <family val="2"/>
          </rPr>
          <t>Warning:</t>
        </r>
        <r>
          <rPr>
            <sz val="9"/>
            <color indexed="81"/>
            <rFont val="Tahoma"/>
            <family val="2"/>
          </rPr>
          <t xml:space="preserve"> Valuation must only be looked after assessing the quality of a business. Otherwise, if the business is bad, or getting bad, a cheap stock can be a "value trap".</t>
        </r>
      </text>
    </comment>
  </commentList>
</comments>
</file>

<file path=xl/sharedStrings.xml><?xml version="1.0" encoding="utf-8"?>
<sst xmlns="http://schemas.openxmlformats.org/spreadsheetml/2006/main" count="336" uniqueCount="241">
  <si>
    <t>Mar'14</t>
  </si>
  <si>
    <t>Mar'13</t>
  </si>
  <si>
    <t>Mar'12</t>
  </si>
  <si>
    <t>Mar'11</t>
  </si>
  <si>
    <t>Mar'10</t>
  </si>
  <si>
    <t>12Months</t>
  </si>
  <si>
    <t>INCOME:</t>
  </si>
  <si>
    <t>Sales Turnover</t>
  </si>
  <si>
    <t>Excise Duty</t>
  </si>
  <si>
    <t>NET SALES</t>
  </si>
  <si>
    <t>Other Income</t>
  </si>
  <si>
    <t>TOTAL INCOME</t>
  </si>
  <si>
    <t>EXPENDITURE:</t>
  </si>
  <si>
    <t>Manufacturing Expenses</t>
  </si>
  <si>
    <t>Material Consumed</t>
  </si>
  <si>
    <t>Personal Expenses</t>
  </si>
  <si>
    <t>Selling Expenses</t>
  </si>
  <si>
    <t>Administrative Expenses</t>
  </si>
  <si>
    <t>Expenses Capitalised</t>
  </si>
  <si>
    <t>Provisions Made</t>
  </si>
  <si>
    <t>TOTAL EXPENDITURE</t>
  </si>
  <si>
    <t>Operating Profit</t>
  </si>
  <si>
    <t>EBITDA</t>
  </si>
  <si>
    <t>Depreciation</t>
  </si>
  <si>
    <t>Other Write-offs</t>
  </si>
  <si>
    <t>EBIT</t>
  </si>
  <si>
    <t>Interest</t>
  </si>
  <si>
    <t>EBT</t>
  </si>
  <si>
    <t>Taxes</t>
  </si>
  <si>
    <t>Profit and Loss for the Year</t>
  </si>
  <si>
    <t>Non Recurring Items</t>
  </si>
  <si>
    <t>Other Non Cash Adjustments</t>
  </si>
  <si>
    <t>Other Adjustments</t>
  </si>
  <si>
    <t>REPORTED PAT</t>
  </si>
  <si>
    <t>KEY ITEMS</t>
  </si>
  <si>
    <t>Preference Dividend</t>
  </si>
  <si>
    <t>Equity Dividend</t>
  </si>
  <si>
    <t>Equity Dividend (%)</t>
  </si>
  <si>
    <t>Shares in Issue (Lakhs)</t>
  </si>
  <si>
    <t>EPS - Annualised (Rs)</t>
  </si>
  <si>
    <t>Ratio</t>
  </si>
  <si>
    <t>Particulars</t>
  </si>
  <si>
    <t>Liabilities</t>
  </si>
  <si>
    <t>12 Months</t>
  </si>
  <si>
    <t>Share Capital</t>
  </si>
  <si>
    <t>Reserves &amp; Surplus</t>
  </si>
  <si>
    <t>Net Worth</t>
  </si>
  <si>
    <t>Secured Loan</t>
  </si>
  <si>
    <t>Unsecured Loan</t>
  </si>
  <si>
    <t>TOTAL LIABILITIES</t>
  </si>
  <si>
    <t>Assets</t>
  </si>
  <si>
    <t>Gross Block</t>
  </si>
  <si>
    <t>(-) Acc. Depreciation</t>
  </si>
  <si>
    <t>Net Block</t>
  </si>
  <si>
    <t>Capital Work in Progress</t>
  </si>
  <si>
    <t>Investments</t>
  </si>
  <si>
    <t>Inventories</t>
  </si>
  <si>
    <t>Sundry Debtors</t>
  </si>
  <si>
    <t>Cash and Bank</t>
  </si>
  <si>
    <t>Loans and Advances</t>
  </si>
  <si>
    <t>Total Current Assets</t>
  </si>
  <si>
    <t>Current Liabilities</t>
  </si>
  <si>
    <t>Provisions</t>
  </si>
  <si>
    <t>Total Current Liabilities</t>
  </si>
  <si>
    <t>NET CURRENT ASSETS</t>
  </si>
  <si>
    <t>Misc. Expenses</t>
  </si>
  <si>
    <t>TOTAL ASSETS(A+B+C+D+E)</t>
  </si>
  <si>
    <t>Profit Before Tax</t>
  </si>
  <si>
    <t>Net Cash Flow from Operating Activity</t>
  </si>
  <si>
    <t>Net Cash Used in Investing Activity</t>
  </si>
  <si>
    <t>Net Cash Used in Financing Activity</t>
  </si>
  <si>
    <t>Net Inc/Dec In Cash and Cash Equivalent</t>
  </si>
  <si>
    <t>Cash and Cash Equivalent - Beginning of the Year</t>
  </si>
  <si>
    <t>Cash and Cash Equivalent - End of the Year</t>
  </si>
  <si>
    <t>Key Ratios</t>
  </si>
  <si>
    <t>Operational &amp; Financial Ratios</t>
  </si>
  <si>
    <t>Diluted Earnings Per Share (Rs)</t>
  </si>
  <si>
    <t>Diluted Book Value Per Share (Rs)</t>
  </si>
  <si>
    <t>Tax Rate (%)</t>
  </si>
  <si>
    <t>Dividend Per Share (Rs)</t>
  </si>
  <si>
    <t>Dividend Pay Out Ratio (%)</t>
  </si>
  <si>
    <t>Diluted EPS (Rs)</t>
  </si>
  <si>
    <t>Work Out</t>
  </si>
  <si>
    <t>Current Stock Price (Rs)</t>
  </si>
  <si>
    <t>Face Value (Rs)</t>
  </si>
  <si>
    <t>No. of Shares (Crore)</t>
  </si>
  <si>
    <t>Market Capitalization (Rs Crore)</t>
  </si>
  <si>
    <t>Promoter Shareholding (Latest Quarter)</t>
  </si>
  <si>
    <t>Promoter Pledged Shareholding (Latest Quarter)</t>
  </si>
  <si>
    <t>Basic Company Details</t>
  </si>
  <si>
    <t>Key Financials (Last 5-Years)</t>
  </si>
  <si>
    <t>Average Debt/Equity (x)</t>
  </si>
  <si>
    <t>Average Return on Equity</t>
  </si>
  <si>
    <t>Sales Growth (05-Year CAGR)</t>
  </si>
  <si>
    <t>Gross Profit Growth (05-Year CAGR)</t>
  </si>
  <si>
    <t>Net Profit Growth (05-Year CAGR)</t>
  </si>
  <si>
    <t>Profitability Ratios</t>
  </si>
  <si>
    <t>Gross Margin (%)</t>
  </si>
  <si>
    <t>EBITDA Margin (%)</t>
  </si>
  <si>
    <t>EBIT Margin (%)</t>
  </si>
  <si>
    <t>Net Profit Margin (%)</t>
  </si>
  <si>
    <t>Performance Ratios</t>
  </si>
  <si>
    <t>Return on Equity (%)</t>
  </si>
  <si>
    <t>Return on Capital Employed (%)</t>
  </si>
  <si>
    <t>Return on Invested Capital (%)</t>
  </si>
  <si>
    <t>Sales/Working Capital (x)</t>
  </si>
  <si>
    <t>Efficiency Ratios</t>
  </si>
  <si>
    <t>Receivable Days</t>
  </si>
  <si>
    <t>Inventory Days</t>
  </si>
  <si>
    <t>Payable Days</t>
  </si>
  <si>
    <t>Growth Ratios</t>
  </si>
  <si>
    <t>Net Sales Growth (%)</t>
  </si>
  <si>
    <t>EBITDA Growth (%)</t>
  </si>
  <si>
    <t>PBIT Growth (%)</t>
  </si>
  <si>
    <t>PAT Growth (%)</t>
  </si>
  <si>
    <t>Financial Stability Ratios</t>
  </si>
  <si>
    <t>Total Debt/Equity (x)</t>
  </si>
  <si>
    <t>Debt Burden (x)</t>
  </si>
  <si>
    <t>Current Ratio (x)</t>
  </si>
  <si>
    <t>Quick Ratio (x)</t>
  </si>
  <si>
    <t>Interest Cover (x)</t>
  </si>
  <si>
    <t>Initial Cash Flow</t>
  </si>
  <si>
    <t>Years</t>
  </si>
  <si>
    <t>1-5</t>
  </si>
  <si>
    <t>FCF Growth Rate</t>
  </si>
  <si>
    <t>Discount Rate</t>
  </si>
  <si>
    <t>Terminal Growth Rate</t>
  </si>
  <si>
    <t>Shares Outstanding (Crore)</t>
  </si>
  <si>
    <t>Net Debt Level</t>
  </si>
  <si>
    <t>Year</t>
  </si>
  <si>
    <t>FCF</t>
  </si>
  <si>
    <t>Growth</t>
  </si>
  <si>
    <t>Present Value</t>
  </si>
  <si>
    <t>Final Calculations</t>
  </si>
  <si>
    <t>Terminal Year</t>
  </si>
  <si>
    <t>Terminal Value</t>
  </si>
  <si>
    <t>Total PV of Cash Flows</t>
  </si>
  <si>
    <t>Number of Shares</t>
  </si>
  <si>
    <t>DCF Value / Share (Rs)</t>
  </si>
  <si>
    <t>Date of Analysis:</t>
  </si>
  <si>
    <r>
      <rPr>
        <b/>
        <sz val="20"/>
        <color rgb="FFC00000"/>
        <rFont val="Arial"/>
        <family val="2"/>
      </rPr>
      <t xml:space="preserve">Warning!                              </t>
    </r>
    <r>
      <rPr>
        <b/>
        <sz val="12"/>
        <color theme="1"/>
        <rFont val="Arial"/>
        <family val="2"/>
      </rPr>
      <t>Past is no predictor of the future. So be careful using numbers in this sheet - that are based on past numbers - into your fair value calculations. Of course past can give some indications of the future, but the future is never always the same.</t>
    </r>
  </si>
  <si>
    <t>Current Stock Data</t>
  </si>
  <si>
    <t>10-Year Averages</t>
  </si>
  <si>
    <t>Price:</t>
  </si>
  <si>
    <t>Return on Equity:</t>
  </si>
  <si>
    <t>EPS:</t>
  </si>
  <si>
    <t>Payout Ratio:</t>
  </si>
  <si>
    <t>DPS:</t>
  </si>
  <si>
    <t>P/E Ratio-High:</t>
  </si>
  <si>
    <t>BVPS:</t>
  </si>
  <si>
    <t>P/E Ratio-Low:</t>
  </si>
  <si>
    <t>P/E:</t>
  </si>
  <si>
    <t>P/E Ratio:</t>
  </si>
  <si>
    <t>Earnings Yield:</t>
  </si>
  <si>
    <t>Sustainable Growth</t>
  </si>
  <si>
    <t>Dividend Yield:</t>
  </si>
  <si>
    <t>P/BV:</t>
  </si>
  <si>
    <t>Govt. Bond Yield:</t>
  </si>
  <si>
    <t>Historical Company Data</t>
  </si>
  <si>
    <t xml:space="preserve">Price </t>
  </si>
  <si>
    <t>P/E Ratio</t>
  </si>
  <si>
    <t>EPS</t>
  </si>
  <si>
    <t>DPS</t>
  </si>
  <si>
    <t>BVPS</t>
  </si>
  <si>
    <t>High</t>
  </si>
  <si>
    <t>Low</t>
  </si>
  <si>
    <t>ROE</t>
  </si>
  <si>
    <t>Payout Ratio</t>
  </si>
  <si>
    <t>L-4</t>
  </si>
  <si>
    <t>L-3</t>
  </si>
  <si>
    <t>L-2</t>
  </si>
  <si>
    <t>L-1</t>
  </si>
  <si>
    <t>L</t>
  </si>
  <si>
    <t>Annually Compounded Rates of Growth</t>
  </si>
  <si>
    <t>Factor</t>
  </si>
  <si>
    <t>High Price</t>
  </si>
  <si>
    <t>Low Price</t>
  </si>
  <si>
    <t>5-Year Growth</t>
  </si>
  <si>
    <t>Projected Company Data Using Historical Earnings Growth Rate</t>
  </si>
  <si>
    <t>L (Current)</t>
  </si>
  <si>
    <t>Earnings after 10 years</t>
  </si>
  <si>
    <t>L+1</t>
  </si>
  <si>
    <t>Sum of dividends paid over 10 years</t>
  </si>
  <si>
    <t>L+2</t>
  </si>
  <si>
    <t>L+3</t>
  </si>
  <si>
    <t>Projected price (Average P/E * EPS)</t>
  </si>
  <si>
    <t>L+4</t>
  </si>
  <si>
    <t>Total gain (Projected Price + Dividends)</t>
  </si>
  <si>
    <t>L+5</t>
  </si>
  <si>
    <t>L+6</t>
  </si>
  <si>
    <t>Projected return using historical EPS growth rate</t>
  </si>
  <si>
    <t>L+7</t>
  </si>
  <si>
    <t>[(Total Gain / Current Price) ^ (1/10)] - 1</t>
  </si>
  <si>
    <t>L+8</t>
  </si>
  <si>
    <t>L+9</t>
  </si>
  <si>
    <t>L+10</t>
  </si>
  <si>
    <t>Projected Company Data Using Sustainable Growth Rate</t>
  </si>
  <si>
    <t>Earnings after 10 years (BVPS * ROE)</t>
  </si>
  <si>
    <t>Projected return using sustainable growth rate</t>
  </si>
  <si>
    <t>Stock Price - High (Rs)</t>
  </si>
  <si>
    <t>High P/E (x)</t>
  </si>
  <si>
    <t>Stock Price - Low (Rs)</t>
  </si>
  <si>
    <t>Low P/E (x)</t>
  </si>
  <si>
    <t>Average P/E (x)</t>
  </si>
  <si>
    <t>Valuation - Different Methods (Rs)</t>
  </si>
  <si>
    <r>
      <rPr>
        <b/>
        <sz val="20"/>
        <color rgb="FFC00000"/>
        <rFont val="Arial"/>
        <family val="2"/>
      </rPr>
      <t xml:space="preserve">Remember!  </t>
    </r>
    <r>
      <rPr>
        <b/>
        <sz val="12"/>
        <color rgb="FFC00000"/>
        <rFont val="Arial"/>
        <family val="2"/>
      </rPr>
      <t xml:space="preserve"> </t>
    </r>
    <r>
      <rPr>
        <b/>
        <sz val="12"/>
        <color theme="1"/>
        <rFont val="Arial"/>
        <family val="2"/>
      </rPr>
      <t xml:space="preserve">                                                                                            Give importance to a stock's fair value only "after" you have answered in "Yes" to these two questions - (1) Is this business simple to be understood? and (2) Can I understand this business?
Don't try to quantify everything. In stock research, the less non-mathematical you are, the more simple, sensible, and useful will be your analysis and results. Great analysis is generally "back-of-the-envelope".
Also, your calculated "fair value" will be proven wrong in the future, so don't invest your savings just because you fall in love with it. Don't look for perfection. It is overrated. </t>
    </r>
    <r>
      <rPr>
        <b/>
        <sz val="12"/>
        <color rgb="FFC00000"/>
        <rFont val="Arial"/>
        <family val="2"/>
      </rPr>
      <t>Focus on decisions, not outcomes. Look for disconfirming evidence. Pray!</t>
    </r>
  </si>
  <si>
    <t>Graham Number</t>
  </si>
  <si>
    <t>Avg P/E Ratio Valuation</t>
  </si>
  <si>
    <t>EPV</t>
  </si>
  <si>
    <t>DCF</t>
  </si>
  <si>
    <t>Historical Earnings Growth</t>
  </si>
  <si>
    <t>Sustainable Earnings Growth</t>
  </si>
  <si>
    <t>Fair Value Range (Rs/Share)</t>
  </si>
  <si>
    <t>High End</t>
  </si>
  <si>
    <t>Low End</t>
  </si>
  <si>
    <t>Margin of Safety (MoS)</t>
  </si>
  <si>
    <t>Fair Value after MoS</t>
  </si>
  <si>
    <t>Current Mkt. Price (CMP, Rs)</t>
  </si>
  <si>
    <t>Premium / (Discount)</t>
  </si>
  <si>
    <t>Open</t>
  </si>
  <si>
    <t>Close</t>
  </si>
  <si>
    <t>No. of</t>
  </si>
  <si>
    <t>Shares</t>
  </si>
  <si>
    <t>Trades</t>
  </si>
  <si>
    <t>Total Turnover</t>
  </si>
  <si>
    <t>Deliverable Quantity</t>
  </si>
  <si>
    <t>% Deli. Qty to Traded Qty</t>
  </si>
  <si>
    <t>* Spread</t>
  </si>
  <si>
    <t>H-L</t>
  </si>
  <si>
    <t>C-O</t>
  </si>
  <si>
    <t>Buffett Valuation Spreadsheet</t>
  </si>
  <si>
    <t>Equity Dividend Per Shares</t>
  </si>
  <si>
    <t xml:space="preserve">Discounted Cash Flow </t>
  </si>
  <si>
    <r>
      <t>discounted cash flow</t>
    </r>
    <r>
      <rPr>
        <sz val="10"/>
        <color rgb="FF444444"/>
        <rFont val="Arial"/>
        <family val="2"/>
      </rPr>
      <t xml:space="preserve"> (</t>
    </r>
    <r>
      <rPr>
        <b/>
        <sz val="10"/>
        <color rgb="FF444444"/>
        <rFont val="Arial"/>
        <family val="2"/>
      </rPr>
      <t>DCF</t>
    </r>
  </si>
  <si>
    <t>PE Ratio</t>
  </si>
  <si>
    <t xml:space="preserve">Fill up data </t>
  </si>
  <si>
    <t xml:space="preserve">calculated figures, </t>
  </si>
  <si>
    <t xml:space="preserve">PL UPDATE </t>
  </si>
  <si>
    <t>PLEASE UPDATE</t>
  </si>
  <si>
    <t>PV of Year 1-05 Cash Flows</t>
  </si>
  <si>
    <t>Pl Update</t>
  </si>
</sst>
</file>

<file path=xl/styles.xml><?xml version="1.0" encoding="utf-8"?>
<styleSheet xmlns="http://schemas.openxmlformats.org/spreadsheetml/2006/main">
  <numFmts count="11">
    <numFmt numFmtId="43" formatCode="_ * #,##0.00_ ;_ * \-#,##0.00_ ;_ * &quot;-&quot;??_ ;_ @_ "/>
    <numFmt numFmtId="164" formatCode="_ * #,##0_ ;_ * \-#,##0_ ;_ * &quot;-&quot;??_ ;_ @_ "/>
    <numFmt numFmtId="165" formatCode="_(* #,##0_);_(* \(#,##0\);_(* &quot;-&quot;??_);_(@_)"/>
    <numFmt numFmtId="166" formatCode="[$-409]d/mmm/yy;@"/>
    <numFmt numFmtId="167" formatCode="_(* #,##0.00_);_(* \(#,##0.00\);_(* &quot;-&quot;??_);_(@_)"/>
    <numFmt numFmtId="168" formatCode="_(* #,##0.0_);_(* \(#,##0.0\);_(* &quot;-&quot;??_);_(@_)"/>
    <numFmt numFmtId="169" formatCode="0.0%"/>
    <numFmt numFmtId="170" formatCode="#,##0.0_);[Red]\(#,##0.0\)"/>
    <numFmt numFmtId="171" formatCode="0.0"/>
    <numFmt numFmtId="172" formatCode="&quot;$&quot;#,##0.00_);[Red]\(&quot;$&quot;#,##0.00\)"/>
    <numFmt numFmtId="173" formatCode="_(&quot;$&quot;* #,##0.00_);_(&quot;$&quot;* \(#,##0.00\);_(&quot;$&quot;* &quot;-&quot;??_);_(@_)"/>
  </numFmts>
  <fonts count="30">
    <font>
      <sz val="11"/>
      <color theme="1"/>
      <name val="Calibri"/>
      <family val="2"/>
      <scheme val="minor"/>
    </font>
    <font>
      <sz val="11"/>
      <color theme="1"/>
      <name val="Calibri"/>
      <family val="2"/>
      <scheme val="minor"/>
    </font>
    <font>
      <sz val="11"/>
      <name val="Calibri"/>
      <family val="2"/>
      <scheme val="minor"/>
    </font>
    <font>
      <sz val="8"/>
      <name val="Arial"/>
      <family val="2"/>
    </font>
    <font>
      <b/>
      <u/>
      <sz val="11"/>
      <color theme="1"/>
      <name val="Calibri"/>
      <family val="2"/>
      <scheme val="minor"/>
    </font>
    <font>
      <b/>
      <u/>
      <sz val="8"/>
      <name val="Arial"/>
      <family val="2"/>
    </font>
    <font>
      <b/>
      <sz val="9"/>
      <color indexed="81"/>
      <name val="Tahoma"/>
      <family val="2"/>
    </font>
    <font>
      <sz val="9"/>
      <color indexed="81"/>
      <name val="Tahoma"/>
      <family val="2"/>
    </font>
    <font>
      <sz val="12"/>
      <color theme="1"/>
      <name val="Arial"/>
      <family val="2"/>
    </font>
    <font>
      <b/>
      <i/>
      <sz val="9"/>
      <color indexed="81"/>
      <name val="Tahoma"/>
      <family val="2"/>
    </font>
    <font>
      <b/>
      <sz val="12"/>
      <name val="Arial"/>
      <family val="2"/>
    </font>
    <font>
      <b/>
      <sz val="12"/>
      <color rgb="FFC00000"/>
      <name val="Arial"/>
      <family val="2"/>
    </font>
    <font>
      <sz val="12"/>
      <name val="Arial"/>
      <family val="2"/>
    </font>
    <font>
      <b/>
      <sz val="12"/>
      <color theme="0"/>
      <name val="Arial"/>
      <family val="2"/>
    </font>
    <font>
      <b/>
      <sz val="15"/>
      <color theme="1"/>
      <name val="Arial"/>
      <family val="2"/>
    </font>
    <font>
      <i/>
      <sz val="12"/>
      <color theme="1"/>
      <name val="Arial"/>
      <family val="2"/>
    </font>
    <font>
      <b/>
      <sz val="12"/>
      <color theme="1"/>
      <name val="Arial"/>
      <family val="2"/>
    </font>
    <font>
      <b/>
      <sz val="20"/>
      <color rgb="FFC00000"/>
      <name val="Arial"/>
      <family val="2"/>
    </font>
    <font>
      <b/>
      <sz val="15"/>
      <color rgb="FF0070C0"/>
      <name val="Arial"/>
      <family val="2"/>
    </font>
    <font>
      <i/>
      <sz val="9"/>
      <color indexed="81"/>
      <name val="Tahoma"/>
      <family val="2"/>
    </font>
    <font>
      <b/>
      <sz val="12"/>
      <color theme="0" tint="-4.9989318521683403E-2"/>
      <name val="Arial"/>
      <family val="2"/>
    </font>
    <font>
      <sz val="11"/>
      <color rgb="FFFF0000"/>
      <name val="Calibri"/>
      <family val="2"/>
      <scheme val="minor"/>
    </font>
    <font>
      <sz val="9"/>
      <color rgb="FF000000"/>
      <name val="Arial"/>
      <family val="2"/>
    </font>
    <font>
      <sz val="9"/>
      <color rgb="FFFFFFFF"/>
      <name val="Arial"/>
      <family val="2"/>
    </font>
    <font>
      <sz val="8"/>
      <color rgb="FF666666"/>
      <name val="Arial"/>
      <family val="2"/>
    </font>
    <font>
      <b/>
      <sz val="8"/>
      <color rgb="FF666666"/>
      <name val="Arial"/>
      <family val="2"/>
    </font>
    <font>
      <b/>
      <sz val="8"/>
      <color rgb="FF000000"/>
      <name val="Arial"/>
      <family val="2"/>
    </font>
    <font>
      <b/>
      <sz val="10"/>
      <color rgb="FF444444"/>
      <name val="Arial"/>
      <family val="2"/>
    </font>
    <font>
      <sz val="10"/>
      <color rgb="FF444444"/>
      <name val="Arial"/>
      <family val="2"/>
    </font>
    <font>
      <b/>
      <u/>
      <sz val="12"/>
      <color theme="1"/>
      <name val="Arial"/>
      <family val="2"/>
    </font>
  </fonts>
  <fills count="10">
    <fill>
      <patternFill patternType="none"/>
    </fill>
    <fill>
      <patternFill patternType="gray125"/>
    </fill>
    <fill>
      <patternFill patternType="solid">
        <fgColor rgb="FFEBEBEB"/>
        <bgColor indexed="64"/>
      </patternFill>
    </fill>
    <fill>
      <patternFill patternType="solid">
        <fgColor theme="0" tint="-0.14999847407452621"/>
        <bgColor indexed="64"/>
      </patternFill>
    </fill>
    <fill>
      <patternFill patternType="solid">
        <fgColor theme="1"/>
        <bgColor indexed="64"/>
      </patternFill>
    </fill>
    <fill>
      <patternFill patternType="solid">
        <fgColor theme="6" tint="0.59999389629810485"/>
        <bgColor indexed="64"/>
      </patternFill>
    </fill>
    <fill>
      <patternFill patternType="solid">
        <fgColor rgb="FF016091"/>
        <bgColor indexed="64"/>
      </patternFill>
    </fill>
    <fill>
      <patternFill patternType="solid">
        <fgColor rgb="FFFFFFFF"/>
        <bgColor indexed="64"/>
      </patternFill>
    </fill>
    <fill>
      <patternFill patternType="solid">
        <fgColor rgb="FFFFFF00"/>
        <bgColor indexed="64"/>
      </patternFill>
    </fill>
    <fill>
      <patternFill patternType="solid">
        <fgColor theme="9" tint="0.79998168889431442"/>
        <bgColor indexed="64"/>
      </patternFill>
    </fill>
  </fills>
  <borders count="27">
    <border>
      <left/>
      <right/>
      <top/>
      <bottom/>
      <diagonal/>
    </border>
    <border>
      <left/>
      <right/>
      <top/>
      <bottom style="medium">
        <color rgb="FFEEEEEE"/>
      </bottom>
      <diagonal/>
    </border>
    <border>
      <left/>
      <right/>
      <top style="medium">
        <color rgb="FFEEEEEE"/>
      </top>
      <bottom style="medium">
        <color rgb="FFEEEEEE"/>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rgb="FFBEBEBD"/>
      </left>
      <right style="medium">
        <color rgb="FFBEBEBD"/>
      </right>
      <top style="medium">
        <color rgb="FFBEBEBD"/>
      </top>
      <bottom style="medium">
        <color rgb="FFBEBEBD"/>
      </bottom>
      <diagonal/>
    </border>
    <border>
      <left style="medium">
        <color rgb="FFBEBEBD"/>
      </left>
      <right style="medium">
        <color rgb="FFBEBEBD"/>
      </right>
      <top style="medium">
        <color rgb="FFBEBEBD"/>
      </top>
      <bottom/>
      <diagonal/>
    </border>
    <border>
      <left style="medium">
        <color rgb="FFBEBEBD"/>
      </left>
      <right style="medium">
        <color rgb="FFBEBEBD"/>
      </right>
      <top/>
      <bottom style="medium">
        <color rgb="FFBEBEBD"/>
      </bottom>
      <diagonal/>
    </border>
    <border>
      <left style="medium">
        <color rgb="FFBEBEBD"/>
      </left>
      <right/>
      <top style="medium">
        <color rgb="FFBEBEBD"/>
      </top>
      <bottom style="medium">
        <color rgb="FFBEBEBD"/>
      </bottom>
      <diagonal/>
    </border>
    <border>
      <left/>
      <right style="medium">
        <color rgb="FFBEBEBD"/>
      </right>
      <top style="medium">
        <color rgb="FFBEBEBD"/>
      </top>
      <bottom style="medium">
        <color rgb="FFBEBEBD"/>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cellStyleXfs>
  <cellXfs count="168">
    <xf numFmtId="0" fontId="0" fillId="0" borderId="0" xfId="0"/>
    <xf numFmtId="43" fontId="0" fillId="0" borderId="0" xfId="1" applyFont="1"/>
    <xf numFmtId="0" fontId="2" fillId="0" borderId="0" xfId="0" applyFont="1"/>
    <xf numFmtId="43" fontId="3" fillId="0" borderId="1" xfId="1" applyFont="1" applyBorder="1" applyAlignment="1">
      <alignment horizontal="right" wrapText="1"/>
    </xf>
    <xf numFmtId="43" fontId="0" fillId="0" borderId="0" xfId="0" applyNumberFormat="1"/>
    <xf numFmtId="0" fontId="0" fillId="0" borderId="0" xfId="0" applyAlignment="1">
      <alignment horizontal="center"/>
    </xf>
    <xf numFmtId="9" fontId="0" fillId="0" borderId="0" xfId="2" applyFont="1"/>
    <xf numFmtId="0" fontId="0" fillId="0" borderId="0" xfId="0" applyAlignment="1">
      <alignment vertical="center"/>
    </xf>
    <xf numFmtId="0" fontId="4" fillId="0" borderId="0" xfId="0" applyFont="1" applyAlignment="1">
      <alignment vertical="center"/>
    </xf>
    <xf numFmtId="0" fontId="5" fillId="0" borderId="0" xfId="0" applyFont="1" applyFill="1" applyBorder="1" applyAlignment="1">
      <alignment wrapText="1"/>
    </xf>
    <xf numFmtId="0" fontId="4" fillId="0" borderId="3" xfId="0" applyFont="1" applyBorder="1"/>
    <xf numFmtId="0" fontId="0" fillId="0" borderId="4" xfId="0" applyBorder="1"/>
    <xf numFmtId="0" fontId="0" fillId="0" borderId="5" xfId="0" applyBorder="1"/>
    <xf numFmtId="0" fontId="0" fillId="0" borderId="7" xfId="0" applyBorder="1"/>
    <xf numFmtId="9" fontId="0" fillId="0" borderId="0" xfId="0" applyNumberFormat="1"/>
    <xf numFmtId="43" fontId="3" fillId="0" borderId="0" xfId="1" applyFont="1" applyFill="1" applyBorder="1" applyAlignment="1">
      <alignment horizontal="right" wrapText="1"/>
    </xf>
    <xf numFmtId="0" fontId="4" fillId="0" borderId="9" xfId="0" applyFont="1" applyBorder="1" applyAlignment="1">
      <alignment vertical="center"/>
    </xf>
    <xf numFmtId="43" fontId="3" fillId="0" borderId="9" xfId="1" applyFont="1" applyBorder="1" applyAlignment="1">
      <alignment horizontal="center" wrapText="1"/>
    </xf>
    <xf numFmtId="0" fontId="0" fillId="0" borderId="9" xfId="0" applyBorder="1" applyAlignment="1">
      <alignment vertical="center"/>
    </xf>
    <xf numFmtId="43" fontId="0" fillId="0" borderId="9" xfId="0" applyNumberFormat="1" applyBorder="1" applyAlignment="1">
      <alignment vertical="center"/>
    </xf>
    <xf numFmtId="9" fontId="0" fillId="0" borderId="9" xfId="2" applyFont="1" applyBorder="1" applyAlignment="1">
      <alignment vertical="center"/>
    </xf>
    <xf numFmtId="9" fontId="0" fillId="0" borderId="9" xfId="0" applyNumberFormat="1" applyBorder="1" applyAlignment="1">
      <alignment vertical="center"/>
    </xf>
    <xf numFmtId="43" fontId="0" fillId="0" borderId="9" xfId="1" applyFont="1" applyBorder="1" applyAlignment="1">
      <alignment vertical="center"/>
    </xf>
    <xf numFmtId="164" fontId="0" fillId="0" borderId="9" xfId="1" applyNumberFormat="1" applyFont="1" applyBorder="1" applyAlignment="1">
      <alignment vertical="center"/>
    </xf>
    <xf numFmtId="0" fontId="8" fillId="0" borderId="0" xfId="0" applyFont="1"/>
    <xf numFmtId="0" fontId="8" fillId="0" borderId="0" xfId="0" applyFont="1" applyAlignment="1">
      <alignment horizontal="left"/>
    </xf>
    <xf numFmtId="49" fontId="10" fillId="3" borderId="10" xfId="0" applyNumberFormat="1" applyFont="1" applyFill="1" applyBorder="1" applyAlignment="1">
      <alignment horizontal="center"/>
    </xf>
    <xf numFmtId="9" fontId="11" fillId="0" borderId="7" xfId="0" applyNumberFormat="1" applyFont="1" applyFill="1" applyBorder="1" applyAlignment="1">
      <alignment horizontal="center"/>
    </xf>
    <xf numFmtId="9" fontId="11" fillId="0" borderId="11" xfId="0" applyNumberFormat="1" applyFont="1" applyFill="1" applyBorder="1" applyAlignment="1">
      <alignment horizontal="center"/>
    </xf>
    <xf numFmtId="0" fontId="11" fillId="0" borderId="0" xfId="0" applyFont="1"/>
    <xf numFmtId="0" fontId="12" fillId="0" borderId="0" xfId="0" applyFont="1"/>
    <xf numFmtId="0" fontId="10" fillId="3" borderId="12" xfId="0" applyFont="1" applyFill="1" applyBorder="1" applyAlignment="1">
      <alignment horizontal="center"/>
    </xf>
    <xf numFmtId="0" fontId="10" fillId="3" borderId="13" xfId="0" applyFont="1" applyFill="1" applyBorder="1" applyAlignment="1">
      <alignment horizontal="center"/>
    </xf>
    <xf numFmtId="0" fontId="10" fillId="3" borderId="14" xfId="0" applyFont="1" applyFill="1" applyBorder="1" applyAlignment="1">
      <alignment horizontal="center"/>
    </xf>
    <xf numFmtId="0" fontId="12" fillId="0" borderId="15" xfId="0" applyFont="1" applyBorder="1" applyAlignment="1">
      <alignment horizontal="center"/>
    </xf>
    <xf numFmtId="38" fontId="12" fillId="0" borderId="9" xfId="0" applyNumberFormat="1" applyFont="1" applyBorder="1" applyAlignment="1">
      <alignment horizontal="center"/>
    </xf>
    <xf numFmtId="9" fontId="12" fillId="0" borderId="9" xfId="0" applyNumberFormat="1" applyFont="1" applyBorder="1" applyAlignment="1">
      <alignment horizontal="center"/>
    </xf>
    <xf numFmtId="165" fontId="12" fillId="0" borderId="16" xfId="0" applyNumberFormat="1" applyFont="1" applyBorder="1" applyAlignment="1">
      <alignment horizontal="center"/>
    </xf>
    <xf numFmtId="0" fontId="12" fillId="0" borderId="15" xfId="0" applyFont="1" applyBorder="1" applyAlignment="1">
      <alignment horizontal="left"/>
    </xf>
    <xf numFmtId="0" fontId="12" fillId="0" borderId="15" xfId="0" quotePrefix="1" applyFont="1" applyBorder="1" applyAlignment="1">
      <alignment horizontal="left"/>
    </xf>
    <xf numFmtId="0" fontId="13" fillId="4" borderId="17" xfId="0" applyFont="1" applyFill="1" applyBorder="1" applyAlignment="1">
      <alignment horizontal="left"/>
    </xf>
    <xf numFmtId="165" fontId="13" fillId="4" borderId="18" xfId="0" applyNumberFormat="1" applyFont="1" applyFill="1" applyBorder="1" applyAlignment="1">
      <alignment horizontal="center"/>
    </xf>
    <xf numFmtId="0" fontId="0" fillId="0" borderId="0" xfId="0" applyBorder="1"/>
    <xf numFmtId="0" fontId="8" fillId="0" borderId="0" xfId="0" applyFont="1" applyBorder="1"/>
    <xf numFmtId="0" fontId="15" fillId="0" borderId="0" xfId="0" applyFont="1" applyBorder="1" applyAlignment="1">
      <alignment horizontal="center"/>
    </xf>
    <xf numFmtId="0" fontId="10" fillId="0" borderId="0" xfId="0" applyFont="1" applyBorder="1" applyAlignment="1">
      <alignment horizontal="right"/>
    </xf>
    <xf numFmtId="166" fontId="12" fillId="0" borderId="0" xfId="0" applyNumberFormat="1" applyFont="1" applyFill="1" applyBorder="1" applyAlignment="1">
      <alignment horizontal="left"/>
    </xf>
    <xf numFmtId="0" fontId="8" fillId="0" borderId="0" xfId="0" applyFont="1" applyBorder="1" applyAlignment="1">
      <alignment horizontal="right"/>
    </xf>
    <xf numFmtId="0" fontId="10" fillId="0" borderId="0" xfId="0" applyFont="1" applyBorder="1"/>
    <xf numFmtId="168" fontId="8" fillId="0" borderId="0" xfId="3" applyNumberFormat="1" applyFont="1" applyFill="1" applyBorder="1" applyAlignment="1">
      <alignment horizontal="left"/>
    </xf>
    <xf numFmtId="169" fontId="8" fillId="0" borderId="0" xfId="0" applyNumberFormat="1" applyFont="1" applyFill="1" applyBorder="1" applyAlignment="1">
      <alignment horizontal="left"/>
    </xf>
    <xf numFmtId="170" fontId="8" fillId="0" borderId="0" xfId="3" applyNumberFormat="1" applyFont="1" applyFill="1" applyBorder="1" applyAlignment="1">
      <alignment horizontal="left"/>
    </xf>
    <xf numFmtId="169" fontId="8" fillId="0" borderId="0" xfId="2" applyNumberFormat="1" applyFont="1" applyFill="1" applyBorder="1" applyAlignment="1">
      <alignment horizontal="right"/>
    </xf>
    <xf numFmtId="169" fontId="8" fillId="0" borderId="0" xfId="0" applyNumberFormat="1" applyFont="1" applyBorder="1" applyAlignment="1">
      <alignment horizontal="left"/>
    </xf>
    <xf numFmtId="170" fontId="8" fillId="0" borderId="0" xfId="3" applyNumberFormat="1" applyFont="1" applyFill="1" applyBorder="1" applyAlignment="1">
      <alignment horizontal="right"/>
    </xf>
    <xf numFmtId="169" fontId="11" fillId="0" borderId="0" xfId="0" applyNumberFormat="1" applyFont="1" applyFill="1" applyBorder="1" applyAlignment="1">
      <alignment horizontal="right"/>
    </xf>
    <xf numFmtId="0" fontId="18" fillId="0" borderId="0" xfId="0" applyFont="1" applyBorder="1"/>
    <xf numFmtId="0" fontId="8" fillId="3" borderId="12" xfId="0" applyFont="1" applyFill="1" applyBorder="1"/>
    <xf numFmtId="0" fontId="8" fillId="3" borderId="13" xfId="0" applyFont="1" applyFill="1" applyBorder="1"/>
    <xf numFmtId="10" fontId="8" fillId="0" borderId="0" xfId="0" applyNumberFormat="1" applyFont="1" applyBorder="1"/>
    <xf numFmtId="0" fontId="10" fillId="3" borderId="15" xfId="0" applyFont="1" applyFill="1" applyBorder="1" applyAlignment="1">
      <alignment horizontal="center"/>
    </xf>
    <xf numFmtId="0" fontId="10" fillId="3" borderId="9" xfId="0" applyFont="1" applyFill="1" applyBorder="1" applyAlignment="1">
      <alignment horizontal="right"/>
    </xf>
    <xf numFmtId="0" fontId="10" fillId="3" borderId="16" xfId="0" applyFont="1" applyFill="1" applyBorder="1" applyAlignment="1">
      <alignment horizontal="right"/>
    </xf>
    <xf numFmtId="0" fontId="10" fillId="0" borderId="15" xfId="0" applyFont="1" applyFill="1" applyBorder="1" applyAlignment="1">
      <alignment horizontal="center"/>
    </xf>
    <xf numFmtId="168" fontId="8" fillId="0" borderId="9" xfId="3" applyNumberFormat="1" applyFont="1" applyFill="1" applyBorder="1"/>
    <xf numFmtId="165" fontId="8" fillId="0" borderId="9" xfId="3" applyNumberFormat="1" applyFont="1" applyFill="1" applyBorder="1"/>
    <xf numFmtId="171" fontId="8" fillId="0" borderId="9" xfId="0" applyNumberFormat="1" applyFont="1" applyFill="1" applyBorder="1"/>
    <xf numFmtId="169" fontId="8" fillId="0" borderId="9" xfId="2" applyNumberFormat="1" applyFont="1" applyFill="1" applyBorder="1"/>
    <xf numFmtId="169" fontId="8" fillId="0" borderId="16" xfId="2" applyNumberFormat="1" applyFont="1" applyFill="1" applyBorder="1"/>
    <xf numFmtId="0" fontId="10" fillId="0" borderId="17" xfId="0" applyFont="1" applyFill="1" applyBorder="1" applyAlignment="1">
      <alignment horizontal="center"/>
    </xf>
    <xf numFmtId="168" fontId="8" fillId="0" borderId="19" xfId="3" applyNumberFormat="1" applyFont="1" applyFill="1" applyBorder="1"/>
    <xf numFmtId="165" fontId="8" fillId="0" borderId="19" xfId="3" applyNumberFormat="1" applyFont="1" applyFill="1" applyBorder="1"/>
    <xf numFmtId="171" fontId="8" fillId="0" borderId="19" xfId="0" applyNumberFormat="1" applyFont="1" applyFill="1" applyBorder="1"/>
    <xf numFmtId="169" fontId="8" fillId="0" borderId="19" xfId="2" applyNumberFormat="1" applyFont="1" applyFill="1" applyBorder="1"/>
    <xf numFmtId="169" fontId="8" fillId="0" borderId="18" xfId="2" applyNumberFormat="1" applyFont="1" applyFill="1" applyBorder="1"/>
    <xf numFmtId="171" fontId="8" fillId="0" borderId="0" xfId="0" applyNumberFormat="1" applyFont="1" applyBorder="1"/>
    <xf numFmtId="169" fontId="8" fillId="0" borderId="0" xfId="2" applyNumberFormat="1" applyFont="1" applyBorder="1"/>
    <xf numFmtId="2" fontId="8" fillId="0" borderId="0" xfId="0" applyNumberFormat="1" applyFont="1" applyBorder="1"/>
    <xf numFmtId="169" fontId="8" fillId="0" borderId="0" xfId="0" applyNumberFormat="1" applyFont="1" applyBorder="1"/>
    <xf numFmtId="0" fontId="10" fillId="3" borderId="12" xfId="0" applyFont="1" applyFill="1" applyBorder="1"/>
    <xf numFmtId="2" fontId="10" fillId="3" borderId="13" xfId="0" applyNumberFormat="1" applyFont="1" applyFill="1" applyBorder="1"/>
    <xf numFmtId="2" fontId="10" fillId="3" borderId="14" xfId="0" applyNumberFormat="1" applyFont="1" applyFill="1" applyBorder="1"/>
    <xf numFmtId="0" fontId="16" fillId="0" borderId="17" xfId="0" applyFont="1" applyFill="1" applyBorder="1"/>
    <xf numFmtId="0" fontId="16" fillId="0" borderId="0" xfId="0" applyFont="1" applyBorder="1"/>
    <xf numFmtId="172" fontId="8" fillId="0" borderId="0" xfId="0" applyNumberFormat="1" applyFont="1" applyBorder="1"/>
    <xf numFmtId="40" fontId="8" fillId="0" borderId="0" xfId="0" applyNumberFormat="1" applyFont="1" applyBorder="1"/>
    <xf numFmtId="168" fontId="8" fillId="0" borderId="16" xfId="3" applyNumberFormat="1" applyFont="1" applyFill="1" applyBorder="1"/>
    <xf numFmtId="168" fontId="8" fillId="0" borderId="0" xfId="3" applyNumberFormat="1" applyFont="1" applyFill="1" applyBorder="1"/>
    <xf numFmtId="165" fontId="13" fillId="4" borderId="0" xfId="3" applyNumberFormat="1" applyFont="1" applyFill="1" applyBorder="1"/>
    <xf numFmtId="165" fontId="8" fillId="0" borderId="0" xfId="3" applyNumberFormat="1" applyFont="1" applyFill="1" applyBorder="1"/>
    <xf numFmtId="173" fontId="8" fillId="0" borderId="0" xfId="0" applyNumberFormat="1" applyFont="1" applyFill="1" applyBorder="1"/>
    <xf numFmtId="169" fontId="8" fillId="0" borderId="0" xfId="2" applyNumberFormat="1" applyFont="1" applyFill="1" applyBorder="1"/>
    <xf numFmtId="168" fontId="8" fillId="0" borderId="18" xfId="3" applyNumberFormat="1" applyFont="1" applyFill="1" applyBorder="1"/>
    <xf numFmtId="9" fontId="8" fillId="0" borderId="0" xfId="2" applyFont="1" applyFill="1" applyBorder="1"/>
    <xf numFmtId="0" fontId="8" fillId="0" borderId="0" xfId="0" applyFont="1" applyFill="1" applyBorder="1"/>
    <xf numFmtId="0" fontId="8" fillId="0" borderId="15" xfId="0" applyFont="1" applyFill="1" applyBorder="1"/>
    <xf numFmtId="165" fontId="8" fillId="0" borderId="16" xfId="3" applyNumberFormat="1" applyFont="1" applyFill="1" applyBorder="1" applyProtection="1"/>
    <xf numFmtId="165" fontId="8" fillId="0" borderId="16" xfId="3" applyNumberFormat="1" applyFont="1" applyFill="1" applyBorder="1"/>
    <xf numFmtId="0" fontId="8" fillId="0" borderId="17" xfId="0" applyFont="1" applyFill="1" applyBorder="1"/>
    <xf numFmtId="0" fontId="8" fillId="0" borderId="15" xfId="0" applyFont="1" applyFill="1" applyBorder="1" applyAlignment="1">
      <alignment horizontal="left"/>
    </xf>
    <xf numFmtId="0" fontId="11" fillId="0" borderId="15" xfId="0" applyFont="1" applyBorder="1"/>
    <xf numFmtId="9" fontId="11" fillId="0" borderId="16" xfId="0" applyNumberFormat="1" applyFont="1" applyBorder="1"/>
    <xf numFmtId="0" fontId="20" fillId="4" borderId="15" xfId="0" applyFont="1" applyFill="1" applyBorder="1"/>
    <xf numFmtId="165" fontId="20" fillId="4" borderId="16" xfId="3" applyNumberFormat="1" applyFont="1" applyFill="1" applyBorder="1"/>
    <xf numFmtId="0" fontId="16" fillId="0" borderId="15" xfId="0" applyFont="1" applyBorder="1"/>
    <xf numFmtId="165" fontId="16" fillId="0" borderId="16" xfId="3" applyNumberFormat="1" applyFont="1" applyBorder="1"/>
    <xf numFmtId="169" fontId="16" fillId="0" borderId="18" xfId="2" applyNumberFormat="1" applyFont="1" applyFill="1" applyBorder="1"/>
    <xf numFmtId="0" fontId="0" fillId="0" borderId="0" xfId="0" applyAlignment="1">
      <alignment horizontal="center" vertical="center"/>
    </xf>
    <xf numFmtId="0" fontId="21" fillId="0" borderId="0" xfId="0" applyFont="1" applyAlignment="1">
      <alignment vertical="center"/>
    </xf>
    <xf numFmtId="0" fontId="23" fillId="6" borderId="22" xfId="0" applyFont="1" applyFill="1" applyBorder="1" applyAlignment="1">
      <alignment horizontal="center" vertical="center" wrapText="1"/>
    </xf>
    <xf numFmtId="0" fontId="22" fillId="7" borderId="22" xfId="0" applyFont="1" applyFill="1" applyBorder="1" applyAlignment="1">
      <alignment horizontal="justify" wrapText="1"/>
    </xf>
    <xf numFmtId="3" fontId="22" fillId="7" borderId="22" xfId="0" applyNumberFormat="1" applyFont="1" applyFill="1" applyBorder="1" applyAlignment="1">
      <alignment horizontal="justify" wrapText="1"/>
    </xf>
    <xf numFmtId="43" fontId="0" fillId="0" borderId="0" xfId="1" applyFont="1" applyAlignment="1">
      <alignment vertical="center"/>
    </xf>
    <xf numFmtId="43" fontId="0" fillId="0" borderId="0" xfId="0" applyNumberFormat="1" applyAlignment="1">
      <alignment vertical="center"/>
    </xf>
    <xf numFmtId="0" fontId="23" fillId="6" borderId="23" xfId="0" applyFont="1" applyFill="1" applyBorder="1" applyAlignment="1">
      <alignment horizontal="center" vertical="center" wrapText="1"/>
    </xf>
    <xf numFmtId="0" fontId="23" fillId="6" borderId="24" xfId="0" applyFont="1" applyFill="1" applyBorder="1" applyAlignment="1">
      <alignment horizontal="center" vertical="center" wrapText="1"/>
    </xf>
    <xf numFmtId="0" fontId="24" fillId="0" borderId="1" xfId="0" applyFont="1" applyBorder="1" applyAlignment="1">
      <alignment wrapText="1"/>
    </xf>
    <xf numFmtId="0" fontId="24" fillId="0" borderId="1" xfId="0" applyFont="1" applyBorder="1" applyAlignment="1">
      <alignment horizontal="right" wrapText="1"/>
    </xf>
    <xf numFmtId="0" fontId="25" fillId="0" borderId="1" xfId="0" applyFont="1" applyBorder="1" applyAlignment="1">
      <alignment wrapText="1"/>
    </xf>
    <xf numFmtId="0" fontId="25" fillId="0" borderId="1" xfId="0" applyFont="1" applyBorder="1" applyAlignment="1">
      <alignment horizontal="right" wrapText="1"/>
    </xf>
    <xf numFmtId="0" fontId="26" fillId="0" borderId="1" xfId="0" applyFont="1" applyBorder="1" applyAlignment="1">
      <alignment wrapText="1"/>
    </xf>
    <xf numFmtId="0" fontId="26" fillId="0" borderId="1" xfId="0" applyFont="1" applyBorder="1" applyAlignment="1">
      <alignment horizontal="right" wrapText="1"/>
    </xf>
    <xf numFmtId="0" fontId="24" fillId="0" borderId="1" xfId="0" applyFont="1" applyBorder="1" applyAlignment="1">
      <alignment horizontal="left" wrapText="1"/>
    </xf>
    <xf numFmtId="0" fontId="27" fillId="0" borderId="0" xfId="0" applyFont="1"/>
    <xf numFmtId="43" fontId="8" fillId="0" borderId="0" xfId="0" applyNumberFormat="1" applyFont="1" applyBorder="1"/>
    <xf numFmtId="0" fontId="29" fillId="0" borderId="0" xfId="0" applyFont="1" applyBorder="1"/>
    <xf numFmtId="0" fontId="8" fillId="8" borderId="0" xfId="0" applyFont="1" applyFill="1" applyBorder="1"/>
    <xf numFmtId="165" fontId="8" fillId="0" borderId="0" xfId="2" applyNumberFormat="1" applyFont="1"/>
    <xf numFmtId="43" fontId="0" fillId="9" borderId="6" xfId="1" applyFont="1" applyFill="1" applyBorder="1"/>
    <xf numFmtId="9" fontId="0" fillId="9" borderId="6" xfId="2" applyFont="1" applyFill="1" applyBorder="1"/>
    <xf numFmtId="9" fontId="0" fillId="9" borderId="8" xfId="2" applyFont="1" applyFill="1" applyBorder="1"/>
    <xf numFmtId="0" fontId="4" fillId="0" borderId="0" xfId="0" applyFont="1" applyAlignment="1">
      <alignment horizontal="left" vertical="center"/>
    </xf>
    <xf numFmtId="0" fontId="4" fillId="9" borderId="0" xfId="0" applyFont="1" applyFill="1" applyAlignment="1">
      <alignment vertical="center"/>
    </xf>
    <xf numFmtId="0" fontId="0" fillId="9" borderId="0" xfId="0" applyFill="1"/>
    <xf numFmtId="0" fontId="25" fillId="2" borderId="2" xfId="0" applyFont="1" applyFill="1" applyBorder="1" applyAlignment="1">
      <alignment wrapText="1"/>
    </xf>
    <xf numFmtId="0" fontId="10" fillId="3" borderId="12" xfId="0" applyFont="1" applyFill="1" applyBorder="1" applyAlignment="1">
      <alignment horizontal="center"/>
    </xf>
    <xf numFmtId="0" fontId="10" fillId="3" borderId="14" xfId="0" applyFont="1" applyFill="1" applyBorder="1" applyAlignment="1">
      <alignment horizontal="center"/>
    </xf>
    <xf numFmtId="0" fontId="10" fillId="3" borderId="13" xfId="0" applyFont="1" applyFill="1" applyBorder="1" applyAlignment="1">
      <alignment horizontal="center"/>
    </xf>
    <xf numFmtId="0" fontId="14" fillId="5" borderId="12" xfId="0" applyFont="1" applyFill="1" applyBorder="1" applyAlignment="1">
      <alignment horizontal="center"/>
    </xf>
    <xf numFmtId="0" fontId="14" fillId="5" borderId="13" xfId="0" applyFont="1" applyFill="1" applyBorder="1" applyAlignment="1">
      <alignment horizontal="center"/>
    </xf>
    <xf numFmtId="0" fontId="14" fillId="5" borderId="14" xfId="0" applyFont="1" applyFill="1" applyBorder="1" applyAlignment="1">
      <alignment horizontal="center"/>
    </xf>
    <xf numFmtId="0" fontId="15" fillId="0" borderId="17" xfId="0" applyFont="1" applyBorder="1" applyAlignment="1">
      <alignment horizontal="center"/>
    </xf>
    <xf numFmtId="0" fontId="15" fillId="0" borderId="19" xfId="0" applyFont="1" applyBorder="1" applyAlignment="1">
      <alignment horizontal="center"/>
    </xf>
    <xf numFmtId="0" fontId="15" fillId="0" borderId="18" xfId="0" applyFont="1" applyBorder="1" applyAlignment="1">
      <alignment horizontal="center"/>
    </xf>
    <xf numFmtId="0" fontId="16" fillId="5" borderId="3" xfId="0" applyFont="1" applyFill="1" applyBorder="1" applyAlignment="1">
      <alignment horizontal="center" vertical="center" wrapText="1"/>
    </xf>
    <xf numFmtId="0" fontId="8" fillId="5" borderId="20"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0"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21"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10" fillId="3" borderId="0" xfId="0" applyFont="1" applyFill="1" applyBorder="1" applyAlignment="1">
      <alignment horizontal="center"/>
    </xf>
    <xf numFmtId="0" fontId="16" fillId="3" borderId="12" xfId="0" applyFont="1" applyFill="1" applyBorder="1" applyAlignment="1">
      <alignment horizontal="center"/>
    </xf>
    <xf numFmtId="0" fontId="16" fillId="3" borderId="14" xfId="0" applyFont="1" applyFill="1" applyBorder="1" applyAlignment="1">
      <alignment horizontal="center"/>
    </xf>
    <xf numFmtId="0" fontId="16" fillId="5" borderId="20"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6" fillId="5" borderId="0"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16" fillId="5" borderId="21"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23" fillId="6" borderId="23" xfId="0" applyFont="1" applyFill="1" applyBorder="1" applyAlignment="1">
      <alignment horizontal="center" vertical="center" wrapText="1"/>
    </xf>
    <xf numFmtId="0" fontId="23" fillId="6" borderId="24" xfId="0" applyFont="1" applyFill="1" applyBorder="1" applyAlignment="1">
      <alignment horizontal="center" vertical="center" wrapText="1"/>
    </xf>
    <xf numFmtId="0" fontId="23" fillId="6" borderId="25" xfId="0" applyFont="1" applyFill="1" applyBorder="1" applyAlignment="1">
      <alignment horizontal="center" vertical="center" wrapText="1"/>
    </xf>
    <xf numFmtId="0" fontId="23" fillId="6" borderId="26" xfId="0" applyFont="1" applyFill="1" applyBorder="1" applyAlignment="1">
      <alignment horizontal="center" vertical="center" wrapText="1"/>
    </xf>
  </cellXfs>
  <cellStyles count="4">
    <cellStyle name="Comma" xfId="1" builtinId="3"/>
    <cellStyle name="Comma 2" xfId="3"/>
    <cellStyle name="Normal" xfId="0" builtinId="0"/>
    <cellStyle name="Percent" xfId="2"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safalniveshak.com/Vishal/Business/Safal%20Niveshak/Investing%20Excels%20&amp;%20Templates/OSV_DCF_Spreadsheet_Free-2010071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isclaimer"/>
      <sheetName val="DCF Valuation"/>
      <sheetName val="Data"/>
    </sheetNames>
    <sheetDataSet>
      <sheetData sheetId="0"/>
      <sheetData sheetId="1">
        <row r="13">
          <cell r="N13">
            <v>0.15</v>
          </cell>
        </row>
        <row r="14">
          <cell r="N14">
            <v>0.12</v>
          </cell>
        </row>
        <row r="15">
          <cell r="N15">
            <v>0.09</v>
          </cell>
        </row>
        <row r="16">
          <cell r="N16">
            <v>0.05</v>
          </cell>
        </row>
      </sheetData>
      <sheetData sheetId="2">
        <row r="1">
          <cell r="C1" t="str">
            <v>Financial Data</v>
          </cell>
        </row>
        <row r="2">
          <cell r="A2" t="str">
            <v>AAPL</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C16"/>
  <sheetViews>
    <sheetView workbookViewId="0">
      <selection activeCell="C12" sqref="C12"/>
    </sheetView>
  </sheetViews>
  <sheetFormatPr defaultRowHeight="15"/>
  <cols>
    <col min="1" max="1" width="44.85546875" bestFit="1" customWidth="1"/>
    <col min="2" max="2" width="10" bestFit="1" customWidth="1"/>
    <col min="3" max="3" width="11" bestFit="1" customWidth="1"/>
  </cols>
  <sheetData>
    <row r="1" spans="1:3">
      <c r="B1" t="s">
        <v>235</v>
      </c>
    </row>
    <row r="2" spans="1:3" ht="15.75" thickBot="1"/>
    <row r="3" spans="1:3">
      <c r="A3" s="10" t="s">
        <v>89</v>
      </c>
      <c r="B3" s="11"/>
    </row>
    <row r="4" spans="1:3">
      <c r="A4" s="12" t="s">
        <v>83</v>
      </c>
      <c r="B4" s="128">
        <v>473.05</v>
      </c>
      <c r="C4" t="s">
        <v>240</v>
      </c>
    </row>
    <row r="5" spans="1:3">
      <c r="A5" s="12" t="s">
        <v>84</v>
      </c>
      <c r="B5" s="128">
        <v>10</v>
      </c>
      <c r="C5" t="s">
        <v>240</v>
      </c>
    </row>
    <row r="6" spans="1:3">
      <c r="A6" s="12" t="s">
        <v>85</v>
      </c>
      <c r="B6" s="128">
        <f>971215405/10000000</f>
        <v>97.121540499999995</v>
      </c>
      <c r="C6" t="s">
        <v>240</v>
      </c>
    </row>
    <row r="7" spans="1:3">
      <c r="A7" s="12" t="s">
        <v>86</v>
      </c>
      <c r="B7" s="128">
        <v>45943.34</v>
      </c>
      <c r="C7" t="s">
        <v>240</v>
      </c>
    </row>
    <row r="8" spans="1:3">
      <c r="A8" s="12" t="s">
        <v>87</v>
      </c>
      <c r="B8" s="129">
        <v>0.3135</v>
      </c>
      <c r="C8" t="s">
        <v>240</v>
      </c>
    </row>
    <row r="9" spans="1:3" ht="15.75" thickBot="1">
      <c r="A9" s="13" t="s">
        <v>88</v>
      </c>
      <c r="B9" s="130">
        <v>9.4799999999999995E-2</v>
      </c>
      <c r="C9" t="s">
        <v>240</v>
      </c>
    </row>
    <row r="11" spans="1:3">
      <c r="A11" t="s">
        <v>90</v>
      </c>
      <c r="B11" s="14"/>
    </row>
    <row r="12" spans="1:3">
      <c r="A12" t="s">
        <v>93</v>
      </c>
      <c r="B12" s="14">
        <f>'P&amp;L'!H8</f>
        <v>0.18249980255798137</v>
      </c>
    </row>
    <row r="13" spans="1:3">
      <c r="A13" t="s">
        <v>94</v>
      </c>
      <c r="B13" s="14">
        <f>'P&amp;L'!H19</f>
        <v>0.15861301225614421</v>
      </c>
    </row>
    <row r="14" spans="1:3">
      <c r="A14" t="s">
        <v>95</v>
      </c>
      <c r="B14" s="14">
        <f>'P&amp;L'!H26</f>
        <v>0.15333293090370903</v>
      </c>
    </row>
    <row r="15" spans="1:3">
      <c r="A15" t="s">
        <v>91</v>
      </c>
      <c r="B15" s="4">
        <f>AVERAGE(Ratio!B34:F34)</f>
        <v>3.3819525356396332E-2</v>
      </c>
    </row>
    <row r="16" spans="1:3">
      <c r="A16" t="s">
        <v>92</v>
      </c>
      <c r="B16" s="14">
        <f>AVERAGE(Ratio!B17:F17)</f>
        <v>0.37495792753154028</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K41"/>
  <sheetViews>
    <sheetView tabSelected="1" workbookViewId="0">
      <pane xSplit="1" ySplit="3" topLeftCell="B4" activePane="bottomRight" state="frozen"/>
      <selection pane="topRight" activeCell="B1" sqref="B1"/>
      <selection pane="bottomLeft" activeCell="A4" sqref="A4"/>
      <selection pane="bottomRight" activeCell="H8" sqref="H8"/>
    </sheetView>
  </sheetViews>
  <sheetFormatPr defaultRowHeight="15"/>
  <cols>
    <col min="1" max="1" width="32.28515625" customWidth="1"/>
    <col min="2" max="6" width="9.140625" style="1"/>
  </cols>
  <sheetData>
    <row r="1" spans="1:11" ht="15.75" thickBot="1">
      <c r="A1" s="116"/>
      <c r="B1" s="117" t="s">
        <v>0</v>
      </c>
      <c r="C1" s="117" t="s">
        <v>1</v>
      </c>
      <c r="D1" s="117" t="s">
        <v>2</v>
      </c>
      <c r="E1" s="117" t="s">
        <v>3</v>
      </c>
      <c r="F1" s="117" t="s">
        <v>4</v>
      </c>
      <c r="J1" s="133" t="s">
        <v>238</v>
      </c>
      <c r="K1" s="133"/>
    </row>
    <row r="2" spans="1:11" ht="15.75" thickBot="1">
      <c r="A2" s="116"/>
      <c r="B2" s="117" t="s">
        <v>5</v>
      </c>
      <c r="C2" s="117" t="s">
        <v>5</v>
      </c>
      <c r="D2" s="117" t="s">
        <v>5</v>
      </c>
      <c r="E2" s="117" t="s">
        <v>5</v>
      </c>
      <c r="F2" s="117" t="s">
        <v>5</v>
      </c>
    </row>
    <row r="3" spans="1:11" ht="15.75" thickBot="1">
      <c r="A3" s="134" t="s">
        <v>6</v>
      </c>
      <c r="B3" s="134"/>
      <c r="C3" s="134"/>
      <c r="D3" s="134"/>
      <c r="E3" s="134"/>
      <c r="F3" s="134"/>
      <c r="H3" s="5" t="s">
        <v>40</v>
      </c>
    </row>
    <row r="4" spans="1:11" ht="15.75" thickBot="1">
      <c r="A4" s="116" t="s">
        <v>7</v>
      </c>
      <c r="B4" s="117">
        <v>10418.780000000001</v>
      </c>
      <c r="C4" s="117">
        <v>8971.7000000000007</v>
      </c>
      <c r="D4" s="117">
        <v>9139.39</v>
      </c>
      <c r="E4" s="117">
        <v>7244.59</v>
      </c>
      <c r="F4" s="117">
        <v>5794.09</v>
      </c>
      <c r="I4" s="15"/>
    </row>
    <row r="5" spans="1:11" ht="15.75" thickBot="1">
      <c r="A5" s="116" t="s">
        <v>8</v>
      </c>
      <c r="B5" s="117">
        <v>0</v>
      </c>
      <c r="C5" s="117">
        <v>0</v>
      </c>
      <c r="D5" s="117">
        <v>812.31</v>
      </c>
      <c r="E5" s="117">
        <v>638.57000000000005</v>
      </c>
      <c r="F5" s="117">
        <v>426.37</v>
      </c>
    </row>
    <row r="6" spans="1:11" ht="15.75" thickBot="1">
      <c r="A6" s="118" t="s">
        <v>9</v>
      </c>
      <c r="B6" s="119">
        <v>10418.780000000001</v>
      </c>
      <c r="C6" s="119">
        <v>8971.7000000000007</v>
      </c>
      <c r="D6" s="119">
        <v>8327.08</v>
      </c>
      <c r="E6" s="119">
        <v>6606.02</v>
      </c>
      <c r="F6" s="119">
        <v>5367.72</v>
      </c>
    </row>
    <row r="7" spans="1:11" ht="15.75" thickBot="1">
      <c r="A7" s="116" t="s">
        <v>10</v>
      </c>
      <c r="B7" s="117">
        <v>0</v>
      </c>
      <c r="C7" s="117">
        <v>0</v>
      </c>
      <c r="D7" s="117">
        <v>0</v>
      </c>
      <c r="E7" s="117">
        <v>0</v>
      </c>
      <c r="F7" s="117">
        <v>0</v>
      </c>
    </row>
    <row r="8" spans="1:11" ht="15.75" thickBot="1">
      <c r="A8" s="120" t="s">
        <v>11</v>
      </c>
      <c r="B8" s="121">
        <v>10592.44</v>
      </c>
      <c r="C8" s="121">
        <v>9097.85</v>
      </c>
      <c r="D8" s="121">
        <v>8414.41</v>
      </c>
      <c r="E8" s="121">
        <v>6675.87</v>
      </c>
      <c r="F8" s="121">
        <v>5417.41</v>
      </c>
      <c r="H8" s="6">
        <f>(B8/F8)^(1/4)-1</f>
        <v>0.18249980255798137</v>
      </c>
      <c r="J8" s="6"/>
    </row>
    <row r="9" spans="1:11" ht="15.75" thickBot="1">
      <c r="A9" s="134" t="s">
        <v>12</v>
      </c>
      <c r="B9" s="134"/>
      <c r="C9" s="134"/>
      <c r="D9" s="134"/>
      <c r="E9" s="134"/>
      <c r="F9" s="134"/>
    </row>
    <row r="10" spans="1:11" ht="15.75" thickBot="1">
      <c r="A10" s="116" t="s">
        <v>13</v>
      </c>
      <c r="B10" s="117">
        <v>114.65</v>
      </c>
      <c r="C10" s="117">
        <v>101.65</v>
      </c>
      <c r="D10" s="117">
        <v>151.34</v>
      </c>
      <c r="E10" s="117">
        <v>127.44</v>
      </c>
      <c r="F10" s="117">
        <v>99.33</v>
      </c>
    </row>
    <row r="11" spans="1:11" ht="15.75" thickBot="1">
      <c r="A11" s="116" t="s">
        <v>14</v>
      </c>
      <c r="B11" s="117">
        <v>5969.32</v>
      </c>
      <c r="C11" s="117">
        <v>5185.09</v>
      </c>
      <c r="D11" s="117">
        <v>4722.8500000000004</v>
      </c>
      <c r="E11" s="117">
        <v>3654.93</v>
      </c>
      <c r="F11" s="117">
        <v>2835.4</v>
      </c>
    </row>
    <row r="12" spans="1:11" ht="15.75" thickBot="1">
      <c r="A12" s="116" t="s">
        <v>15</v>
      </c>
      <c r="B12" s="117">
        <v>482.43</v>
      </c>
      <c r="C12" s="117">
        <v>404.59</v>
      </c>
      <c r="D12" s="117">
        <v>343.51</v>
      </c>
      <c r="E12" s="117">
        <v>302.33999999999997</v>
      </c>
      <c r="F12" s="117">
        <v>262.73</v>
      </c>
    </row>
    <row r="13" spans="1:11" ht="15.75" thickBot="1">
      <c r="A13" s="116" t="s">
        <v>16</v>
      </c>
      <c r="B13" s="117">
        <v>0</v>
      </c>
      <c r="C13" s="117">
        <v>0</v>
      </c>
      <c r="D13" s="117">
        <v>1425.28</v>
      </c>
      <c r="E13" s="117">
        <v>1128.32</v>
      </c>
      <c r="F13" s="117">
        <v>940.34</v>
      </c>
    </row>
    <row r="14" spans="1:11" ht="15.75" thickBot="1">
      <c r="A14" s="116" t="s">
        <v>17</v>
      </c>
      <c r="B14" s="117">
        <v>2075.11</v>
      </c>
      <c r="C14" s="117">
        <v>1733.1</v>
      </c>
      <c r="D14" s="117">
        <v>284.23</v>
      </c>
      <c r="E14" s="117">
        <v>231.72</v>
      </c>
      <c r="F14" s="117">
        <v>196.96</v>
      </c>
    </row>
    <row r="15" spans="1:11" ht="15.75" thickBot="1">
      <c r="A15" s="116" t="s">
        <v>18</v>
      </c>
      <c r="B15" s="117">
        <v>0</v>
      </c>
      <c r="C15" s="117">
        <v>0</v>
      </c>
      <c r="D15" s="117">
        <v>0</v>
      </c>
      <c r="E15" s="117">
        <v>0</v>
      </c>
      <c r="F15" s="117">
        <v>0</v>
      </c>
    </row>
    <row r="16" spans="1:11" ht="15.75" thickBot="1">
      <c r="A16" s="116" t="s">
        <v>19</v>
      </c>
      <c r="B16" s="117">
        <v>0</v>
      </c>
      <c r="C16" s="117">
        <v>0</v>
      </c>
      <c r="D16" s="117">
        <v>0</v>
      </c>
      <c r="E16" s="117">
        <v>0</v>
      </c>
      <c r="F16" s="117">
        <v>0</v>
      </c>
    </row>
    <row r="17" spans="1:8" ht="15.75" thickBot="1">
      <c r="A17" s="120" t="s">
        <v>20</v>
      </c>
      <c r="B17" s="121">
        <v>8641.51</v>
      </c>
      <c r="C17" s="121">
        <v>7424.43</v>
      </c>
      <c r="D17" s="121">
        <v>6927.21</v>
      </c>
      <c r="E17" s="121">
        <v>5444.75</v>
      </c>
      <c r="F17" s="121">
        <v>4334.76</v>
      </c>
      <c r="H17" s="6">
        <f>(B17/F17)^(1/4)-1</f>
        <v>0.18824540880046015</v>
      </c>
    </row>
    <row r="18" spans="1:8" ht="15.75" thickBot="1">
      <c r="A18" s="116" t="s">
        <v>21</v>
      </c>
      <c r="B18" s="117">
        <v>1777.27</v>
      </c>
      <c r="C18" s="117">
        <v>1547.27</v>
      </c>
      <c r="D18" s="117">
        <v>1399.87</v>
      </c>
      <c r="E18" s="117">
        <v>1161.27</v>
      </c>
      <c r="F18" s="117">
        <v>1032.96</v>
      </c>
      <c r="G18" s="4"/>
      <c r="H18" s="6">
        <f>(B18/F18)^(1/4)-1</f>
        <v>0.14529529460173807</v>
      </c>
    </row>
    <row r="19" spans="1:8" ht="15.75" thickBot="1">
      <c r="A19" s="118" t="s">
        <v>22</v>
      </c>
      <c r="B19" s="119">
        <v>1950.93</v>
      </c>
      <c r="C19" s="119">
        <v>1673.42</v>
      </c>
      <c r="D19" s="119">
        <v>1487.2</v>
      </c>
      <c r="E19" s="119">
        <v>1231.1199999999999</v>
      </c>
      <c r="F19" s="119">
        <v>1082.6500000000001</v>
      </c>
      <c r="H19" s="6">
        <f>(B19/F19)^(1/4)-1</f>
        <v>0.15861301225614421</v>
      </c>
    </row>
    <row r="20" spans="1:8" ht="15.75" thickBot="1">
      <c r="A20" s="116" t="s">
        <v>23</v>
      </c>
      <c r="B20" s="117">
        <v>212.32</v>
      </c>
      <c r="C20" s="117">
        <v>126.98</v>
      </c>
      <c r="D20" s="117">
        <v>99.49</v>
      </c>
      <c r="E20" s="117">
        <v>94.48</v>
      </c>
      <c r="F20" s="117">
        <v>60.74</v>
      </c>
    </row>
    <row r="21" spans="1:8" ht="15.75" thickBot="1">
      <c r="A21" s="116" t="s">
        <v>24</v>
      </c>
      <c r="B21" s="117">
        <v>0</v>
      </c>
      <c r="C21" s="117">
        <v>0</v>
      </c>
      <c r="D21" s="117">
        <v>0</v>
      </c>
      <c r="E21" s="117">
        <v>0</v>
      </c>
      <c r="F21" s="117">
        <v>0</v>
      </c>
    </row>
    <row r="22" spans="1:8" ht="15.75" thickBot="1">
      <c r="A22" s="118" t="s">
        <v>25</v>
      </c>
      <c r="B22" s="119">
        <v>1738.61</v>
      </c>
      <c r="C22" s="119">
        <v>1546.44</v>
      </c>
      <c r="D22" s="119">
        <v>1387.71</v>
      </c>
      <c r="E22" s="119">
        <v>1136.6400000000001</v>
      </c>
      <c r="F22" s="119">
        <v>1021.91</v>
      </c>
      <c r="H22" s="6">
        <f>(B22/F22)^(1/4)-1</f>
        <v>0.14208224785562429</v>
      </c>
    </row>
    <row r="23" spans="1:8" ht="15.75" thickBot="1">
      <c r="A23" s="116" t="s">
        <v>26</v>
      </c>
      <c r="B23" s="117">
        <v>26.08</v>
      </c>
      <c r="C23" s="117">
        <v>30.56</v>
      </c>
      <c r="D23" s="117">
        <v>27.88</v>
      </c>
      <c r="E23" s="117">
        <v>16.34</v>
      </c>
      <c r="F23" s="117">
        <v>19.100000000000001</v>
      </c>
    </row>
    <row r="24" spans="1:8" ht="15.75" thickBot="1">
      <c r="A24" s="118" t="s">
        <v>27</v>
      </c>
      <c r="B24" s="119">
        <v>1712.53</v>
      </c>
      <c r="C24" s="119">
        <v>1515.88</v>
      </c>
      <c r="D24" s="119">
        <v>1359.83</v>
      </c>
      <c r="E24" s="119">
        <v>1120.3</v>
      </c>
      <c r="F24" s="119">
        <v>1002.81</v>
      </c>
      <c r="H24" s="6">
        <f>(B24/F24)^(1/4)-1</f>
        <v>0.14315437562251465</v>
      </c>
    </row>
    <row r="25" spans="1:8" ht="15.75" thickBot="1">
      <c r="A25" s="116" t="s">
        <v>28</v>
      </c>
      <c r="B25" s="117">
        <v>533.51</v>
      </c>
      <c r="C25" s="117">
        <v>465.88</v>
      </c>
      <c r="D25" s="117">
        <v>406.92</v>
      </c>
      <c r="E25" s="117">
        <v>351.9</v>
      </c>
      <c r="F25" s="117">
        <v>336.46</v>
      </c>
    </row>
    <row r="26" spans="1:8" ht="15.75" thickBot="1">
      <c r="A26" s="118" t="s">
        <v>29</v>
      </c>
      <c r="B26" s="119">
        <v>1179.02</v>
      </c>
      <c r="C26" s="119">
        <v>1050</v>
      </c>
      <c r="D26" s="119">
        <v>952.91</v>
      </c>
      <c r="E26" s="119">
        <v>768.4</v>
      </c>
      <c r="F26" s="119">
        <v>666.35</v>
      </c>
      <c r="H26" s="6">
        <f>(B26/F26)^(1/4)-1</f>
        <v>0.15333293090370903</v>
      </c>
    </row>
    <row r="27" spans="1:8" ht="15.75" thickBot="1">
      <c r="A27" s="116" t="s">
        <v>30</v>
      </c>
      <c r="B27" s="117">
        <v>-9.9600000000000009</v>
      </c>
      <c r="C27" s="117">
        <v>0</v>
      </c>
      <c r="D27" s="117">
        <v>3.1</v>
      </c>
      <c r="E27" s="117">
        <v>2.5299999999999998</v>
      </c>
      <c r="F27" s="117">
        <v>100.92</v>
      </c>
    </row>
    <row r="28" spans="1:8" ht="15.75" thickBot="1">
      <c r="A28" s="116" t="s">
        <v>31</v>
      </c>
      <c r="B28" s="117">
        <v>0</v>
      </c>
      <c r="C28" s="117">
        <v>0</v>
      </c>
      <c r="D28" s="117">
        <v>2.38</v>
      </c>
      <c r="E28" s="117">
        <v>4.22</v>
      </c>
      <c r="F28" s="117">
        <v>7.23</v>
      </c>
    </row>
    <row r="29" spans="1:8" ht="15.75" thickBot="1">
      <c r="A29" s="116" t="s">
        <v>32</v>
      </c>
      <c r="B29" s="117">
        <v>0</v>
      </c>
      <c r="C29" s="117">
        <v>0</v>
      </c>
      <c r="D29" s="117">
        <v>0</v>
      </c>
      <c r="E29" s="117">
        <v>0</v>
      </c>
      <c r="F29" s="117">
        <v>0</v>
      </c>
    </row>
    <row r="30" spans="1:8" ht="15.75" thickBot="1">
      <c r="A30" s="118" t="s">
        <v>33</v>
      </c>
      <c r="B30" s="119">
        <v>1169.06</v>
      </c>
      <c r="C30" s="119">
        <v>1050</v>
      </c>
      <c r="D30" s="119">
        <v>958.39</v>
      </c>
      <c r="E30" s="119">
        <v>775.15</v>
      </c>
      <c r="F30" s="119">
        <v>774.5</v>
      </c>
    </row>
    <row r="31" spans="1:8" ht="15.75" thickBot="1">
      <c r="A31" s="134" t="s">
        <v>34</v>
      </c>
      <c r="B31" s="134"/>
      <c r="C31" s="134"/>
      <c r="D31" s="134"/>
      <c r="E31" s="134"/>
      <c r="F31" s="134"/>
    </row>
    <row r="32" spans="1:8" ht="15.75" thickBot="1">
      <c r="A32" s="116" t="s">
        <v>35</v>
      </c>
      <c r="B32" s="117">
        <v>0</v>
      </c>
      <c r="C32" s="117">
        <v>0</v>
      </c>
      <c r="D32" s="117">
        <v>0</v>
      </c>
      <c r="E32" s="117">
        <v>0</v>
      </c>
      <c r="F32" s="117">
        <v>0</v>
      </c>
      <c r="H32" s="6"/>
    </row>
    <row r="33" spans="1:8" ht="15.75" thickBot="1">
      <c r="A33" s="116" t="s">
        <v>36</v>
      </c>
      <c r="B33" s="117">
        <v>426.35</v>
      </c>
      <c r="C33" s="117">
        <v>366.94</v>
      </c>
      <c r="D33" s="117">
        <v>321.45</v>
      </c>
      <c r="E33" s="117">
        <v>256.83</v>
      </c>
      <c r="F33" s="117">
        <v>258.98</v>
      </c>
      <c r="H33" s="6">
        <f>(B33/F33)^(1/4)-1</f>
        <v>0.13272636776452251</v>
      </c>
    </row>
    <row r="34" spans="1:8" ht="15.75" thickBot="1">
      <c r="A34" s="116" t="s">
        <v>37</v>
      </c>
      <c r="B34" s="117">
        <v>444.48</v>
      </c>
      <c r="C34" s="117">
        <v>382.54</v>
      </c>
      <c r="D34" s="117">
        <v>335.12</v>
      </c>
      <c r="E34" s="117">
        <v>267.75</v>
      </c>
      <c r="F34" s="117">
        <v>269.99</v>
      </c>
      <c r="H34" s="6">
        <f>(B34/F34)^(1/4)-1</f>
        <v>0.13272930485507106</v>
      </c>
    </row>
    <row r="35" spans="1:8" ht="15.75" thickBot="1">
      <c r="A35" s="116" t="s">
        <v>38</v>
      </c>
      <c r="B35" s="117">
        <v>9591.98</v>
      </c>
      <c r="C35" s="117">
        <v>959.2</v>
      </c>
      <c r="D35" s="117">
        <v>959.2</v>
      </c>
      <c r="E35" s="117">
        <v>959.2</v>
      </c>
      <c r="F35" s="117">
        <v>959.2</v>
      </c>
    </row>
    <row r="36" spans="1:8" ht="15.75" thickBot="1">
      <c r="A36" s="118" t="s">
        <v>39</v>
      </c>
      <c r="B36" s="119">
        <v>12.19</v>
      </c>
      <c r="C36" s="119">
        <v>109.47</v>
      </c>
      <c r="D36" s="119">
        <v>99.92</v>
      </c>
      <c r="E36" s="119">
        <v>80.81</v>
      </c>
      <c r="F36" s="119">
        <v>80.739999999999995</v>
      </c>
    </row>
    <row r="38" spans="1:8">
      <c r="A38" s="9" t="s">
        <v>82</v>
      </c>
    </row>
    <row r="39" spans="1:8">
      <c r="A39" t="s">
        <v>81</v>
      </c>
      <c r="B39" s="1">
        <f>B26/'Master Data'!$B$6</f>
        <v>12.13963446142002</v>
      </c>
      <c r="C39" s="1">
        <f>C26/'Master Data'!$B$6</f>
        <v>10.811195895312226</v>
      </c>
      <c r="D39" s="1">
        <f>D26/'Master Data'!$B$6</f>
        <v>9.8115206481923547</v>
      </c>
      <c r="E39" s="1">
        <f>E26/'Master Data'!$B$6</f>
        <v>7.9117361199599179</v>
      </c>
      <c r="F39" s="1">
        <f>F26/'Master Data'!$B$6</f>
        <v>6.8609908427060011</v>
      </c>
      <c r="H39" s="6">
        <f>(B39/F39)^(1/4)-1</f>
        <v>0.15333293090370903</v>
      </c>
    </row>
    <row r="41" spans="1:8" ht="15.75" thickBot="1">
      <c r="A41" s="116" t="s">
        <v>231</v>
      </c>
      <c r="B41" s="1">
        <f>+B33/'Master Data'!$B$6</f>
        <v>4.3898603523489212</v>
      </c>
      <c r="C41" s="1">
        <f>+C33/'Master Data'!$B$6</f>
        <v>3.7781525922151125</v>
      </c>
      <c r="D41" s="1">
        <f>+D33/'Master Data'!$B$6</f>
        <v>3.3097704005220141</v>
      </c>
      <c r="E41" s="1">
        <f>+E33/'Master Data'!$B$6</f>
        <v>2.6444185159933702</v>
      </c>
      <c r="F41" s="1">
        <f>+F33/'Master Data'!$B$6</f>
        <v>2.6665557266361528</v>
      </c>
    </row>
  </sheetData>
  <mergeCells count="3">
    <mergeCell ref="A3:F3"/>
    <mergeCell ref="A9:F9"/>
    <mergeCell ref="A31:F3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J25"/>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RowHeight="15"/>
  <cols>
    <col min="1" max="1" width="24" style="2" customWidth="1"/>
    <col min="2" max="16384" width="9.140625" style="2"/>
  </cols>
  <sheetData>
    <row r="1" spans="1:10" ht="15.75" thickBot="1">
      <c r="A1" s="122" t="s">
        <v>41</v>
      </c>
      <c r="B1" s="117" t="s">
        <v>0</v>
      </c>
      <c r="C1" s="117" t="s">
        <v>1</v>
      </c>
      <c r="D1" s="117" t="s">
        <v>2</v>
      </c>
      <c r="E1" s="117" t="s">
        <v>3</v>
      </c>
      <c r="F1" s="117" t="s">
        <v>4</v>
      </c>
      <c r="J1" s="133" t="s">
        <v>238</v>
      </c>
    </row>
    <row r="2" spans="1:10" ht="15.75" thickBot="1">
      <c r="A2" s="118" t="s">
        <v>42</v>
      </c>
      <c r="B2" s="119" t="s">
        <v>43</v>
      </c>
      <c r="C2" s="119" t="s">
        <v>43</v>
      </c>
      <c r="D2" s="119" t="s">
        <v>43</v>
      </c>
      <c r="E2" s="119" t="s">
        <v>43</v>
      </c>
      <c r="F2" s="119" t="s">
        <v>43</v>
      </c>
    </row>
    <row r="3" spans="1:10" ht="15.75" thickBot="1">
      <c r="A3" s="116" t="s">
        <v>44</v>
      </c>
      <c r="B3" s="117">
        <v>95.92</v>
      </c>
      <c r="C3" s="117">
        <v>95.92</v>
      </c>
      <c r="D3" s="117">
        <v>95.92</v>
      </c>
      <c r="E3" s="117">
        <v>95.92</v>
      </c>
      <c r="F3" s="117">
        <v>95.92</v>
      </c>
    </row>
    <row r="4" spans="1:10" ht="15.75" thickBot="1">
      <c r="A4" s="116" t="s">
        <v>45</v>
      </c>
      <c r="B4" s="117">
        <v>3505.01</v>
      </c>
      <c r="C4" s="117">
        <v>2926.34</v>
      </c>
      <c r="D4" s="117">
        <v>2391.86</v>
      </c>
      <c r="E4" s="117">
        <v>1879.4</v>
      </c>
      <c r="F4" s="117">
        <v>1461.3</v>
      </c>
    </row>
    <row r="5" spans="1:10" ht="15.75" thickBot="1">
      <c r="A5" s="118" t="s">
        <v>46</v>
      </c>
      <c r="B5" s="119">
        <v>3600.93</v>
      </c>
      <c r="C5" s="119">
        <v>3022.26</v>
      </c>
      <c r="D5" s="119">
        <v>2487.7800000000002</v>
      </c>
      <c r="E5" s="119">
        <v>1975.32</v>
      </c>
      <c r="F5" s="119">
        <v>1557.22</v>
      </c>
    </row>
    <row r="6" spans="1:10" ht="15.75" thickBot="1">
      <c r="A6" s="116" t="s">
        <v>47</v>
      </c>
      <c r="B6" s="117">
        <v>6.65</v>
      </c>
      <c r="C6" s="117">
        <v>9.2799999999999994</v>
      </c>
      <c r="D6" s="117">
        <v>17.010000000000002</v>
      </c>
      <c r="E6" s="117">
        <v>23.43</v>
      </c>
      <c r="F6" s="117">
        <v>25.59</v>
      </c>
    </row>
    <row r="7" spans="1:10" ht="15.75" thickBot="1">
      <c r="A7" s="116" t="s">
        <v>48</v>
      </c>
      <c r="B7" s="117">
        <v>32.86</v>
      </c>
      <c r="C7" s="117">
        <v>37.479999999999997</v>
      </c>
      <c r="D7" s="117">
        <v>151.21</v>
      </c>
      <c r="E7" s="117">
        <v>40.700000000000003</v>
      </c>
      <c r="F7" s="117">
        <v>40.700000000000003</v>
      </c>
    </row>
    <row r="8" spans="1:10" ht="15.75" thickBot="1">
      <c r="A8" s="118" t="s">
        <v>49</v>
      </c>
      <c r="B8" s="119">
        <v>3640.44</v>
      </c>
      <c r="C8" s="119">
        <v>3069.02</v>
      </c>
      <c r="D8" s="119">
        <v>2656</v>
      </c>
      <c r="E8" s="119">
        <v>2039.45</v>
      </c>
      <c r="F8" s="119">
        <v>1623.51</v>
      </c>
    </row>
    <row r="9" spans="1:10" ht="15.75" thickBot="1">
      <c r="A9" s="134" t="s">
        <v>50</v>
      </c>
      <c r="B9" s="134"/>
      <c r="C9" s="134"/>
      <c r="D9" s="134"/>
      <c r="E9" s="134"/>
      <c r="F9" s="134"/>
    </row>
    <row r="10" spans="1:10" ht="15.75" thickBot="1">
      <c r="A10" s="116" t="s">
        <v>51</v>
      </c>
      <c r="B10" s="117">
        <v>2908.1</v>
      </c>
      <c r="C10" s="117">
        <v>2803.73</v>
      </c>
      <c r="D10" s="117">
        <v>1659.51</v>
      </c>
      <c r="E10" s="117">
        <v>1611.22</v>
      </c>
      <c r="F10" s="117">
        <v>1194.3900000000001</v>
      </c>
    </row>
    <row r="11" spans="1:10" ht="15.75" thickBot="1">
      <c r="A11" s="116" t="s">
        <v>52</v>
      </c>
      <c r="B11" s="117">
        <v>895.9</v>
      </c>
      <c r="C11" s="117">
        <v>701.84</v>
      </c>
      <c r="D11" s="117">
        <v>650.47</v>
      </c>
      <c r="E11" s="117">
        <v>554.03</v>
      </c>
      <c r="F11" s="117">
        <v>486.93</v>
      </c>
    </row>
    <row r="12" spans="1:10" ht="15.75" thickBot="1">
      <c r="A12" s="118" t="s">
        <v>53</v>
      </c>
      <c r="B12" s="119">
        <v>2012.2</v>
      </c>
      <c r="C12" s="119">
        <v>2101.89</v>
      </c>
      <c r="D12" s="119">
        <v>1009.04</v>
      </c>
      <c r="E12" s="119">
        <v>1057.19</v>
      </c>
      <c r="F12" s="119">
        <v>707.46</v>
      </c>
    </row>
    <row r="13" spans="1:10" ht="15.75" thickBot="1">
      <c r="A13" s="116" t="s">
        <v>54</v>
      </c>
      <c r="B13" s="117">
        <v>37.950000000000003</v>
      </c>
      <c r="C13" s="117">
        <v>52.55</v>
      </c>
      <c r="D13" s="117">
        <v>827.3</v>
      </c>
      <c r="E13" s="117">
        <v>67.319999999999993</v>
      </c>
      <c r="F13" s="117">
        <v>380.72</v>
      </c>
    </row>
    <row r="14" spans="1:10" ht="15.75" thickBot="1">
      <c r="A14" s="116" t="s">
        <v>55</v>
      </c>
      <c r="B14" s="117">
        <v>1030.19</v>
      </c>
      <c r="C14" s="117">
        <v>449.7</v>
      </c>
      <c r="D14" s="117">
        <v>542.22</v>
      </c>
      <c r="E14" s="117">
        <v>1034.76</v>
      </c>
      <c r="F14" s="117">
        <v>703.69</v>
      </c>
    </row>
    <row r="15" spans="1:10" ht="15.75" thickBot="1">
      <c r="A15" s="116" t="s">
        <v>56</v>
      </c>
      <c r="B15" s="117">
        <v>1665.05</v>
      </c>
      <c r="C15" s="117">
        <v>1480.79</v>
      </c>
      <c r="D15" s="117">
        <v>1264.42</v>
      </c>
      <c r="E15" s="117">
        <v>1071.76</v>
      </c>
      <c r="F15" s="117">
        <v>763.14</v>
      </c>
    </row>
    <row r="16" spans="1:10" ht="15.75" thickBot="1">
      <c r="A16" s="116" t="s">
        <v>57</v>
      </c>
      <c r="B16" s="117">
        <v>712.36</v>
      </c>
      <c r="C16" s="117">
        <v>633.88</v>
      </c>
      <c r="D16" s="117">
        <v>500.24</v>
      </c>
      <c r="E16" s="117">
        <v>366.68</v>
      </c>
      <c r="F16" s="117">
        <v>331.43</v>
      </c>
    </row>
    <row r="17" spans="1:6" ht="15.75" thickBot="1">
      <c r="A17" s="116" t="s">
        <v>58</v>
      </c>
      <c r="B17" s="117">
        <v>745.36</v>
      </c>
      <c r="C17" s="117">
        <v>566.86</v>
      </c>
      <c r="D17" s="117">
        <v>500.97</v>
      </c>
      <c r="E17" s="117">
        <v>20.47</v>
      </c>
      <c r="F17" s="117">
        <v>28.6</v>
      </c>
    </row>
    <row r="18" spans="1:6" ht="15.75" thickBot="1">
      <c r="A18" s="116" t="s">
        <v>59</v>
      </c>
      <c r="B18" s="117">
        <v>478.6</v>
      </c>
      <c r="C18" s="117">
        <v>362.61</v>
      </c>
      <c r="D18" s="117">
        <v>361.22</v>
      </c>
      <c r="E18" s="117">
        <v>270.88</v>
      </c>
      <c r="F18" s="117">
        <v>241.68</v>
      </c>
    </row>
    <row r="19" spans="1:6" ht="15.75" thickBot="1">
      <c r="A19" s="118" t="s">
        <v>60</v>
      </c>
      <c r="B19" s="119">
        <v>3601.37</v>
      </c>
      <c r="C19" s="119">
        <v>3044.14</v>
      </c>
      <c r="D19" s="119">
        <v>2626.85</v>
      </c>
      <c r="E19" s="119">
        <v>1729.79</v>
      </c>
      <c r="F19" s="119">
        <v>1364.85</v>
      </c>
    </row>
    <row r="20" spans="1:6" ht="15.75" thickBot="1">
      <c r="A20" s="116" t="s">
        <v>61</v>
      </c>
      <c r="B20" s="117">
        <v>2423.5500000000002</v>
      </c>
      <c r="C20" s="117">
        <v>2078.94</v>
      </c>
      <c r="D20" s="117">
        <v>1929.18</v>
      </c>
      <c r="E20" s="117">
        <v>1511.37</v>
      </c>
      <c r="F20" s="117">
        <v>1229.04</v>
      </c>
    </row>
    <row r="21" spans="1:6" ht="15.75" thickBot="1">
      <c r="A21" s="116" t="s">
        <v>62</v>
      </c>
      <c r="B21" s="117">
        <v>617.72</v>
      </c>
      <c r="C21" s="117">
        <v>500.32</v>
      </c>
      <c r="D21" s="117">
        <v>420.23</v>
      </c>
      <c r="E21" s="117">
        <v>338.24</v>
      </c>
      <c r="F21" s="117">
        <v>304.17</v>
      </c>
    </row>
    <row r="22" spans="1:6" ht="15.75" thickBot="1">
      <c r="A22" s="118" t="s">
        <v>63</v>
      </c>
      <c r="B22" s="119">
        <v>3041.27</v>
      </c>
      <c r="C22" s="119">
        <v>2579.2600000000002</v>
      </c>
      <c r="D22" s="119">
        <v>2349.41</v>
      </c>
      <c r="E22" s="119">
        <v>1849.61</v>
      </c>
      <c r="F22" s="119">
        <v>1533.21</v>
      </c>
    </row>
    <row r="23" spans="1:6" ht="15.75" thickBot="1">
      <c r="A23" s="118" t="s">
        <v>64</v>
      </c>
      <c r="B23" s="119">
        <v>560.1</v>
      </c>
      <c r="C23" s="119">
        <v>464.88</v>
      </c>
      <c r="D23" s="119">
        <v>277.44</v>
      </c>
      <c r="E23" s="119">
        <v>-119.82</v>
      </c>
      <c r="F23" s="119">
        <v>-168.36</v>
      </c>
    </row>
    <row r="24" spans="1:6" ht="15.75" thickBot="1">
      <c r="A24" s="116" t="s">
        <v>65</v>
      </c>
      <c r="B24" s="117">
        <v>0</v>
      </c>
      <c r="C24" s="117">
        <v>0</v>
      </c>
      <c r="D24" s="117">
        <v>0</v>
      </c>
      <c r="E24" s="117">
        <v>0</v>
      </c>
      <c r="F24" s="117">
        <v>0</v>
      </c>
    </row>
    <row r="25" spans="1:6" ht="15.75" thickBot="1">
      <c r="A25" s="118" t="s">
        <v>66</v>
      </c>
      <c r="B25" s="119">
        <v>3640.44</v>
      </c>
      <c r="C25" s="119">
        <v>3069.02</v>
      </c>
      <c r="D25" s="119">
        <v>2656</v>
      </c>
      <c r="E25" s="119">
        <v>2039.45</v>
      </c>
      <c r="F25" s="119">
        <v>1623.51</v>
      </c>
    </row>
  </sheetData>
  <mergeCells count="1">
    <mergeCell ref="A9:F9"/>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J11"/>
  <sheetViews>
    <sheetView workbookViewId="0"/>
  </sheetViews>
  <sheetFormatPr defaultRowHeight="15"/>
  <cols>
    <col min="1" max="1" width="24.28515625" style="2" customWidth="1"/>
    <col min="2" max="16384" width="9.140625" style="2"/>
  </cols>
  <sheetData>
    <row r="1" spans="1:10" ht="15.75" thickBot="1">
      <c r="A1" s="122" t="s">
        <v>41</v>
      </c>
      <c r="B1" s="117" t="s">
        <v>0</v>
      </c>
      <c r="C1" s="117" t="s">
        <v>1</v>
      </c>
      <c r="D1" s="117" t="s">
        <v>2</v>
      </c>
      <c r="E1" s="117" t="s">
        <v>3</v>
      </c>
      <c r="F1" s="117" t="s">
        <v>4</v>
      </c>
      <c r="J1" s="133" t="s">
        <v>238</v>
      </c>
    </row>
    <row r="2" spans="1:10" ht="15.75" thickBot="1">
      <c r="A2" s="116" t="s">
        <v>67</v>
      </c>
      <c r="B2" s="117">
        <v>1702.57</v>
      </c>
      <c r="C2" s="117">
        <v>1515.88</v>
      </c>
      <c r="D2" s="117">
        <v>1362.93</v>
      </c>
      <c r="E2" s="117">
        <v>1122.83</v>
      </c>
      <c r="F2" s="117">
        <v>1104.81</v>
      </c>
    </row>
    <row r="3" spans="1:10" ht="24" thickBot="1">
      <c r="A3" s="118" t="s">
        <v>68</v>
      </c>
      <c r="B3" s="119">
        <v>1368.84</v>
      </c>
      <c r="C3" s="119">
        <v>1081.1199999999999</v>
      </c>
      <c r="D3" s="119">
        <v>753.67</v>
      </c>
      <c r="E3" s="119">
        <v>743.25</v>
      </c>
      <c r="F3" s="119">
        <v>847.41</v>
      </c>
    </row>
    <row r="4" spans="1:10" ht="24" thickBot="1">
      <c r="A4" s="118" t="s">
        <v>69</v>
      </c>
      <c r="B4" s="119">
        <v>-615.38</v>
      </c>
      <c r="C4" s="119">
        <v>-424.87</v>
      </c>
      <c r="D4" s="119">
        <v>-464.87</v>
      </c>
      <c r="E4" s="119">
        <v>-410.23</v>
      </c>
      <c r="F4" s="119">
        <v>-241.81</v>
      </c>
    </row>
    <row r="5" spans="1:10" ht="24" thickBot="1">
      <c r="A5" s="118" t="s">
        <v>70</v>
      </c>
      <c r="B5" s="119">
        <v>-559.66999999999996</v>
      </c>
      <c r="C5" s="119">
        <v>-590.35</v>
      </c>
      <c r="D5" s="119">
        <v>-297.06</v>
      </c>
      <c r="E5" s="119">
        <v>-321.14999999999998</v>
      </c>
      <c r="F5" s="119">
        <v>-237.99</v>
      </c>
    </row>
    <row r="6" spans="1:10" ht="24" thickBot="1">
      <c r="A6" s="120" t="s">
        <v>71</v>
      </c>
      <c r="B6" s="121">
        <v>193.79</v>
      </c>
      <c r="C6" s="121">
        <v>65.900000000000006</v>
      </c>
      <c r="D6" s="121">
        <v>-8.26</v>
      </c>
      <c r="E6" s="121">
        <v>11.85</v>
      </c>
      <c r="F6" s="121">
        <v>367.61</v>
      </c>
    </row>
    <row r="7" spans="1:10" ht="24" thickBot="1">
      <c r="A7" s="116" t="s">
        <v>72</v>
      </c>
      <c r="B7" s="117">
        <v>551.57000000000005</v>
      </c>
      <c r="C7" s="117">
        <v>500.97</v>
      </c>
      <c r="D7" s="117">
        <v>509.23</v>
      </c>
      <c r="E7" s="117">
        <v>495.55</v>
      </c>
      <c r="F7" s="117">
        <v>127.94</v>
      </c>
    </row>
    <row r="8" spans="1:10" ht="24" thickBot="1">
      <c r="A8" s="116" t="s">
        <v>73</v>
      </c>
      <c r="B8" s="117">
        <v>745.36</v>
      </c>
      <c r="C8" s="117">
        <v>566.87</v>
      </c>
      <c r="D8" s="117">
        <v>500.97</v>
      </c>
      <c r="E8" s="117">
        <v>507.4</v>
      </c>
      <c r="F8" s="117">
        <v>495.55</v>
      </c>
    </row>
    <row r="11" spans="1:10">
      <c r="B11" s="2">
        <f>SUM(B3:B4)</f>
        <v>753.45999999999992</v>
      </c>
      <c r="C11" s="2">
        <f t="shared" ref="C11:F11" si="0">SUM(C3:C4)</f>
        <v>656.24999999999989</v>
      </c>
      <c r="D11" s="2">
        <f t="shared" si="0"/>
        <v>288.79999999999995</v>
      </c>
      <c r="E11" s="2">
        <f t="shared" si="0"/>
        <v>333.02</v>
      </c>
      <c r="F11" s="2">
        <f t="shared" si="0"/>
        <v>605.59999999999991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F38"/>
  <sheetViews>
    <sheetView workbookViewId="0">
      <selection activeCell="B1" sqref="B1"/>
    </sheetView>
  </sheetViews>
  <sheetFormatPr defaultRowHeight="15"/>
  <cols>
    <col min="1" max="1" width="32.140625" style="7" customWidth="1"/>
    <col min="2" max="6" width="16" style="7" customWidth="1"/>
    <col min="7" max="16384" width="9.140625" style="7"/>
  </cols>
  <sheetData>
    <row r="1" spans="1:6">
      <c r="A1" s="8" t="s">
        <v>74</v>
      </c>
      <c r="B1" s="131" t="s">
        <v>236</v>
      </c>
    </row>
    <row r="3" spans="1:6">
      <c r="A3" s="16" t="s">
        <v>75</v>
      </c>
      <c r="B3" s="17" t="s">
        <v>0</v>
      </c>
      <c r="C3" s="17" t="s">
        <v>1</v>
      </c>
      <c r="D3" s="17" t="s">
        <v>2</v>
      </c>
      <c r="E3" s="17" t="s">
        <v>3</v>
      </c>
      <c r="F3" s="17" t="s">
        <v>4</v>
      </c>
    </row>
    <row r="4" spans="1:6">
      <c r="A4" s="18" t="s">
        <v>76</v>
      </c>
      <c r="B4" s="19">
        <f>'P&amp;L'!B39</f>
        <v>12.13963446142002</v>
      </c>
      <c r="C4" s="19">
        <f>'P&amp;L'!C39</f>
        <v>10.811195895312226</v>
      </c>
      <c r="D4" s="19">
        <f>'P&amp;L'!D39</f>
        <v>9.8115206481923547</v>
      </c>
      <c r="E4" s="19">
        <f>'P&amp;L'!E39</f>
        <v>7.9117361199599179</v>
      </c>
      <c r="F4" s="19">
        <f>'P&amp;L'!F39</f>
        <v>6.8609908427060011</v>
      </c>
    </row>
    <row r="5" spans="1:6">
      <c r="A5" s="18" t="s">
        <v>77</v>
      </c>
      <c r="B5" s="19">
        <f>BS!B5/'Master Data'!$B$6</f>
        <v>37.076532986006335</v>
      </c>
      <c r="C5" s="19">
        <f>BS!C5/'Master Data'!$B$6</f>
        <v>31.118328482444124</v>
      </c>
      <c r="D5" s="19">
        <f>BS!D5/'Master Data'!$B$6</f>
        <v>25.615120880418903</v>
      </c>
      <c r="E5" s="19">
        <f>BS!E5/'Master Data'!$B$6</f>
        <v>20.338639500883946</v>
      </c>
      <c r="F5" s="19">
        <f>BS!F5/'Master Data'!$B$6</f>
        <v>16.033724259141053</v>
      </c>
    </row>
    <row r="6" spans="1:6">
      <c r="A6" s="18" t="s">
        <v>78</v>
      </c>
      <c r="B6" s="20">
        <f>'P&amp;L'!B25/'P&amp;L'!B24</f>
        <v>0.31153322861497318</v>
      </c>
      <c r="C6" s="20">
        <f>'P&amp;L'!C25/'P&amp;L'!C24</f>
        <v>0.30733303427711955</v>
      </c>
      <c r="D6" s="20">
        <f>'P&amp;L'!D25/'P&amp;L'!D24</f>
        <v>0.29924328776391168</v>
      </c>
      <c r="E6" s="20">
        <f>'P&amp;L'!E25/'P&amp;L'!E24</f>
        <v>0.31411229135053109</v>
      </c>
      <c r="F6" s="20">
        <f>'P&amp;L'!F25/'P&amp;L'!F24</f>
        <v>0.3355171966773367</v>
      </c>
    </row>
    <row r="7" spans="1:6">
      <c r="A7" s="18" t="s">
        <v>79</v>
      </c>
      <c r="B7" s="19">
        <f>'P&amp;L'!B41</f>
        <v>4.3898603523489212</v>
      </c>
      <c r="C7" s="19">
        <f>'P&amp;L'!C41</f>
        <v>3.7781525922151125</v>
      </c>
      <c r="D7" s="19">
        <f>'P&amp;L'!D41</f>
        <v>3.3097704005220141</v>
      </c>
      <c r="E7" s="19">
        <f>'P&amp;L'!E41</f>
        <v>2.6444185159933702</v>
      </c>
      <c r="F7" s="19">
        <f>'P&amp;L'!F41</f>
        <v>2.6665557266361528</v>
      </c>
    </row>
    <row r="8" spans="1:6">
      <c r="A8" s="18" t="s">
        <v>80</v>
      </c>
      <c r="B8" s="21">
        <v>0</v>
      </c>
      <c r="C8" s="21">
        <v>0</v>
      </c>
      <c r="D8" s="21">
        <v>0</v>
      </c>
      <c r="E8" s="21">
        <v>0</v>
      </c>
      <c r="F8" s="21">
        <v>0</v>
      </c>
    </row>
    <row r="10" spans="1:6">
      <c r="A10" s="16" t="s">
        <v>96</v>
      </c>
      <c r="B10" s="17" t="s">
        <v>0</v>
      </c>
      <c r="C10" s="17" t="s">
        <v>1</v>
      </c>
      <c r="D10" s="17" t="s">
        <v>2</v>
      </c>
      <c r="E10" s="17" t="s">
        <v>3</v>
      </c>
      <c r="F10" s="17" t="s">
        <v>4</v>
      </c>
    </row>
    <row r="11" spans="1:6">
      <c r="A11" s="18" t="s">
        <v>97</v>
      </c>
      <c r="B11" s="20">
        <f>('P&amp;L'!B8-'P&amp;L'!B10-'P&amp;L'!B11)/'P&amp;L'!B8</f>
        <v>0.42563092167621447</v>
      </c>
      <c r="C11" s="20">
        <f>('P&amp;L'!C8-'P&amp;L'!C10-'P&amp;L'!C11)/'P&amp;L'!C8</f>
        <v>0.41890226811829173</v>
      </c>
      <c r="D11" s="20">
        <f>('P&amp;L'!D8-'P&amp;L'!D10-'P&amp;L'!D11)/'P&amp;L'!D8</f>
        <v>0.42073300445307504</v>
      </c>
      <c r="E11" s="20">
        <f>('P&amp;L'!E8-'P&amp;L'!E10-'P&amp;L'!E11)/'P&amp;L'!E8</f>
        <v>0.43342665450345808</v>
      </c>
      <c r="F11" s="20">
        <f>('P&amp;L'!F8-'P&amp;L'!F10-'P&amp;L'!F11)/'P&amp;L'!F8</f>
        <v>0.45827803322990135</v>
      </c>
    </row>
    <row r="12" spans="1:6">
      <c r="A12" s="18" t="s">
        <v>98</v>
      </c>
      <c r="B12" s="20">
        <f>'P&amp;L'!B19/'P&amp;L'!B8</f>
        <v>0.18418135953566883</v>
      </c>
      <c r="C12" s="20">
        <f>'P&amp;L'!C19/'P&amp;L'!C8</f>
        <v>0.18393576504338938</v>
      </c>
      <c r="D12" s="20">
        <f>'P&amp;L'!D19/'P&amp;L'!D8</f>
        <v>0.17674441820638642</v>
      </c>
      <c r="E12" s="20">
        <f>'P&amp;L'!E19/'P&amp;L'!E8</f>
        <v>0.18441341727744848</v>
      </c>
      <c r="F12" s="20">
        <f>'P&amp;L'!F19/'P&amp;L'!F8</f>
        <v>0.19984642107575393</v>
      </c>
    </row>
    <row r="13" spans="1:6">
      <c r="A13" s="18" t="s">
        <v>99</v>
      </c>
      <c r="B13" s="20">
        <f>'P&amp;L'!$B$22/'P&amp;L'!B8</f>
        <v>0.16413687497875842</v>
      </c>
      <c r="C13" s="20">
        <f>'P&amp;L'!$B$22/'P&amp;L'!C8</f>
        <v>0.19110119423819913</v>
      </c>
      <c r="D13" s="20">
        <f>'P&amp;L'!$B$22/'P&amp;L'!D8</f>
        <v>0.20662292424543133</v>
      </c>
      <c r="E13" s="20">
        <f>'P&amp;L'!$B$22/'P&amp;L'!E8</f>
        <v>0.26043197366036186</v>
      </c>
      <c r="F13" s="20">
        <f>'P&amp;L'!$B$22/'P&amp;L'!F8</f>
        <v>0.32093011235996538</v>
      </c>
    </row>
    <row r="14" spans="1:6">
      <c r="A14" s="18" t="s">
        <v>100</v>
      </c>
      <c r="B14" s="20">
        <f>'P&amp;L'!B26/'P&amp;L'!B8</f>
        <v>0.11130768736948238</v>
      </c>
      <c r="C14" s="20">
        <f>'P&amp;L'!C26/'P&amp;L'!C8</f>
        <v>0.11541188302730865</v>
      </c>
      <c r="D14" s="20">
        <f>'P&amp;L'!D26/'P&amp;L'!D8</f>
        <v>0.11324739345955331</v>
      </c>
      <c r="E14" s="20">
        <f>'P&amp;L'!E26/'P&amp;L'!E8</f>
        <v>0.11510110292740872</v>
      </c>
      <c r="F14" s="20">
        <f>'P&amp;L'!F26/'P&amp;L'!F8</f>
        <v>0.12300158193675577</v>
      </c>
    </row>
    <row r="16" spans="1:6">
      <c r="A16" s="16" t="s">
        <v>101</v>
      </c>
      <c r="B16" s="17" t="s">
        <v>0</v>
      </c>
      <c r="C16" s="17" t="s">
        <v>1</v>
      </c>
      <c r="D16" s="17" t="s">
        <v>2</v>
      </c>
      <c r="E16" s="17" t="s">
        <v>3</v>
      </c>
      <c r="F16" s="17" t="s">
        <v>4</v>
      </c>
    </row>
    <row r="17" spans="1:6">
      <c r="A17" s="18" t="s">
        <v>102</v>
      </c>
      <c r="B17" s="20">
        <f>'P&amp;L'!B26/BS!B5</f>
        <v>0.32742097180450608</v>
      </c>
      <c r="C17" s="20">
        <f>'P&amp;L'!C26/BS!C5</f>
        <v>0.34742212781163762</v>
      </c>
      <c r="D17" s="20">
        <f>'P&amp;L'!D26/BS!D5</f>
        <v>0.38303628134320555</v>
      </c>
      <c r="E17" s="20">
        <f>'P&amp;L'!E26/BS!E5</f>
        <v>0.3890002632484863</v>
      </c>
      <c r="F17" s="20">
        <f>'P&amp;L'!F26/BS!F5</f>
        <v>0.4279099934498658</v>
      </c>
    </row>
    <row r="18" spans="1:6">
      <c r="A18" s="18" t="s">
        <v>103</v>
      </c>
      <c r="B18" s="20">
        <f>'P&amp;L'!B22*(1-B6)/(SUM(BS!B12,BS!B19)-BS!B8)</f>
        <v>0.60663778534497048</v>
      </c>
      <c r="C18" s="20">
        <f>'P&amp;L'!C22*(1-C6)/(SUM(BS!C12,BS!C19)-BS!C8)</f>
        <v>0.51572592451287735</v>
      </c>
      <c r="D18" s="20">
        <f>'P&amp;L'!D22*(1-D6)/(SUM(BS!D12,BS!D19)-BS!D8)</f>
        <v>0.99240434858723148</v>
      </c>
      <c r="E18" s="20">
        <f>'P&amp;L'!E22*(1-E6)/(SUM(BS!E12,BS!E19)-BS!E8)</f>
        <v>1.0429111944127092</v>
      </c>
      <c r="F18" s="20">
        <f>'P&amp;L'!F22*(1-F6)/(SUM(BS!F12,BS!F19)-BS!F8)</f>
        <v>1.5130160907831169</v>
      </c>
    </row>
    <row r="19" spans="1:6">
      <c r="A19" s="18" t="s">
        <v>104</v>
      </c>
      <c r="B19" s="20">
        <f>BS!B12/'P&amp;L'!B8</f>
        <v>0.18996567363138236</v>
      </c>
      <c r="C19" s="20">
        <f>BS!C12/'P&amp;L'!C8</f>
        <v>0.23103150744406642</v>
      </c>
      <c r="D19" s="20">
        <f>BS!D12/'P&amp;L'!D8</f>
        <v>0.11991809289064831</v>
      </c>
      <c r="E19" s="20">
        <f>BS!E12/'P&amp;L'!E8</f>
        <v>0.15835988417988967</v>
      </c>
      <c r="F19" s="20">
        <f>BS!F12/'P&amp;L'!F8</f>
        <v>0.13059007902300176</v>
      </c>
    </row>
    <row r="20" spans="1:6">
      <c r="A20" s="18" t="s">
        <v>105</v>
      </c>
      <c r="B20" s="22">
        <f>'P&amp;L'!B8/(BS!B19-BS!B6-BS!B7)</f>
        <v>2.973850740905033</v>
      </c>
      <c r="C20" s="22">
        <f>'P&amp;L'!C8/(BS!C19-BS!C6-BS!C7)</f>
        <v>3.0352674669211117</v>
      </c>
      <c r="D20" s="22">
        <f>'P&amp;L'!D8/(BS!D19-BS!D6-BS!D7)</f>
        <v>3.4223978394471724</v>
      </c>
      <c r="E20" s="22">
        <f>'P&amp;L'!E8/(BS!E19-BS!E6-BS!E7)</f>
        <v>4.00794279744966</v>
      </c>
      <c r="F20" s="22">
        <f>'P&amp;L'!F8/(BS!F19-BS!F6-BS!F7)</f>
        <v>4.1718595983242981</v>
      </c>
    </row>
    <row r="22" spans="1:6">
      <c r="A22" s="16" t="s">
        <v>106</v>
      </c>
      <c r="B22" s="17" t="s">
        <v>0</v>
      </c>
      <c r="C22" s="17" t="s">
        <v>1</v>
      </c>
      <c r="D22" s="17" t="s">
        <v>2</v>
      </c>
      <c r="E22" s="17" t="s">
        <v>3</v>
      </c>
      <c r="F22" s="17" t="s">
        <v>4</v>
      </c>
    </row>
    <row r="23" spans="1:6">
      <c r="A23" s="18" t="s">
        <v>107</v>
      </c>
      <c r="B23" s="23">
        <f>BS!B16/('P&amp;L'!B8/365)</f>
        <v>24.546884381691093</v>
      </c>
      <c r="C23" s="23">
        <f>BS!C16/('P&amp;L'!C8/365)</f>
        <v>25.430865534164663</v>
      </c>
      <c r="D23" s="23">
        <f>BS!D16/('P&amp;L'!D8/365)</f>
        <v>21.699394253429535</v>
      </c>
      <c r="E23" s="23">
        <f>BS!E16/('P&amp;L'!E8/365)</f>
        <v>20.04805366191972</v>
      </c>
      <c r="F23" s="23">
        <f>BS!F16/('P&amp;L'!F8/365)</f>
        <v>22.330218683836005</v>
      </c>
    </row>
    <row r="24" spans="1:6">
      <c r="A24" s="18" t="s">
        <v>108</v>
      </c>
      <c r="B24" s="23">
        <f>(BS!B15/('P&amp;L'!B8/365))</f>
        <v>57.375189285943556</v>
      </c>
      <c r="C24" s="23">
        <f>(BS!C15/('P&amp;L'!C8/365))</f>
        <v>59.408360216974337</v>
      </c>
      <c r="D24" s="23">
        <f>(BS!D15/('P&amp;L'!D8/365))</f>
        <v>54.84796913865619</v>
      </c>
      <c r="E24" s="23">
        <f>(BS!E15/('P&amp;L'!E8/365))</f>
        <v>58.59796550861536</v>
      </c>
      <c r="F24" s="23">
        <f>(BS!F15/('P&amp;L'!F8/365))</f>
        <v>51.416839412191436</v>
      </c>
    </row>
    <row r="25" spans="1:6">
      <c r="A25" s="18" t="s">
        <v>109</v>
      </c>
      <c r="B25" s="23">
        <f>BS!B22/('P&amp;L'!B8/365)</f>
        <v>104.79771893916794</v>
      </c>
      <c r="C25" s="23">
        <f>BS!C22/('P&amp;L'!C8/365)</f>
        <v>103.47828333067703</v>
      </c>
      <c r="D25" s="23">
        <f>BS!D22/('P&amp;L'!D8/365)</f>
        <v>101.91262964367078</v>
      </c>
      <c r="E25" s="23">
        <f>BS!E22/('P&amp;L'!E8/365)</f>
        <v>101.12654230834333</v>
      </c>
      <c r="F25" s="23">
        <f>BS!F22/('P&amp;L'!F8/365)</f>
        <v>103.30059013440003</v>
      </c>
    </row>
    <row r="27" spans="1:6">
      <c r="A27" s="16" t="s">
        <v>110</v>
      </c>
      <c r="B27" s="17" t="s">
        <v>0</v>
      </c>
      <c r="C27" s="17" t="s">
        <v>1</v>
      </c>
      <c r="D27" s="17" t="s">
        <v>2</v>
      </c>
      <c r="E27" s="17" t="s">
        <v>3</v>
      </c>
      <c r="F27" s="17" t="s">
        <v>4</v>
      </c>
    </row>
    <row r="28" spans="1:6">
      <c r="A28" s="18" t="s">
        <v>111</v>
      </c>
      <c r="B28" s="20">
        <f>'P&amp;L'!B8/'P&amp;L'!C8-1</f>
        <v>0.16427947262265263</v>
      </c>
      <c r="C28" s="20">
        <f>'P&amp;L'!C8/'P&amp;L'!D8-1</f>
        <v>8.1222569378007536E-2</v>
      </c>
      <c r="D28" s="20">
        <f>'P&amp;L'!D8/'P&amp;L'!E8-1</f>
        <v>0.26042148813562882</v>
      </c>
      <c r="E28" s="20">
        <f>'P&amp;L'!E8/'P&amp;L'!F8-1</f>
        <v>0.23229919832539903</v>
      </c>
      <c r="F28" s="20">
        <v>0</v>
      </c>
    </row>
    <row r="29" spans="1:6">
      <c r="A29" s="18" t="s">
        <v>112</v>
      </c>
      <c r="B29" s="20">
        <f>'P&amp;L'!B19/'P&amp;L'!C19-1</f>
        <v>0.16583404046802364</v>
      </c>
      <c r="C29" s="20">
        <f>'P&amp;L'!C19/'P&amp;L'!D19-1</f>
        <v>0.12521516944593869</v>
      </c>
      <c r="D29" s="20">
        <f>'P&amp;L'!D19/'P&amp;L'!E19-1</f>
        <v>0.2080057183702646</v>
      </c>
      <c r="E29" s="20">
        <f>'P&amp;L'!E19/'P&amp;L'!F19-1</f>
        <v>0.13713573176926963</v>
      </c>
      <c r="F29" s="20">
        <v>0</v>
      </c>
    </row>
    <row r="30" spans="1:6">
      <c r="A30" s="18" t="s">
        <v>113</v>
      </c>
      <c r="B30" s="20">
        <f>'P&amp;L'!B22/'P&amp;L'!C22-1</f>
        <v>0.12426605623237874</v>
      </c>
      <c r="C30" s="20">
        <f>'P&amp;L'!C22/'P&amp;L'!D22-1</f>
        <v>0.11438268802559604</v>
      </c>
      <c r="D30" s="20">
        <f>'P&amp;L'!D22/'P&amp;L'!E22-1</f>
        <v>0.22088788006756754</v>
      </c>
      <c r="E30" s="20">
        <f>'P&amp;L'!E22/'P&amp;L'!F22-1</f>
        <v>0.11227016077736796</v>
      </c>
      <c r="F30" s="20">
        <v>0</v>
      </c>
    </row>
    <row r="31" spans="1:6">
      <c r="A31" s="18" t="s">
        <v>114</v>
      </c>
      <c r="B31" s="20">
        <f>'P&amp;L'!B26/'P&amp;L'!C26-1</f>
        <v>0.12287619047619036</v>
      </c>
      <c r="C31" s="20">
        <f>'P&amp;L'!C26/'P&amp;L'!D26-1</f>
        <v>0.10188790127084402</v>
      </c>
      <c r="D31" s="20">
        <f>'P&amp;L'!D26/'P&amp;L'!E26-1</f>
        <v>0.24012233211868828</v>
      </c>
      <c r="E31" s="20">
        <f>'P&amp;L'!E26/'P&amp;L'!F26-1</f>
        <v>0.15314774517896002</v>
      </c>
      <c r="F31" s="20">
        <v>0</v>
      </c>
    </row>
    <row r="33" spans="1:6">
      <c r="A33" s="16" t="s">
        <v>115</v>
      </c>
      <c r="B33" s="17" t="s">
        <v>0</v>
      </c>
      <c r="C33" s="17" t="s">
        <v>1</v>
      </c>
      <c r="D33" s="17" t="s">
        <v>2</v>
      </c>
      <c r="E33" s="17" t="s">
        <v>3</v>
      </c>
      <c r="F33" s="17" t="s">
        <v>4</v>
      </c>
    </row>
    <row r="34" spans="1:6">
      <c r="A34" s="18" t="s">
        <v>116</v>
      </c>
      <c r="B34" s="22">
        <f>SUM(BS!B6,BS!B7)/BS!B5</f>
        <v>1.0972165523906324E-2</v>
      </c>
      <c r="C34" s="22">
        <f>SUM(BS!C6,BS!C7)/BS!C5</f>
        <v>1.5471865425211595E-2</v>
      </c>
      <c r="D34" s="22">
        <f>SUM(BS!D6,BS!D7)/BS!D5</f>
        <v>6.7618519322448126E-2</v>
      </c>
      <c r="E34" s="22">
        <f>SUM(BS!E6,BS!E7)/BS!E5</f>
        <v>3.2465625822651521E-2</v>
      </c>
      <c r="F34" s="22">
        <f>SUM(BS!F6,BS!F7)/BS!F5</f>
        <v>4.2569450687764097E-2</v>
      </c>
    </row>
    <row r="35" spans="1:6">
      <c r="A35" s="18" t="s">
        <v>117</v>
      </c>
      <c r="B35" s="22">
        <f>SUM(BS!B6,BS!B7)/SUM('Cash Flow'!B3:B4)</f>
        <v>5.2438085631619467E-2</v>
      </c>
      <c r="C35" s="22">
        <f>SUM(BS!C6,BS!C7)/SUM('Cash Flow'!C3:C4)</f>
        <v>7.1253333333333349E-2</v>
      </c>
      <c r="D35" s="22">
        <f>SUM(BS!D6,BS!D7)/SUM('Cash Flow'!D3:D4)</f>
        <v>0.58247922437673139</v>
      </c>
      <c r="E35" s="22">
        <f>SUM(BS!E6,BS!E7)/SUM('Cash Flow'!E3:E4)</f>
        <v>0.19257101675575039</v>
      </c>
      <c r="F35" s="22">
        <f>SUM(BS!F6,BS!F7)/SUM('Cash Flow'!F3:F4)</f>
        <v>0.10946169088507268</v>
      </c>
    </row>
    <row r="36" spans="1:6">
      <c r="A36" s="18" t="s">
        <v>118</v>
      </c>
      <c r="B36" s="22">
        <f>BS!B19/SUM(BS!B6,BS!B7,BS!B22)</f>
        <v>1.1689799336531657</v>
      </c>
      <c r="C36" s="22">
        <f>BS!C19/SUM(BS!C6,BS!C7,BS!C22)</f>
        <v>1.1592219404269577</v>
      </c>
      <c r="D36" s="22">
        <f>BS!D19/SUM(BS!D6,BS!D7,BS!D22)</f>
        <v>1.0433820696448646</v>
      </c>
      <c r="E36" s="22">
        <f>BS!E19/SUM(BS!E6,BS!E7,BS!E22)</f>
        <v>0.90387931484945716</v>
      </c>
      <c r="F36" s="22">
        <f>BS!F19/SUM(BS!F6,BS!F7,BS!F22)</f>
        <v>0.85329790559549856</v>
      </c>
    </row>
    <row r="37" spans="1:6">
      <c r="A37" s="18" t="s">
        <v>119</v>
      </c>
      <c r="B37" s="22">
        <f>(BS!B19-BS!B15)/SUM(BS!B6,BS!B7,BS!B22)</f>
        <v>0.62851615499970781</v>
      </c>
      <c r="C37" s="22">
        <f>(BS!C19-BS!C15)/SUM(BS!C6,BS!C7,BS!C22)</f>
        <v>0.59533057630939579</v>
      </c>
      <c r="D37" s="22">
        <f>(BS!D19-BS!D15)/SUM(BS!D6,BS!D7,BS!D22)</f>
        <v>0.54115576951339162</v>
      </c>
      <c r="E37" s="22">
        <f>(BS!E19-BS!E15)/SUM(BS!E6,BS!E7,BS!E22)</f>
        <v>0.34384503642083042</v>
      </c>
      <c r="F37" s="22">
        <f>(BS!F19-BS!F15)/SUM(BS!F6,BS!F7,BS!F22)</f>
        <v>0.3761863082213191</v>
      </c>
    </row>
    <row r="38" spans="1:6">
      <c r="A38" s="18" t="s">
        <v>120</v>
      </c>
      <c r="B38" s="22">
        <f>'P&amp;L'!B22/'P&amp;L'!B23</f>
        <v>66.664493865030678</v>
      </c>
      <c r="C38" s="22">
        <f>'P&amp;L'!C22/'P&amp;L'!C23</f>
        <v>50.603403141361262</v>
      </c>
      <c r="D38" s="22">
        <f>'P&amp;L'!D22/'P&amp;L'!D23</f>
        <v>49.774390243902445</v>
      </c>
      <c r="E38" s="22">
        <f>'P&amp;L'!E22/'P&amp;L'!E23</f>
        <v>69.561811505507961</v>
      </c>
      <c r="F38" s="22">
        <f>'P&amp;L'!F22/'P&amp;L'!F23</f>
        <v>53.503141361256539</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dimension ref="A1:E28"/>
  <sheetViews>
    <sheetView workbookViewId="0"/>
  </sheetViews>
  <sheetFormatPr defaultRowHeight="15"/>
  <cols>
    <col min="1" max="1" width="34.85546875" customWidth="1"/>
    <col min="2" max="2" width="9.7109375" bestFit="1" customWidth="1"/>
    <col min="4" max="4" width="16.5703125" bestFit="1" customWidth="1"/>
  </cols>
  <sheetData>
    <row r="1" spans="1:5">
      <c r="A1" s="123" t="s">
        <v>233</v>
      </c>
      <c r="D1" s="131" t="s">
        <v>236</v>
      </c>
    </row>
    <row r="2" spans="1:5" ht="15.75">
      <c r="A2" s="24" t="s">
        <v>121</v>
      </c>
      <c r="B2" s="1">
        <f>AVERAGE('Cash Flow'!B11:F11)</f>
        <v>527.42599999999993</v>
      </c>
    </row>
    <row r="3" spans="1:5" ht="15.75" thickBot="1"/>
    <row r="4" spans="1:5" ht="16.5" thickBot="1">
      <c r="A4" s="25" t="s">
        <v>122</v>
      </c>
      <c r="B4" s="26" t="s">
        <v>123</v>
      </c>
      <c r="D4" s="123" t="s">
        <v>232</v>
      </c>
    </row>
    <row r="5" spans="1:5" ht="16.5" thickBot="1">
      <c r="A5" s="24" t="s">
        <v>124</v>
      </c>
      <c r="B5" s="27">
        <v>0.15</v>
      </c>
    </row>
    <row r="6" spans="1:5" ht="16.5" thickBot="1">
      <c r="A6" s="24" t="s">
        <v>125</v>
      </c>
      <c r="B6" s="28">
        <v>0.12</v>
      </c>
      <c r="C6" s="29"/>
    </row>
    <row r="7" spans="1:5" ht="16.5" thickBot="1">
      <c r="A7" s="24" t="s">
        <v>126</v>
      </c>
      <c r="B7" s="28">
        <v>0.02</v>
      </c>
      <c r="C7" s="29"/>
    </row>
    <row r="10" spans="1:5" ht="15.75">
      <c r="A10" s="24" t="s">
        <v>127</v>
      </c>
      <c r="B10" s="1">
        <f>'Master Data'!$B$6</f>
        <v>97.121540499999995</v>
      </c>
    </row>
    <row r="11" spans="1:5" ht="15.75">
      <c r="A11" s="30" t="s">
        <v>128</v>
      </c>
      <c r="B11" s="1">
        <f>D11-E11</f>
        <v>-1736.0400000000002</v>
      </c>
      <c r="D11">
        <f>BS!B6+BS!B7</f>
        <v>39.51</v>
      </c>
      <c r="E11">
        <f>+BS!B14+BS!B17</f>
        <v>1775.5500000000002</v>
      </c>
    </row>
    <row r="13" spans="1:5" ht="15.75" thickBot="1"/>
    <row r="14" spans="1:5" ht="15.75">
      <c r="A14" s="31" t="s">
        <v>129</v>
      </c>
      <c r="B14" s="32" t="s">
        <v>130</v>
      </c>
      <c r="C14" s="32" t="s">
        <v>131</v>
      </c>
      <c r="D14" s="33" t="s">
        <v>132</v>
      </c>
    </row>
    <row r="15" spans="1:5" ht="15.75">
      <c r="A15" s="34">
        <v>1</v>
      </c>
      <c r="B15" s="35">
        <f>(B2*C15)+B2</f>
        <v>606.53989999999988</v>
      </c>
      <c r="C15" s="36">
        <f>$B$5</f>
        <v>0.15</v>
      </c>
      <c r="D15" s="37">
        <f>B15/((1+$B$6)^A15)</f>
        <v>541.55348214285698</v>
      </c>
    </row>
    <row r="16" spans="1:5" ht="15.75">
      <c r="A16" s="34">
        <v>2</v>
      </c>
      <c r="B16" s="35">
        <f>(B15*C16)+B15</f>
        <v>697.52088499999991</v>
      </c>
      <c r="C16" s="36">
        <f>$B$5</f>
        <v>0.15</v>
      </c>
      <c r="D16" s="37">
        <f>B16/((1+$B$6)^A16)</f>
        <v>556.05937898596926</v>
      </c>
    </row>
    <row r="17" spans="1:4" ht="15.75">
      <c r="A17" s="34">
        <v>3</v>
      </c>
      <c r="B17" s="35">
        <f>(B16*C17)+B16</f>
        <v>802.14901774999987</v>
      </c>
      <c r="C17" s="36">
        <f>$B$5</f>
        <v>0.15</v>
      </c>
      <c r="D17" s="37">
        <f>B17/((1+$B$6)^A17)</f>
        <v>570.95382663737905</v>
      </c>
    </row>
    <row r="18" spans="1:4" ht="15.75">
      <c r="A18" s="34">
        <v>4</v>
      </c>
      <c r="B18" s="35">
        <f>(B17*C18)+B17</f>
        <v>922.47137041249982</v>
      </c>
      <c r="C18" s="36">
        <f>$B$5</f>
        <v>0.15</v>
      </c>
      <c r="D18" s="37">
        <f>B18/((1+$B$6)^A18)</f>
        <v>586.24723270802315</v>
      </c>
    </row>
    <row r="19" spans="1:4" ht="15.75">
      <c r="A19" s="34">
        <v>5</v>
      </c>
      <c r="B19" s="35">
        <f>(B18*C19)+B18</f>
        <v>1060.8420759743749</v>
      </c>
      <c r="C19" s="36">
        <f>$B$5</f>
        <v>0.15</v>
      </c>
      <c r="D19" s="37">
        <f>B19/((1+$B$6)^A19)</f>
        <v>601.95028358413094</v>
      </c>
    </row>
    <row r="21" spans="1:4" ht="15.75" thickBot="1"/>
    <row r="22" spans="1:4" ht="15.75">
      <c r="A22" s="135" t="s">
        <v>133</v>
      </c>
      <c r="B22" s="136"/>
    </row>
    <row r="23" spans="1:4" ht="15.75">
      <c r="A23" s="38" t="s">
        <v>134</v>
      </c>
      <c r="B23" s="37">
        <f>(B19*B7+B19)</f>
        <v>1082.0589174938623</v>
      </c>
    </row>
    <row r="24" spans="1:4" ht="15.75">
      <c r="A24" s="39" t="s">
        <v>239</v>
      </c>
      <c r="B24" s="37">
        <f>SUM(D15:D19)</f>
        <v>2856.7642040583592</v>
      </c>
    </row>
    <row r="25" spans="1:4" ht="15.75">
      <c r="A25" s="38" t="s">
        <v>135</v>
      </c>
      <c r="B25" s="37">
        <f>((B23)/(B6-B7))/(1+B6)^A19</f>
        <v>6139.8928925581349</v>
      </c>
    </row>
    <row r="26" spans="1:4" ht="15.75">
      <c r="A26" s="38" t="s">
        <v>136</v>
      </c>
      <c r="B26" s="37">
        <f>B24+B25</f>
        <v>8996.6570966164945</v>
      </c>
    </row>
    <row r="27" spans="1:4" ht="15.75">
      <c r="A27" s="38" t="s">
        <v>137</v>
      </c>
      <c r="B27" s="37">
        <f>B10</f>
        <v>97.121540499999995</v>
      </c>
    </row>
    <row r="28" spans="1:4" ht="16.5" thickBot="1">
      <c r="A28" s="40" t="s">
        <v>138</v>
      </c>
      <c r="B28" s="41">
        <f>(B26-B11)/B27</f>
        <v>110.50789599673304</v>
      </c>
    </row>
  </sheetData>
  <mergeCells count="1">
    <mergeCell ref="A22:B22"/>
  </mergeCells>
  <pageMargins left="0.7" right="0.7" top="0.75" bottom="0.75" header="0.3" footer="0.3"/>
  <pageSetup paperSize="9" orientation="portrait" verticalDpi="0" r:id="rId1"/>
  <legacyDrawing r:id="rId2"/>
</worksheet>
</file>

<file path=xl/worksheets/sheet7.xml><?xml version="1.0" encoding="utf-8"?>
<worksheet xmlns="http://schemas.openxmlformats.org/spreadsheetml/2006/main" xmlns:r="http://schemas.openxmlformats.org/officeDocument/2006/relationships">
  <dimension ref="A1:R59"/>
  <sheetViews>
    <sheetView topLeftCell="A34" workbookViewId="0">
      <selection activeCell="C57" sqref="C57"/>
    </sheetView>
  </sheetViews>
  <sheetFormatPr defaultRowHeight="15"/>
  <cols>
    <col min="1" max="1" width="19" style="42" customWidth="1"/>
    <col min="2" max="2" width="15.7109375" style="42" customWidth="1"/>
    <col min="3" max="3" width="14.7109375" style="42" customWidth="1"/>
    <col min="4" max="4" width="10.85546875" style="42" customWidth="1"/>
    <col min="5" max="5" width="12.5703125" style="42" bestFit="1" customWidth="1"/>
    <col min="6" max="6" width="12.42578125" style="42" customWidth="1"/>
    <col min="7" max="7" width="8.7109375" style="42" customWidth="1"/>
    <col min="8" max="8" width="13" style="42" customWidth="1"/>
    <col min="9" max="9" width="7.7109375" style="42" customWidth="1"/>
    <col min="10" max="10" width="12.5703125" style="42" bestFit="1" customWidth="1"/>
    <col min="11" max="12" width="10.28515625" style="42" customWidth="1"/>
    <col min="13" max="256" width="9.140625" style="42"/>
    <col min="257" max="257" width="9.28515625" style="42" customWidth="1"/>
    <col min="258" max="258" width="7.7109375" style="42" customWidth="1"/>
    <col min="259" max="259" width="10.140625" style="42" bestFit="1" customWidth="1"/>
    <col min="260" max="260" width="7.7109375" style="42" customWidth="1"/>
    <col min="261" max="261" width="10.42578125" style="42" customWidth="1"/>
    <col min="262" max="262" width="10" style="42" customWidth="1"/>
    <col min="263" max="266" width="7.7109375" style="42" customWidth="1"/>
    <col min="267" max="268" width="10.28515625" style="42" customWidth="1"/>
    <col min="269" max="512" width="9.140625" style="42"/>
    <col min="513" max="513" width="9.28515625" style="42" customWidth="1"/>
    <col min="514" max="514" width="7.7109375" style="42" customWidth="1"/>
    <col min="515" max="515" width="10.140625" style="42" bestFit="1" customWidth="1"/>
    <col min="516" max="516" width="7.7109375" style="42" customWidth="1"/>
    <col min="517" max="517" width="10.42578125" style="42" customWidth="1"/>
    <col min="518" max="518" width="10" style="42" customWidth="1"/>
    <col min="519" max="522" width="7.7109375" style="42" customWidth="1"/>
    <col min="523" max="524" width="10.28515625" style="42" customWidth="1"/>
    <col min="525" max="768" width="9.140625" style="42"/>
    <col min="769" max="769" width="9.28515625" style="42" customWidth="1"/>
    <col min="770" max="770" width="7.7109375" style="42" customWidth="1"/>
    <col min="771" max="771" width="10.140625" style="42" bestFit="1" customWidth="1"/>
    <col min="772" max="772" width="7.7109375" style="42" customWidth="1"/>
    <col min="773" max="773" width="10.42578125" style="42" customWidth="1"/>
    <col min="774" max="774" width="10" style="42" customWidth="1"/>
    <col min="775" max="778" width="7.7109375" style="42" customWidth="1"/>
    <col min="779" max="780" width="10.28515625" style="42" customWidth="1"/>
    <col min="781" max="1024" width="9.140625" style="42"/>
    <col min="1025" max="1025" width="9.28515625" style="42" customWidth="1"/>
    <col min="1026" max="1026" width="7.7109375" style="42" customWidth="1"/>
    <col min="1027" max="1027" width="10.140625" style="42" bestFit="1" customWidth="1"/>
    <col min="1028" max="1028" width="7.7109375" style="42" customWidth="1"/>
    <col min="1029" max="1029" width="10.42578125" style="42" customWidth="1"/>
    <col min="1030" max="1030" width="10" style="42" customWidth="1"/>
    <col min="1031" max="1034" width="7.7109375" style="42" customWidth="1"/>
    <col min="1035" max="1036" width="10.28515625" style="42" customWidth="1"/>
    <col min="1037" max="1280" width="9.140625" style="42"/>
    <col min="1281" max="1281" width="9.28515625" style="42" customWidth="1"/>
    <col min="1282" max="1282" width="7.7109375" style="42" customWidth="1"/>
    <col min="1283" max="1283" width="10.140625" style="42" bestFit="1" customWidth="1"/>
    <col min="1284" max="1284" width="7.7109375" style="42" customWidth="1"/>
    <col min="1285" max="1285" width="10.42578125" style="42" customWidth="1"/>
    <col min="1286" max="1286" width="10" style="42" customWidth="1"/>
    <col min="1287" max="1290" width="7.7109375" style="42" customWidth="1"/>
    <col min="1291" max="1292" width="10.28515625" style="42" customWidth="1"/>
    <col min="1293" max="1536" width="9.140625" style="42"/>
    <col min="1537" max="1537" width="9.28515625" style="42" customWidth="1"/>
    <col min="1538" max="1538" width="7.7109375" style="42" customWidth="1"/>
    <col min="1539" max="1539" width="10.140625" style="42" bestFit="1" customWidth="1"/>
    <col min="1540" max="1540" width="7.7109375" style="42" customWidth="1"/>
    <col min="1541" max="1541" width="10.42578125" style="42" customWidth="1"/>
    <col min="1542" max="1542" width="10" style="42" customWidth="1"/>
    <col min="1543" max="1546" width="7.7109375" style="42" customWidth="1"/>
    <col min="1547" max="1548" width="10.28515625" style="42" customWidth="1"/>
    <col min="1549" max="1792" width="9.140625" style="42"/>
    <col min="1793" max="1793" width="9.28515625" style="42" customWidth="1"/>
    <col min="1794" max="1794" width="7.7109375" style="42" customWidth="1"/>
    <col min="1795" max="1795" width="10.140625" style="42" bestFit="1" customWidth="1"/>
    <col min="1796" max="1796" width="7.7109375" style="42" customWidth="1"/>
    <col min="1797" max="1797" width="10.42578125" style="42" customWidth="1"/>
    <col min="1798" max="1798" width="10" style="42" customWidth="1"/>
    <col min="1799" max="1802" width="7.7109375" style="42" customWidth="1"/>
    <col min="1803" max="1804" width="10.28515625" style="42" customWidth="1"/>
    <col min="1805" max="2048" width="9.140625" style="42"/>
    <col min="2049" max="2049" width="9.28515625" style="42" customWidth="1"/>
    <col min="2050" max="2050" width="7.7109375" style="42" customWidth="1"/>
    <col min="2051" max="2051" width="10.140625" style="42" bestFit="1" customWidth="1"/>
    <col min="2052" max="2052" width="7.7109375" style="42" customWidth="1"/>
    <col min="2053" max="2053" width="10.42578125" style="42" customWidth="1"/>
    <col min="2054" max="2054" width="10" style="42" customWidth="1"/>
    <col min="2055" max="2058" width="7.7109375" style="42" customWidth="1"/>
    <col min="2059" max="2060" width="10.28515625" style="42" customWidth="1"/>
    <col min="2061" max="2304" width="9.140625" style="42"/>
    <col min="2305" max="2305" width="9.28515625" style="42" customWidth="1"/>
    <col min="2306" max="2306" width="7.7109375" style="42" customWidth="1"/>
    <col min="2307" max="2307" width="10.140625" style="42" bestFit="1" customWidth="1"/>
    <col min="2308" max="2308" width="7.7109375" style="42" customWidth="1"/>
    <col min="2309" max="2309" width="10.42578125" style="42" customWidth="1"/>
    <col min="2310" max="2310" width="10" style="42" customWidth="1"/>
    <col min="2311" max="2314" width="7.7109375" style="42" customWidth="1"/>
    <col min="2315" max="2316" width="10.28515625" style="42" customWidth="1"/>
    <col min="2317" max="2560" width="9.140625" style="42"/>
    <col min="2561" max="2561" width="9.28515625" style="42" customWidth="1"/>
    <col min="2562" max="2562" width="7.7109375" style="42" customWidth="1"/>
    <col min="2563" max="2563" width="10.140625" style="42" bestFit="1" customWidth="1"/>
    <col min="2564" max="2564" width="7.7109375" style="42" customWidth="1"/>
    <col min="2565" max="2565" width="10.42578125" style="42" customWidth="1"/>
    <col min="2566" max="2566" width="10" style="42" customWidth="1"/>
    <col min="2567" max="2570" width="7.7109375" style="42" customWidth="1"/>
    <col min="2571" max="2572" width="10.28515625" style="42" customWidth="1"/>
    <col min="2573" max="2816" width="9.140625" style="42"/>
    <col min="2817" max="2817" width="9.28515625" style="42" customWidth="1"/>
    <col min="2818" max="2818" width="7.7109375" style="42" customWidth="1"/>
    <col min="2819" max="2819" width="10.140625" style="42" bestFit="1" customWidth="1"/>
    <col min="2820" max="2820" width="7.7109375" style="42" customWidth="1"/>
    <col min="2821" max="2821" width="10.42578125" style="42" customWidth="1"/>
    <col min="2822" max="2822" width="10" style="42" customWidth="1"/>
    <col min="2823" max="2826" width="7.7109375" style="42" customWidth="1"/>
    <col min="2827" max="2828" width="10.28515625" style="42" customWidth="1"/>
    <col min="2829" max="3072" width="9.140625" style="42"/>
    <col min="3073" max="3073" width="9.28515625" style="42" customWidth="1"/>
    <col min="3074" max="3074" width="7.7109375" style="42" customWidth="1"/>
    <col min="3075" max="3075" width="10.140625" style="42" bestFit="1" customWidth="1"/>
    <col min="3076" max="3076" width="7.7109375" style="42" customWidth="1"/>
    <col min="3077" max="3077" width="10.42578125" style="42" customWidth="1"/>
    <col min="3078" max="3078" width="10" style="42" customWidth="1"/>
    <col min="3079" max="3082" width="7.7109375" style="42" customWidth="1"/>
    <col min="3083" max="3084" width="10.28515625" style="42" customWidth="1"/>
    <col min="3085" max="3328" width="9.140625" style="42"/>
    <col min="3329" max="3329" width="9.28515625" style="42" customWidth="1"/>
    <col min="3330" max="3330" width="7.7109375" style="42" customWidth="1"/>
    <col min="3331" max="3331" width="10.140625" style="42" bestFit="1" customWidth="1"/>
    <col min="3332" max="3332" width="7.7109375" style="42" customWidth="1"/>
    <col min="3333" max="3333" width="10.42578125" style="42" customWidth="1"/>
    <col min="3334" max="3334" width="10" style="42" customWidth="1"/>
    <col min="3335" max="3338" width="7.7109375" style="42" customWidth="1"/>
    <col min="3339" max="3340" width="10.28515625" style="42" customWidth="1"/>
    <col min="3341" max="3584" width="9.140625" style="42"/>
    <col min="3585" max="3585" width="9.28515625" style="42" customWidth="1"/>
    <col min="3586" max="3586" width="7.7109375" style="42" customWidth="1"/>
    <col min="3587" max="3587" width="10.140625" style="42" bestFit="1" customWidth="1"/>
    <col min="3588" max="3588" width="7.7109375" style="42" customWidth="1"/>
    <col min="3589" max="3589" width="10.42578125" style="42" customWidth="1"/>
    <col min="3590" max="3590" width="10" style="42" customWidth="1"/>
    <col min="3591" max="3594" width="7.7109375" style="42" customWidth="1"/>
    <col min="3595" max="3596" width="10.28515625" style="42" customWidth="1"/>
    <col min="3597" max="3840" width="9.140625" style="42"/>
    <col min="3841" max="3841" width="9.28515625" style="42" customWidth="1"/>
    <col min="3842" max="3842" width="7.7109375" style="42" customWidth="1"/>
    <col min="3843" max="3843" width="10.140625" style="42" bestFit="1" customWidth="1"/>
    <col min="3844" max="3844" width="7.7109375" style="42" customWidth="1"/>
    <col min="3845" max="3845" width="10.42578125" style="42" customWidth="1"/>
    <col min="3846" max="3846" width="10" style="42" customWidth="1"/>
    <col min="3847" max="3850" width="7.7109375" style="42" customWidth="1"/>
    <col min="3851" max="3852" width="10.28515625" style="42" customWidth="1"/>
    <col min="3853" max="4096" width="9.140625" style="42"/>
    <col min="4097" max="4097" width="9.28515625" style="42" customWidth="1"/>
    <col min="4098" max="4098" width="7.7109375" style="42" customWidth="1"/>
    <col min="4099" max="4099" width="10.140625" style="42" bestFit="1" customWidth="1"/>
    <col min="4100" max="4100" width="7.7109375" style="42" customWidth="1"/>
    <col min="4101" max="4101" width="10.42578125" style="42" customWidth="1"/>
    <col min="4102" max="4102" width="10" style="42" customWidth="1"/>
    <col min="4103" max="4106" width="7.7109375" style="42" customWidth="1"/>
    <col min="4107" max="4108" width="10.28515625" style="42" customWidth="1"/>
    <col min="4109" max="4352" width="9.140625" style="42"/>
    <col min="4353" max="4353" width="9.28515625" style="42" customWidth="1"/>
    <col min="4354" max="4354" width="7.7109375" style="42" customWidth="1"/>
    <col min="4355" max="4355" width="10.140625" style="42" bestFit="1" customWidth="1"/>
    <col min="4356" max="4356" width="7.7109375" style="42" customWidth="1"/>
    <col min="4357" max="4357" width="10.42578125" style="42" customWidth="1"/>
    <col min="4358" max="4358" width="10" style="42" customWidth="1"/>
    <col min="4359" max="4362" width="7.7109375" style="42" customWidth="1"/>
    <col min="4363" max="4364" width="10.28515625" style="42" customWidth="1"/>
    <col min="4365" max="4608" width="9.140625" style="42"/>
    <col min="4609" max="4609" width="9.28515625" style="42" customWidth="1"/>
    <col min="4610" max="4610" width="7.7109375" style="42" customWidth="1"/>
    <col min="4611" max="4611" width="10.140625" style="42" bestFit="1" customWidth="1"/>
    <col min="4612" max="4612" width="7.7109375" style="42" customWidth="1"/>
    <col min="4613" max="4613" width="10.42578125" style="42" customWidth="1"/>
    <col min="4614" max="4614" width="10" style="42" customWidth="1"/>
    <col min="4615" max="4618" width="7.7109375" style="42" customWidth="1"/>
    <col min="4619" max="4620" width="10.28515625" style="42" customWidth="1"/>
    <col min="4621" max="4864" width="9.140625" style="42"/>
    <col min="4865" max="4865" width="9.28515625" style="42" customWidth="1"/>
    <col min="4866" max="4866" width="7.7109375" style="42" customWidth="1"/>
    <col min="4867" max="4867" width="10.140625" style="42" bestFit="1" customWidth="1"/>
    <col min="4868" max="4868" width="7.7109375" style="42" customWidth="1"/>
    <col min="4869" max="4869" width="10.42578125" style="42" customWidth="1"/>
    <col min="4870" max="4870" width="10" style="42" customWidth="1"/>
    <col min="4871" max="4874" width="7.7109375" style="42" customWidth="1"/>
    <col min="4875" max="4876" width="10.28515625" style="42" customWidth="1"/>
    <col min="4877" max="5120" width="9.140625" style="42"/>
    <col min="5121" max="5121" width="9.28515625" style="42" customWidth="1"/>
    <col min="5122" max="5122" width="7.7109375" style="42" customWidth="1"/>
    <col min="5123" max="5123" width="10.140625" style="42" bestFit="1" customWidth="1"/>
    <col min="5124" max="5124" width="7.7109375" style="42" customWidth="1"/>
    <col min="5125" max="5125" width="10.42578125" style="42" customWidth="1"/>
    <col min="5126" max="5126" width="10" style="42" customWidth="1"/>
    <col min="5127" max="5130" width="7.7109375" style="42" customWidth="1"/>
    <col min="5131" max="5132" width="10.28515625" style="42" customWidth="1"/>
    <col min="5133" max="5376" width="9.140625" style="42"/>
    <col min="5377" max="5377" width="9.28515625" style="42" customWidth="1"/>
    <col min="5378" max="5378" width="7.7109375" style="42" customWidth="1"/>
    <col min="5379" max="5379" width="10.140625" style="42" bestFit="1" customWidth="1"/>
    <col min="5380" max="5380" width="7.7109375" style="42" customWidth="1"/>
    <col min="5381" max="5381" width="10.42578125" style="42" customWidth="1"/>
    <col min="5382" max="5382" width="10" style="42" customWidth="1"/>
    <col min="5383" max="5386" width="7.7109375" style="42" customWidth="1"/>
    <col min="5387" max="5388" width="10.28515625" style="42" customWidth="1"/>
    <col min="5389" max="5632" width="9.140625" style="42"/>
    <col min="5633" max="5633" width="9.28515625" style="42" customWidth="1"/>
    <col min="5634" max="5634" width="7.7109375" style="42" customWidth="1"/>
    <col min="5635" max="5635" width="10.140625" style="42" bestFit="1" customWidth="1"/>
    <col min="5636" max="5636" width="7.7109375" style="42" customWidth="1"/>
    <col min="5637" max="5637" width="10.42578125" style="42" customWidth="1"/>
    <col min="5638" max="5638" width="10" style="42" customWidth="1"/>
    <col min="5639" max="5642" width="7.7109375" style="42" customWidth="1"/>
    <col min="5643" max="5644" width="10.28515625" style="42" customWidth="1"/>
    <col min="5645" max="5888" width="9.140625" style="42"/>
    <col min="5889" max="5889" width="9.28515625" style="42" customWidth="1"/>
    <col min="5890" max="5890" width="7.7109375" style="42" customWidth="1"/>
    <col min="5891" max="5891" width="10.140625" style="42" bestFit="1" customWidth="1"/>
    <col min="5892" max="5892" width="7.7109375" style="42" customWidth="1"/>
    <col min="5893" max="5893" width="10.42578125" style="42" customWidth="1"/>
    <col min="5894" max="5894" width="10" style="42" customWidth="1"/>
    <col min="5895" max="5898" width="7.7109375" style="42" customWidth="1"/>
    <col min="5899" max="5900" width="10.28515625" style="42" customWidth="1"/>
    <col min="5901" max="6144" width="9.140625" style="42"/>
    <col min="6145" max="6145" width="9.28515625" style="42" customWidth="1"/>
    <col min="6146" max="6146" width="7.7109375" style="42" customWidth="1"/>
    <col min="6147" max="6147" width="10.140625" style="42" bestFit="1" customWidth="1"/>
    <col min="6148" max="6148" width="7.7109375" style="42" customWidth="1"/>
    <col min="6149" max="6149" width="10.42578125" style="42" customWidth="1"/>
    <col min="6150" max="6150" width="10" style="42" customWidth="1"/>
    <col min="6151" max="6154" width="7.7109375" style="42" customWidth="1"/>
    <col min="6155" max="6156" width="10.28515625" style="42" customWidth="1"/>
    <col min="6157" max="6400" width="9.140625" style="42"/>
    <col min="6401" max="6401" width="9.28515625" style="42" customWidth="1"/>
    <col min="6402" max="6402" width="7.7109375" style="42" customWidth="1"/>
    <col min="6403" max="6403" width="10.140625" style="42" bestFit="1" customWidth="1"/>
    <col min="6404" max="6404" width="7.7109375" style="42" customWidth="1"/>
    <col min="6405" max="6405" width="10.42578125" style="42" customWidth="1"/>
    <col min="6406" max="6406" width="10" style="42" customWidth="1"/>
    <col min="6407" max="6410" width="7.7109375" style="42" customWidth="1"/>
    <col min="6411" max="6412" width="10.28515625" style="42" customWidth="1"/>
    <col min="6413" max="6656" width="9.140625" style="42"/>
    <col min="6657" max="6657" width="9.28515625" style="42" customWidth="1"/>
    <col min="6658" max="6658" width="7.7109375" style="42" customWidth="1"/>
    <col min="6659" max="6659" width="10.140625" style="42" bestFit="1" customWidth="1"/>
    <col min="6660" max="6660" width="7.7109375" style="42" customWidth="1"/>
    <col min="6661" max="6661" width="10.42578125" style="42" customWidth="1"/>
    <col min="6662" max="6662" width="10" style="42" customWidth="1"/>
    <col min="6663" max="6666" width="7.7109375" style="42" customWidth="1"/>
    <col min="6667" max="6668" width="10.28515625" style="42" customWidth="1"/>
    <col min="6669" max="6912" width="9.140625" style="42"/>
    <col min="6913" max="6913" width="9.28515625" style="42" customWidth="1"/>
    <col min="6914" max="6914" width="7.7109375" style="42" customWidth="1"/>
    <col min="6915" max="6915" width="10.140625" style="42" bestFit="1" customWidth="1"/>
    <col min="6916" max="6916" width="7.7109375" style="42" customWidth="1"/>
    <col min="6917" max="6917" width="10.42578125" style="42" customWidth="1"/>
    <col min="6918" max="6918" width="10" style="42" customWidth="1"/>
    <col min="6919" max="6922" width="7.7109375" style="42" customWidth="1"/>
    <col min="6923" max="6924" width="10.28515625" style="42" customWidth="1"/>
    <col min="6925" max="7168" width="9.140625" style="42"/>
    <col min="7169" max="7169" width="9.28515625" style="42" customWidth="1"/>
    <col min="7170" max="7170" width="7.7109375" style="42" customWidth="1"/>
    <col min="7171" max="7171" width="10.140625" style="42" bestFit="1" customWidth="1"/>
    <col min="7172" max="7172" width="7.7109375" style="42" customWidth="1"/>
    <col min="7173" max="7173" width="10.42578125" style="42" customWidth="1"/>
    <col min="7174" max="7174" width="10" style="42" customWidth="1"/>
    <col min="7175" max="7178" width="7.7109375" style="42" customWidth="1"/>
    <col min="7179" max="7180" width="10.28515625" style="42" customWidth="1"/>
    <col min="7181" max="7424" width="9.140625" style="42"/>
    <col min="7425" max="7425" width="9.28515625" style="42" customWidth="1"/>
    <col min="7426" max="7426" width="7.7109375" style="42" customWidth="1"/>
    <col min="7427" max="7427" width="10.140625" style="42" bestFit="1" customWidth="1"/>
    <col min="7428" max="7428" width="7.7109375" style="42" customWidth="1"/>
    <col min="7429" max="7429" width="10.42578125" style="42" customWidth="1"/>
    <col min="7430" max="7430" width="10" style="42" customWidth="1"/>
    <col min="7431" max="7434" width="7.7109375" style="42" customWidth="1"/>
    <col min="7435" max="7436" width="10.28515625" style="42" customWidth="1"/>
    <col min="7437" max="7680" width="9.140625" style="42"/>
    <col min="7681" max="7681" width="9.28515625" style="42" customWidth="1"/>
    <col min="7682" max="7682" width="7.7109375" style="42" customWidth="1"/>
    <col min="7683" max="7683" width="10.140625" style="42" bestFit="1" customWidth="1"/>
    <col min="7684" max="7684" width="7.7109375" style="42" customWidth="1"/>
    <col min="7685" max="7685" width="10.42578125" style="42" customWidth="1"/>
    <col min="7686" max="7686" width="10" style="42" customWidth="1"/>
    <col min="7687" max="7690" width="7.7109375" style="42" customWidth="1"/>
    <col min="7691" max="7692" width="10.28515625" style="42" customWidth="1"/>
    <col min="7693" max="7936" width="9.140625" style="42"/>
    <col min="7937" max="7937" width="9.28515625" style="42" customWidth="1"/>
    <col min="7938" max="7938" width="7.7109375" style="42" customWidth="1"/>
    <col min="7939" max="7939" width="10.140625" style="42" bestFit="1" customWidth="1"/>
    <col min="7940" max="7940" width="7.7109375" style="42" customWidth="1"/>
    <col min="7941" max="7941" width="10.42578125" style="42" customWidth="1"/>
    <col min="7942" max="7942" width="10" style="42" customWidth="1"/>
    <col min="7943" max="7946" width="7.7109375" style="42" customWidth="1"/>
    <col min="7947" max="7948" width="10.28515625" style="42" customWidth="1"/>
    <col min="7949" max="8192" width="9.140625" style="42"/>
    <col min="8193" max="8193" width="9.28515625" style="42" customWidth="1"/>
    <col min="8194" max="8194" width="7.7109375" style="42" customWidth="1"/>
    <col min="8195" max="8195" width="10.140625" style="42" bestFit="1" customWidth="1"/>
    <col min="8196" max="8196" width="7.7109375" style="42" customWidth="1"/>
    <col min="8197" max="8197" width="10.42578125" style="42" customWidth="1"/>
    <col min="8198" max="8198" width="10" style="42" customWidth="1"/>
    <col min="8199" max="8202" width="7.7109375" style="42" customWidth="1"/>
    <col min="8203" max="8204" width="10.28515625" style="42" customWidth="1"/>
    <col min="8205" max="8448" width="9.140625" style="42"/>
    <col min="8449" max="8449" width="9.28515625" style="42" customWidth="1"/>
    <col min="8450" max="8450" width="7.7109375" style="42" customWidth="1"/>
    <col min="8451" max="8451" width="10.140625" style="42" bestFit="1" customWidth="1"/>
    <col min="8452" max="8452" width="7.7109375" style="42" customWidth="1"/>
    <col min="8453" max="8453" width="10.42578125" style="42" customWidth="1"/>
    <col min="8454" max="8454" width="10" style="42" customWidth="1"/>
    <col min="8455" max="8458" width="7.7109375" style="42" customWidth="1"/>
    <col min="8459" max="8460" width="10.28515625" style="42" customWidth="1"/>
    <col min="8461" max="8704" width="9.140625" style="42"/>
    <col min="8705" max="8705" width="9.28515625" style="42" customWidth="1"/>
    <col min="8706" max="8706" width="7.7109375" style="42" customWidth="1"/>
    <col min="8707" max="8707" width="10.140625" style="42" bestFit="1" customWidth="1"/>
    <col min="8708" max="8708" width="7.7109375" style="42" customWidth="1"/>
    <col min="8709" max="8709" width="10.42578125" style="42" customWidth="1"/>
    <col min="8710" max="8710" width="10" style="42" customWidth="1"/>
    <col min="8711" max="8714" width="7.7109375" style="42" customWidth="1"/>
    <col min="8715" max="8716" width="10.28515625" style="42" customWidth="1"/>
    <col min="8717" max="8960" width="9.140625" style="42"/>
    <col min="8961" max="8961" width="9.28515625" style="42" customWidth="1"/>
    <col min="8962" max="8962" width="7.7109375" style="42" customWidth="1"/>
    <col min="8963" max="8963" width="10.140625" style="42" bestFit="1" customWidth="1"/>
    <col min="8964" max="8964" width="7.7109375" style="42" customWidth="1"/>
    <col min="8965" max="8965" width="10.42578125" style="42" customWidth="1"/>
    <col min="8966" max="8966" width="10" style="42" customWidth="1"/>
    <col min="8967" max="8970" width="7.7109375" style="42" customWidth="1"/>
    <col min="8971" max="8972" width="10.28515625" style="42" customWidth="1"/>
    <col min="8973" max="9216" width="9.140625" style="42"/>
    <col min="9217" max="9217" width="9.28515625" style="42" customWidth="1"/>
    <col min="9218" max="9218" width="7.7109375" style="42" customWidth="1"/>
    <col min="9219" max="9219" width="10.140625" style="42" bestFit="1" customWidth="1"/>
    <col min="9220" max="9220" width="7.7109375" style="42" customWidth="1"/>
    <col min="9221" max="9221" width="10.42578125" style="42" customWidth="1"/>
    <col min="9222" max="9222" width="10" style="42" customWidth="1"/>
    <col min="9223" max="9226" width="7.7109375" style="42" customWidth="1"/>
    <col min="9227" max="9228" width="10.28515625" style="42" customWidth="1"/>
    <col min="9229" max="9472" width="9.140625" style="42"/>
    <col min="9473" max="9473" width="9.28515625" style="42" customWidth="1"/>
    <col min="9474" max="9474" width="7.7109375" style="42" customWidth="1"/>
    <col min="9475" max="9475" width="10.140625" style="42" bestFit="1" customWidth="1"/>
    <col min="9476" max="9476" width="7.7109375" style="42" customWidth="1"/>
    <col min="9477" max="9477" width="10.42578125" style="42" customWidth="1"/>
    <col min="9478" max="9478" width="10" style="42" customWidth="1"/>
    <col min="9479" max="9482" width="7.7109375" style="42" customWidth="1"/>
    <col min="9483" max="9484" width="10.28515625" style="42" customWidth="1"/>
    <col min="9485" max="9728" width="9.140625" style="42"/>
    <col min="9729" max="9729" width="9.28515625" style="42" customWidth="1"/>
    <col min="9730" max="9730" width="7.7109375" style="42" customWidth="1"/>
    <col min="9731" max="9731" width="10.140625" style="42" bestFit="1" customWidth="1"/>
    <col min="9732" max="9732" width="7.7109375" style="42" customWidth="1"/>
    <col min="9733" max="9733" width="10.42578125" style="42" customWidth="1"/>
    <col min="9734" max="9734" width="10" style="42" customWidth="1"/>
    <col min="9735" max="9738" width="7.7109375" style="42" customWidth="1"/>
    <col min="9739" max="9740" width="10.28515625" style="42" customWidth="1"/>
    <col min="9741" max="9984" width="9.140625" style="42"/>
    <col min="9985" max="9985" width="9.28515625" style="42" customWidth="1"/>
    <col min="9986" max="9986" width="7.7109375" style="42" customWidth="1"/>
    <col min="9987" max="9987" width="10.140625" style="42" bestFit="1" customWidth="1"/>
    <col min="9988" max="9988" width="7.7109375" style="42" customWidth="1"/>
    <col min="9989" max="9989" width="10.42578125" style="42" customWidth="1"/>
    <col min="9990" max="9990" width="10" style="42" customWidth="1"/>
    <col min="9991" max="9994" width="7.7109375" style="42" customWidth="1"/>
    <col min="9995" max="9996" width="10.28515625" style="42" customWidth="1"/>
    <col min="9997" max="10240" width="9.140625" style="42"/>
    <col min="10241" max="10241" width="9.28515625" style="42" customWidth="1"/>
    <col min="10242" max="10242" width="7.7109375" style="42" customWidth="1"/>
    <col min="10243" max="10243" width="10.140625" style="42" bestFit="1" customWidth="1"/>
    <col min="10244" max="10244" width="7.7109375" style="42" customWidth="1"/>
    <col min="10245" max="10245" width="10.42578125" style="42" customWidth="1"/>
    <col min="10246" max="10246" width="10" style="42" customWidth="1"/>
    <col min="10247" max="10250" width="7.7109375" style="42" customWidth="1"/>
    <col min="10251" max="10252" width="10.28515625" style="42" customWidth="1"/>
    <col min="10253" max="10496" width="9.140625" style="42"/>
    <col min="10497" max="10497" width="9.28515625" style="42" customWidth="1"/>
    <col min="10498" max="10498" width="7.7109375" style="42" customWidth="1"/>
    <col min="10499" max="10499" width="10.140625" style="42" bestFit="1" customWidth="1"/>
    <col min="10500" max="10500" width="7.7109375" style="42" customWidth="1"/>
    <col min="10501" max="10501" width="10.42578125" style="42" customWidth="1"/>
    <col min="10502" max="10502" width="10" style="42" customWidth="1"/>
    <col min="10503" max="10506" width="7.7109375" style="42" customWidth="1"/>
    <col min="10507" max="10508" width="10.28515625" style="42" customWidth="1"/>
    <col min="10509" max="10752" width="9.140625" style="42"/>
    <col min="10753" max="10753" width="9.28515625" style="42" customWidth="1"/>
    <col min="10754" max="10754" width="7.7109375" style="42" customWidth="1"/>
    <col min="10755" max="10755" width="10.140625" style="42" bestFit="1" customWidth="1"/>
    <col min="10756" max="10756" width="7.7109375" style="42" customWidth="1"/>
    <col min="10757" max="10757" width="10.42578125" style="42" customWidth="1"/>
    <col min="10758" max="10758" width="10" style="42" customWidth="1"/>
    <col min="10759" max="10762" width="7.7109375" style="42" customWidth="1"/>
    <col min="10763" max="10764" width="10.28515625" style="42" customWidth="1"/>
    <col min="10765" max="11008" width="9.140625" style="42"/>
    <col min="11009" max="11009" width="9.28515625" style="42" customWidth="1"/>
    <col min="11010" max="11010" width="7.7109375" style="42" customWidth="1"/>
    <col min="11011" max="11011" width="10.140625" style="42" bestFit="1" customWidth="1"/>
    <col min="11012" max="11012" width="7.7109375" style="42" customWidth="1"/>
    <col min="11013" max="11013" width="10.42578125" style="42" customWidth="1"/>
    <col min="11014" max="11014" width="10" style="42" customWidth="1"/>
    <col min="11015" max="11018" width="7.7109375" style="42" customWidth="1"/>
    <col min="11019" max="11020" width="10.28515625" style="42" customWidth="1"/>
    <col min="11021" max="11264" width="9.140625" style="42"/>
    <col min="11265" max="11265" width="9.28515625" style="42" customWidth="1"/>
    <col min="11266" max="11266" width="7.7109375" style="42" customWidth="1"/>
    <col min="11267" max="11267" width="10.140625" style="42" bestFit="1" customWidth="1"/>
    <col min="11268" max="11268" width="7.7109375" style="42" customWidth="1"/>
    <col min="11269" max="11269" width="10.42578125" style="42" customWidth="1"/>
    <col min="11270" max="11270" width="10" style="42" customWidth="1"/>
    <col min="11271" max="11274" width="7.7109375" style="42" customWidth="1"/>
    <col min="11275" max="11276" width="10.28515625" style="42" customWidth="1"/>
    <col min="11277" max="11520" width="9.140625" style="42"/>
    <col min="11521" max="11521" width="9.28515625" style="42" customWidth="1"/>
    <col min="11522" max="11522" width="7.7109375" style="42" customWidth="1"/>
    <col min="11523" max="11523" width="10.140625" style="42" bestFit="1" customWidth="1"/>
    <col min="11524" max="11524" width="7.7109375" style="42" customWidth="1"/>
    <col min="11525" max="11525" width="10.42578125" style="42" customWidth="1"/>
    <col min="11526" max="11526" width="10" style="42" customWidth="1"/>
    <col min="11527" max="11530" width="7.7109375" style="42" customWidth="1"/>
    <col min="11531" max="11532" width="10.28515625" style="42" customWidth="1"/>
    <col min="11533" max="11776" width="9.140625" style="42"/>
    <col min="11777" max="11777" width="9.28515625" style="42" customWidth="1"/>
    <col min="11778" max="11778" width="7.7109375" style="42" customWidth="1"/>
    <col min="11779" max="11779" width="10.140625" style="42" bestFit="1" customWidth="1"/>
    <col min="11780" max="11780" width="7.7109375" style="42" customWidth="1"/>
    <col min="11781" max="11781" width="10.42578125" style="42" customWidth="1"/>
    <col min="11782" max="11782" width="10" style="42" customWidth="1"/>
    <col min="11783" max="11786" width="7.7109375" style="42" customWidth="1"/>
    <col min="11787" max="11788" width="10.28515625" style="42" customWidth="1"/>
    <col min="11789" max="12032" width="9.140625" style="42"/>
    <col min="12033" max="12033" width="9.28515625" style="42" customWidth="1"/>
    <col min="12034" max="12034" width="7.7109375" style="42" customWidth="1"/>
    <col min="12035" max="12035" width="10.140625" style="42" bestFit="1" customWidth="1"/>
    <col min="12036" max="12036" width="7.7109375" style="42" customWidth="1"/>
    <col min="12037" max="12037" width="10.42578125" style="42" customWidth="1"/>
    <col min="12038" max="12038" width="10" style="42" customWidth="1"/>
    <col min="12039" max="12042" width="7.7109375" style="42" customWidth="1"/>
    <col min="12043" max="12044" width="10.28515625" style="42" customWidth="1"/>
    <col min="12045" max="12288" width="9.140625" style="42"/>
    <col min="12289" max="12289" width="9.28515625" style="42" customWidth="1"/>
    <col min="12290" max="12290" width="7.7109375" style="42" customWidth="1"/>
    <col min="12291" max="12291" width="10.140625" style="42" bestFit="1" customWidth="1"/>
    <col min="12292" max="12292" width="7.7109375" style="42" customWidth="1"/>
    <col min="12293" max="12293" width="10.42578125" style="42" customWidth="1"/>
    <col min="12294" max="12294" width="10" style="42" customWidth="1"/>
    <col min="12295" max="12298" width="7.7109375" style="42" customWidth="1"/>
    <col min="12299" max="12300" width="10.28515625" style="42" customWidth="1"/>
    <col min="12301" max="12544" width="9.140625" style="42"/>
    <col min="12545" max="12545" width="9.28515625" style="42" customWidth="1"/>
    <col min="12546" max="12546" width="7.7109375" style="42" customWidth="1"/>
    <col min="12547" max="12547" width="10.140625" style="42" bestFit="1" customWidth="1"/>
    <col min="12548" max="12548" width="7.7109375" style="42" customWidth="1"/>
    <col min="12549" max="12549" width="10.42578125" style="42" customWidth="1"/>
    <col min="12550" max="12550" width="10" style="42" customWidth="1"/>
    <col min="12551" max="12554" width="7.7109375" style="42" customWidth="1"/>
    <col min="12555" max="12556" width="10.28515625" style="42" customWidth="1"/>
    <col min="12557" max="12800" width="9.140625" style="42"/>
    <col min="12801" max="12801" width="9.28515625" style="42" customWidth="1"/>
    <col min="12802" max="12802" width="7.7109375" style="42" customWidth="1"/>
    <col min="12803" max="12803" width="10.140625" style="42" bestFit="1" customWidth="1"/>
    <col min="12804" max="12804" width="7.7109375" style="42" customWidth="1"/>
    <col min="12805" max="12805" width="10.42578125" style="42" customWidth="1"/>
    <col min="12806" max="12806" width="10" style="42" customWidth="1"/>
    <col min="12807" max="12810" width="7.7109375" style="42" customWidth="1"/>
    <col min="12811" max="12812" width="10.28515625" style="42" customWidth="1"/>
    <col min="12813" max="13056" width="9.140625" style="42"/>
    <col min="13057" max="13057" width="9.28515625" style="42" customWidth="1"/>
    <col min="13058" max="13058" width="7.7109375" style="42" customWidth="1"/>
    <col min="13059" max="13059" width="10.140625" style="42" bestFit="1" customWidth="1"/>
    <col min="13060" max="13060" width="7.7109375" style="42" customWidth="1"/>
    <col min="13061" max="13061" width="10.42578125" style="42" customWidth="1"/>
    <col min="13062" max="13062" width="10" style="42" customWidth="1"/>
    <col min="13063" max="13066" width="7.7109375" style="42" customWidth="1"/>
    <col min="13067" max="13068" width="10.28515625" style="42" customWidth="1"/>
    <col min="13069" max="13312" width="9.140625" style="42"/>
    <col min="13313" max="13313" width="9.28515625" style="42" customWidth="1"/>
    <col min="13314" max="13314" width="7.7109375" style="42" customWidth="1"/>
    <col min="13315" max="13315" width="10.140625" style="42" bestFit="1" customWidth="1"/>
    <col min="13316" max="13316" width="7.7109375" style="42" customWidth="1"/>
    <col min="13317" max="13317" width="10.42578125" style="42" customWidth="1"/>
    <col min="13318" max="13318" width="10" style="42" customWidth="1"/>
    <col min="13319" max="13322" width="7.7109375" style="42" customWidth="1"/>
    <col min="13323" max="13324" width="10.28515625" style="42" customWidth="1"/>
    <col min="13325" max="13568" width="9.140625" style="42"/>
    <col min="13569" max="13569" width="9.28515625" style="42" customWidth="1"/>
    <col min="13570" max="13570" width="7.7109375" style="42" customWidth="1"/>
    <col min="13571" max="13571" width="10.140625" style="42" bestFit="1" customWidth="1"/>
    <col min="13572" max="13572" width="7.7109375" style="42" customWidth="1"/>
    <col min="13573" max="13573" width="10.42578125" style="42" customWidth="1"/>
    <col min="13574" max="13574" width="10" style="42" customWidth="1"/>
    <col min="13575" max="13578" width="7.7109375" style="42" customWidth="1"/>
    <col min="13579" max="13580" width="10.28515625" style="42" customWidth="1"/>
    <col min="13581" max="13824" width="9.140625" style="42"/>
    <col min="13825" max="13825" width="9.28515625" style="42" customWidth="1"/>
    <col min="13826" max="13826" width="7.7109375" style="42" customWidth="1"/>
    <col min="13827" max="13827" width="10.140625" style="42" bestFit="1" customWidth="1"/>
    <col min="13828" max="13828" width="7.7109375" style="42" customWidth="1"/>
    <col min="13829" max="13829" width="10.42578125" style="42" customWidth="1"/>
    <col min="13830" max="13830" width="10" style="42" customWidth="1"/>
    <col min="13831" max="13834" width="7.7109375" style="42" customWidth="1"/>
    <col min="13835" max="13836" width="10.28515625" style="42" customWidth="1"/>
    <col min="13837" max="14080" width="9.140625" style="42"/>
    <col min="14081" max="14081" width="9.28515625" style="42" customWidth="1"/>
    <col min="14082" max="14082" width="7.7109375" style="42" customWidth="1"/>
    <col min="14083" max="14083" width="10.140625" style="42" bestFit="1" customWidth="1"/>
    <col min="14084" max="14084" width="7.7109375" style="42" customWidth="1"/>
    <col min="14085" max="14085" width="10.42578125" style="42" customWidth="1"/>
    <col min="14086" max="14086" width="10" style="42" customWidth="1"/>
    <col min="14087" max="14090" width="7.7109375" style="42" customWidth="1"/>
    <col min="14091" max="14092" width="10.28515625" style="42" customWidth="1"/>
    <col min="14093" max="14336" width="9.140625" style="42"/>
    <col min="14337" max="14337" width="9.28515625" style="42" customWidth="1"/>
    <col min="14338" max="14338" width="7.7109375" style="42" customWidth="1"/>
    <col min="14339" max="14339" width="10.140625" style="42" bestFit="1" customWidth="1"/>
    <col min="14340" max="14340" width="7.7109375" style="42" customWidth="1"/>
    <col min="14341" max="14341" width="10.42578125" style="42" customWidth="1"/>
    <col min="14342" max="14342" width="10" style="42" customWidth="1"/>
    <col min="14343" max="14346" width="7.7109375" style="42" customWidth="1"/>
    <col min="14347" max="14348" width="10.28515625" style="42" customWidth="1"/>
    <col min="14349" max="14592" width="9.140625" style="42"/>
    <col min="14593" max="14593" width="9.28515625" style="42" customWidth="1"/>
    <col min="14594" max="14594" width="7.7109375" style="42" customWidth="1"/>
    <col min="14595" max="14595" width="10.140625" style="42" bestFit="1" customWidth="1"/>
    <col min="14596" max="14596" width="7.7109375" style="42" customWidth="1"/>
    <col min="14597" max="14597" width="10.42578125" style="42" customWidth="1"/>
    <col min="14598" max="14598" width="10" style="42" customWidth="1"/>
    <col min="14599" max="14602" width="7.7109375" style="42" customWidth="1"/>
    <col min="14603" max="14604" width="10.28515625" style="42" customWidth="1"/>
    <col min="14605" max="14848" width="9.140625" style="42"/>
    <col min="14849" max="14849" width="9.28515625" style="42" customWidth="1"/>
    <col min="14850" max="14850" width="7.7109375" style="42" customWidth="1"/>
    <col min="14851" max="14851" width="10.140625" style="42" bestFit="1" customWidth="1"/>
    <col min="14852" max="14852" width="7.7109375" style="42" customWidth="1"/>
    <col min="14853" max="14853" width="10.42578125" style="42" customWidth="1"/>
    <col min="14854" max="14854" width="10" style="42" customWidth="1"/>
    <col min="14855" max="14858" width="7.7109375" style="42" customWidth="1"/>
    <col min="14859" max="14860" width="10.28515625" style="42" customWidth="1"/>
    <col min="14861" max="15104" width="9.140625" style="42"/>
    <col min="15105" max="15105" width="9.28515625" style="42" customWidth="1"/>
    <col min="15106" max="15106" width="7.7109375" style="42" customWidth="1"/>
    <col min="15107" max="15107" width="10.140625" style="42" bestFit="1" customWidth="1"/>
    <col min="15108" max="15108" width="7.7109375" style="42" customWidth="1"/>
    <col min="15109" max="15109" width="10.42578125" style="42" customWidth="1"/>
    <col min="15110" max="15110" width="10" style="42" customWidth="1"/>
    <col min="15111" max="15114" width="7.7109375" style="42" customWidth="1"/>
    <col min="15115" max="15116" width="10.28515625" style="42" customWidth="1"/>
    <col min="15117" max="15360" width="9.140625" style="42"/>
    <col min="15361" max="15361" width="9.28515625" style="42" customWidth="1"/>
    <col min="15362" max="15362" width="7.7109375" style="42" customWidth="1"/>
    <col min="15363" max="15363" width="10.140625" style="42" bestFit="1" customWidth="1"/>
    <col min="15364" max="15364" width="7.7109375" style="42" customWidth="1"/>
    <col min="15365" max="15365" width="10.42578125" style="42" customWidth="1"/>
    <col min="15366" max="15366" width="10" style="42" customWidth="1"/>
    <col min="15367" max="15370" width="7.7109375" style="42" customWidth="1"/>
    <col min="15371" max="15372" width="10.28515625" style="42" customWidth="1"/>
    <col min="15373" max="15616" width="9.140625" style="42"/>
    <col min="15617" max="15617" width="9.28515625" style="42" customWidth="1"/>
    <col min="15618" max="15618" width="7.7109375" style="42" customWidth="1"/>
    <col min="15619" max="15619" width="10.140625" style="42" bestFit="1" customWidth="1"/>
    <col min="15620" max="15620" width="7.7109375" style="42" customWidth="1"/>
    <col min="15621" max="15621" width="10.42578125" style="42" customWidth="1"/>
    <col min="15622" max="15622" width="10" style="42" customWidth="1"/>
    <col min="15623" max="15626" width="7.7109375" style="42" customWidth="1"/>
    <col min="15627" max="15628" width="10.28515625" style="42" customWidth="1"/>
    <col min="15629" max="15872" width="9.140625" style="42"/>
    <col min="15873" max="15873" width="9.28515625" style="42" customWidth="1"/>
    <col min="15874" max="15874" width="7.7109375" style="42" customWidth="1"/>
    <col min="15875" max="15875" width="10.140625" style="42" bestFit="1" customWidth="1"/>
    <col min="15876" max="15876" width="7.7109375" style="42" customWidth="1"/>
    <col min="15877" max="15877" width="10.42578125" style="42" customWidth="1"/>
    <col min="15878" max="15878" width="10" style="42" customWidth="1"/>
    <col min="15879" max="15882" width="7.7109375" style="42" customWidth="1"/>
    <col min="15883" max="15884" width="10.28515625" style="42" customWidth="1"/>
    <col min="15885" max="16128" width="9.140625" style="42"/>
    <col min="16129" max="16129" width="9.28515625" style="42" customWidth="1"/>
    <col min="16130" max="16130" width="7.7109375" style="42" customWidth="1"/>
    <col min="16131" max="16131" width="10.140625" style="42" bestFit="1" customWidth="1"/>
    <col min="16132" max="16132" width="7.7109375" style="42" customWidth="1"/>
    <col min="16133" max="16133" width="10.42578125" style="42" customWidth="1"/>
    <col min="16134" max="16134" width="10" style="42" customWidth="1"/>
    <col min="16135" max="16138" width="7.7109375" style="42" customWidth="1"/>
    <col min="16139" max="16140" width="10.28515625" style="42" customWidth="1"/>
    <col min="16141" max="16384" width="9.140625" style="42"/>
  </cols>
  <sheetData>
    <row r="1" spans="1:18" ht="19.5">
      <c r="A1" s="138" t="s">
        <v>230</v>
      </c>
      <c r="B1" s="139"/>
      <c r="C1" s="139"/>
      <c r="D1" s="139"/>
      <c r="E1" s="139"/>
      <c r="F1" s="139"/>
      <c r="G1" s="139"/>
      <c r="H1" s="139"/>
      <c r="I1" s="139"/>
      <c r="J1" s="140"/>
    </row>
    <row r="2" spans="1:18" ht="16.5" thickBot="1">
      <c r="A2" s="141"/>
      <c r="B2" s="142"/>
      <c r="C2" s="142"/>
      <c r="D2" s="142"/>
      <c r="E2" s="142"/>
      <c r="F2" s="142"/>
      <c r="G2" s="142"/>
      <c r="H2" s="142"/>
      <c r="I2" s="142"/>
      <c r="J2" s="143"/>
      <c r="K2" s="43"/>
      <c r="L2" s="43"/>
      <c r="M2" s="43"/>
    </row>
    <row r="3" spans="1:18" ht="15.75">
      <c r="A3" s="44"/>
      <c r="B3" s="44"/>
      <c r="C3" s="44"/>
      <c r="D3" s="44"/>
      <c r="E3" s="44"/>
      <c r="F3" s="44"/>
      <c r="G3" s="44"/>
      <c r="H3" s="44"/>
      <c r="I3" s="44"/>
      <c r="J3" s="44"/>
      <c r="K3" s="43"/>
      <c r="L3" s="43"/>
      <c r="M3" s="43"/>
    </row>
    <row r="4" spans="1:18" ht="16.5" thickBot="1">
      <c r="A4" s="43"/>
      <c r="B4" s="45" t="s">
        <v>139</v>
      </c>
      <c r="C4" s="46">
        <f ca="1">TODAY()</f>
        <v>41909</v>
      </c>
      <c r="D4" s="43"/>
      <c r="E4" s="43"/>
      <c r="F4" s="43"/>
      <c r="G4" s="43"/>
      <c r="H4" s="43"/>
      <c r="I4" s="43"/>
      <c r="J4" s="43"/>
      <c r="K4" s="47"/>
      <c r="L4" s="43"/>
      <c r="M4" s="43"/>
    </row>
    <row r="5" spans="1:18" ht="15.75">
      <c r="A5" s="43"/>
      <c r="B5" s="43"/>
      <c r="C5" s="43"/>
      <c r="D5" s="43"/>
      <c r="E5" s="43"/>
      <c r="F5" s="43"/>
      <c r="G5" s="43"/>
      <c r="H5" s="43"/>
      <c r="I5" s="43"/>
      <c r="J5" s="43"/>
      <c r="K5" s="47"/>
      <c r="L5" s="43"/>
      <c r="M5" s="144" t="s">
        <v>140</v>
      </c>
      <c r="N5" s="145"/>
      <c r="O5" s="145"/>
      <c r="P5" s="145"/>
      <c r="Q5" s="145"/>
      <c r="R5" s="146"/>
    </row>
    <row r="6" spans="1:18" ht="15.75">
      <c r="A6" s="43"/>
      <c r="B6" s="153" t="s">
        <v>141</v>
      </c>
      <c r="C6" s="153"/>
      <c r="D6" s="43"/>
      <c r="E6" s="48"/>
      <c r="F6" s="153" t="s">
        <v>142</v>
      </c>
      <c r="G6" s="153"/>
      <c r="H6" s="153"/>
      <c r="I6" s="48"/>
      <c r="J6" s="43"/>
      <c r="K6" s="47"/>
      <c r="L6" s="43"/>
      <c r="M6" s="147"/>
      <c r="N6" s="148"/>
      <c r="O6" s="148"/>
      <c r="P6" s="148"/>
      <c r="Q6" s="148"/>
      <c r="R6" s="149"/>
    </row>
    <row r="7" spans="1:18" ht="15.75">
      <c r="A7" s="43"/>
      <c r="B7" s="45" t="s">
        <v>143</v>
      </c>
      <c r="C7" s="49">
        <f>'Master Data'!B4</f>
        <v>473.05</v>
      </c>
      <c r="D7" s="43"/>
      <c r="E7" s="43"/>
      <c r="F7" s="43"/>
      <c r="G7" s="45" t="s">
        <v>144</v>
      </c>
      <c r="H7" s="50">
        <f>AVERAGE($I$21:$I$25)</f>
        <v>0.37495792753154028</v>
      </c>
      <c r="I7" s="43"/>
      <c r="J7" s="43"/>
      <c r="K7" s="43"/>
      <c r="L7" s="43"/>
      <c r="M7" s="147"/>
      <c r="N7" s="148"/>
      <c r="O7" s="148"/>
      <c r="P7" s="148"/>
      <c r="Q7" s="148"/>
      <c r="R7" s="149"/>
    </row>
    <row r="8" spans="1:18" ht="15.75">
      <c r="A8" s="43"/>
      <c r="B8" s="45" t="s">
        <v>145</v>
      </c>
      <c r="C8" s="49">
        <f>Ratio!B4</f>
        <v>12.13963446142002</v>
      </c>
      <c r="D8" s="43"/>
      <c r="E8" s="43"/>
      <c r="F8" s="43"/>
      <c r="G8" s="45" t="s">
        <v>146</v>
      </c>
      <c r="H8" s="50">
        <f>AVERAGE($J$21:$J$25)</f>
        <v>8.658296098634203</v>
      </c>
      <c r="I8" s="43"/>
      <c r="J8" s="43"/>
      <c r="K8" s="43"/>
      <c r="L8" s="43"/>
      <c r="M8" s="147"/>
      <c r="N8" s="148"/>
      <c r="O8" s="148"/>
      <c r="P8" s="148"/>
      <c r="Q8" s="148"/>
      <c r="R8" s="149"/>
    </row>
    <row r="9" spans="1:18" ht="15.75">
      <c r="A9" s="43"/>
      <c r="B9" s="45" t="s">
        <v>147</v>
      </c>
      <c r="C9" s="49">
        <f>'P&amp;L'!$B$41</f>
        <v>4.3898603523489212</v>
      </c>
      <c r="D9" s="43"/>
      <c r="E9" s="43"/>
      <c r="F9" s="43"/>
      <c r="G9" s="45" t="s">
        <v>148</v>
      </c>
      <c r="H9" s="51">
        <f>AVERAGE($G$21:$G$25)</f>
        <v>67.560270237397404</v>
      </c>
      <c r="I9" s="43"/>
      <c r="J9" s="43"/>
      <c r="K9" s="43"/>
      <c r="L9" s="43"/>
      <c r="M9" s="147"/>
      <c r="N9" s="148"/>
      <c r="O9" s="148"/>
      <c r="P9" s="148"/>
      <c r="Q9" s="148"/>
      <c r="R9" s="149"/>
    </row>
    <row r="10" spans="1:18" ht="15.75">
      <c r="A10" s="43"/>
      <c r="B10" s="45" t="s">
        <v>149</v>
      </c>
      <c r="C10" s="49">
        <f>Ratio!$B$5</f>
        <v>37.076532986006335</v>
      </c>
      <c r="D10" s="125" t="s">
        <v>234</v>
      </c>
      <c r="E10" s="43"/>
      <c r="F10" s="43"/>
      <c r="G10" s="45" t="s">
        <v>150</v>
      </c>
      <c r="H10" s="51">
        <f>AVERAGE($H$21:$H$25)</f>
        <v>37.385145121229904</v>
      </c>
      <c r="I10" s="43"/>
      <c r="J10" s="43"/>
      <c r="K10" s="43"/>
      <c r="L10" s="43"/>
      <c r="M10" s="147"/>
      <c r="N10" s="148"/>
      <c r="O10" s="148"/>
      <c r="P10" s="148"/>
      <c r="Q10" s="148"/>
      <c r="R10" s="149"/>
    </row>
    <row r="11" spans="1:18" ht="15.75">
      <c r="A11" s="43"/>
      <c r="B11" s="45" t="s">
        <v>151</v>
      </c>
      <c r="C11" s="49">
        <f>$C$7/$C$8</f>
        <v>38.96740066625248</v>
      </c>
      <c r="D11" s="126">
        <v>18</v>
      </c>
      <c r="E11" s="124">
        <f>+C7*D11/C11</f>
        <v>218.51342030556032</v>
      </c>
      <c r="F11" s="43"/>
      <c r="G11" s="45" t="s">
        <v>152</v>
      </c>
      <c r="H11" s="51">
        <f>AVERAGE($H$9:$H$10)</f>
        <v>52.472707679313658</v>
      </c>
      <c r="I11" s="43"/>
      <c r="J11" s="43"/>
      <c r="K11" s="43"/>
      <c r="L11" s="43"/>
      <c r="M11" s="147"/>
      <c r="N11" s="148"/>
      <c r="O11" s="148"/>
      <c r="P11" s="148"/>
      <c r="Q11" s="148"/>
      <c r="R11" s="149"/>
    </row>
    <row r="12" spans="1:18" ht="15.75">
      <c r="A12" s="43"/>
      <c r="B12" s="45" t="s">
        <v>153</v>
      </c>
      <c r="C12" s="52">
        <f>$C$8/$C$7</f>
        <v>2.5662476400845617E-2</v>
      </c>
      <c r="F12" s="43"/>
      <c r="G12" s="45" t="s">
        <v>154</v>
      </c>
      <c r="H12" s="50">
        <f>$H$7*(1-$H$8)</f>
        <v>-2.8715388335667611</v>
      </c>
      <c r="I12" s="53"/>
      <c r="J12" s="43"/>
      <c r="K12" s="43"/>
      <c r="L12" s="43"/>
      <c r="M12" s="147"/>
      <c r="N12" s="148"/>
      <c r="O12" s="148"/>
      <c r="P12" s="148"/>
      <c r="Q12" s="148"/>
      <c r="R12" s="149"/>
    </row>
    <row r="13" spans="1:18" ht="15.75">
      <c r="A13" s="43"/>
      <c r="B13" s="45" t="s">
        <v>155</v>
      </c>
      <c r="C13" s="52">
        <f>$C$9/$C$7</f>
        <v>9.2799077314214586E-3</v>
      </c>
      <c r="D13" s="43"/>
      <c r="E13" s="43"/>
      <c r="F13" s="43"/>
      <c r="G13" s="45"/>
      <c r="H13" s="43"/>
      <c r="I13" s="43"/>
      <c r="J13" s="43"/>
      <c r="K13" s="43"/>
      <c r="L13" s="43"/>
      <c r="M13" s="147"/>
      <c r="N13" s="148"/>
      <c r="O13" s="148"/>
      <c r="P13" s="148"/>
      <c r="Q13" s="148"/>
      <c r="R13" s="149"/>
    </row>
    <row r="14" spans="1:18" ht="15.75">
      <c r="A14" s="43"/>
      <c r="B14" s="45" t="s">
        <v>156</v>
      </c>
      <c r="C14" s="54">
        <f>$C$7/$C$10</f>
        <v>12.758744194839943</v>
      </c>
      <c r="D14" s="43"/>
      <c r="E14" s="43"/>
      <c r="F14" s="43"/>
      <c r="G14" s="43"/>
      <c r="H14" s="43"/>
      <c r="I14" s="43"/>
      <c r="J14" s="43"/>
      <c r="K14" s="43"/>
      <c r="L14" s="43"/>
      <c r="M14" s="147"/>
      <c r="N14" s="148"/>
      <c r="O14" s="148"/>
      <c r="P14" s="148"/>
      <c r="Q14" s="148"/>
      <c r="R14" s="149"/>
    </row>
    <row r="15" spans="1:18" ht="15.75">
      <c r="A15" s="43"/>
      <c r="B15" s="43"/>
      <c r="C15" s="47"/>
      <c r="D15" s="43"/>
      <c r="E15" s="43"/>
      <c r="F15" s="43"/>
      <c r="G15" s="43"/>
      <c r="H15" s="43"/>
      <c r="I15" s="43"/>
      <c r="J15" s="43"/>
      <c r="K15" s="43"/>
      <c r="L15" s="43"/>
      <c r="M15" s="147"/>
      <c r="N15" s="148"/>
      <c r="O15" s="148"/>
      <c r="P15" s="148"/>
      <c r="Q15" s="148"/>
      <c r="R15" s="149"/>
    </row>
    <row r="16" spans="1:18" ht="16.5" thickBot="1">
      <c r="A16" s="43"/>
      <c r="B16" s="45" t="s">
        <v>157</v>
      </c>
      <c r="C16" s="55">
        <v>0</v>
      </c>
      <c r="D16" s="43"/>
      <c r="E16" s="43"/>
      <c r="F16" s="43"/>
      <c r="G16" s="43"/>
      <c r="H16" s="43"/>
      <c r="I16" s="43"/>
      <c r="J16" s="43"/>
      <c r="K16" s="43"/>
      <c r="L16" s="43"/>
      <c r="M16" s="150"/>
      <c r="N16" s="151"/>
      <c r="O16" s="151"/>
      <c r="P16" s="151"/>
      <c r="Q16" s="151"/>
      <c r="R16" s="152"/>
    </row>
    <row r="17" spans="1:13" ht="15.75">
      <c r="A17" s="43"/>
      <c r="D17" s="43"/>
      <c r="E17" s="43"/>
      <c r="F17" s="43"/>
      <c r="G17" s="43"/>
      <c r="H17" s="43"/>
      <c r="I17" s="43"/>
      <c r="J17" s="43"/>
      <c r="K17" s="43"/>
      <c r="L17" s="43"/>
      <c r="M17" s="43"/>
    </row>
    <row r="18" spans="1:13" ht="20.25" thickBot="1">
      <c r="A18" s="56" t="s">
        <v>158</v>
      </c>
      <c r="B18" s="43"/>
      <c r="C18" s="43"/>
      <c r="D18" s="43"/>
      <c r="E18" s="43"/>
      <c r="F18" s="43"/>
      <c r="G18" s="43"/>
      <c r="H18" s="43"/>
      <c r="I18" s="43"/>
      <c r="J18" s="43"/>
      <c r="K18" s="43"/>
      <c r="L18" s="43"/>
      <c r="M18" s="43"/>
    </row>
    <row r="19" spans="1:13" ht="15.75">
      <c r="A19" s="57"/>
      <c r="B19" s="58"/>
      <c r="C19" s="58"/>
      <c r="D19" s="58"/>
      <c r="E19" s="137" t="s">
        <v>159</v>
      </c>
      <c r="F19" s="137"/>
      <c r="G19" s="137" t="s">
        <v>160</v>
      </c>
      <c r="H19" s="137"/>
      <c r="I19" s="58"/>
      <c r="J19" s="33"/>
      <c r="K19" s="43"/>
      <c r="L19" s="59"/>
      <c r="M19" s="43"/>
    </row>
    <row r="20" spans="1:13" ht="15.75">
      <c r="A20" s="60" t="s">
        <v>129</v>
      </c>
      <c r="B20" s="61" t="s">
        <v>161</v>
      </c>
      <c r="C20" s="61" t="s">
        <v>162</v>
      </c>
      <c r="D20" s="61" t="s">
        <v>163</v>
      </c>
      <c r="E20" s="61" t="s">
        <v>164</v>
      </c>
      <c r="F20" s="61" t="s">
        <v>165</v>
      </c>
      <c r="G20" s="61" t="s">
        <v>164</v>
      </c>
      <c r="H20" s="61" t="s">
        <v>165</v>
      </c>
      <c r="I20" s="61" t="s">
        <v>166</v>
      </c>
      <c r="J20" s="62" t="s">
        <v>167</v>
      </c>
      <c r="K20" s="43"/>
      <c r="L20" s="43"/>
      <c r="M20" s="43"/>
    </row>
    <row r="21" spans="1:13" ht="15.75">
      <c r="A21" s="63" t="s">
        <v>168</v>
      </c>
      <c r="B21" s="64">
        <f>'P&amp;L'!$F$39</f>
        <v>6.8609908427060011</v>
      </c>
      <c r="C21" s="64">
        <f>'P&amp;L'!F36</f>
        <v>80.739999999999995</v>
      </c>
      <c r="D21" s="64">
        <f>Ratio!$F$5</f>
        <v>16.033724259141053</v>
      </c>
      <c r="E21" s="65">
        <f>'Fair Value'!F4</f>
        <v>737</v>
      </c>
      <c r="F21" s="65">
        <f>+'Fair Value'!F6</f>
        <v>448.65</v>
      </c>
      <c r="G21" s="66">
        <f t="shared" ref="G21:H24" si="0">E21/$B21</f>
        <v>107.41888699407218</v>
      </c>
      <c r="H21" s="66">
        <f t="shared" si="0"/>
        <v>65.391429647069856</v>
      </c>
      <c r="I21" s="67">
        <f>B21/D21</f>
        <v>0.42790999344986574</v>
      </c>
      <c r="J21" s="68">
        <f>C21/B21</f>
        <v>11.767979560246117</v>
      </c>
      <c r="K21" s="43"/>
      <c r="L21" s="43"/>
      <c r="M21" s="43"/>
    </row>
    <row r="22" spans="1:13" ht="15.75">
      <c r="A22" s="63" t="s">
        <v>169</v>
      </c>
      <c r="B22" s="64">
        <f>'P&amp;L'!$E$39</f>
        <v>7.9117361199599179</v>
      </c>
      <c r="C22" s="64">
        <f>+'P&amp;L'!E36</f>
        <v>80.81</v>
      </c>
      <c r="D22" s="64">
        <f>Ratio!$E$5</f>
        <v>20.338639500883946</v>
      </c>
      <c r="E22" s="65">
        <f>+'Fair Value'!E4</f>
        <v>713.8</v>
      </c>
      <c r="F22" s="65">
        <f>+'Fair Value'!E6</f>
        <v>334.05</v>
      </c>
      <c r="G22" s="66">
        <f t="shared" si="0"/>
        <v>90.220400323919819</v>
      </c>
      <c r="H22" s="66">
        <f t="shared" si="0"/>
        <v>42.222085637721236</v>
      </c>
      <c r="I22" s="67">
        <f>B22/D22</f>
        <v>0.38900026324848636</v>
      </c>
      <c r="J22" s="68">
        <f>C22/B22</f>
        <v>10.213940249616085</v>
      </c>
      <c r="K22" s="43"/>
      <c r="L22" s="43"/>
      <c r="M22" s="43"/>
    </row>
    <row r="23" spans="1:13" ht="15.75">
      <c r="A23" s="63" t="s">
        <v>170</v>
      </c>
      <c r="B23" s="64">
        <f>'P&amp;L'!$D$39</f>
        <v>9.8115206481923547</v>
      </c>
      <c r="C23" s="64">
        <f>+'P&amp;L'!D36</f>
        <v>99.92</v>
      </c>
      <c r="D23" s="64">
        <f>Ratio!$D$5</f>
        <v>25.615120880418903</v>
      </c>
      <c r="E23" s="65">
        <f>+'Fair Value'!D4</f>
        <v>500.9</v>
      </c>
      <c r="F23" s="65">
        <f>+'Fair Value'!D6</f>
        <v>332.35</v>
      </c>
      <c r="G23" s="66">
        <f t="shared" si="0"/>
        <v>51.052229105004663</v>
      </c>
      <c r="H23" s="66">
        <f t="shared" si="0"/>
        <v>33.873444486021768</v>
      </c>
      <c r="I23" s="67">
        <f>B23/D23</f>
        <v>0.38303628134320555</v>
      </c>
      <c r="J23" s="68">
        <f>C23/B23</f>
        <v>10.183946360894524</v>
      </c>
      <c r="K23" s="43"/>
      <c r="L23" s="43"/>
      <c r="M23" s="43"/>
    </row>
    <row r="24" spans="1:13" ht="15.75">
      <c r="A24" s="63" t="s">
        <v>171</v>
      </c>
      <c r="B24" s="64">
        <f>'P&amp;L'!$C$39</f>
        <v>10.811195895312226</v>
      </c>
      <c r="C24" s="64">
        <f>+'P&amp;L'!C36</f>
        <v>109.47</v>
      </c>
      <c r="D24" s="64">
        <f>Ratio!$C$5</f>
        <v>31.118328482444124</v>
      </c>
      <c r="E24" s="65">
        <f>+'Fair Value'!C4</f>
        <v>448.1</v>
      </c>
      <c r="F24" s="65">
        <f>+'Fair Value'!C6</f>
        <v>195.4</v>
      </c>
      <c r="G24" s="66">
        <f t="shared" si="0"/>
        <v>41.447773617190471</v>
      </c>
      <c r="H24" s="66">
        <f t="shared" si="0"/>
        <v>18.073856203523807</v>
      </c>
      <c r="I24" s="67">
        <f>B24/D24</f>
        <v>0.34742212781163762</v>
      </c>
      <c r="J24" s="68">
        <f>C24/B24</f>
        <v>10.125614322414284</v>
      </c>
      <c r="K24" s="43"/>
      <c r="L24" s="43"/>
      <c r="M24" s="43"/>
    </row>
    <row r="25" spans="1:13" ht="16.5" thickBot="1">
      <c r="A25" s="69" t="s">
        <v>172</v>
      </c>
      <c r="B25" s="70">
        <f>'P&amp;L'!$B$39</f>
        <v>12.13963446142002</v>
      </c>
      <c r="C25" s="70">
        <f>+'P&amp;L'!B39</f>
        <v>12.13963446142002</v>
      </c>
      <c r="D25" s="70">
        <f>Ratio!$B$5</f>
        <v>37.076532986006335</v>
      </c>
      <c r="E25" s="71">
        <f>+'Fair Value'!B4</f>
        <v>578.6</v>
      </c>
      <c r="F25" s="71">
        <f>+'Fair Value'!B6</f>
        <v>332.2</v>
      </c>
      <c r="G25" s="72">
        <f t="shared" ref="G25:H25" si="1">E25/$B25</f>
        <v>47.662061146799878</v>
      </c>
      <c r="H25" s="72">
        <f t="shared" si="1"/>
        <v>27.364909631812857</v>
      </c>
      <c r="I25" s="73">
        <f t="shared" ref="I25" si="2">B25/D25</f>
        <v>0.32742097180450608</v>
      </c>
      <c r="J25" s="74">
        <f>C25/B25</f>
        <v>1</v>
      </c>
      <c r="K25" s="43"/>
      <c r="L25" s="43"/>
      <c r="M25" s="43"/>
    </row>
    <row r="26" spans="1:13" ht="15.75">
      <c r="A26" s="43"/>
      <c r="B26" s="43"/>
      <c r="C26" s="43"/>
      <c r="D26" s="43"/>
      <c r="E26" s="43"/>
      <c r="F26" s="43"/>
      <c r="G26" s="75"/>
      <c r="H26" s="75"/>
      <c r="I26" s="76"/>
      <c r="J26" s="76"/>
      <c r="K26" s="43"/>
      <c r="L26" s="43"/>
      <c r="M26" s="43"/>
    </row>
    <row r="27" spans="1:13" ht="20.25" thickBot="1">
      <c r="A27" s="56" t="s">
        <v>173</v>
      </c>
      <c r="B27" s="43"/>
      <c r="C27" s="43"/>
      <c r="D27" s="43"/>
      <c r="E27" s="77"/>
      <c r="F27" s="77"/>
      <c r="G27" s="48"/>
      <c r="H27" s="43"/>
      <c r="I27" s="78"/>
      <c r="J27" s="43"/>
      <c r="K27" s="43"/>
      <c r="L27" s="43"/>
      <c r="M27" s="43"/>
    </row>
    <row r="28" spans="1:13" ht="15.75">
      <c r="A28" s="79" t="s">
        <v>174</v>
      </c>
      <c r="B28" s="32" t="s">
        <v>161</v>
      </c>
      <c r="C28" s="32" t="s">
        <v>162</v>
      </c>
      <c r="D28" s="32" t="s">
        <v>163</v>
      </c>
      <c r="E28" s="80" t="s">
        <v>175</v>
      </c>
      <c r="F28" s="81" t="s">
        <v>176</v>
      </c>
      <c r="G28" s="48"/>
      <c r="H28" s="43"/>
      <c r="I28" s="78"/>
      <c r="J28" s="43"/>
      <c r="K28" s="43"/>
      <c r="L28" s="43"/>
      <c r="M28" s="43"/>
    </row>
    <row r="29" spans="1:13" ht="16.5" thickBot="1">
      <c r="A29" s="82" t="s">
        <v>177</v>
      </c>
      <c r="B29" s="73">
        <f>(B25/B21)^(1/5)-1</f>
        <v>0.12089195996369595</v>
      </c>
      <c r="C29" s="73">
        <f>(C25/C21)^(1/5)-1</f>
        <v>-0.31542131483683833</v>
      </c>
      <c r="D29" s="73">
        <f>(D25/D21)^(1/5)-1</f>
        <v>0.18253210726821933</v>
      </c>
      <c r="E29" s="73">
        <f>(E25/E21)^(1/5)-1</f>
        <v>-4.7242912181792662E-2</v>
      </c>
      <c r="F29" s="74">
        <f>(F25/F21)^(1/5)-1</f>
        <v>-5.8330744917187483E-2</v>
      </c>
      <c r="G29" s="43"/>
      <c r="H29" s="43"/>
      <c r="I29" s="43"/>
      <c r="J29" s="43"/>
      <c r="K29" s="43"/>
      <c r="L29" s="43"/>
      <c r="M29" s="43"/>
    </row>
    <row r="30" spans="1:13" ht="15.75">
      <c r="A30" s="83"/>
      <c r="B30" s="76"/>
      <c r="C30" s="76"/>
      <c r="D30" s="76"/>
      <c r="E30" s="76"/>
      <c r="F30" s="76"/>
      <c r="G30" s="43"/>
      <c r="H30" s="43"/>
      <c r="I30" s="43"/>
      <c r="J30" s="43"/>
      <c r="K30" s="43"/>
      <c r="L30" s="43"/>
      <c r="M30" s="43"/>
    </row>
    <row r="31" spans="1:13" ht="20.25" thickBot="1">
      <c r="A31" s="56" t="s">
        <v>178</v>
      </c>
      <c r="B31" s="43"/>
      <c r="C31" s="43"/>
      <c r="D31" s="43"/>
      <c r="E31" s="43"/>
      <c r="F31" s="43"/>
      <c r="G31" s="43"/>
      <c r="H31" s="43"/>
      <c r="I31" s="43"/>
      <c r="J31" s="43"/>
      <c r="K31" s="43"/>
      <c r="L31" s="84"/>
      <c r="M31" s="43"/>
    </row>
    <row r="32" spans="1:13" ht="15.75">
      <c r="A32" s="31" t="s">
        <v>129</v>
      </c>
      <c r="B32" s="32" t="s">
        <v>161</v>
      </c>
      <c r="C32" s="33" t="s">
        <v>162</v>
      </c>
      <c r="D32" s="43"/>
      <c r="E32" s="85"/>
      <c r="F32" s="43"/>
      <c r="G32" s="43"/>
      <c r="H32" s="43"/>
      <c r="I32" s="43"/>
      <c r="J32" s="43"/>
      <c r="K32" s="43"/>
      <c r="L32" s="43"/>
      <c r="M32" s="43"/>
    </row>
    <row r="33" spans="1:13" ht="15.75">
      <c r="A33" s="63" t="s">
        <v>179</v>
      </c>
      <c r="B33" s="64">
        <f>$C$8</f>
        <v>12.13963446142002</v>
      </c>
      <c r="C33" s="86">
        <f t="shared" ref="C33:C37" si="3">B33*$H$8</f>
        <v>105.10854969615828</v>
      </c>
      <c r="D33" s="43"/>
      <c r="E33" s="87">
        <f>$B$37</f>
        <v>19.162873201659039</v>
      </c>
      <c r="F33" s="48" t="s">
        <v>180</v>
      </c>
      <c r="G33" s="43"/>
      <c r="H33" s="43"/>
      <c r="I33" s="43"/>
      <c r="J33" s="43"/>
      <c r="K33" s="43"/>
      <c r="L33" s="43"/>
      <c r="M33" s="43"/>
    </row>
    <row r="34" spans="1:13" ht="15.75">
      <c r="A34" s="63" t="s">
        <v>181</v>
      </c>
      <c r="B34" s="64">
        <f>B33*(1+$B$29)</f>
        <v>13.607218664703913</v>
      </c>
      <c r="C34" s="86">
        <f t="shared" si="3"/>
        <v>117.8153282778684</v>
      </c>
      <c r="D34" s="43"/>
      <c r="E34" s="87">
        <f>SUM($C$33:$C$37)</f>
        <v>668.92299789176911</v>
      </c>
      <c r="F34" s="48" t="s">
        <v>182</v>
      </c>
      <c r="G34" s="43"/>
      <c r="H34" s="43"/>
      <c r="I34" s="43"/>
      <c r="J34" s="43"/>
      <c r="K34" s="43"/>
      <c r="L34" s="43"/>
      <c r="M34" s="43"/>
    </row>
    <row r="35" spans="1:13" ht="15.75">
      <c r="A35" s="63" t="s">
        <v>183</v>
      </c>
      <c r="B35" s="64">
        <f>B34*(1+$B$29)</f>
        <v>15.252221998734555</v>
      </c>
      <c r="C35" s="86">
        <f t="shared" si="3"/>
        <v>132.05825422714616</v>
      </c>
      <c r="D35" s="43"/>
      <c r="E35" s="87"/>
      <c r="F35" s="43"/>
      <c r="G35" s="43"/>
      <c r="H35" s="43"/>
      <c r="I35" s="43"/>
      <c r="J35" s="43"/>
      <c r="K35" s="43"/>
      <c r="L35" s="43"/>
      <c r="M35" s="43"/>
    </row>
    <row r="36" spans="1:13" ht="15.75">
      <c r="A36" s="63" t="s">
        <v>184</v>
      </c>
      <c r="B36" s="64">
        <f>B35*(1+$B$29)</f>
        <v>17.096093009962974</v>
      </c>
      <c r="C36" s="86">
        <f t="shared" si="3"/>
        <v>148.02303541004989</v>
      </c>
      <c r="D36" s="43"/>
      <c r="E36" s="88">
        <f>$H$11*$E$33</f>
        <v>1005.5278438064081</v>
      </c>
      <c r="F36" s="48" t="s">
        <v>185</v>
      </c>
      <c r="G36" s="43"/>
      <c r="H36" s="43"/>
      <c r="I36" s="43"/>
      <c r="J36" s="43"/>
      <c r="K36" s="43"/>
      <c r="L36" s="43"/>
      <c r="M36" s="43"/>
    </row>
    <row r="37" spans="1:13" ht="15.75">
      <c r="A37" s="63" t="s">
        <v>186</v>
      </c>
      <c r="B37" s="64">
        <f>B36*(1+$B$29)</f>
        <v>19.162873201659039</v>
      </c>
      <c r="C37" s="86">
        <f t="shared" si="3"/>
        <v>165.91783028054638</v>
      </c>
      <c r="D37" s="43"/>
      <c r="E37" s="89">
        <f>$E$36+$E$34</f>
        <v>1674.4508416981771</v>
      </c>
      <c r="F37" s="48" t="s">
        <v>187</v>
      </c>
      <c r="G37" s="43"/>
      <c r="H37" s="43"/>
      <c r="I37" s="43"/>
      <c r="J37" s="43"/>
      <c r="K37" s="43"/>
      <c r="L37" s="43"/>
    </row>
    <row r="38" spans="1:13" ht="15.75">
      <c r="A38" s="63" t="s">
        <v>188</v>
      </c>
      <c r="B38" s="64"/>
      <c r="C38" s="86"/>
      <c r="D38" s="43"/>
      <c r="E38" s="90"/>
      <c r="F38" s="43"/>
      <c r="G38" s="43"/>
      <c r="H38" s="43"/>
      <c r="I38" s="43"/>
      <c r="J38" s="43"/>
      <c r="K38" s="43"/>
      <c r="L38" s="43"/>
    </row>
    <row r="39" spans="1:13" ht="15.75">
      <c r="A39" s="63" t="s">
        <v>189</v>
      </c>
      <c r="B39" s="64"/>
      <c r="C39" s="86"/>
      <c r="D39" s="43"/>
      <c r="E39" s="91">
        <f>($E$37/$C$7)^(1/10)-1</f>
        <v>0.13474044772665694</v>
      </c>
      <c r="F39" s="48" t="s">
        <v>190</v>
      </c>
      <c r="G39" s="43"/>
      <c r="H39" s="43"/>
      <c r="I39" s="43"/>
      <c r="J39" s="43"/>
      <c r="K39" s="43"/>
      <c r="L39" s="43"/>
    </row>
    <row r="40" spans="1:13" ht="15.75">
      <c r="A40" s="63" t="s">
        <v>191</v>
      </c>
      <c r="B40" s="64"/>
      <c r="C40" s="86"/>
      <c r="D40" s="43"/>
      <c r="E40" s="43"/>
      <c r="F40" s="48" t="s">
        <v>192</v>
      </c>
      <c r="G40" s="43"/>
      <c r="H40" s="43"/>
      <c r="I40" s="43"/>
      <c r="J40" s="43"/>
      <c r="K40" s="43"/>
      <c r="L40" s="43"/>
    </row>
    <row r="41" spans="1:13" ht="15.75">
      <c r="A41" s="63" t="s">
        <v>193</v>
      </c>
      <c r="B41" s="64"/>
      <c r="C41" s="86"/>
      <c r="D41" s="43"/>
      <c r="E41" s="43"/>
      <c r="F41" s="43"/>
      <c r="G41" s="43"/>
      <c r="H41" s="43"/>
      <c r="I41" s="43"/>
      <c r="J41" s="43"/>
      <c r="K41" s="43"/>
      <c r="L41" s="43"/>
    </row>
    <row r="42" spans="1:13" ht="15.75">
      <c r="A42" s="63" t="s">
        <v>194</v>
      </c>
      <c r="B42" s="64"/>
      <c r="C42" s="86"/>
      <c r="D42" s="43"/>
      <c r="E42" s="43"/>
      <c r="F42" s="43"/>
      <c r="G42" s="43"/>
      <c r="H42" s="43"/>
      <c r="I42" s="43"/>
      <c r="J42" s="43"/>
      <c r="K42" s="43"/>
      <c r="L42" s="43"/>
    </row>
    <row r="43" spans="1:13" ht="16.5" thickBot="1">
      <c r="A43" s="69" t="s">
        <v>195</v>
      </c>
      <c r="B43" s="70"/>
      <c r="C43" s="92"/>
      <c r="D43" s="43"/>
      <c r="E43" s="43"/>
      <c r="F43" s="43"/>
      <c r="G43" s="43"/>
      <c r="H43" s="43"/>
      <c r="I43" s="43"/>
      <c r="J43" s="43"/>
      <c r="K43" s="43"/>
      <c r="L43" s="43"/>
    </row>
    <row r="44" spans="1:13" ht="15.75">
      <c r="A44" s="43"/>
      <c r="B44" s="93"/>
      <c r="C44" s="93"/>
      <c r="D44" s="93"/>
      <c r="E44" s="43"/>
      <c r="F44" s="43"/>
      <c r="G44" s="43"/>
      <c r="H44" s="43"/>
      <c r="I44" s="43"/>
      <c r="J44" s="43"/>
      <c r="K44" s="43"/>
      <c r="L44" s="43"/>
    </row>
    <row r="45" spans="1:13" ht="20.25" thickBot="1">
      <c r="A45" s="56" t="s">
        <v>196</v>
      </c>
      <c r="B45" s="43"/>
      <c r="C45" s="43"/>
      <c r="D45" s="43"/>
      <c r="E45" s="43"/>
      <c r="F45" s="43"/>
      <c r="G45" s="43"/>
      <c r="H45" s="43"/>
      <c r="I45" s="43"/>
      <c r="J45" s="43"/>
      <c r="K45" s="43"/>
      <c r="L45" s="43"/>
    </row>
    <row r="46" spans="1:13" ht="15.75">
      <c r="A46" s="31" t="s">
        <v>129</v>
      </c>
      <c r="B46" s="32" t="s">
        <v>163</v>
      </c>
      <c r="C46" s="32" t="s">
        <v>161</v>
      </c>
      <c r="D46" s="33" t="s">
        <v>162</v>
      </c>
      <c r="E46" s="43"/>
      <c r="F46" s="43"/>
      <c r="G46" s="43"/>
      <c r="H46" s="43"/>
      <c r="I46" s="43"/>
      <c r="J46" s="43"/>
      <c r="K46" s="43"/>
      <c r="L46" s="43"/>
    </row>
    <row r="47" spans="1:13" ht="15.75">
      <c r="A47" s="63" t="s">
        <v>179</v>
      </c>
      <c r="B47" s="64">
        <f>$C$10</f>
        <v>37.076532986006335</v>
      </c>
      <c r="C47" s="64">
        <f t="shared" ref="C47:C51" si="4">B47*$H$7</f>
        <v>13.902139968487726</v>
      </c>
      <c r="D47" s="86">
        <f t="shared" ref="D47:D51" si="5">C47*$H$8</f>
        <v>120.3688442518239</v>
      </c>
      <c r="E47" s="87">
        <f>$C$51</f>
        <v>170.55993763315118</v>
      </c>
      <c r="F47" s="48" t="s">
        <v>197</v>
      </c>
      <c r="G47" s="43"/>
      <c r="H47" s="43"/>
      <c r="I47" s="43"/>
      <c r="J47" s="43"/>
      <c r="K47" s="43"/>
      <c r="L47" s="43"/>
    </row>
    <row r="48" spans="1:13" ht="15.75">
      <c r="A48" s="63" t="s">
        <v>181</v>
      </c>
      <c r="B48" s="64">
        <f t="shared" ref="B48:B51" si="6">B47+C47-D47</f>
        <v>-69.390171297329843</v>
      </c>
      <c r="C48" s="64">
        <f>B48*$H$7</f>
        <v>-26.018394820705371</v>
      </c>
      <c r="D48" s="86">
        <f t="shared" si="5"/>
        <v>-225.27496636883768</v>
      </c>
      <c r="E48" s="87">
        <f>SUM($D$47:$D$51)</f>
        <v>1004.4020939736412</v>
      </c>
      <c r="F48" s="48" t="s">
        <v>182</v>
      </c>
      <c r="G48" s="43"/>
      <c r="H48" s="43"/>
      <c r="I48" s="43"/>
      <c r="J48" s="43"/>
      <c r="K48" s="43"/>
      <c r="L48" s="43"/>
    </row>
    <row r="49" spans="1:13" ht="15.75">
      <c r="A49" s="63" t="s">
        <v>183</v>
      </c>
      <c r="B49" s="64">
        <f t="shared" si="6"/>
        <v>129.86640025080249</v>
      </c>
      <c r="C49" s="64">
        <f t="shared" si="4"/>
        <v>48.694436294022402</v>
      </c>
      <c r="D49" s="86">
        <f t="shared" si="5"/>
        <v>421.61084778972588</v>
      </c>
      <c r="E49" s="87"/>
      <c r="F49" s="43"/>
      <c r="G49" s="43"/>
      <c r="H49" s="43"/>
      <c r="I49" s="43"/>
      <c r="J49" s="43"/>
      <c r="K49" s="43"/>
      <c r="L49" s="43"/>
      <c r="M49" s="43"/>
    </row>
    <row r="50" spans="1:13" ht="15.75">
      <c r="A50" s="63" t="s">
        <v>184</v>
      </c>
      <c r="B50" s="64">
        <f t="shared" si="6"/>
        <v>-243.05001124490099</v>
      </c>
      <c r="C50" s="64">
        <f t="shared" si="4"/>
        <v>-91.133528502905634</v>
      </c>
      <c r="D50" s="86">
        <f t="shared" si="5"/>
        <v>-789.06107429147676</v>
      </c>
      <c r="E50" s="88">
        <f>$H$11*$E$47</f>
        <v>8949.7417492263103</v>
      </c>
      <c r="F50" s="48" t="s">
        <v>185</v>
      </c>
      <c r="G50" s="43"/>
      <c r="H50" s="43"/>
      <c r="I50" s="43"/>
      <c r="J50" s="43"/>
      <c r="K50" s="43"/>
      <c r="L50" s="43"/>
      <c r="M50" s="43"/>
    </row>
    <row r="51" spans="1:13" ht="15.75">
      <c r="A51" s="63" t="s">
        <v>186</v>
      </c>
      <c r="B51" s="64">
        <f t="shared" si="6"/>
        <v>454.87753454367015</v>
      </c>
      <c r="C51" s="64">
        <f t="shared" si="4"/>
        <v>170.55993763315118</v>
      </c>
      <c r="D51" s="86">
        <f t="shared" si="5"/>
        <v>1476.7584425924058</v>
      </c>
      <c r="E51" s="89">
        <f>$E$50+$E$48</f>
        <v>9954.1438431999522</v>
      </c>
      <c r="F51" s="48" t="s">
        <v>187</v>
      </c>
      <c r="G51" s="43"/>
      <c r="H51" s="43"/>
      <c r="I51" s="43"/>
      <c r="J51" s="43"/>
      <c r="K51" s="43"/>
      <c r="L51" s="43"/>
      <c r="M51" s="43"/>
    </row>
    <row r="52" spans="1:13" ht="15.75">
      <c r="A52" s="63" t="s">
        <v>188</v>
      </c>
      <c r="B52" s="64"/>
      <c r="C52" s="64"/>
      <c r="D52" s="86"/>
      <c r="E52" s="94"/>
      <c r="F52" s="43"/>
      <c r="G52" s="43"/>
      <c r="H52" s="43"/>
      <c r="I52" s="43"/>
      <c r="J52" s="43"/>
      <c r="K52" s="43"/>
      <c r="L52" s="43"/>
      <c r="M52" s="43"/>
    </row>
    <row r="53" spans="1:13" ht="15.75">
      <c r="A53" s="63" t="s">
        <v>189</v>
      </c>
      <c r="B53" s="64"/>
      <c r="C53" s="64"/>
      <c r="D53" s="86"/>
      <c r="E53" s="91">
        <f>($E$51/$C$7)^(1/10)-1</f>
        <v>0.3561561149299115</v>
      </c>
      <c r="F53" s="48" t="s">
        <v>198</v>
      </c>
      <c r="G53" s="43"/>
      <c r="H53" s="43"/>
      <c r="I53" s="43"/>
      <c r="J53" s="43"/>
      <c r="K53" s="43"/>
      <c r="L53" s="43"/>
      <c r="M53" s="43"/>
    </row>
    <row r="54" spans="1:13" ht="15.75">
      <c r="A54" s="63" t="s">
        <v>191</v>
      </c>
      <c r="B54" s="64"/>
      <c r="C54" s="64"/>
      <c r="D54" s="86"/>
      <c r="E54" s="43"/>
      <c r="F54" s="48"/>
      <c r="G54" s="43"/>
      <c r="H54" s="43"/>
      <c r="I54" s="43"/>
      <c r="J54" s="43"/>
      <c r="K54" s="43"/>
      <c r="L54" s="43"/>
      <c r="M54" s="43"/>
    </row>
    <row r="55" spans="1:13" ht="15.75">
      <c r="A55" s="63" t="s">
        <v>193</v>
      </c>
      <c r="B55" s="64"/>
      <c r="C55" s="64"/>
      <c r="D55" s="86"/>
      <c r="E55" s="43"/>
      <c r="F55" s="43"/>
      <c r="G55" s="43"/>
      <c r="H55" s="43"/>
      <c r="I55" s="43"/>
      <c r="J55" s="43"/>
      <c r="K55" s="43"/>
      <c r="L55" s="43"/>
      <c r="M55" s="43"/>
    </row>
    <row r="56" spans="1:13" ht="15.75">
      <c r="A56" s="63" t="s">
        <v>194</v>
      </c>
      <c r="B56" s="64"/>
      <c r="C56" s="64"/>
      <c r="D56" s="86"/>
      <c r="E56" s="43"/>
      <c r="F56" s="43"/>
      <c r="G56" s="43"/>
      <c r="H56" s="43"/>
      <c r="I56" s="43"/>
      <c r="J56" s="43"/>
      <c r="K56" s="43"/>
      <c r="L56" s="43"/>
      <c r="M56" s="43"/>
    </row>
    <row r="57" spans="1:13" ht="16.5" thickBot="1">
      <c r="A57" s="69" t="s">
        <v>195</v>
      </c>
      <c r="B57" s="70"/>
      <c r="C57" s="70"/>
      <c r="D57" s="70"/>
      <c r="E57" s="43"/>
      <c r="F57" s="43"/>
      <c r="G57" s="43"/>
      <c r="H57" s="43"/>
      <c r="I57" s="43"/>
      <c r="J57" s="43"/>
      <c r="K57" s="43"/>
      <c r="L57" s="43"/>
      <c r="M57" s="43"/>
    </row>
    <row r="59" spans="1:13" ht="15.75">
      <c r="B59" s="93"/>
      <c r="C59" s="93"/>
      <c r="D59" s="93"/>
    </row>
  </sheetData>
  <mergeCells count="7">
    <mergeCell ref="E19:F19"/>
    <mergeCell ref="G19:H19"/>
    <mergeCell ref="A1:J1"/>
    <mergeCell ref="A2:J2"/>
    <mergeCell ref="M5:R16"/>
    <mergeCell ref="B6:C6"/>
    <mergeCell ref="F6:H6"/>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dimension ref="A2:L40"/>
  <sheetViews>
    <sheetView workbookViewId="0">
      <pane xSplit="1" ySplit="2" topLeftCell="B27" activePane="bottomRight" state="frozen"/>
      <selection pane="topRight" activeCell="B1" sqref="B1"/>
      <selection pane="bottomLeft" activeCell="A3" sqref="A3"/>
      <selection pane="bottomRight" activeCell="A32" sqref="A32"/>
    </sheetView>
  </sheetViews>
  <sheetFormatPr defaultRowHeight="15"/>
  <cols>
    <col min="1" max="1" width="33.140625" style="7" customWidth="1"/>
    <col min="2" max="2" width="16.85546875" style="7" customWidth="1"/>
    <col min="3" max="16384" width="9.140625" style="7"/>
  </cols>
  <sheetData>
    <row r="2" spans="1:11" s="107" customFormat="1" ht="15.75" thickBot="1">
      <c r="A2" s="107" t="s">
        <v>129</v>
      </c>
      <c r="B2" s="3" t="s">
        <v>0</v>
      </c>
      <c r="C2" s="3" t="s">
        <v>1</v>
      </c>
      <c r="D2" s="3" t="s">
        <v>2</v>
      </c>
      <c r="E2" s="3" t="s">
        <v>3</v>
      </c>
      <c r="F2" s="3" t="s">
        <v>4</v>
      </c>
    </row>
    <row r="3" spans="1:11">
      <c r="A3" s="7" t="s">
        <v>81</v>
      </c>
      <c r="B3" s="112">
        <f>'P&amp;L'!B39</f>
        <v>12.13963446142002</v>
      </c>
      <c r="C3" s="112">
        <f>'P&amp;L'!C39</f>
        <v>10.811195895312226</v>
      </c>
      <c r="D3" s="112">
        <f>'P&amp;L'!D39</f>
        <v>9.8115206481923547</v>
      </c>
      <c r="E3" s="112">
        <f>'P&amp;L'!E39</f>
        <v>7.9117361199599179</v>
      </c>
      <c r="F3" s="112">
        <f>'P&amp;L'!F39</f>
        <v>6.8609908427060011</v>
      </c>
    </row>
    <row r="4" spans="1:11">
      <c r="A4" s="108" t="s">
        <v>199</v>
      </c>
      <c r="B4" s="112">
        <f>C40</f>
        <v>578.6</v>
      </c>
      <c r="C4" s="112">
        <f>+C39</f>
        <v>448.1</v>
      </c>
      <c r="D4" s="112">
        <f>+C38</f>
        <v>500.9</v>
      </c>
      <c r="E4" s="112">
        <f>+C37</f>
        <v>713.8</v>
      </c>
      <c r="F4" s="112">
        <f>+C36</f>
        <v>737</v>
      </c>
    </row>
    <row r="5" spans="1:11">
      <c r="A5" s="7" t="s">
        <v>200</v>
      </c>
      <c r="B5" s="112">
        <f>B4/B3</f>
        <v>47.662061146799878</v>
      </c>
      <c r="C5" s="112">
        <f t="shared" ref="C5:F5" si="0">C4/C3</f>
        <v>41.447773617190471</v>
      </c>
      <c r="D5" s="112">
        <f t="shared" si="0"/>
        <v>51.052229105004663</v>
      </c>
      <c r="E5" s="112">
        <f t="shared" si="0"/>
        <v>90.220400323919819</v>
      </c>
      <c r="F5" s="112">
        <f t="shared" si="0"/>
        <v>107.41888699407218</v>
      </c>
      <c r="H5" s="113"/>
    </row>
    <row r="6" spans="1:11">
      <c r="A6" s="108" t="s">
        <v>201</v>
      </c>
      <c r="B6" s="112">
        <f>+D40</f>
        <v>332.2</v>
      </c>
      <c r="C6" s="112">
        <f>+D39</f>
        <v>195.4</v>
      </c>
      <c r="D6" s="112">
        <f>+D38</f>
        <v>332.35</v>
      </c>
      <c r="E6" s="112">
        <f>+D37</f>
        <v>334.05</v>
      </c>
      <c r="F6" s="112">
        <f>D36</f>
        <v>448.65</v>
      </c>
      <c r="G6" s="112"/>
      <c r="I6" s="113"/>
    </row>
    <row r="7" spans="1:11">
      <c r="A7" s="7" t="s">
        <v>202</v>
      </c>
      <c r="B7" s="112">
        <f>B6/B3</f>
        <v>27.364909631812857</v>
      </c>
      <c r="C7" s="112">
        <f t="shared" ref="C7:F7" si="1">C6/C3</f>
        <v>18.073856203523807</v>
      </c>
      <c r="D7" s="112">
        <f t="shared" si="1"/>
        <v>33.873444486021768</v>
      </c>
      <c r="E7" s="112">
        <f t="shared" si="1"/>
        <v>42.222085637721236</v>
      </c>
      <c r="F7" s="112">
        <f t="shared" si="1"/>
        <v>65.391429647069856</v>
      </c>
    </row>
    <row r="8" spans="1:11">
      <c r="A8" s="7" t="s">
        <v>203</v>
      </c>
      <c r="B8" s="113">
        <f>SUM(B5+B7)/2</f>
        <v>37.513485389306368</v>
      </c>
      <c r="C8" s="113">
        <f t="shared" ref="C8:F8" si="2">SUM(C5+C7)/2</f>
        <v>29.760814910357141</v>
      </c>
      <c r="D8" s="113">
        <f t="shared" si="2"/>
        <v>42.462836795513212</v>
      </c>
      <c r="E8" s="113">
        <f t="shared" si="2"/>
        <v>66.221242980820534</v>
      </c>
      <c r="F8" s="113">
        <f t="shared" si="2"/>
        <v>86.405158320571019</v>
      </c>
      <c r="H8" s="113"/>
    </row>
    <row r="10" spans="1:11" ht="15.75" thickBot="1"/>
    <row r="11" spans="1:11" ht="15.75">
      <c r="A11" s="154" t="s">
        <v>204</v>
      </c>
      <c r="B11" s="155"/>
    </row>
    <row r="12" spans="1:11" ht="15.75" thickBot="1">
      <c r="A12" s="95" t="s">
        <v>206</v>
      </c>
      <c r="B12" s="96">
        <f>SQRT(22.5*Ratio!B5*AVERAGE(B3:D3))</f>
        <v>95.448194891255213</v>
      </c>
    </row>
    <row r="13" spans="1:11">
      <c r="A13" s="95" t="s">
        <v>207</v>
      </c>
      <c r="B13" s="97">
        <f>AVERAGE(B8:F8)*AVERAGE(B3:D3)</f>
        <v>573.04308905615892</v>
      </c>
      <c r="D13" s="144" t="s">
        <v>205</v>
      </c>
      <c r="E13" s="156"/>
      <c r="F13" s="156"/>
      <c r="G13" s="156"/>
      <c r="H13" s="156"/>
      <c r="I13" s="156"/>
      <c r="J13" s="156"/>
      <c r="K13" s="157"/>
    </row>
    <row r="14" spans="1:11">
      <c r="A14" s="95" t="s">
        <v>208</v>
      </c>
      <c r="B14" s="97">
        <f>(B3*1/DCF!B6)</f>
        <v>101.1636205118335</v>
      </c>
      <c r="D14" s="158"/>
      <c r="E14" s="159"/>
      <c r="F14" s="159"/>
      <c r="G14" s="159"/>
      <c r="H14" s="159"/>
      <c r="I14" s="159"/>
      <c r="J14" s="159"/>
      <c r="K14" s="160"/>
    </row>
    <row r="15" spans="1:11">
      <c r="A15" s="95" t="s">
        <v>209</v>
      </c>
      <c r="B15" s="97">
        <f>DCF!$B$28</f>
        <v>110.50789599673304</v>
      </c>
      <c r="D15" s="158"/>
      <c r="E15" s="159"/>
      <c r="F15" s="159"/>
      <c r="G15" s="159"/>
      <c r="H15" s="159"/>
      <c r="I15" s="159"/>
      <c r="J15" s="159"/>
      <c r="K15" s="160"/>
    </row>
    <row r="16" spans="1:11">
      <c r="A16" s="95" t="s">
        <v>210</v>
      </c>
      <c r="B16" s="97">
        <f>'Buffett Valuation'!E33/((1+DCF!B6)^10)</f>
        <v>6.1699323071152739</v>
      </c>
      <c r="D16" s="158"/>
      <c r="E16" s="159"/>
      <c r="F16" s="159"/>
      <c r="G16" s="159"/>
      <c r="H16" s="159"/>
      <c r="I16" s="159"/>
      <c r="J16" s="159"/>
      <c r="K16" s="160"/>
    </row>
    <row r="17" spans="1:11" ht="15.75" thickBot="1">
      <c r="A17" s="98" t="s">
        <v>211</v>
      </c>
      <c r="B17" s="97">
        <f>'Buffett Valuation'!E50/((1+DCF!B6)^10)</f>
        <v>2881.5773176492721</v>
      </c>
      <c r="D17" s="158"/>
      <c r="E17" s="159"/>
      <c r="F17" s="159"/>
      <c r="G17" s="159"/>
      <c r="H17" s="159"/>
      <c r="I17" s="159"/>
      <c r="J17" s="159"/>
      <c r="K17" s="160"/>
    </row>
    <row r="18" spans="1:11" ht="15.75" thickBot="1">
      <c r="A18" s="43"/>
      <c r="B18" s="43"/>
      <c r="D18" s="158"/>
      <c r="E18" s="159"/>
      <c r="F18" s="159"/>
      <c r="G18" s="159"/>
      <c r="H18" s="159"/>
      <c r="I18" s="159"/>
      <c r="J18" s="159"/>
      <c r="K18" s="160"/>
    </row>
    <row r="19" spans="1:11" ht="15.75">
      <c r="A19" s="154" t="s">
        <v>212</v>
      </c>
      <c r="B19" s="155"/>
      <c r="D19" s="158"/>
      <c r="E19" s="159"/>
      <c r="F19" s="159"/>
      <c r="G19" s="159"/>
      <c r="H19" s="159"/>
      <c r="I19" s="159"/>
      <c r="J19" s="159"/>
      <c r="K19" s="160"/>
    </row>
    <row r="20" spans="1:11">
      <c r="A20" s="99" t="s">
        <v>213</v>
      </c>
      <c r="B20" s="97">
        <f>AVERAGE(B12:B17)</f>
        <v>627.98500840206134</v>
      </c>
      <c r="D20" s="158"/>
      <c r="E20" s="159"/>
      <c r="F20" s="159"/>
      <c r="G20" s="159"/>
      <c r="H20" s="159"/>
      <c r="I20" s="159"/>
      <c r="J20" s="159"/>
      <c r="K20" s="160"/>
    </row>
    <row r="21" spans="1:11">
      <c r="A21" s="99" t="s">
        <v>214</v>
      </c>
      <c r="B21" s="97">
        <f>AVERAGE(B12:B17)-(0.5)*(STDEV(B12,B13,B14,B15,B16,B17))</f>
        <v>66.858031060714097</v>
      </c>
      <c r="D21" s="158"/>
      <c r="E21" s="159"/>
      <c r="F21" s="159"/>
      <c r="G21" s="159"/>
      <c r="H21" s="159"/>
      <c r="I21" s="159"/>
      <c r="J21" s="159"/>
      <c r="K21" s="160"/>
    </row>
    <row r="22" spans="1:11" ht="15.75">
      <c r="A22" s="100" t="s">
        <v>215</v>
      </c>
      <c r="B22" s="101">
        <v>0.5</v>
      </c>
      <c r="D22" s="158"/>
      <c r="E22" s="159"/>
      <c r="F22" s="159"/>
      <c r="G22" s="159"/>
      <c r="H22" s="159"/>
      <c r="I22" s="159"/>
      <c r="J22" s="159"/>
      <c r="K22" s="160"/>
    </row>
    <row r="23" spans="1:11" ht="15.75">
      <c r="A23" s="102" t="s">
        <v>216</v>
      </c>
      <c r="B23" s="103">
        <f>((B20+B21)/2)*(1-B22)</f>
        <v>173.71075986569386</v>
      </c>
      <c r="D23" s="158"/>
      <c r="E23" s="159"/>
      <c r="F23" s="159"/>
      <c r="G23" s="159"/>
      <c r="H23" s="159"/>
      <c r="I23" s="159"/>
      <c r="J23" s="159"/>
      <c r="K23" s="160"/>
    </row>
    <row r="24" spans="1:11" ht="15.75">
      <c r="A24" s="104" t="s">
        <v>217</v>
      </c>
      <c r="B24" s="105">
        <f>'Master Data'!B4</f>
        <v>473.05</v>
      </c>
      <c r="D24" s="158"/>
      <c r="E24" s="159"/>
      <c r="F24" s="159"/>
      <c r="G24" s="159"/>
      <c r="H24" s="159"/>
      <c r="I24" s="159"/>
      <c r="J24" s="159"/>
      <c r="K24" s="160"/>
    </row>
    <row r="25" spans="1:11" ht="16.5" thickBot="1">
      <c r="A25" s="98" t="s">
        <v>218</v>
      </c>
      <c r="B25" s="106">
        <f>B24/B23-1</f>
        <v>1.7232049434689203</v>
      </c>
      <c r="D25" s="158"/>
      <c r="E25" s="159"/>
      <c r="F25" s="159"/>
      <c r="G25" s="159"/>
      <c r="H25" s="159"/>
      <c r="I25" s="159"/>
      <c r="J25" s="159"/>
      <c r="K25" s="160"/>
    </row>
    <row r="26" spans="1:11">
      <c r="D26" s="158"/>
      <c r="E26" s="159"/>
      <c r="F26" s="159"/>
      <c r="G26" s="159"/>
      <c r="H26" s="159"/>
      <c r="I26" s="159"/>
      <c r="J26" s="159"/>
      <c r="K26" s="160"/>
    </row>
    <row r="27" spans="1:11" ht="15.75" thickBot="1">
      <c r="B27" s="127"/>
      <c r="D27" s="161"/>
      <c r="E27" s="162"/>
      <c r="F27" s="162"/>
      <c r="G27" s="162"/>
      <c r="H27" s="162"/>
      <c r="I27" s="162"/>
      <c r="J27" s="162"/>
      <c r="K27" s="163"/>
    </row>
    <row r="31" spans="1:11">
      <c r="A31" s="132" t="s">
        <v>237</v>
      </c>
    </row>
    <row r="33" spans="1:12" ht="15.75" thickBot="1"/>
    <row r="34" spans="1:12" ht="20.25" customHeight="1" thickBot="1">
      <c r="A34" s="164" t="s">
        <v>129</v>
      </c>
      <c r="B34" s="164" t="s">
        <v>219</v>
      </c>
      <c r="C34" s="164" t="s">
        <v>164</v>
      </c>
      <c r="D34" s="164" t="s">
        <v>165</v>
      </c>
      <c r="E34" s="164" t="s">
        <v>220</v>
      </c>
      <c r="F34" s="114" t="s">
        <v>221</v>
      </c>
      <c r="G34" s="114" t="s">
        <v>221</v>
      </c>
      <c r="H34" s="164" t="s">
        <v>224</v>
      </c>
      <c r="I34" s="164" t="s">
        <v>225</v>
      </c>
      <c r="J34" s="164" t="s">
        <v>226</v>
      </c>
      <c r="K34" s="166" t="s">
        <v>227</v>
      </c>
      <c r="L34" s="167"/>
    </row>
    <row r="35" spans="1:12" ht="15.75" thickBot="1">
      <c r="A35" s="165"/>
      <c r="B35" s="165"/>
      <c r="C35" s="165"/>
      <c r="D35" s="165"/>
      <c r="E35" s="165"/>
      <c r="F35" s="115" t="s">
        <v>222</v>
      </c>
      <c r="G35" s="115" t="s">
        <v>223</v>
      </c>
      <c r="H35" s="165"/>
      <c r="I35" s="165"/>
      <c r="J35" s="165"/>
      <c r="K35" s="109" t="s">
        <v>228</v>
      </c>
      <c r="L35" s="109" t="s">
        <v>229</v>
      </c>
    </row>
    <row r="36" spans="1:12" ht="15.75" thickBot="1">
      <c r="A36" s="110">
        <v>2010</v>
      </c>
      <c r="B36" s="110">
        <v>622.70000000000005</v>
      </c>
      <c r="C36" s="110">
        <v>737</v>
      </c>
      <c r="D36" s="110">
        <v>448.65</v>
      </c>
      <c r="E36" s="110">
        <v>678.95</v>
      </c>
      <c r="F36" s="111">
        <v>436380616</v>
      </c>
      <c r="G36" s="111">
        <v>7580853</v>
      </c>
      <c r="H36" s="111">
        <v>250615113618</v>
      </c>
      <c r="I36" s="111">
        <v>82020996</v>
      </c>
      <c r="J36" s="110">
        <v>18.8</v>
      </c>
      <c r="K36" s="110">
        <v>288.35000000000002</v>
      </c>
      <c r="L36" s="110">
        <v>56.25</v>
      </c>
    </row>
    <row r="37" spans="1:12" ht="15.75" thickBot="1">
      <c r="A37" s="110">
        <v>2011</v>
      </c>
      <c r="B37" s="110">
        <v>684.2</v>
      </c>
      <c r="C37" s="110">
        <v>713.8</v>
      </c>
      <c r="D37" s="110">
        <v>334.05</v>
      </c>
      <c r="E37" s="110">
        <v>335.25</v>
      </c>
      <c r="F37" s="111">
        <v>271405452</v>
      </c>
      <c r="G37" s="111">
        <v>5095603</v>
      </c>
      <c r="H37" s="111">
        <v>144009937280</v>
      </c>
      <c r="I37" s="111">
        <v>62437641</v>
      </c>
      <c r="J37" s="110">
        <v>23.01</v>
      </c>
      <c r="K37" s="110">
        <v>379.75</v>
      </c>
      <c r="L37" s="110">
        <v>-348.95</v>
      </c>
    </row>
    <row r="38" spans="1:12" ht="15.75" thickBot="1">
      <c r="A38" s="110">
        <v>2012</v>
      </c>
      <c r="B38" s="110">
        <v>339</v>
      </c>
      <c r="C38" s="110">
        <v>500.9</v>
      </c>
      <c r="D38" s="110">
        <v>332.35</v>
      </c>
      <c r="E38" s="110">
        <v>428.3</v>
      </c>
      <c r="F38" s="111">
        <v>230302514</v>
      </c>
      <c r="G38" s="111">
        <v>4385630</v>
      </c>
      <c r="H38" s="111">
        <v>97462882209</v>
      </c>
      <c r="I38" s="111">
        <v>44401849</v>
      </c>
      <c r="J38" s="110">
        <v>19.28</v>
      </c>
      <c r="K38" s="110">
        <v>168.55</v>
      </c>
      <c r="L38" s="110">
        <v>89.3</v>
      </c>
    </row>
    <row r="39" spans="1:12" ht="15.75" thickBot="1">
      <c r="A39" s="110">
        <v>2013</v>
      </c>
      <c r="B39" s="110">
        <v>431.1</v>
      </c>
      <c r="C39" s="110">
        <v>448.1</v>
      </c>
      <c r="D39" s="110">
        <v>195.4</v>
      </c>
      <c r="E39" s="110">
        <v>423.45</v>
      </c>
      <c r="F39" s="111">
        <v>238486489</v>
      </c>
      <c r="G39" s="111">
        <v>4535273</v>
      </c>
      <c r="H39" s="111">
        <v>75477639446</v>
      </c>
      <c r="I39" s="111">
        <v>50035678</v>
      </c>
      <c r="J39" s="110">
        <v>20.98</v>
      </c>
      <c r="K39" s="110">
        <v>252.7</v>
      </c>
      <c r="L39" s="110">
        <v>-7.65</v>
      </c>
    </row>
    <row r="40" spans="1:12" ht="15.75" thickBot="1">
      <c r="A40" s="110">
        <v>2014</v>
      </c>
      <c r="B40" s="110">
        <v>425</v>
      </c>
      <c r="C40" s="110">
        <v>578.6</v>
      </c>
      <c r="D40" s="110">
        <v>332.2</v>
      </c>
      <c r="E40" s="110">
        <v>459.95</v>
      </c>
      <c r="F40" s="111">
        <v>157426970</v>
      </c>
      <c r="G40" s="111">
        <v>4146265</v>
      </c>
      <c r="H40" s="111">
        <v>71249636846</v>
      </c>
      <c r="I40" s="111">
        <v>34745700</v>
      </c>
      <c r="J40" s="110">
        <v>22.07</v>
      </c>
      <c r="K40" s="110">
        <v>246.4</v>
      </c>
      <c r="L40" s="110">
        <v>34.950000000000003</v>
      </c>
    </row>
  </sheetData>
  <mergeCells count="12">
    <mergeCell ref="A11:B11"/>
    <mergeCell ref="A19:B19"/>
    <mergeCell ref="D13:K27"/>
    <mergeCell ref="I34:I35"/>
    <mergeCell ref="J34:J35"/>
    <mergeCell ref="K34:L34"/>
    <mergeCell ref="A34:A35"/>
    <mergeCell ref="B34:B35"/>
    <mergeCell ref="C34:C35"/>
    <mergeCell ref="D34:D35"/>
    <mergeCell ref="E34:E35"/>
    <mergeCell ref="H34:H35"/>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Master Data</vt:lpstr>
      <vt:lpstr>P&amp;L</vt:lpstr>
      <vt:lpstr>BS</vt:lpstr>
      <vt:lpstr>Cash Flow</vt:lpstr>
      <vt:lpstr>Ratio</vt:lpstr>
      <vt:lpstr>DCF</vt:lpstr>
      <vt:lpstr>Buffett Valuation</vt:lpstr>
      <vt:lpstr>Fair Value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2014-09-27T11:45:31Z</dcterms:modified>
</cp:coreProperties>
</file>