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 defaultThemeVersion="124226"/>
  <bookViews>
    <workbookView xWindow="600" yWindow="525" windowWidth="18495" windowHeight="7620"/>
  </bookViews>
  <sheets>
    <sheet name="Please read" sheetId="7" r:id="rId1"/>
    <sheet name="Daily Trade Details" sheetId="1" r:id="rId2"/>
    <sheet name="Summary" sheetId="3" r:id="rId3"/>
    <sheet name="Pivot" sheetId="5" r:id="rId4"/>
  </sheets>
  <definedNames>
    <definedName name="_xlnm._FilterDatabase" localSheetId="1" hidden="1">'Daily Trade Details'!$B$3:$N$25</definedName>
  </definedNames>
  <calcPr calcId="125725"/>
  <pivotCaches>
    <pivotCache cacheId="3" r:id="rId5"/>
  </pivotCaches>
</workbook>
</file>

<file path=xl/calcChain.xml><?xml version="1.0" encoding="utf-8"?>
<calcChain xmlns="http://schemas.openxmlformats.org/spreadsheetml/2006/main">
  <c r="D33" i="3"/>
  <c r="D32"/>
  <c r="N31" i="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D26" i="3"/>
  <c r="O58" i="1" l="1"/>
  <c r="Q58" s="1"/>
  <c r="P58"/>
  <c r="D34" i="3"/>
  <c r="D27"/>
  <c r="N26" i="1"/>
  <c r="N27"/>
  <c r="N28"/>
  <c r="N29"/>
  <c r="N30"/>
  <c r="N24"/>
  <c r="N25"/>
  <c r="N16"/>
  <c r="N17"/>
  <c r="N18"/>
  <c r="N19"/>
  <c r="N20"/>
  <c r="N21"/>
  <c r="N22"/>
  <c r="N23"/>
  <c r="H7" i="3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6"/>
  <c r="D5"/>
  <c r="C13"/>
  <c r="D4"/>
  <c r="G2" i="1"/>
  <c r="N5"/>
  <c r="N6"/>
  <c r="N7"/>
  <c r="N8"/>
  <c r="N9"/>
  <c r="N10"/>
  <c r="N11"/>
  <c r="N12"/>
  <c r="N13"/>
  <c r="N14"/>
  <c r="N15"/>
  <c r="N4"/>
  <c r="N2" s="1"/>
  <c r="O30" l="1"/>
  <c r="P30" s="1"/>
  <c r="Q30"/>
  <c r="O25"/>
  <c r="P25" s="1"/>
  <c r="H15" i="3"/>
  <c r="D28" s="1"/>
  <c r="D6"/>
  <c r="D20"/>
  <c r="O23" i="1"/>
  <c r="P23" s="1"/>
  <c r="I6" i="3"/>
  <c r="J6" s="1"/>
  <c r="J15" s="1"/>
  <c r="C8" s="1"/>
  <c r="D23" s="1"/>
  <c r="O15" i="1"/>
  <c r="P15" s="1"/>
  <c r="C10" i="3" l="1"/>
  <c r="C11"/>
  <c r="C12"/>
  <c r="D29"/>
  <c r="D21"/>
  <c r="D30"/>
  <c r="D31"/>
  <c r="C9"/>
  <c r="D14" l="1"/>
  <c r="D15" s="1"/>
  <c r="D24" s="1"/>
  <c r="D22" l="1"/>
</calcChain>
</file>

<file path=xl/sharedStrings.xml><?xml version="1.0" encoding="utf-8"?>
<sst xmlns="http://schemas.openxmlformats.org/spreadsheetml/2006/main" count="256" uniqueCount="96">
  <si>
    <t>Date</t>
  </si>
  <si>
    <t>Stock</t>
  </si>
  <si>
    <t>Action</t>
  </si>
  <si>
    <t>Qty</t>
  </si>
  <si>
    <t>Price</t>
  </si>
  <si>
    <t>Trade Value</t>
  </si>
  <si>
    <t>Brokerage incl. taxes</t>
  </si>
  <si>
    <t xml:space="preserve">Order Ref. </t>
  </si>
  <si>
    <t>Settlement</t>
  </si>
  <si>
    <t>Segment</t>
  </si>
  <si>
    <t>DP Id - Client DP Id</t>
  </si>
  <si>
    <t>Exchange</t>
  </si>
  <si>
    <t>Buy</t>
  </si>
  <si>
    <t>Sell</t>
  </si>
  <si>
    <t>Net</t>
  </si>
  <si>
    <t>Cumulative Profit / (Loss)</t>
  </si>
  <si>
    <t>Cumulative Turnover</t>
  </si>
  <si>
    <t>Turnover</t>
  </si>
  <si>
    <t>Gross Turnover</t>
  </si>
  <si>
    <t>Brokerage</t>
  </si>
  <si>
    <t>Stamp duty</t>
  </si>
  <si>
    <t>Brokerage in Margin &amp; Margin Plus</t>
  </si>
  <si>
    <t>Total Eligible Turnover per month</t>
  </si>
  <si>
    <t>Brokerage (%)</t>
  </si>
  <si>
    <t>Less Than Rs. 5 Cr</t>
  </si>
  <si>
    <t>Rs. 5 Cr to Rs. 10 Cr</t>
  </si>
  <si>
    <t>Rs.10 Cr to 20 Cr</t>
  </si>
  <si>
    <t xml:space="preserve">Above Rs. 20 Cr </t>
  </si>
  <si>
    <t>Brokerage Applicable</t>
  </si>
  <si>
    <t>Service Tax</t>
  </si>
  <si>
    <t xml:space="preserve">Service Tax </t>
  </si>
  <si>
    <t>Service Tax will be applicable @ 10.30% on the Brokerage</t>
  </si>
  <si>
    <t>Securities Transaction Tax</t>
  </si>
  <si>
    <t>STT is applicable @ 0.025% on Sale transaction</t>
  </si>
  <si>
    <t>SEBI Turnover charges</t>
  </si>
  <si>
    <t>Sebi Turnover Charges</t>
  </si>
  <si>
    <t>SEBI Turnover charges @ 0.00001% on the Turnover</t>
  </si>
  <si>
    <t>Transaction charges</t>
  </si>
  <si>
    <t>Brokerage Per month</t>
  </si>
  <si>
    <t>Month</t>
  </si>
  <si>
    <t>July'09</t>
  </si>
  <si>
    <t>what is total eligible turnover p m</t>
  </si>
  <si>
    <t>Brokerage %</t>
  </si>
  <si>
    <t>August'09</t>
  </si>
  <si>
    <t>Sept'09</t>
  </si>
  <si>
    <t>Oct'09</t>
  </si>
  <si>
    <t>Nov'09</t>
  </si>
  <si>
    <t>Dec'09</t>
  </si>
  <si>
    <t>Jan'10</t>
  </si>
  <si>
    <t>Feb'10</t>
  </si>
  <si>
    <t>Mar'10</t>
  </si>
  <si>
    <t>STT</t>
  </si>
  <si>
    <t>Gross Profit / (Loss)</t>
  </si>
  <si>
    <t>Less: Cost of Scrips Bought &amp; Sold</t>
  </si>
  <si>
    <t>Less:  Operating Expenses</t>
  </si>
  <si>
    <t>HDIL</t>
  </si>
  <si>
    <t>Row Labels</t>
  </si>
  <si>
    <t>(blank)</t>
  </si>
  <si>
    <t>Grand Total</t>
  </si>
  <si>
    <t>Sum of Net</t>
  </si>
  <si>
    <t>Actual</t>
  </si>
  <si>
    <t>Profitability %</t>
  </si>
  <si>
    <t>Operating Profit / (Loss)</t>
  </si>
  <si>
    <t>Sale Price / Bought Price Percentages</t>
  </si>
  <si>
    <t>Gross Margin / Sale Price Percentages</t>
  </si>
  <si>
    <t>Operating Margin / Sale Price Percentages</t>
  </si>
  <si>
    <t>Brokerage / Bought Price Percentages</t>
  </si>
  <si>
    <t>Operating Margin / Operating Expenses</t>
  </si>
  <si>
    <t>Percentages</t>
  </si>
  <si>
    <t>No of Trades</t>
  </si>
  <si>
    <t>Turnover per Trade</t>
  </si>
  <si>
    <t>Gross Profit Per Trade</t>
  </si>
  <si>
    <t>Turnover per Day</t>
  </si>
  <si>
    <t>Gross Profit Per Day</t>
  </si>
  <si>
    <t>No of Days Traded</t>
  </si>
  <si>
    <t>Other Calculations</t>
  </si>
  <si>
    <t>Values</t>
  </si>
  <si>
    <t>Received</t>
  </si>
  <si>
    <t>Debited</t>
  </si>
  <si>
    <t>Total no of days traded</t>
  </si>
  <si>
    <t>No of days ended in Profit</t>
  </si>
  <si>
    <t>No of days ended in Loss</t>
  </si>
  <si>
    <t>ABCD</t>
  </si>
  <si>
    <t>BCDE</t>
  </si>
  <si>
    <t>CDEF</t>
  </si>
  <si>
    <t>DEFG</t>
  </si>
  <si>
    <t>EFGH</t>
  </si>
  <si>
    <t>Intra Day Tracker</t>
  </si>
  <si>
    <t>This is an Intra day Tracker, to summarize in Detail, the turnover for the day, profit / loss etc</t>
  </si>
  <si>
    <t>Please update the Daily Trade Details sheet.</t>
  </si>
  <si>
    <t>The summary sheet gets updated accordingly with various MIS details for your own use</t>
  </si>
  <si>
    <t>Finally refresh the Pivot so that the Graph gets updated.</t>
  </si>
  <si>
    <t>Instructions for use</t>
  </si>
  <si>
    <t>All the Best for Trading - Venkat Rao Marella.</t>
  </si>
  <si>
    <t>venkatraomarella@gmail.com</t>
  </si>
  <si>
    <t>(Please note that the brokerage, stamp duty and other such expenses may vary in each case to marginal extent)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</si>
</sst>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000000%"/>
    <numFmt numFmtId="165" formatCode="[$-409]d\-mmm\-yy;@"/>
    <numFmt numFmtId="166" formatCode="0.0000%"/>
    <numFmt numFmtId="167" formatCode="_(* #,##0.0_);_(* \(#,##0.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4"/>
      <color theme="1"/>
      <name val="Monotype Corsiva"/>
      <family val="4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1282D"/>
      </left>
      <right/>
      <top style="thin">
        <color rgb="FF91282D"/>
      </top>
      <bottom style="thin">
        <color rgb="FF000000"/>
      </bottom>
      <diagonal/>
    </border>
    <border>
      <left/>
      <right style="thin">
        <color rgb="FF91282D"/>
      </right>
      <top style="thin">
        <color rgb="FF91282D"/>
      </top>
      <bottom style="thin">
        <color rgb="FF000000"/>
      </bottom>
      <diagonal/>
    </border>
    <border>
      <left style="thin">
        <color rgb="FF91282D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1282D"/>
      </right>
      <top style="thin">
        <color rgb="FF000000"/>
      </top>
      <bottom style="thin">
        <color rgb="FF000000"/>
      </bottom>
      <diagonal/>
    </border>
    <border>
      <left style="thin">
        <color rgb="FF91282D"/>
      </left>
      <right style="thin">
        <color rgb="FF000000"/>
      </right>
      <top style="thin">
        <color rgb="FF000000"/>
      </top>
      <bottom style="thin">
        <color rgb="FF91282D"/>
      </bottom>
      <diagonal/>
    </border>
    <border>
      <left style="thin">
        <color rgb="FF000000"/>
      </left>
      <right style="thin">
        <color rgb="FF91282D"/>
      </right>
      <top style="thin">
        <color rgb="FF000000"/>
      </top>
      <bottom style="thin">
        <color rgb="FF91282D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0" fillId="0" borderId="1" xfId="0" applyFill="1" applyBorder="1" applyAlignment="1">
      <alignment horizontal="center" vertical="center" wrapText="1"/>
    </xf>
    <xf numFmtId="43" fontId="0" fillId="0" borderId="0" xfId="0" applyNumberFormat="1"/>
    <xf numFmtId="43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right"/>
    </xf>
    <xf numFmtId="43" fontId="0" fillId="0" borderId="1" xfId="0" applyNumberFormat="1" applyBorder="1" applyProtection="1"/>
    <xf numFmtId="0" fontId="0" fillId="0" borderId="1" xfId="0" applyBorder="1" applyAlignment="1">
      <alignment horizontal="center"/>
    </xf>
    <xf numFmtId="43" fontId="0" fillId="0" borderId="8" xfId="1" applyFont="1" applyBorder="1"/>
    <xf numFmtId="0" fontId="0" fillId="0" borderId="1" xfId="0" applyBorder="1" applyAlignment="1">
      <alignment horizontal="left" indent="4"/>
    </xf>
    <xf numFmtId="0" fontId="0" fillId="0" borderId="13" xfId="0" applyBorder="1" applyAlignment="1">
      <alignment horizontal="left" indent="4"/>
    </xf>
    <xf numFmtId="0" fontId="0" fillId="2" borderId="5" xfId="0" applyFill="1" applyBorder="1"/>
    <xf numFmtId="43" fontId="0" fillId="2" borderId="6" xfId="1" applyFont="1" applyFill="1" applyBorder="1"/>
    <xf numFmtId="0" fontId="0" fillId="4" borderId="5" xfId="0" applyFill="1" applyBorder="1"/>
    <xf numFmtId="43" fontId="0" fillId="5" borderId="1" xfId="1" applyFont="1" applyFill="1" applyBorder="1"/>
    <xf numFmtId="43" fontId="0" fillId="5" borderId="13" xfId="1" applyFont="1" applyFill="1" applyBorder="1"/>
    <xf numFmtId="43" fontId="0" fillId="7" borderId="1" xfId="1" applyFont="1" applyFill="1" applyBorder="1"/>
    <xf numFmtId="0" fontId="2" fillId="3" borderId="9" xfId="0" applyFont="1" applyFill="1" applyBorder="1"/>
    <xf numFmtId="43" fontId="0" fillId="3" borderId="10" xfId="1" applyFont="1" applyFill="1" applyBorder="1"/>
    <xf numFmtId="0" fontId="3" fillId="0" borderId="16" xfId="0" applyFont="1" applyBorder="1" applyAlignment="1">
      <alignment wrapText="1"/>
    </xf>
    <xf numFmtId="0" fontId="3" fillId="0" borderId="18" xfId="0" applyFont="1" applyBorder="1" applyAlignment="1">
      <alignment wrapText="1"/>
    </xf>
    <xf numFmtId="43" fontId="3" fillId="0" borderId="17" xfId="1" applyFont="1" applyBorder="1" applyAlignment="1">
      <alignment horizontal="center" wrapText="1"/>
    </xf>
    <xf numFmtId="43" fontId="3" fillId="0" borderId="19" xfId="1" applyFont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43" fontId="2" fillId="6" borderId="20" xfId="0" applyNumberFormat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3" fontId="0" fillId="7" borderId="1" xfId="0" applyNumberFormat="1" applyFill="1" applyBorder="1" applyAlignment="1">
      <alignment horizontal="right"/>
    </xf>
    <xf numFmtId="0" fontId="5" fillId="0" borderId="0" xfId="0" applyFont="1"/>
    <xf numFmtId="43" fontId="0" fillId="2" borderId="8" xfId="1" applyFont="1" applyFill="1" applyBorder="1"/>
    <xf numFmtId="0" fontId="0" fillId="8" borderId="5" xfId="0" applyFill="1" applyBorder="1"/>
    <xf numFmtId="43" fontId="0" fillId="8" borderId="6" xfId="1" applyFont="1" applyFill="1" applyBorder="1"/>
    <xf numFmtId="43" fontId="0" fillId="8" borderId="4" xfId="1" applyFont="1" applyFill="1" applyBorder="1"/>
    <xf numFmtId="43" fontId="0" fillId="4" borderId="6" xfId="1" applyFont="1" applyFill="1" applyBorder="1"/>
    <xf numFmtId="43" fontId="0" fillId="4" borderId="8" xfId="1" applyFont="1" applyFill="1" applyBorder="1"/>
    <xf numFmtId="0" fontId="0" fillId="7" borderId="5" xfId="0" applyFill="1" applyBorder="1"/>
    <xf numFmtId="43" fontId="0" fillId="7" borderId="7" xfId="1" applyFont="1" applyFill="1" applyBorder="1"/>
    <xf numFmtId="43" fontId="0" fillId="7" borderId="11" xfId="1" applyFont="1" applyFill="1" applyBorder="1"/>
    <xf numFmtId="43" fontId="0" fillId="6" borderId="12" xfId="1" applyFont="1" applyFill="1" applyBorder="1"/>
    <xf numFmtId="10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4" fontId="0" fillId="0" borderId="0" xfId="0" applyNumberFormat="1"/>
    <xf numFmtId="0" fontId="0" fillId="0" borderId="0" xfId="0" applyFill="1" applyBorder="1" applyAlignment="1">
      <alignment horizontal="center" vertical="center" wrapText="1"/>
    </xf>
    <xf numFmtId="166" fontId="0" fillId="0" borderId="1" xfId="1" applyNumberFormat="1" applyFont="1" applyBorder="1"/>
    <xf numFmtId="166" fontId="0" fillId="0" borderId="1" xfId="0" applyNumberFormat="1" applyBorder="1"/>
    <xf numFmtId="0" fontId="0" fillId="9" borderId="2" xfId="0" applyFill="1" applyBorder="1"/>
    <xf numFmtId="0" fontId="0" fillId="9" borderId="4" xfId="0" applyFill="1" applyBorder="1"/>
    <xf numFmtId="0" fontId="0" fillId="9" borderId="1" xfId="0" applyFill="1" applyBorder="1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43" fontId="0" fillId="0" borderId="4" xfId="0" applyNumberFormat="1" applyBorder="1"/>
    <xf numFmtId="43" fontId="0" fillId="0" borderId="0" xfId="1" applyFont="1" applyBorder="1"/>
    <xf numFmtId="0" fontId="0" fillId="0" borderId="0" xfId="0" applyFill="1" applyBorder="1"/>
    <xf numFmtId="0" fontId="0" fillId="0" borderId="2" xfId="0" applyFill="1" applyBorder="1"/>
    <xf numFmtId="43" fontId="0" fillId="0" borderId="1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1" xfId="0" applyNumberFormat="1" applyBorder="1" applyAlignment="1" applyProtection="1">
      <alignment horizontal="center"/>
    </xf>
    <xf numFmtId="43" fontId="0" fillId="0" borderId="1" xfId="1" applyFont="1" applyBorder="1" applyAlignment="1"/>
    <xf numFmtId="43" fontId="0" fillId="0" borderId="0" xfId="1" applyFont="1" applyAlignment="1"/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6" fillId="0" borderId="0" xfId="2" applyAlignment="1" applyProtection="1"/>
    <xf numFmtId="0" fontId="7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4">
    <dxf>
      <numFmt numFmtId="165" formatCode="[$-409]d\-mmm\-yy;@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[$-409]d\-mmm\-yy;@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plotArea>
      <c:layout/>
      <c:pieChart>
        <c:varyColors val="1"/>
        <c:ser>
          <c:idx val="0"/>
          <c:order val="0"/>
          <c:cat>
            <c:strRef>
              <c:f>Summary!$B$8:$B$13</c:f>
              <c:strCache>
                <c:ptCount val="6"/>
                <c:pt idx="0">
                  <c:v>Brokerage</c:v>
                </c:pt>
                <c:pt idx="1">
                  <c:v>Service Tax</c:v>
                </c:pt>
                <c:pt idx="2">
                  <c:v>Stamp duty</c:v>
                </c:pt>
                <c:pt idx="3">
                  <c:v>SEBI Turnover charges</c:v>
                </c:pt>
                <c:pt idx="4">
                  <c:v>Transaction charges</c:v>
                </c:pt>
                <c:pt idx="5">
                  <c:v>STT</c:v>
                </c:pt>
              </c:strCache>
            </c:strRef>
          </c:cat>
          <c:val>
            <c:numRef>
              <c:f>Summary!$C$8:$C$13</c:f>
              <c:numCache>
                <c:formatCode>_(* #,##0.00_);_(* \(#,##0.00\);_(* "-"??_);_(@_)</c:formatCode>
                <c:ptCount val="6"/>
                <c:pt idx="0">
                  <c:v>1359.956275</c:v>
                </c:pt>
                <c:pt idx="1">
                  <c:v>140.07549632499999</c:v>
                </c:pt>
                <c:pt idx="2">
                  <c:v>54.398251000000002</c:v>
                </c:pt>
                <c:pt idx="3">
                  <c:v>0.27199125499999999</c:v>
                </c:pt>
                <c:pt idx="4">
                  <c:v>59.838076100000002</c:v>
                </c:pt>
                <c:pt idx="5">
                  <c:v>231.71838100000002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3"/>
  <c:pivotSource>
    <c:name>[Intraday Tracker.xlsx]Pivot!PivotTable1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Profit / Loss</a:t>
            </a:r>
          </a:p>
        </c:rich>
      </c:tx>
      <c:layout/>
    </c:title>
    <c:pivotFmts>
      <c:pivotFmt>
        <c:idx val="0"/>
      </c:pivotFmt>
    </c:pivotFmts>
    <c:plotArea>
      <c:layout/>
      <c:lineChart>
        <c:grouping val="stacked"/>
        <c:ser>
          <c:idx val="0"/>
          <c:order val="0"/>
          <c:tx>
            <c:strRef>
              <c:f>Pivot!$B$3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Pivot!$A$4:$A$10</c:f>
              <c:strCache>
                <c:ptCount val="6"/>
                <c:pt idx="0">
                  <c:v>7/15/2009</c:v>
                </c:pt>
                <c:pt idx="1">
                  <c:v>7/16/2009</c:v>
                </c:pt>
                <c:pt idx="2">
                  <c:v>7/17/2009</c:v>
                </c:pt>
                <c:pt idx="3">
                  <c:v>7/20/2009</c:v>
                </c:pt>
                <c:pt idx="4">
                  <c:v>7/21/2009</c:v>
                </c:pt>
                <c:pt idx="5">
                  <c:v>(blank)</c:v>
                </c:pt>
              </c:strCache>
            </c:strRef>
          </c:cat>
          <c:val>
            <c:numRef>
              <c:f>Pivot!$B$4:$B$10</c:f>
              <c:numCache>
                <c:formatCode>_(* #,##0.00_);_(* \(#,##0.00\);_(* "-"??_);_(@_)</c:formatCode>
                <c:ptCount val="6"/>
                <c:pt idx="0">
                  <c:v>527.35000000000582</c:v>
                </c:pt>
                <c:pt idx="1">
                  <c:v>-1084.5</c:v>
                </c:pt>
                <c:pt idx="2">
                  <c:v>825</c:v>
                </c:pt>
                <c:pt idx="3">
                  <c:v>766.69999999999709</c:v>
                </c:pt>
                <c:pt idx="4">
                  <c:v>5151.5</c:v>
                </c:pt>
              </c:numCache>
            </c:numRef>
          </c:val>
        </c:ser>
        <c:marker val="1"/>
        <c:axId val="75115520"/>
        <c:axId val="75121408"/>
      </c:lineChart>
      <c:catAx>
        <c:axId val="75115520"/>
        <c:scaling>
          <c:orientation val="minMax"/>
        </c:scaling>
        <c:axPos val="b"/>
        <c:tickLblPos val="nextTo"/>
        <c:crossAx val="75121408"/>
        <c:crosses val="autoZero"/>
        <c:auto val="1"/>
        <c:lblAlgn val="ctr"/>
        <c:lblOffset val="100"/>
      </c:catAx>
      <c:valAx>
        <c:axId val="75121408"/>
        <c:scaling>
          <c:orientation val="minMax"/>
        </c:scaling>
        <c:axPos val="l"/>
        <c:majorGridlines/>
        <c:numFmt formatCode="_(* #,##0.00_);_(* \(#,##0.00\);_(* &quot;-&quot;??_);_(@_)" sourceLinked="1"/>
        <c:tickLblPos val="nextTo"/>
        <c:crossAx val="75115520"/>
        <c:crosses val="autoZero"/>
        <c:crossBetween val="between"/>
      </c:valAx>
    </c:plotArea>
    <c:legend>
      <c:legendPos val="r"/>
      <c:layout/>
    </c:legend>
    <c:plotVisOnly val="1"/>
  </c:chart>
  <c:spPr>
    <a:gradFill rotWithShape="1">
      <a:gsLst>
        <a:gs pos="0">
          <a:schemeClr val="dk1">
            <a:tint val="50000"/>
            <a:satMod val="300000"/>
          </a:schemeClr>
        </a:gs>
        <a:gs pos="35000">
          <a:schemeClr val="dk1">
            <a:tint val="37000"/>
            <a:satMod val="300000"/>
          </a:schemeClr>
        </a:gs>
        <a:gs pos="100000">
          <a:schemeClr val="dk1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dk1">
          <a:shade val="95000"/>
          <a:satMod val="105000"/>
        </a:schemeClr>
      </a:solidFill>
      <a:prstDash val="solid"/>
    </a:ln>
    <a:effectLst>
      <a:outerShdw blurRad="40000" dist="20000" dir="5400000" rotWithShape="0">
        <a:srgbClr val="000000">
          <a:alpha val="38000"/>
        </a:srgb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5"/>
  <c:pivotSource>
    <c:name>[Intraday Tracker.xlsx]Pivot!PivotTable1</c:name>
    <c:fmtId val="4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Profit / Loss</a:t>
            </a:r>
          </a:p>
        </c:rich>
      </c:tx>
      <c:layout/>
    </c:title>
    <c:pivotFmts>
      <c:pivotFmt>
        <c:idx val="0"/>
      </c:pivotFmt>
      <c:pivotFmt>
        <c:idx val="1"/>
      </c:pivotFmt>
      <c:pivotFmt>
        <c:idx val="2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Pivot!$B$3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Pivot!$A$4:$A$10</c:f>
              <c:strCache>
                <c:ptCount val="6"/>
                <c:pt idx="0">
                  <c:v>7/15/2009</c:v>
                </c:pt>
                <c:pt idx="1">
                  <c:v>7/16/2009</c:v>
                </c:pt>
                <c:pt idx="2">
                  <c:v>7/17/2009</c:v>
                </c:pt>
                <c:pt idx="3">
                  <c:v>7/20/2009</c:v>
                </c:pt>
                <c:pt idx="4">
                  <c:v>7/21/2009</c:v>
                </c:pt>
                <c:pt idx="5">
                  <c:v>(blank)</c:v>
                </c:pt>
              </c:strCache>
            </c:strRef>
          </c:cat>
          <c:val>
            <c:numRef>
              <c:f>Pivot!$B$4:$B$10</c:f>
              <c:numCache>
                <c:formatCode>_(* #,##0.00_);_(* \(#,##0.00\);_(* "-"??_);_(@_)</c:formatCode>
                <c:ptCount val="6"/>
                <c:pt idx="0">
                  <c:v>527.35000000000582</c:v>
                </c:pt>
                <c:pt idx="1">
                  <c:v>-1084.5</c:v>
                </c:pt>
                <c:pt idx="2">
                  <c:v>825</c:v>
                </c:pt>
                <c:pt idx="3">
                  <c:v>766.69999999999709</c:v>
                </c:pt>
                <c:pt idx="4">
                  <c:v>5151.5</c:v>
                </c:pt>
              </c:numCache>
            </c:numRef>
          </c:val>
        </c:ser>
        <c:axId val="75506432"/>
        <c:axId val="75508352"/>
      </c:barChart>
      <c:catAx>
        <c:axId val="755064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 Axis</a:t>
                </a:r>
                <a:r>
                  <a:rPr lang="en-US" baseline="0"/>
                  <a:t> - Dates : Y Axis - Amount in Rs.</a:t>
                </a:r>
                <a:endParaRPr lang="en-US"/>
              </a:p>
            </c:rich>
          </c:tx>
          <c:layout/>
        </c:title>
        <c:tickLblPos val="nextTo"/>
        <c:crossAx val="75508352"/>
        <c:crosses val="autoZero"/>
        <c:auto val="1"/>
        <c:lblAlgn val="ctr"/>
        <c:lblOffset val="100"/>
      </c:catAx>
      <c:valAx>
        <c:axId val="75508352"/>
        <c:scaling>
          <c:orientation val="minMax"/>
        </c:scaling>
        <c:axPos val="l"/>
        <c:majorGridlines/>
        <c:numFmt formatCode="_(* #,##0.00_);_(* \(#,##0.00\);_(* &quot;-&quot;??_);_(@_)" sourceLinked="1"/>
        <c:tickLblPos val="nextTo"/>
        <c:crossAx val="75506432"/>
        <c:crosses val="autoZero"/>
        <c:crossBetween val="between"/>
      </c:valAx>
      <c:spPr>
        <a:solidFill>
          <a:sysClr val="window" lastClr="FFFFFF">
            <a:lumMod val="95000"/>
          </a:sysClr>
        </a:solidFill>
      </c:spPr>
    </c:plotArea>
    <c:legend>
      <c:legendPos val="r"/>
      <c:layout/>
    </c:legend>
    <c:plotVisOnly val="1"/>
  </c:chart>
  <c:spPr>
    <a:gradFill rotWithShape="1">
      <a:gsLst>
        <a:gs pos="0">
          <a:schemeClr val="dk1">
            <a:tint val="50000"/>
            <a:satMod val="300000"/>
          </a:schemeClr>
        </a:gs>
        <a:gs pos="35000">
          <a:schemeClr val="dk1">
            <a:tint val="37000"/>
            <a:satMod val="300000"/>
          </a:schemeClr>
        </a:gs>
        <a:gs pos="100000">
          <a:schemeClr val="dk1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dk1">
          <a:shade val="95000"/>
          <a:satMod val="105000"/>
        </a:schemeClr>
      </a:solidFill>
      <a:prstDash val="solid"/>
    </a:ln>
    <a:effectLst>
      <a:outerShdw blurRad="40000" dist="20000" dir="5400000" rotWithShape="0">
        <a:srgbClr val="000000">
          <a:alpha val="38000"/>
        </a:srgb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4</xdr:row>
      <xdr:rowOff>19050</xdr:rowOff>
    </xdr:from>
    <xdr:to>
      <xdr:col>18</xdr:col>
      <xdr:colOff>333375</xdr:colOff>
      <xdr:row>18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447674</xdr:colOff>
      <xdr:row>1</xdr:row>
      <xdr:rowOff>28575</xdr:rowOff>
    </xdr:from>
    <xdr:to>
      <xdr:col>17</xdr:col>
      <xdr:colOff>333374</xdr:colOff>
      <xdr:row>13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15</xdr:row>
      <xdr:rowOff>0</xdr:rowOff>
    </xdr:from>
    <xdr:to>
      <xdr:col>17</xdr:col>
      <xdr:colOff>333375</xdr:colOff>
      <xdr:row>27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enkatrao" refreshedDate="40042.711753240743" createdVersion="3" refreshedVersion="3" minRefreshableVersion="3" recordCount="94">
  <cacheSource type="worksheet">
    <worksheetSource ref="A3:N1048576" sheet="Daily Trade Details"/>
  </cacheSource>
  <cacheFields count="14">
    <cacheField name="Month" numFmtId="0">
      <sharedItems containsBlank="1"/>
    </cacheField>
    <cacheField name="Date" numFmtId="0">
      <sharedItems containsNonDate="0" containsDate="1" containsString="0" containsBlank="1" minDate="2009-07-15T00:00:00" maxDate="2009-07-31T00:00:00" count="10">
        <d v="2009-07-15T00:00:00"/>
        <d v="2009-07-16T00:00:00"/>
        <d v="2009-07-17T00:00:00"/>
        <d v="2009-07-20T00:00:00"/>
        <d v="2009-07-21T00:00:00"/>
        <m/>
        <d v="2009-07-24T00:00:00" u="1"/>
        <d v="2009-07-30T00:00:00" u="1"/>
        <d v="2009-07-22T00:00:00" u="1"/>
        <d v="2009-07-23T00:00:00" u="1"/>
      </sharedItems>
    </cacheField>
    <cacheField name="Stock" numFmtId="0">
      <sharedItems containsBlank="1"/>
    </cacheField>
    <cacheField name="Action" numFmtId="0">
      <sharedItems containsBlank="1"/>
    </cacheField>
    <cacheField name="Qty" numFmtId="0">
      <sharedItems containsString="0" containsBlank="1" containsNumber="1" containsInteger="1" minValue="10" maxValue="1000"/>
    </cacheField>
    <cacheField name="Price" numFmtId="43">
      <sharedItems containsString="0" containsBlank="1" containsNumber="1" minValue="54.1" maxValue="325.10000000000002"/>
    </cacheField>
    <cacheField name="Trade Value" numFmtId="43">
      <sharedItems containsString="0" containsBlank="1" containsNumber="1" minValue="2280" maxValue="172875"/>
    </cacheField>
    <cacheField name="Brokerage incl. taxes" numFmtId="43">
      <sharedItems containsString="0" containsBlank="1" containsNumber="1" containsInteger="1" minValue="0" maxValue="0"/>
    </cacheField>
    <cacheField name="Order Ref. " numFmtId="0">
      <sharedItems containsNonDate="0" containsString="0" containsBlank="1"/>
    </cacheField>
    <cacheField name="Settlement" numFmtId="0">
      <sharedItems containsNonDate="0" containsString="0" containsBlank="1"/>
    </cacheField>
    <cacheField name="Segment" numFmtId="0">
      <sharedItems containsNonDate="0" containsString="0" containsBlank="1"/>
    </cacheField>
    <cacheField name="DP Id - Client DP Id" numFmtId="0">
      <sharedItems containsNonDate="0" containsString="0" containsBlank="1"/>
    </cacheField>
    <cacheField name="Exchange" numFmtId="0">
      <sharedItems containsNonDate="0" containsString="0" containsBlank="1"/>
    </cacheField>
    <cacheField name="Net" numFmtId="0">
      <sharedItems containsString="0" containsBlank="1" containsNumber="1" minValue="-172875" maxValue="16219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4">
  <r>
    <s v="July'09"/>
    <x v="0"/>
    <s v="ABCD"/>
    <s v="Buy"/>
    <n v="1000"/>
    <n v="54.1"/>
    <n v="54100"/>
    <n v="0"/>
    <m/>
    <m/>
    <m/>
    <m/>
    <m/>
    <n v="-54100"/>
  </r>
  <r>
    <s v="July'09"/>
    <x v="0"/>
    <s v="ABCD"/>
    <s v="Sell"/>
    <n v="1000"/>
    <n v="54.25"/>
    <n v="54250"/>
    <n v="0"/>
    <m/>
    <m/>
    <m/>
    <m/>
    <m/>
    <n v="54250"/>
  </r>
  <r>
    <s v="July'09"/>
    <x v="0"/>
    <s v="ABCD"/>
    <s v="Buy"/>
    <n v="1000"/>
    <n v="54.16"/>
    <n v="54159.95"/>
    <n v="0"/>
    <m/>
    <m/>
    <m/>
    <m/>
    <m/>
    <n v="-54159.95"/>
  </r>
  <r>
    <s v="July'09"/>
    <x v="0"/>
    <s v="ABCD"/>
    <s v="Sell"/>
    <n v="1000"/>
    <n v="54.57"/>
    <n v="54574.8"/>
    <n v="0"/>
    <m/>
    <m/>
    <m/>
    <m/>
    <m/>
    <n v="54574.8"/>
  </r>
  <r>
    <s v="July'09"/>
    <x v="0"/>
    <s v="ABCD"/>
    <s v="Buy"/>
    <n v="1000"/>
    <n v="54.65"/>
    <n v="54650"/>
    <n v="0"/>
    <m/>
    <m/>
    <m/>
    <m/>
    <m/>
    <n v="-54650"/>
  </r>
  <r>
    <s v="July'09"/>
    <x v="0"/>
    <s v="ABCD"/>
    <s v="Sell"/>
    <n v="1000"/>
    <n v="54.75"/>
    <n v="54750"/>
    <n v="0"/>
    <m/>
    <m/>
    <m/>
    <m/>
    <m/>
    <n v="54750"/>
  </r>
  <r>
    <s v="July'09"/>
    <x v="0"/>
    <s v="ABCD"/>
    <s v="Buy"/>
    <n v="1000"/>
    <n v="54.64"/>
    <n v="54637.5"/>
    <n v="0"/>
    <m/>
    <m/>
    <m/>
    <m/>
    <m/>
    <n v="-54637.5"/>
  </r>
  <r>
    <s v="July'09"/>
    <x v="0"/>
    <s v="ABCD"/>
    <s v="Sell"/>
    <n v="1000"/>
    <n v="54.8"/>
    <n v="54800"/>
    <n v="0"/>
    <m/>
    <m/>
    <m/>
    <m/>
    <m/>
    <n v="54800"/>
  </r>
  <r>
    <s v="July'09"/>
    <x v="0"/>
    <s v="ABCD"/>
    <s v="Buy"/>
    <n v="1000"/>
    <n v="54.85"/>
    <n v="54850"/>
    <n v="0"/>
    <m/>
    <m/>
    <m/>
    <m/>
    <m/>
    <n v="-54850"/>
  </r>
  <r>
    <s v="July'09"/>
    <x v="0"/>
    <s v="ABCD"/>
    <s v="Sell"/>
    <n v="1000"/>
    <n v="54.35"/>
    <n v="54350"/>
    <n v="0"/>
    <m/>
    <m/>
    <m/>
    <m/>
    <m/>
    <n v="54350"/>
  </r>
  <r>
    <s v="July'09"/>
    <x v="0"/>
    <s v="ABCD"/>
    <s v="Sell"/>
    <n v="1000"/>
    <n v="54.7"/>
    <n v="54700"/>
    <n v="0"/>
    <m/>
    <m/>
    <m/>
    <m/>
    <m/>
    <n v="54700"/>
  </r>
  <r>
    <s v="July'09"/>
    <x v="0"/>
    <s v="ABCD"/>
    <s v="Buy"/>
    <n v="1000"/>
    <n v="54.5"/>
    <n v="54500"/>
    <n v="0"/>
    <m/>
    <m/>
    <m/>
    <m/>
    <m/>
    <n v="-54500"/>
  </r>
  <r>
    <s v="July'09"/>
    <x v="1"/>
    <s v="BCDE"/>
    <s v="Buy"/>
    <n v="700"/>
    <n v="98.2"/>
    <n v="68740"/>
    <n v="0"/>
    <m/>
    <m/>
    <m/>
    <m/>
    <m/>
    <n v="-68740"/>
  </r>
  <r>
    <s v="July'09"/>
    <x v="1"/>
    <s v="BCDE"/>
    <s v="Sell"/>
    <n v="150"/>
    <n v="96.89"/>
    <n v="14534"/>
    <n v="0"/>
    <m/>
    <m/>
    <m/>
    <m/>
    <m/>
    <n v="14534"/>
  </r>
  <r>
    <s v="July'09"/>
    <x v="1"/>
    <s v="BCDE"/>
    <s v="Buy"/>
    <n v="150"/>
    <n v="96.75"/>
    <n v="14512.5"/>
    <n v="0"/>
    <m/>
    <m/>
    <m/>
    <m/>
    <m/>
    <n v="-14512.5"/>
  </r>
  <r>
    <s v="July'09"/>
    <x v="1"/>
    <s v="BCDE"/>
    <s v="Sell"/>
    <n v="150"/>
    <n v="208.05"/>
    <n v="31207.5"/>
    <n v="0"/>
    <m/>
    <m/>
    <m/>
    <m/>
    <m/>
    <n v="31207.5"/>
  </r>
  <r>
    <s v="July'09"/>
    <x v="1"/>
    <s v="BCDE"/>
    <s v="Buy"/>
    <n v="150"/>
    <n v="206"/>
    <n v="30900"/>
    <n v="0"/>
    <m/>
    <m/>
    <m/>
    <m/>
    <m/>
    <n v="-30900"/>
  </r>
  <r>
    <s v="July'09"/>
    <x v="1"/>
    <s v="BCDE"/>
    <s v="Sell"/>
    <n v="700"/>
    <n v="96.37"/>
    <n v="67456.95"/>
    <n v="0"/>
    <m/>
    <m/>
    <m/>
    <m/>
    <m/>
    <n v="67456.95"/>
  </r>
  <r>
    <s v="July'09"/>
    <x v="1"/>
    <s v="BCDE"/>
    <s v="Buy"/>
    <n v="200"/>
    <n v="325.10000000000002"/>
    <n v="65020"/>
    <n v="0"/>
    <m/>
    <m/>
    <m/>
    <m/>
    <m/>
    <n v="-65020"/>
  </r>
  <r>
    <s v="July'09"/>
    <x v="1"/>
    <s v="BCDE"/>
    <s v="Sell"/>
    <n v="200"/>
    <n v="324.45"/>
    <n v="64889.55"/>
    <n v="0"/>
    <m/>
    <m/>
    <m/>
    <m/>
    <m/>
    <n v="64889.55"/>
  </r>
  <r>
    <s v="July'09"/>
    <x v="2"/>
    <s v="CDEF"/>
    <s v="Buy"/>
    <n v="250"/>
    <n v="222.7"/>
    <n v="55675"/>
    <n v="0"/>
    <m/>
    <m/>
    <m/>
    <m/>
    <m/>
    <n v="-55675"/>
  </r>
  <r>
    <s v="July'09"/>
    <x v="2"/>
    <s v="CDEF"/>
    <s v="Sell"/>
    <n v="250"/>
    <n v="226"/>
    <n v="56500"/>
    <n v="0"/>
    <m/>
    <m/>
    <m/>
    <m/>
    <m/>
    <n v="56500"/>
  </r>
  <r>
    <s v="July'09"/>
    <x v="3"/>
    <s v="DEFG"/>
    <s v="Buy"/>
    <n v="250"/>
    <n v="231"/>
    <n v="57750"/>
    <n v="0"/>
    <m/>
    <m/>
    <m/>
    <m/>
    <m/>
    <n v="-57750"/>
  </r>
  <r>
    <s v="July'09"/>
    <x v="3"/>
    <s v="DEFG"/>
    <s v="Buy"/>
    <n v="74"/>
    <n v="233.45"/>
    <n v="17275.3"/>
    <n v="0"/>
    <m/>
    <m/>
    <m/>
    <m/>
    <m/>
    <n v="-17275.3"/>
  </r>
  <r>
    <s v="July'09"/>
    <x v="3"/>
    <s v="DEFG"/>
    <s v="Buy"/>
    <n v="100"/>
    <n v="229.2"/>
    <n v="22920"/>
    <n v="0"/>
    <m/>
    <m/>
    <m/>
    <m/>
    <m/>
    <n v="-22920"/>
  </r>
  <r>
    <s v="July'09"/>
    <x v="3"/>
    <s v="DEFG"/>
    <s v="Sell"/>
    <n v="100"/>
    <n v="232.2"/>
    <n v="23220"/>
    <n v="0"/>
    <m/>
    <m/>
    <m/>
    <m/>
    <m/>
    <n v="23220"/>
  </r>
  <r>
    <s v="July'09"/>
    <x v="3"/>
    <s v="DEFG"/>
    <s v="Sell"/>
    <n v="324"/>
    <n v="233"/>
    <n v="75492"/>
    <n v="0"/>
    <m/>
    <m/>
    <m/>
    <m/>
    <m/>
    <n v="75492"/>
  </r>
  <r>
    <s v="July'09"/>
    <x v="4"/>
    <s v="EFGH"/>
    <s v="Buy"/>
    <n v="250"/>
    <n v="229.75"/>
    <n v="57437.5"/>
    <n v="0"/>
    <m/>
    <m/>
    <m/>
    <m/>
    <m/>
    <n v="-57437.5"/>
  </r>
  <r>
    <s v="July'09"/>
    <x v="4"/>
    <s v="EFGH"/>
    <s v="Buy"/>
    <n v="220"/>
    <n v="229.65"/>
    <n v="50523"/>
    <n v="0"/>
    <m/>
    <m/>
    <m/>
    <m/>
    <m/>
    <n v="-50523"/>
  </r>
  <r>
    <s v="July'09"/>
    <x v="4"/>
    <s v="EFGH"/>
    <s v="Buy"/>
    <n v="50"/>
    <n v="228.8"/>
    <n v="11440"/>
    <n v="0"/>
    <m/>
    <m/>
    <m/>
    <m/>
    <m/>
    <n v="-11440"/>
  </r>
  <r>
    <s v="July'09"/>
    <x v="4"/>
    <s v="EFGH"/>
    <s v="Buy"/>
    <n v="50"/>
    <n v="228.3"/>
    <n v="11415"/>
    <n v="0"/>
    <m/>
    <m/>
    <m/>
    <m/>
    <m/>
    <n v="-11415"/>
  </r>
  <r>
    <s v="July'09"/>
    <x v="4"/>
    <s v="EFGH"/>
    <s v="Buy"/>
    <n v="10"/>
    <n v="228"/>
    <n v="2280"/>
    <n v="0"/>
    <m/>
    <m/>
    <m/>
    <m/>
    <m/>
    <n v="-2280"/>
  </r>
  <r>
    <s v="July'09"/>
    <x v="4"/>
    <s v="EFGH"/>
    <s v="Sell"/>
    <n v="200"/>
    <n v="231"/>
    <n v="46200"/>
    <n v="0"/>
    <m/>
    <m/>
    <m/>
    <m/>
    <m/>
    <n v="46200"/>
  </r>
  <r>
    <s v="July'09"/>
    <x v="4"/>
    <s v="EFGH"/>
    <s v="Sell"/>
    <n v="10"/>
    <n v="234"/>
    <n v="2340"/>
    <n v="0"/>
    <m/>
    <m/>
    <m/>
    <m/>
    <m/>
    <n v="2340"/>
  </r>
  <r>
    <s v="July'09"/>
    <x v="4"/>
    <s v="EFGH"/>
    <s v="Buy"/>
    <n v="100"/>
    <n v="229.1"/>
    <n v="22910"/>
    <n v="0"/>
    <m/>
    <m/>
    <m/>
    <m/>
    <m/>
    <n v="-22910"/>
  </r>
  <r>
    <s v="July'09"/>
    <x v="4"/>
    <s v="EFGH"/>
    <s v="Sell"/>
    <n v="100"/>
    <n v="231"/>
    <n v="23100"/>
    <n v="0"/>
    <m/>
    <m/>
    <m/>
    <m/>
    <m/>
    <n v="23100"/>
  </r>
  <r>
    <s v="July'09"/>
    <x v="4"/>
    <s v="EFGH"/>
    <s v="Sell"/>
    <n v="230"/>
    <n v="231.5"/>
    <n v="53245"/>
    <n v="0"/>
    <m/>
    <m/>
    <m/>
    <m/>
    <m/>
    <n v="53245"/>
  </r>
  <r>
    <s v="July'09"/>
    <x v="4"/>
    <s v="EFGH"/>
    <s v="Sell"/>
    <n v="140"/>
    <n v="231.3"/>
    <n v="32382"/>
    <n v="0"/>
    <m/>
    <m/>
    <m/>
    <m/>
    <m/>
    <n v="32382"/>
  </r>
  <r>
    <s v="July'09"/>
    <x v="4"/>
    <s v="EFGH"/>
    <s v="Buy"/>
    <n v="200"/>
    <n v="229.5"/>
    <n v="45900"/>
    <n v="0"/>
    <m/>
    <m/>
    <m/>
    <m/>
    <m/>
    <n v="-45900"/>
  </r>
  <r>
    <s v="July'09"/>
    <x v="4"/>
    <s v="EFGH"/>
    <s v="Buy"/>
    <n v="50"/>
    <n v="229.75"/>
    <n v="11487.5"/>
    <n v="0"/>
    <m/>
    <m/>
    <m/>
    <m/>
    <m/>
    <n v="-11487.5"/>
  </r>
  <r>
    <s v="July'09"/>
    <x v="4"/>
    <s v="EFGH"/>
    <s v="Sell"/>
    <n v="200"/>
    <n v="231"/>
    <n v="46200"/>
    <n v="0"/>
    <m/>
    <m/>
    <m/>
    <m/>
    <m/>
    <n v="46200"/>
  </r>
  <r>
    <s v="July'09"/>
    <x v="4"/>
    <s v="EFGH"/>
    <s v="Buy"/>
    <n v="100"/>
    <n v="229.55"/>
    <n v="22955"/>
    <n v="0"/>
    <m/>
    <m/>
    <m/>
    <m/>
    <m/>
    <n v="-22955"/>
  </r>
  <r>
    <s v="July'09"/>
    <x v="4"/>
    <s v="EFGH"/>
    <s v="Sell"/>
    <n v="150"/>
    <n v="230.55"/>
    <n v="34582.5"/>
    <n v="0"/>
    <m/>
    <m/>
    <m/>
    <m/>
    <m/>
    <n v="34582.5"/>
  </r>
  <r>
    <s v="July'09"/>
    <x v="4"/>
    <s v="EFGH"/>
    <s v="Sell"/>
    <n v="400"/>
    <n v="233.5"/>
    <n v="93400"/>
    <n v="0"/>
    <m/>
    <m/>
    <m/>
    <m/>
    <m/>
    <n v="93400"/>
  </r>
  <r>
    <s v="July'09"/>
    <x v="4"/>
    <s v="EFGH"/>
    <s v="Sell"/>
    <n v="150"/>
    <n v="234"/>
    <n v="35100"/>
    <n v="0"/>
    <m/>
    <m/>
    <m/>
    <m/>
    <m/>
    <n v="35100"/>
  </r>
  <r>
    <s v="July'09"/>
    <x v="4"/>
    <s v="EFGH"/>
    <s v="Buy"/>
    <n v="550"/>
    <n v="231"/>
    <n v="127050"/>
    <n v="0"/>
    <m/>
    <m/>
    <m/>
    <m/>
    <m/>
    <n v="-127050"/>
  </r>
  <r>
    <s v="July'09"/>
    <x v="4"/>
    <s v="EFGH"/>
    <s v="Buy"/>
    <n v="550"/>
    <n v="229.9"/>
    <n v="126445"/>
    <n v="0"/>
    <m/>
    <m/>
    <m/>
    <m/>
    <m/>
    <n v="-126445"/>
  </r>
  <r>
    <s v="July'09"/>
    <x v="4"/>
    <s v="EFGH"/>
    <s v="Sell"/>
    <n v="550"/>
    <n v="231.5"/>
    <n v="127325"/>
    <n v="0"/>
    <m/>
    <m/>
    <m/>
    <m/>
    <m/>
    <n v="127325"/>
  </r>
  <r>
    <s v="July'09"/>
    <x v="4"/>
    <s v="EFGH"/>
    <s v="Buy"/>
    <n v="50"/>
    <n v="229.6"/>
    <n v="11480"/>
    <n v="0"/>
    <m/>
    <m/>
    <m/>
    <m/>
    <m/>
    <n v="-11480"/>
  </r>
  <r>
    <s v="July'09"/>
    <x v="4"/>
    <s v="EFGH"/>
    <s v="Sell"/>
    <n v="50"/>
    <n v="231.5"/>
    <n v="11575"/>
    <n v="0"/>
    <m/>
    <m/>
    <m/>
    <m/>
    <m/>
    <n v="11575"/>
  </r>
  <r>
    <s v="July'09"/>
    <x v="4"/>
    <s v="EFGH"/>
    <s v="Buy"/>
    <n v="100"/>
    <n v="229.75"/>
    <n v="22975"/>
    <n v="0"/>
    <m/>
    <m/>
    <m/>
    <m/>
    <m/>
    <n v="-22975"/>
  </r>
  <r>
    <s v="July'09"/>
    <x v="4"/>
    <s v="EFGH"/>
    <s v="Sell"/>
    <n v="100"/>
    <n v="231"/>
    <n v="23100"/>
    <n v="0"/>
    <m/>
    <m/>
    <m/>
    <m/>
    <m/>
    <n v="23100"/>
  </r>
  <r>
    <s v="July'09"/>
    <x v="4"/>
    <s v="EFGH"/>
    <s v="Sell"/>
    <n v="700"/>
    <n v="231.7"/>
    <n v="162190"/>
    <n v="0"/>
    <m/>
    <m/>
    <m/>
    <m/>
    <m/>
    <n v="162190"/>
  </r>
  <r>
    <s v="July'09"/>
    <x v="4"/>
    <s v="EFGH"/>
    <s v="Sell"/>
    <n v="50"/>
    <n v="231.7"/>
    <n v="11585"/>
    <n v="0"/>
    <m/>
    <m/>
    <m/>
    <m/>
    <m/>
    <n v="11585"/>
  </r>
  <r>
    <s v="July'09"/>
    <x v="4"/>
    <s v="HDIL"/>
    <s v="Buy"/>
    <n v="750"/>
    <n v="230.5"/>
    <n v="172875"/>
    <n v="0"/>
    <m/>
    <m/>
    <m/>
    <m/>
    <m/>
    <n v="-172875"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  <r>
    <m/>
    <x v="5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5">
  <location ref="A3:B10" firstHeaderRow="1" firstDataRow="1" firstDataCol="1"/>
  <pivotFields count="14">
    <pivotField showAll="0"/>
    <pivotField axis="axisRow" showAll="0">
      <items count="11">
        <item x="0"/>
        <item x="1"/>
        <item x="2"/>
        <item x="3"/>
        <item x="4"/>
        <item m="1" x="8"/>
        <item m="1" x="9"/>
        <item m="1" x="6"/>
        <item m="1" x="7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9"/>
    </i>
    <i t="grand">
      <x/>
    </i>
  </rowItems>
  <colItems count="1">
    <i/>
  </colItems>
  <dataFields count="1">
    <dataField name="Sum of Net" fld="13" baseField="0" baseItem="0" numFmtId="43"/>
  </dataFields>
  <formats count="2">
    <format dxfId="3">
      <pivotArea dataOnly="0" labelOnly="1" fieldPosition="0">
        <references count="1">
          <reference field="1" count="0"/>
        </references>
      </pivotArea>
    </format>
    <format dxfId="2">
      <pivotArea outline="0" collapsedLevelsAreSubtotals="1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katraomarell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2"/>
  <sheetViews>
    <sheetView showGridLines="0" tabSelected="1" workbookViewId="0">
      <selection activeCell="B1" sqref="B1"/>
    </sheetView>
  </sheetViews>
  <sheetFormatPr defaultRowHeight="15"/>
  <cols>
    <col min="2" max="2" width="3.140625" customWidth="1"/>
  </cols>
  <sheetData>
    <row r="2" spans="2:3">
      <c r="B2" s="33" t="s">
        <v>92</v>
      </c>
    </row>
    <row r="4" spans="2:3">
      <c r="B4">
        <v>1</v>
      </c>
      <c r="C4" t="s">
        <v>88</v>
      </c>
    </row>
    <row r="5" spans="2:3">
      <c r="B5">
        <v>2</v>
      </c>
      <c r="C5" t="s">
        <v>89</v>
      </c>
    </row>
    <row r="6" spans="2:3">
      <c r="B6">
        <v>3</v>
      </c>
      <c r="C6" t="s">
        <v>90</v>
      </c>
    </row>
    <row r="7" spans="2:3">
      <c r="B7">
        <v>4</v>
      </c>
      <c r="C7" t="s">
        <v>91</v>
      </c>
    </row>
    <row r="9" spans="2:3">
      <c r="C9" t="s">
        <v>93</v>
      </c>
    </row>
    <row r="10" spans="2:3">
      <c r="C10" s="80" t="s">
        <v>94</v>
      </c>
    </row>
    <row r="12" spans="2:3">
      <c r="C12" s="81" t="s">
        <v>95</v>
      </c>
    </row>
  </sheetData>
  <hyperlinks>
    <hyperlink ref="C10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8"/>
  <sheetViews>
    <sheetView showGridLines="0" workbookViewId="0">
      <pane ySplit="3" topLeftCell="A4" activePane="bottomLeft" state="frozen"/>
      <selection pane="bottomLeft" activeCell="C2" sqref="C2"/>
    </sheetView>
  </sheetViews>
  <sheetFormatPr defaultRowHeight="15"/>
  <cols>
    <col min="3" max="5" width="9.140625" style="67"/>
    <col min="6" max="6" width="9.140625" style="74"/>
    <col min="7" max="7" width="16.42578125" style="77" customWidth="1"/>
    <col min="8" max="8" width="13.5703125" style="5" customWidth="1"/>
    <col min="9" max="9" width="21.5703125" style="67" customWidth="1"/>
    <col min="10" max="10" width="12.28515625" style="67" customWidth="1"/>
    <col min="11" max="11" width="9.140625" style="67"/>
    <col min="12" max="12" width="22.85546875" style="67" customWidth="1"/>
    <col min="13" max="13" width="9.140625" style="67"/>
    <col min="14" max="14" width="14" customWidth="1"/>
    <col min="15" max="15" width="13" customWidth="1"/>
    <col min="17" max="17" width="10.42578125" customWidth="1"/>
  </cols>
  <sheetData>
    <row r="1" spans="1:17">
      <c r="C1"/>
      <c r="D1"/>
      <c r="E1"/>
      <c r="F1"/>
      <c r="G1"/>
      <c r="H1" s="7"/>
      <c r="I1" s="7"/>
      <c r="J1"/>
      <c r="K1"/>
      <c r="L1"/>
      <c r="M1"/>
    </row>
    <row r="2" spans="1:17">
      <c r="C2"/>
      <c r="D2"/>
      <c r="E2"/>
      <c r="F2"/>
      <c r="G2" s="75">
        <f>SUBTOTAL(9,G4:G1048576)</f>
        <v>2719912.55</v>
      </c>
      <c r="H2" s="12"/>
      <c r="I2" s="13" t="s">
        <v>16</v>
      </c>
      <c r="J2"/>
      <c r="K2" s="9" t="s">
        <v>15</v>
      </c>
      <c r="L2" s="10"/>
      <c r="M2" s="11"/>
      <c r="N2" s="14">
        <f>SUBTOTAL(9,N4:N1048576)</f>
        <v>6186.0499999999884</v>
      </c>
    </row>
    <row r="3" spans="1:17" ht="30">
      <c r="A3" s="1" t="s">
        <v>39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6" t="s">
        <v>14</v>
      </c>
      <c r="Q3" s="60" t="s">
        <v>60</v>
      </c>
    </row>
    <row r="4" spans="1:17">
      <c r="A4" s="15" t="s">
        <v>40</v>
      </c>
      <c r="B4" s="2">
        <v>40009</v>
      </c>
      <c r="C4" s="15" t="s">
        <v>82</v>
      </c>
      <c r="D4" s="15" t="s">
        <v>12</v>
      </c>
      <c r="E4" s="15">
        <v>1000</v>
      </c>
      <c r="F4" s="73">
        <v>54.1</v>
      </c>
      <c r="G4" s="76">
        <v>54100</v>
      </c>
      <c r="H4" s="4">
        <v>0</v>
      </c>
      <c r="I4" s="15"/>
      <c r="J4" s="15"/>
      <c r="K4" s="15"/>
      <c r="L4" s="15"/>
      <c r="M4" s="15"/>
      <c r="N4" s="4">
        <f>IF(D4="BUY",-G4,G4)</f>
        <v>-54100</v>
      </c>
    </row>
    <row r="5" spans="1:17">
      <c r="A5" s="15" t="s">
        <v>40</v>
      </c>
      <c r="B5" s="2">
        <v>40009</v>
      </c>
      <c r="C5" s="15" t="s">
        <v>82</v>
      </c>
      <c r="D5" s="15" t="s">
        <v>13</v>
      </c>
      <c r="E5" s="15">
        <v>1000</v>
      </c>
      <c r="F5" s="73">
        <v>54.25</v>
      </c>
      <c r="G5" s="76">
        <v>54250</v>
      </c>
      <c r="H5" s="4">
        <v>0</v>
      </c>
      <c r="I5" s="15"/>
      <c r="J5" s="15"/>
      <c r="K5" s="15"/>
      <c r="L5" s="15"/>
      <c r="M5" s="15"/>
      <c r="N5" s="4">
        <f t="shared" ref="N5:N58" si="0">IF(D5="BUY",-G5,G5)</f>
        <v>54250</v>
      </c>
      <c r="O5" s="7"/>
    </row>
    <row r="6" spans="1:17">
      <c r="A6" s="15" t="s">
        <v>40</v>
      </c>
      <c r="B6" s="2">
        <v>40009</v>
      </c>
      <c r="C6" s="15" t="s">
        <v>82</v>
      </c>
      <c r="D6" s="15" t="s">
        <v>12</v>
      </c>
      <c r="E6" s="15">
        <v>1000</v>
      </c>
      <c r="F6" s="73">
        <v>54.16</v>
      </c>
      <c r="G6" s="76">
        <v>54159.95</v>
      </c>
      <c r="H6" s="4">
        <v>0</v>
      </c>
      <c r="I6" s="15"/>
      <c r="J6" s="15"/>
      <c r="K6" s="15"/>
      <c r="L6" s="15"/>
      <c r="M6" s="15"/>
      <c r="N6" s="4">
        <f t="shared" si="0"/>
        <v>-54159.95</v>
      </c>
    </row>
    <row r="7" spans="1:17">
      <c r="A7" s="15" t="s">
        <v>40</v>
      </c>
      <c r="B7" s="2">
        <v>40009</v>
      </c>
      <c r="C7" s="15" t="s">
        <v>82</v>
      </c>
      <c r="D7" s="15" t="s">
        <v>13</v>
      </c>
      <c r="E7" s="15">
        <v>1000</v>
      </c>
      <c r="F7" s="73">
        <v>54.57</v>
      </c>
      <c r="G7" s="76">
        <v>54574.8</v>
      </c>
      <c r="H7" s="4">
        <v>0</v>
      </c>
      <c r="I7" s="15"/>
      <c r="J7" s="15"/>
      <c r="K7" s="15"/>
      <c r="L7" s="15"/>
      <c r="M7" s="15"/>
      <c r="N7" s="4">
        <f t="shared" si="0"/>
        <v>54574.8</v>
      </c>
      <c r="O7" s="7"/>
    </row>
    <row r="8" spans="1:17">
      <c r="A8" s="15" t="s">
        <v>40</v>
      </c>
      <c r="B8" s="2">
        <v>40009</v>
      </c>
      <c r="C8" s="15" t="s">
        <v>82</v>
      </c>
      <c r="D8" s="15" t="s">
        <v>12</v>
      </c>
      <c r="E8" s="15">
        <v>1000</v>
      </c>
      <c r="F8" s="73">
        <v>54.65</v>
      </c>
      <c r="G8" s="76">
        <v>54650</v>
      </c>
      <c r="H8" s="4">
        <v>0</v>
      </c>
      <c r="I8" s="15"/>
      <c r="J8" s="15"/>
      <c r="K8" s="15"/>
      <c r="L8" s="15"/>
      <c r="M8" s="15"/>
      <c r="N8" s="4">
        <f t="shared" si="0"/>
        <v>-54650</v>
      </c>
    </row>
    <row r="9" spans="1:17">
      <c r="A9" s="15" t="s">
        <v>40</v>
      </c>
      <c r="B9" s="2">
        <v>40009</v>
      </c>
      <c r="C9" s="15" t="s">
        <v>82</v>
      </c>
      <c r="D9" s="15" t="s">
        <v>13</v>
      </c>
      <c r="E9" s="15">
        <v>1000</v>
      </c>
      <c r="F9" s="73">
        <v>54.75</v>
      </c>
      <c r="G9" s="76">
        <v>54750</v>
      </c>
      <c r="H9" s="4">
        <v>0</v>
      </c>
      <c r="I9" s="15"/>
      <c r="J9" s="15"/>
      <c r="K9" s="15"/>
      <c r="L9" s="15"/>
      <c r="M9" s="15"/>
      <c r="N9" s="4">
        <f t="shared" si="0"/>
        <v>54750</v>
      </c>
      <c r="O9" s="7"/>
    </row>
    <row r="10" spans="1:17">
      <c r="A10" s="15" t="s">
        <v>40</v>
      </c>
      <c r="B10" s="2">
        <v>40009</v>
      </c>
      <c r="C10" s="15" t="s">
        <v>82</v>
      </c>
      <c r="D10" s="15" t="s">
        <v>12</v>
      </c>
      <c r="E10" s="15">
        <v>1000</v>
      </c>
      <c r="F10" s="73">
        <v>54.64</v>
      </c>
      <c r="G10" s="76">
        <v>54637.5</v>
      </c>
      <c r="H10" s="4">
        <v>0</v>
      </c>
      <c r="I10" s="15"/>
      <c r="J10" s="15"/>
      <c r="K10" s="15"/>
      <c r="L10" s="15"/>
      <c r="M10" s="15"/>
      <c r="N10" s="4">
        <f t="shared" si="0"/>
        <v>-54637.5</v>
      </c>
    </row>
    <row r="11" spans="1:17">
      <c r="A11" s="15" t="s">
        <v>40</v>
      </c>
      <c r="B11" s="2">
        <v>40009</v>
      </c>
      <c r="C11" s="15" t="s">
        <v>82</v>
      </c>
      <c r="D11" s="15" t="s">
        <v>13</v>
      </c>
      <c r="E11" s="15">
        <v>1000</v>
      </c>
      <c r="F11" s="73">
        <v>54.8</v>
      </c>
      <c r="G11" s="76">
        <v>54800</v>
      </c>
      <c r="H11" s="4">
        <v>0</v>
      </c>
      <c r="I11" s="15"/>
      <c r="J11" s="15"/>
      <c r="K11" s="15"/>
      <c r="L11" s="15"/>
      <c r="M11" s="15"/>
      <c r="N11" s="4">
        <f t="shared" si="0"/>
        <v>54800</v>
      </c>
      <c r="O11" s="7"/>
    </row>
    <row r="12" spans="1:17">
      <c r="A12" s="15" t="s">
        <v>40</v>
      </c>
      <c r="B12" s="2">
        <v>40009</v>
      </c>
      <c r="C12" s="15" t="s">
        <v>82</v>
      </c>
      <c r="D12" s="15" t="s">
        <v>12</v>
      </c>
      <c r="E12" s="15">
        <v>1000</v>
      </c>
      <c r="F12" s="73">
        <v>54.85</v>
      </c>
      <c r="G12" s="76">
        <v>54850</v>
      </c>
      <c r="H12" s="4">
        <v>0</v>
      </c>
      <c r="I12" s="15"/>
      <c r="J12" s="15"/>
      <c r="K12" s="15"/>
      <c r="L12" s="15"/>
      <c r="M12" s="15"/>
      <c r="N12" s="4">
        <f t="shared" si="0"/>
        <v>-54850</v>
      </c>
    </row>
    <row r="13" spans="1:17">
      <c r="A13" s="15" t="s">
        <v>40</v>
      </c>
      <c r="B13" s="2">
        <v>40009</v>
      </c>
      <c r="C13" s="15" t="s">
        <v>82</v>
      </c>
      <c r="D13" s="15" t="s">
        <v>13</v>
      </c>
      <c r="E13" s="15">
        <v>1000</v>
      </c>
      <c r="F13" s="73">
        <v>54.35</v>
      </c>
      <c r="G13" s="76">
        <v>54350</v>
      </c>
      <c r="H13" s="4">
        <v>0</v>
      </c>
      <c r="I13" s="15"/>
      <c r="J13" s="15"/>
      <c r="K13" s="15"/>
      <c r="L13" s="15"/>
      <c r="M13" s="15"/>
      <c r="N13" s="4">
        <f t="shared" si="0"/>
        <v>54350</v>
      </c>
      <c r="O13" s="7"/>
    </row>
    <row r="14" spans="1:17">
      <c r="A14" s="15" t="s">
        <v>40</v>
      </c>
      <c r="B14" s="2">
        <v>40009</v>
      </c>
      <c r="C14" s="15" t="s">
        <v>82</v>
      </c>
      <c r="D14" s="15" t="s">
        <v>13</v>
      </c>
      <c r="E14" s="15">
        <v>1000</v>
      </c>
      <c r="F14" s="73">
        <v>54.7</v>
      </c>
      <c r="G14" s="76">
        <v>54700</v>
      </c>
      <c r="H14" s="4">
        <v>0</v>
      </c>
      <c r="I14" s="15"/>
      <c r="J14" s="15"/>
      <c r="K14" s="15"/>
      <c r="L14" s="15"/>
      <c r="M14" s="15"/>
      <c r="N14" s="4">
        <f t="shared" si="0"/>
        <v>54700</v>
      </c>
    </row>
    <row r="15" spans="1:17">
      <c r="A15" s="15" t="s">
        <v>40</v>
      </c>
      <c r="B15" s="2">
        <v>40009</v>
      </c>
      <c r="C15" s="15" t="s">
        <v>82</v>
      </c>
      <c r="D15" s="15" t="s">
        <v>12</v>
      </c>
      <c r="E15" s="15">
        <v>1000</v>
      </c>
      <c r="F15" s="73">
        <v>54.5</v>
      </c>
      <c r="G15" s="76">
        <v>54500</v>
      </c>
      <c r="H15" s="4">
        <v>0</v>
      </c>
      <c r="I15" s="15"/>
      <c r="J15" s="15"/>
      <c r="K15" s="15"/>
      <c r="L15" s="15"/>
      <c r="M15" s="15"/>
      <c r="N15" s="4">
        <f t="shared" si="0"/>
        <v>-54500</v>
      </c>
      <c r="O15" s="8">
        <f>SUM(N4:N15)</f>
        <v>527.35000000000582</v>
      </c>
      <c r="P15" s="3" t="str">
        <f>IF(O15&gt;0,"PROFIT","LOSS")</f>
        <v>PROFIT</v>
      </c>
      <c r="Q15" s="3"/>
    </row>
    <row r="16" spans="1:17">
      <c r="A16" s="15" t="s">
        <v>40</v>
      </c>
      <c r="B16" s="2">
        <v>40010</v>
      </c>
      <c r="C16" s="15" t="s">
        <v>83</v>
      </c>
      <c r="D16" s="15" t="s">
        <v>12</v>
      </c>
      <c r="E16" s="15">
        <v>700</v>
      </c>
      <c r="F16" s="73">
        <v>98.2</v>
      </c>
      <c r="G16" s="76">
        <v>68740</v>
      </c>
      <c r="H16" s="4">
        <v>0</v>
      </c>
      <c r="I16" s="15"/>
      <c r="J16" s="15"/>
      <c r="K16" s="15"/>
      <c r="L16" s="15"/>
      <c r="M16" s="15"/>
      <c r="N16" s="4">
        <f t="shared" si="0"/>
        <v>-68740</v>
      </c>
    </row>
    <row r="17" spans="1:18">
      <c r="A17" s="15" t="s">
        <v>40</v>
      </c>
      <c r="B17" s="2">
        <v>40010</v>
      </c>
      <c r="C17" s="15" t="s">
        <v>83</v>
      </c>
      <c r="D17" s="15" t="s">
        <v>13</v>
      </c>
      <c r="E17" s="15">
        <v>150</v>
      </c>
      <c r="F17" s="73">
        <v>96.89</v>
      </c>
      <c r="G17" s="76">
        <v>14534</v>
      </c>
      <c r="H17" s="4">
        <v>0</v>
      </c>
      <c r="I17" s="15"/>
      <c r="J17" s="15"/>
      <c r="K17" s="15"/>
      <c r="L17" s="15"/>
      <c r="M17" s="15"/>
      <c r="N17" s="4">
        <f t="shared" si="0"/>
        <v>14534</v>
      </c>
    </row>
    <row r="18" spans="1:18">
      <c r="A18" s="15" t="s">
        <v>40</v>
      </c>
      <c r="B18" s="2">
        <v>40010</v>
      </c>
      <c r="C18" s="15" t="s">
        <v>83</v>
      </c>
      <c r="D18" s="15" t="s">
        <v>12</v>
      </c>
      <c r="E18" s="15">
        <v>150</v>
      </c>
      <c r="F18" s="73">
        <v>96.75</v>
      </c>
      <c r="G18" s="76">
        <v>14512.5</v>
      </c>
      <c r="H18" s="4">
        <v>0</v>
      </c>
      <c r="I18" s="15"/>
      <c r="J18" s="15"/>
      <c r="K18" s="15"/>
      <c r="L18" s="15"/>
      <c r="M18" s="15"/>
      <c r="N18" s="4">
        <f t="shared" si="0"/>
        <v>-14512.5</v>
      </c>
    </row>
    <row r="19" spans="1:18">
      <c r="A19" s="15" t="s">
        <v>40</v>
      </c>
      <c r="B19" s="2">
        <v>40010</v>
      </c>
      <c r="C19" s="15" t="s">
        <v>83</v>
      </c>
      <c r="D19" s="15" t="s">
        <v>13</v>
      </c>
      <c r="E19" s="15">
        <v>150</v>
      </c>
      <c r="F19" s="73">
        <v>208.05</v>
      </c>
      <c r="G19" s="76">
        <v>31207.5</v>
      </c>
      <c r="H19" s="4">
        <v>0</v>
      </c>
      <c r="I19" s="15"/>
      <c r="J19" s="15"/>
      <c r="K19" s="15"/>
      <c r="L19" s="15"/>
      <c r="M19" s="15"/>
      <c r="N19" s="4">
        <f t="shared" si="0"/>
        <v>31207.5</v>
      </c>
    </row>
    <row r="20" spans="1:18">
      <c r="A20" s="15" t="s">
        <v>40</v>
      </c>
      <c r="B20" s="2">
        <v>40010</v>
      </c>
      <c r="C20" s="15" t="s">
        <v>83</v>
      </c>
      <c r="D20" s="15" t="s">
        <v>12</v>
      </c>
      <c r="E20" s="15">
        <v>150</v>
      </c>
      <c r="F20" s="73">
        <v>206</v>
      </c>
      <c r="G20" s="76">
        <v>30900</v>
      </c>
      <c r="H20" s="4">
        <v>0</v>
      </c>
      <c r="I20" s="15"/>
      <c r="J20" s="15"/>
      <c r="K20" s="15"/>
      <c r="L20" s="15"/>
      <c r="M20" s="15"/>
      <c r="N20" s="4">
        <f t="shared" si="0"/>
        <v>-30900</v>
      </c>
    </row>
    <row r="21" spans="1:18">
      <c r="A21" s="15" t="s">
        <v>40</v>
      </c>
      <c r="B21" s="2">
        <v>40010</v>
      </c>
      <c r="C21" s="15" t="s">
        <v>83</v>
      </c>
      <c r="D21" s="15" t="s">
        <v>13</v>
      </c>
      <c r="E21" s="15">
        <v>700</v>
      </c>
      <c r="F21" s="73">
        <v>96.37</v>
      </c>
      <c r="G21" s="76">
        <v>67456.95</v>
      </c>
      <c r="H21" s="4">
        <v>0</v>
      </c>
      <c r="I21" s="15"/>
      <c r="J21" s="15"/>
      <c r="K21" s="15"/>
      <c r="L21" s="15"/>
      <c r="M21" s="15"/>
      <c r="N21" s="4">
        <f t="shared" si="0"/>
        <v>67456.95</v>
      </c>
    </row>
    <row r="22" spans="1:18">
      <c r="A22" s="15" t="s">
        <v>40</v>
      </c>
      <c r="B22" s="2">
        <v>40010</v>
      </c>
      <c r="C22" s="15" t="s">
        <v>83</v>
      </c>
      <c r="D22" s="15" t="s">
        <v>12</v>
      </c>
      <c r="E22" s="15">
        <v>200</v>
      </c>
      <c r="F22" s="73">
        <v>325.10000000000002</v>
      </c>
      <c r="G22" s="76">
        <v>65020</v>
      </c>
      <c r="H22" s="4">
        <v>0</v>
      </c>
      <c r="I22" s="15"/>
      <c r="J22" s="15"/>
      <c r="K22" s="15"/>
      <c r="L22" s="15"/>
      <c r="M22" s="15"/>
      <c r="N22" s="4">
        <f t="shared" si="0"/>
        <v>-65020</v>
      </c>
    </row>
    <row r="23" spans="1:18">
      <c r="A23" s="15" t="s">
        <v>40</v>
      </c>
      <c r="B23" s="2">
        <v>40010</v>
      </c>
      <c r="C23" s="15" t="s">
        <v>83</v>
      </c>
      <c r="D23" s="15" t="s">
        <v>13</v>
      </c>
      <c r="E23" s="15">
        <v>200</v>
      </c>
      <c r="F23" s="73">
        <v>324.45</v>
      </c>
      <c r="G23" s="76">
        <v>64889.55</v>
      </c>
      <c r="H23" s="4">
        <v>0</v>
      </c>
      <c r="I23" s="15"/>
      <c r="J23" s="15"/>
      <c r="K23" s="15"/>
      <c r="L23" s="15"/>
      <c r="M23" s="15"/>
      <c r="N23" s="4">
        <f t="shared" si="0"/>
        <v>64889.55</v>
      </c>
      <c r="O23" s="8">
        <f>SUM(N16:N23)</f>
        <v>-1084.5</v>
      </c>
      <c r="P23" s="3" t="str">
        <f>IF(O23&gt;0,"PROFIT","LOSS")</f>
        <v>LOSS</v>
      </c>
      <c r="Q23" s="8"/>
      <c r="R23" t="s">
        <v>78</v>
      </c>
    </row>
    <row r="24" spans="1:18">
      <c r="A24" s="15" t="s">
        <v>40</v>
      </c>
      <c r="B24" s="2">
        <v>40011</v>
      </c>
      <c r="C24" s="15" t="s">
        <v>84</v>
      </c>
      <c r="D24" s="15" t="s">
        <v>12</v>
      </c>
      <c r="E24" s="15">
        <v>250</v>
      </c>
      <c r="F24" s="73">
        <v>222.7</v>
      </c>
      <c r="G24" s="76">
        <v>55675</v>
      </c>
      <c r="H24" s="4">
        <v>0</v>
      </c>
      <c r="I24" s="15"/>
      <c r="J24" s="15"/>
      <c r="K24" s="15"/>
      <c r="L24" s="15"/>
      <c r="M24" s="15"/>
      <c r="N24" s="4">
        <f t="shared" si="0"/>
        <v>-55675</v>
      </c>
    </row>
    <row r="25" spans="1:18">
      <c r="A25" s="15" t="s">
        <v>40</v>
      </c>
      <c r="B25" s="2">
        <v>40011</v>
      </c>
      <c r="C25" s="15" t="s">
        <v>84</v>
      </c>
      <c r="D25" s="15" t="s">
        <v>13</v>
      </c>
      <c r="E25" s="15">
        <v>250</v>
      </c>
      <c r="F25" s="73">
        <v>226</v>
      </c>
      <c r="G25" s="76">
        <v>56500</v>
      </c>
      <c r="H25" s="4">
        <v>0</v>
      </c>
      <c r="I25" s="15"/>
      <c r="J25" s="15"/>
      <c r="K25" s="15"/>
      <c r="L25" s="15"/>
      <c r="M25" s="15"/>
      <c r="N25" s="4">
        <f t="shared" si="0"/>
        <v>56500</v>
      </c>
      <c r="O25" s="8">
        <f>SUM(N24:N25)</f>
        <v>825</v>
      </c>
      <c r="P25" s="3" t="str">
        <f>IF(O25&gt;0,"PROFIT","LOSS")</f>
        <v>PROFIT</v>
      </c>
      <c r="Q25" s="3">
        <v>742.35</v>
      </c>
      <c r="R25" s="7" t="s">
        <v>77</v>
      </c>
    </row>
    <row r="26" spans="1:18">
      <c r="A26" s="15" t="s">
        <v>40</v>
      </c>
      <c r="B26" s="2">
        <v>40014</v>
      </c>
      <c r="C26" s="15" t="s">
        <v>85</v>
      </c>
      <c r="D26" s="15" t="s">
        <v>12</v>
      </c>
      <c r="E26" s="15">
        <v>250</v>
      </c>
      <c r="F26" s="73">
        <v>231</v>
      </c>
      <c r="G26" s="76">
        <v>57750</v>
      </c>
      <c r="H26" s="4">
        <v>0</v>
      </c>
      <c r="I26" s="15"/>
      <c r="J26" s="15"/>
      <c r="K26" s="15"/>
      <c r="L26" s="15"/>
      <c r="M26" s="15"/>
      <c r="N26" s="4">
        <f t="shared" si="0"/>
        <v>-57750</v>
      </c>
    </row>
    <row r="27" spans="1:18">
      <c r="A27" s="15" t="s">
        <v>40</v>
      </c>
      <c r="B27" s="2">
        <v>40014</v>
      </c>
      <c r="C27" s="15" t="s">
        <v>85</v>
      </c>
      <c r="D27" s="15" t="s">
        <v>12</v>
      </c>
      <c r="E27" s="15">
        <v>74</v>
      </c>
      <c r="F27" s="73">
        <v>233.45</v>
      </c>
      <c r="G27" s="76">
        <v>17275.3</v>
      </c>
      <c r="H27" s="4">
        <v>0</v>
      </c>
      <c r="I27" s="15"/>
      <c r="J27" s="15"/>
      <c r="K27" s="15"/>
      <c r="L27" s="15"/>
      <c r="M27" s="15"/>
      <c r="N27" s="4">
        <f t="shared" si="0"/>
        <v>-17275.3</v>
      </c>
    </row>
    <row r="28" spans="1:18">
      <c r="A28" s="15" t="s">
        <v>40</v>
      </c>
      <c r="B28" s="2">
        <v>40014</v>
      </c>
      <c r="C28" s="15" t="s">
        <v>85</v>
      </c>
      <c r="D28" s="15" t="s">
        <v>12</v>
      </c>
      <c r="E28" s="15">
        <v>100</v>
      </c>
      <c r="F28" s="73">
        <v>229.2</v>
      </c>
      <c r="G28" s="76">
        <v>22920</v>
      </c>
      <c r="H28" s="4">
        <v>0</v>
      </c>
      <c r="I28" s="15"/>
      <c r="J28" s="15"/>
      <c r="K28" s="15"/>
      <c r="L28" s="15"/>
      <c r="M28" s="15"/>
      <c r="N28" s="4">
        <f t="shared" si="0"/>
        <v>-22920</v>
      </c>
    </row>
    <row r="29" spans="1:18">
      <c r="A29" s="15" t="s">
        <v>40</v>
      </c>
      <c r="B29" s="2">
        <v>40014</v>
      </c>
      <c r="C29" s="15" t="s">
        <v>85</v>
      </c>
      <c r="D29" s="15" t="s">
        <v>13</v>
      </c>
      <c r="E29" s="15">
        <v>100</v>
      </c>
      <c r="F29" s="73">
        <v>232.2</v>
      </c>
      <c r="G29" s="76">
        <v>23220</v>
      </c>
      <c r="H29" s="4">
        <v>0</v>
      </c>
      <c r="I29" s="15"/>
      <c r="J29" s="15"/>
      <c r="K29" s="15"/>
      <c r="L29" s="15"/>
      <c r="M29" s="15"/>
      <c r="N29" s="4">
        <f t="shared" si="0"/>
        <v>23220</v>
      </c>
    </row>
    <row r="30" spans="1:18">
      <c r="A30" s="15" t="s">
        <v>40</v>
      </c>
      <c r="B30" s="2">
        <v>40014</v>
      </c>
      <c r="C30" s="15" t="s">
        <v>85</v>
      </c>
      <c r="D30" s="15" t="s">
        <v>13</v>
      </c>
      <c r="E30" s="15">
        <v>324</v>
      </c>
      <c r="F30" s="73">
        <v>233</v>
      </c>
      <c r="G30" s="76">
        <v>75492</v>
      </c>
      <c r="H30" s="4">
        <v>0</v>
      </c>
      <c r="I30" s="15"/>
      <c r="J30" s="15"/>
      <c r="K30" s="15"/>
      <c r="L30" s="15"/>
      <c r="M30" s="15"/>
      <c r="N30" s="4">
        <f t="shared" si="0"/>
        <v>75492</v>
      </c>
      <c r="O30" s="8">
        <f>SUM(N26:N30)</f>
        <v>766.69999999999709</v>
      </c>
      <c r="P30" s="3" t="str">
        <f>IF(O30&gt;0,"PROFIT","LOSS")</f>
        <v>PROFIT</v>
      </c>
      <c r="Q30" s="8">
        <f>O30*0.9</f>
        <v>690.02999999999736</v>
      </c>
    </row>
    <row r="31" spans="1:18">
      <c r="A31" s="15" t="s">
        <v>40</v>
      </c>
      <c r="B31" s="2">
        <v>40015</v>
      </c>
      <c r="C31" s="15" t="s">
        <v>86</v>
      </c>
      <c r="D31" s="15" t="s">
        <v>12</v>
      </c>
      <c r="E31" s="15">
        <v>250</v>
      </c>
      <c r="F31" s="73">
        <v>229.75</v>
      </c>
      <c r="G31" s="76">
        <v>57437.5</v>
      </c>
      <c r="H31" s="4">
        <v>0</v>
      </c>
      <c r="I31" s="15"/>
      <c r="J31" s="15"/>
      <c r="K31" s="15"/>
      <c r="L31" s="15"/>
      <c r="M31" s="15"/>
      <c r="N31" s="4">
        <f t="shared" si="0"/>
        <v>-57437.5</v>
      </c>
    </row>
    <row r="32" spans="1:18">
      <c r="A32" s="15" t="s">
        <v>40</v>
      </c>
      <c r="B32" s="2">
        <v>40015</v>
      </c>
      <c r="C32" s="15" t="s">
        <v>86</v>
      </c>
      <c r="D32" s="15" t="s">
        <v>12</v>
      </c>
      <c r="E32" s="15">
        <v>220</v>
      </c>
      <c r="F32" s="73">
        <v>229.65</v>
      </c>
      <c r="G32" s="76">
        <v>50523</v>
      </c>
      <c r="H32" s="4">
        <v>0</v>
      </c>
      <c r="I32" s="15"/>
      <c r="J32" s="15"/>
      <c r="K32" s="15"/>
      <c r="L32" s="15"/>
      <c r="M32" s="15"/>
      <c r="N32" s="4">
        <f t="shared" si="0"/>
        <v>-50523</v>
      </c>
    </row>
    <row r="33" spans="1:14">
      <c r="A33" s="15" t="s">
        <v>40</v>
      </c>
      <c r="B33" s="2">
        <v>40015</v>
      </c>
      <c r="C33" s="15" t="s">
        <v>86</v>
      </c>
      <c r="D33" s="15" t="s">
        <v>12</v>
      </c>
      <c r="E33" s="15">
        <v>50</v>
      </c>
      <c r="F33" s="73">
        <v>228.8</v>
      </c>
      <c r="G33" s="76">
        <v>11440</v>
      </c>
      <c r="H33" s="4">
        <v>0</v>
      </c>
      <c r="I33" s="15"/>
      <c r="J33" s="15"/>
      <c r="K33" s="15"/>
      <c r="L33" s="15"/>
      <c r="M33" s="15"/>
      <c r="N33" s="4">
        <f t="shared" si="0"/>
        <v>-11440</v>
      </c>
    </row>
    <row r="34" spans="1:14">
      <c r="A34" s="15" t="s">
        <v>40</v>
      </c>
      <c r="B34" s="2">
        <v>40015</v>
      </c>
      <c r="C34" s="15" t="s">
        <v>86</v>
      </c>
      <c r="D34" s="15" t="s">
        <v>12</v>
      </c>
      <c r="E34" s="15">
        <v>50</v>
      </c>
      <c r="F34" s="73">
        <v>228.3</v>
      </c>
      <c r="G34" s="76">
        <v>11415</v>
      </c>
      <c r="H34" s="4">
        <v>0</v>
      </c>
      <c r="I34" s="15"/>
      <c r="J34" s="15"/>
      <c r="K34" s="15"/>
      <c r="L34" s="15"/>
      <c r="M34" s="15"/>
      <c r="N34" s="4">
        <f t="shared" si="0"/>
        <v>-11415</v>
      </c>
    </row>
    <row r="35" spans="1:14">
      <c r="A35" s="15" t="s">
        <v>40</v>
      </c>
      <c r="B35" s="2">
        <v>40015</v>
      </c>
      <c r="C35" s="15" t="s">
        <v>86</v>
      </c>
      <c r="D35" s="15" t="s">
        <v>12</v>
      </c>
      <c r="E35" s="15">
        <v>10</v>
      </c>
      <c r="F35" s="73">
        <v>228</v>
      </c>
      <c r="G35" s="76">
        <v>2280</v>
      </c>
      <c r="H35" s="4">
        <v>0</v>
      </c>
      <c r="I35" s="15"/>
      <c r="J35" s="15"/>
      <c r="K35" s="15"/>
      <c r="L35" s="15"/>
      <c r="M35" s="15"/>
      <c r="N35" s="4">
        <f t="shared" si="0"/>
        <v>-2280</v>
      </c>
    </row>
    <row r="36" spans="1:14">
      <c r="A36" s="15" t="s">
        <v>40</v>
      </c>
      <c r="B36" s="2">
        <v>40015</v>
      </c>
      <c r="C36" s="15" t="s">
        <v>86</v>
      </c>
      <c r="D36" s="15" t="s">
        <v>13</v>
      </c>
      <c r="E36" s="15">
        <v>200</v>
      </c>
      <c r="F36" s="73">
        <v>231</v>
      </c>
      <c r="G36" s="76">
        <v>46200</v>
      </c>
      <c r="H36" s="4">
        <v>0</v>
      </c>
      <c r="I36" s="15"/>
      <c r="J36" s="15"/>
      <c r="K36" s="15"/>
      <c r="L36" s="15"/>
      <c r="M36" s="15"/>
      <c r="N36" s="4">
        <f t="shared" si="0"/>
        <v>46200</v>
      </c>
    </row>
    <row r="37" spans="1:14">
      <c r="A37" s="15" t="s">
        <v>40</v>
      </c>
      <c r="B37" s="2">
        <v>40015</v>
      </c>
      <c r="C37" s="15" t="s">
        <v>86</v>
      </c>
      <c r="D37" s="15" t="s">
        <v>13</v>
      </c>
      <c r="E37" s="15">
        <v>10</v>
      </c>
      <c r="F37" s="73">
        <v>234</v>
      </c>
      <c r="G37" s="76">
        <v>2340</v>
      </c>
      <c r="H37" s="4">
        <v>0</v>
      </c>
      <c r="I37" s="15"/>
      <c r="J37" s="15"/>
      <c r="K37" s="15"/>
      <c r="L37" s="15"/>
      <c r="M37" s="15"/>
      <c r="N37" s="4">
        <f t="shared" si="0"/>
        <v>2340</v>
      </c>
    </row>
    <row r="38" spans="1:14">
      <c r="A38" s="15" t="s">
        <v>40</v>
      </c>
      <c r="B38" s="2">
        <v>40015</v>
      </c>
      <c r="C38" s="15" t="s">
        <v>86</v>
      </c>
      <c r="D38" s="15" t="s">
        <v>12</v>
      </c>
      <c r="E38" s="15">
        <v>100</v>
      </c>
      <c r="F38" s="73">
        <v>229.1</v>
      </c>
      <c r="G38" s="76">
        <v>22910</v>
      </c>
      <c r="H38" s="4">
        <v>0</v>
      </c>
      <c r="I38" s="15"/>
      <c r="J38" s="15"/>
      <c r="K38" s="15"/>
      <c r="L38" s="15"/>
      <c r="M38" s="15"/>
      <c r="N38" s="4">
        <f t="shared" si="0"/>
        <v>-22910</v>
      </c>
    </row>
    <row r="39" spans="1:14">
      <c r="A39" s="15" t="s">
        <v>40</v>
      </c>
      <c r="B39" s="2">
        <v>40015</v>
      </c>
      <c r="C39" s="15" t="s">
        <v>86</v>
      </c>
      <c r="D39" s="15" t="s">
        <v>13</v>
      </c>
      <c r="E39" s="15">
        <v>100</v>
      </c>
      <c r="F39" s="73">
        <v>231</v>
      </c>
      <c r="G39" s="76">
        <v>23100</v>
      </c>
      <c r="H39" s="4">
        <v>0</v>
      </c>
      <c r="I39" s="15"/>
      <c r="J39" s="15"/>
      <c r="K39" s="15"/>
      <c r="L39" s="15"/>
      <c r="M39" s="15"/>
      <c r="N39" s="4">
        <f t="shared" si="0"/>
        <v>23100</v>
      </c>
    </row>
    <row r="40" spans="1:14">
      <c r="A40" s="15" t="s">
        <v>40</v>
      </c>
      <c r="B40" s="2">
        <v>40015</v>
      </c>
      <c r="C40" s="15" t="s">
        <v>86</v>
      </c>
      <c r="D40" s="15" t="s">
        <v>13</v>
      </c>
      <c r="E40" s="15">
        <v>230</v>
      </c>
      <c r="F40" s="73">
        <v>231.5</v>
      </c>
      <c r="G40" s="76">
        <v>53245</v>
      </c>
      <c r="H40" s="4">
        <v>0</v>
      </c>
      <c r="I40" s="15"/>
      <c r="J40" s="15"/>
      <c r="K40" s="15"/>
      <c r="L40" s="15"/>
      <c r="M40" s="15"/>
      <c r="N40" s="4">
        <f t="shared" si="0"/>
        <v>53245</v>
      </c>
    </row>
    <row r="41" spans="1:14">
      <c r="A41" s="15" t="s">
        <v>40</v>
      </c>
      <c r="B41" s="2">
        <v>40015</v>
      </c>
      <c r="C41" s="15" t="s">
        <v>86</v>
      </c>
      <c r="D41" s="15" t="s">
        <v>13</v>
      </c>
      <c r="E41" s="15">
        <v>140</v>
      </c>
      <c r="F41" s="73">
        <v>231.3</v>
      </c>
      <c r="G41" s="76">
        <v>32382</v>
      </c>
      <c r="H41" s="4">
        <v>0</v>
      </c>
      <c r="I41" s="15"/>
      <c r="J41" s="15"/>
      <c r="K41" s="15"/>
      <c r="L41" s="15"/>
      <c r="M41" s="15"/>
      <c r="N41" s="4">
        <f t="shared" si="0"/>
        <v>32382</v>
      </c>
    </row>
    <row r="42" spans="1:14">
      <c r="A42" s="15" t="s">
        <v>40</v>
      </c>
      <c r="B42" s="2">
        <v>40015</v>
      </c>
      <c r="C42" s="15" t="s">
        <v>86</v>
      </c>
      <c r="D42" s="15" t="s">
        <v>12</v>
      </c>
      <c r="E42" s="15">
        <v>200</v>
      </c>
      <c r="F42" s="73">
        <v>229.5</v>
      </c>
      <c r="G42" s="76">
        <v>45900</v>
      </c>
      <c r="H42" s="4">
        <v>0</v>
      </c>
      <c r="I42" s="15"/>
      <c r="J42" s="15"/>
      <c r="K42" s="15"/>
      <c r="L42" s="15"/>
      <c r="M42" s="15"/>
      <c r="N42" s="4">
        <f t="shared" si="0"/>
        <v>-45900</v>
      </c>
    </row>
    <row r="43" spans="1:14">
      <c r="A43" s="15" t="s">
        <v>40</v>
      </c>
      <c r="B43" s="2">
        <v>40015</v>
      </c>
      <c r="C43" s="15" t="s">
        <v>86</v>
      </c>
      <c r="D43" s="15" t="s">
        <v>12</v>
      </c>
      <c r="E43" s="15">
        <v>50</v>
      </c>
      <c r="F43" s="73">
        <v>229.75</v>
      </c>
      <c r="G43" s="76">
        <v>11487.5</v>
      </c>
      <c r="H43" s="4">
        <v>0</v>
      </c>
      <c r="I43" s="15"/>
      <c r="J43" s="15"/>
      <c r="K43" s="15"/>
      <c r="L43" s="15"/>
      <c r="M43" s="15"/>
      <c r="N43" s="4">
        <f t="shared" si="0"/>
        <v>-11487.5</v>
      </c>
    </row>
    <row r="44" spans="1:14">
      <c r="A44" s="15" t="s">
        <v>40</v>
      </c>
      <c r="B44" s="2">
        <v>40015</v>
      </c>
      <c r="C44" s="15" t="s">
        <v>86</v>
      </c>
      <c r="D44" s="15" t="s">
        <v>13</v>
      </c>
      <c r="E44" s="15">
        <v>200</v>
      </c>
      <c r="F44" s="73">
        <v>231</v>
      </c>
      <c r="G44" s="76">
        <v>46200</v>
      </c>
      <c r="H44" s="4">
        <v>0</v>
      </c>
      <c r="I44" s="15"/>
      <c r="J44" s="15"/>
      <c r="K44" s="15"/>
      <c r="L44" s="15"/>
      <c r="M44" s="15"/>
      <c r="N44" s="4">
        <f t="shared" si="0"/>
        <v>46200</v>
      </c>
    </row>
    <row r="45" spans="1:14">
      <c r="A45" s="15" t="s">
        <v>40</v>
      </c>
      <c r="B45" s="2">
        <v>40015</v>
      </c>
      <c r="C45" s="15" t="s">
        <v>86</v>
      </c>
      <c r="D45" s="15" t="s">
        <v>12</v>
      </c>
      <c r="E45" s="15">
        <v>100</v>
      </c>
      <c r="F45" s="73">
        <v>229.55</v>
      </c>
      <c r="G45" s="76">
        <v>22955</v>
      </c>
      <c r="H45" s="4">
        <v>0</v>
      </c>
      <c r="I45" s="15"/>
      <c r="J45" s="15"/>
      <c r="K45" s="15"/>
      <c r="L45" s="15"/>
      <c r="M45" s="15"/>
      <c r="N45" s="4">
        <f t="shared" si="0"/>
        <v>-22955</v>
      </c>
    </row>
    <row r="46" spans="1:14">
      <c r="A46" s="15" t="s">
        <v>40</v>
      </c>
      <c r="B46" s="2">
        <v>40015</v>
      </c>
      <c r="C46" s="15" t="s">
        <v>86</v>
      </c>
      <c r="D46" s="15" t="s">
        <v>13</v>
      </c>
      <c r="E46" s="15">
        <v>150</v>
      </c>
      <c r="F46" s="73">
        <v>230.55</v>
      </c>
      <c r="G46" s="76">
        <v>34582.5</v>
      </c>
      <c r="H46" s="4">
        <v>0</v>
      </c>
      <c r="I46" s="15"/>
      <c r="J46" s="15"/>
      <c r="K46" s="15"/>
      <c r="L46" s="15"/>
      <c r="M46" s="15"/>
      <c r="N46" s="4">
        <f t="shared" si="0"/>
        <v>34582.5</v>
      </c>
    </row>
    <row r="47" spans="1:14">
      <c r="A47" s="15" t="s">
        <v>40</v>
      </c>
      <c r="B47" s="2">
        <v>40015</v>
      </c>
      <c r="C47" s="15" t="s">
        <v>86</v>
      </c>
      <c r="D47" s="15" t="s">
        <v>13</v>
      </c>
      <c r="E47" s="15">
        <v>400</v>
      </c>
      <c r="F47" s="73">
        <v>233.5</v>
      </c>
      <c r="G47" s="76">
        <v>93400</v>
      </c>
      <c r="H47" s="4">
        <v>0</v>
      </c>
      <c r="I47" s="15"/>
      <c r="J47" s="15"/>
      <c r="K47" s="15"/>
      <c r="L47" s="15"/>
      <c r="M47" s="15"/>
      <c r="N47" s="4">
        <f t="shared" si="0"/>
        <v>93400</v>
      </c>
    </row>
    <row r="48" spans="1:14">
      <c r="A48" s="15" t="s">
        <v>40</v>
      </c>
      <c r="B48" s="2">
        <v>40015</v>
      </c>
      <c r="C48" s="15" t="s">
        <v>86</v>
      </c>
      <c r="D48" s="15" t="s">
        <v>13</v>
      </c>
      <c r="E48" s="15">
        <v>150</v>
      </c>
      <c r="F48" s="73">
        <v>234</v>
      </c>
      <c r="G48" s="76">
        <v>35100</v>
      </c>
      <c r="H48" s="4">
        <v>0</v>
      </c>
      <c r="I48" s="15"/>
      <c r="J48" s="15"/>
      <c r="K48" s="15"/>
      <c r="L48" s="15"/>
      <c r="M48" s="15"/>
      <c r="N48" s="4">
        <f t="shared" si="0"/>
        <v>35100</v>
      </c>
    </row>
    <row r="49" spans="1:17">
      <c r="A49" s="15" t="s">
        <v>40</v>
      </c>
      <c r="B49" s="2">
        <v>40015</v>
      </c>
      <c r="C49" s="15" t="s">
        <v>86</v>
      </c>
      <c r="D49" s="15" t="s">
        <v>12</v>
      </c>
      <c r="E49" s="15">
        <v>550</v>
      </c>
      <c r="F49" s="73">
        <v>231</v>
      </c>
      <c r="G49" s="76">
        <v>127050</v>
      </c>
      <c r="H49" s="4">
        <v>0</v>
      </c>
      <c r="I49" s="15"/>
      <c r="J49" s="15"/>
      <c r="K49" s="15"/>
      <c r="L49" s="15"/>
      <c r="M49" s="15"/>
      <c r="N49" s="4">
        <f t="shared" si="0"/>
        <v>-127050</v>
      </c>
      <c r="O49" s="7"/>
      <c r="P49" s="68"/>
      <c r="Q49" s="7"/>
    </row>
    <row r="50" spans="1:17">
      <c r="A50" s="15" t="s">
        <v>40</v>
      </c>
      <c r="B50" s="2">
        <v>40015</v>
      </c>
      <c r="C50" s="15" t="s">
        <v>86</v>
      </c>
      <c r="D50" s="15" t="s">
        <v>12</v>
      </c>
      <c r="E50" s="15">
        <v>550</v>
      </c>
      <c r="F50" s="73">
        <v>229.9</v>
      </c>
      <c r="G50" s="76">
        <v>126445</v>
      </c>
      <c r="H50" s="4">
        <v>0</v>
      </c>
      <c r="I50" s="15"/>
      <c r="J50" s="15"/>
      <c r="K50" s="15"/>
      <c r="L50" s="15"/>
      <c r="M50" s="15"/>
      <c r="N50" s="4">
        <f t="shared" si="0"/>
        <v>-126445</v>
      </c>
    </row>
    <row r="51" spans="1:17">
      <c r="A51" s="15" t="s">
        <v>40</v>
      </c>
      <c r="B51" s="2">
        <v>40015</v>
      </c>
      <c r="C51" s="15" t="s">
        <v>86</v>
      </c>
      <c r="D51" s="15" t="s">
        <v>13</v>
      </c>
      <c r="E51" s="15">
        <v>550</v>
      </c>
      <c r="F51" s="73">
        <v>231.5</v>
      </c>
      <c r="G51" s="76">
        <v>127325</v>
      </c>
      <c r="H51" s="4">
        <v>0</v>
      </c>
      <c r="I51" s="15"/>
      <c r="J51" s="15"/>
      <c r="K51" s="15"/>
      <c r="L51" s="15"/>
      <c r="M51" s="15"/>
      <c r="N51" s="4">
        <f t="shared" si="0"/>
        <v>127325</v>
      </c>
    </row>
    <row r="52" spans="1:17">
      <c r="A52" s="15" t="s">
        <v>40</v>
      </c>
      <c r="B52" s="2">
        <v>40015</v>
      </c>
      <c r="C52" s="15" t="s">
        <v>86</v>
      </c>
      <c r="D52" s="15" t="s">
        <v>12</v>
      </c>
      <c r="E52" s="15">
        <v>50</v>
      </c>
      <c r="F52" s="73">
        <v>229.6</v>
      </c>
      <c r="G52" s="76">
        <v>11480</v>
      </c>
      <c r="H52" s="4">
        <v>0</v>
      </c>
      <c r="I52" s="15"/>
      <c r="J52" s="15"/>
      <c r="K52" s="15"/>
      <c r="L52" s="15"/>
      <c r="M52" s="15"/>
      <c r="N52" s="4">
        <f t="shared" si="0"/>
        <v>-11480</v>
      </c>
    </row>
    <row r="53" spans="1:17">
      <c r="A53" s="15" t="s">
        <v>40</v>
      </c>
      <c r="B53" s="2">
        <v>40015</v>
      </c>
      <c r="C53" s="15" t="s">
        <v>86</v>
      </c>
      <c r="D53" s="15" t="s">
        <v>13</v>
      </c>
      <c r="E53" s="15">
        <v>50</v>
      </c>
      <c r="F53" s="73">
        <v>231.5</v>
      </c>
      <c r="G53" s="76">
        <v>11575</v>
      </c>
      <c r="H53" s="4">
        <v>0</v>
      </c>
      <c r="I53" s="15"/>
      <c r="J53" s="15"/>
      <c r="K53" s="15"/>
      <c r="L53" s="15"/>
      <c r="M53" s="15"/>
      <c r="N53" s="4">
        <f t="shared" si="0"/>
        <v>11575</v>
      </c>
    </row>
    <row r="54" spans="1:17">
      <c r="A54" s="15" t="s">
        <v>40</v>
      </c>
      <c r="B54" s="2">
        <v>40015</v>
      </c>
      <c r="C54" s="15" t="s">
        <v>86</v>
      </c>
      <c r="D54" s="15" t="s">
        <v>12</v>
      </c>
      <c r="E54" s="15">
        <v>100</v>
      </c>
      <c r="F54" s="73">
        <v>229.75</v>
      </c>
      <c r="G54" s="76">
        <v>22975</v>
      </c>
      <c r="H54" s="4">
        <v>0</v>
      </c>
      <c r="I54" s="15"/>
      <c r="J54" s="15"/>
      <c r="K54" s="15"/>
      <c r="L54" s="15"/>
      <c r="M54" s="15"/>
      <c r="N54" s="4">
        <f t="shared" si="0"/>
        <v>-22975</v>
      </c>
    </row>
    <row r="55" spans="1:17">
      <c r="A55" s="15" t="s">
        <v>40</v>
      </c>
      <c r="B55" s="2">
        <v>40015</v>
      </c>
      <c r="C55" s="15" t="s">
        <v>86</v>
      </c>
      <c r="D55" s="15" t="s">
        <v>13</v>
      </c>
      <c r="E55" s="15">
        <v>100</v>
      </c>
      <c r="F55" s="73">
        <v>231</v>
      </c>
      <c r="G55" s="76">
        <v>23100</v>
      </c>
      <c r="H55" s="4">
        <v>0</v>
      </c>
      <c r="I55" s="15"/>
      <c r="J55" s="15"/>
      <c r="K55" s="15"/>
      <c r="L55" s="15"/>
      <c r="M55" s="15"/>
      <c r="N55" s="4">
        <f t="shared" si="0"/>
        <v>23100</v>
      </c>
    </row>
    <row r="56" spans="1:17">
      <c r="A56" s="15" t="s">
        <v>40</v>
      </c>
      <c r="B56" s="2">
        <v>40015</v>
      </c>
      <c r="C56" s="15" t="s">
        <v>86</v>
      </c>
      <c r="D56" s="15" t="s">
        <v>13</v>
      </c>
      <c r="E56" s="15">
        <v>700</v>
      </c>
      <c r="F56" s="73">
        <v>231.7</v>
      </c>
      <c r="G56" s="76">
        <v>162190</v>
      </c>
      <c r="H56" s="4">
        <v>0</v>
      </c>
      <c r="I56" s="15"/>
      <c r="J56" s="15"/>
      <c r="K56" s="15"/>
      <c r="L56" s="15"/>
      <c r="M56" s="15"/>
      <c r="N56" s="4">
        <f t="shared" si="0"/>
        <v>162190</v>
      </c>
    </row>
    <row r="57" spans="1:17">
      <c r="A57" s="15" t="s">
        <v>40</v>
      </c>
      <c r="B57" s="2">
        <v>40015</v>
      </c>
      <c r="C57" s="15" t="s">
        <v>86</v>
      </c>
      <c r="D57" s="15" t="s">
        <v>13</v>
      </c>
      <c r="E57" s="15">
        <v>50</v>
      </c>
      <c r="F57" s="73">
        <v>231.7</v>
      </c>
      <c r="G57" s="76">
        <v>11585</v>
      </c>
      <c r="H57" s="4">
        <v>0</v>
      </c>
      <c r="I57" s="15"/>
      <c r="J57" s="15"/>
      <c r="K57" s="15"/>
      <c r="L57" s="15"/>
      <c r="M57" s="15"/>
      <c r="N57" s="4">
        <f t="shared" si="0"/>
        <v>11585</v>
      </c>
    </row>
    <row r="58" spans="1:17">
      <c r="A58" s="15" t="s">
        <v>40</v>
      </c>
      <c r="B58" s="2">
        <v>40015</v>
      </c>
      <c r="C58" s="15" t="s">
        <v>55</v>
      </c>
      <c r="D58" s="15" t="s">
        <v>12</v>
      </c>
      <c r="E58" s="15">
        <v>750</v>
      </c>
      <c r="F58" s="73">
        <v>230.5</v>
      </c>
      <c r="G58" s="76">
        <v>172875</v>
      </c>
      <c r="H58" s="4">
        <v>0</v>
      </c>
      <c r="I58" s="15"/>
      <c r="J58" s="15"/>
      <c r="K58" s="15"/>
      <c r="L58" s="15"/>
      <c r="M58" s="15"/>
      <c r="N58" s="4">
        <f t="shared" si="0"/>
        <v>-172875</v>
      </c>
      <c r="O58" s="69">
        <f>SUM(N31:N58)</f>
        <v>5151.5</v>
      </c>
      <c r="P58" s="3" t="str">
        <f>IF(O58&gt;0,"PROFIT","LOSS")</f>
        <v>PROFIT</v>
      </c>
      <c r="Q58" s="8">
        <f>O58*0.9</f>
        <v>4636.3500000000004</v>
      </c>
    </row>
  </sheetData>
  <autoFilter ref="B3:N25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J55"/>
  <sheetViews>
    <sheetView showGridLines="0" topLeftCell="A7" zoomScale="85" zoomScaleNormal="85" workbookViewId="0">
      <selection activeCell="A2" sqref="A2"/>
    </sheetView>
  </sheetViews>
  <sheetFormatPr defaultRowHeight="15"/>
  <cols>
    <col min="2" max="2" width="26.140625" customWidth="1"/>
    <col min="3" max="3" width="15.5703125" customWidth="1"/>
    <col min="4" max="4" width="15" customWidth="1"/>
    <col min="6" max="6" width="11.5703125" bestFit="1" customWidth="1"/>
    <col min="7" max="7" width="12.28515625" customWidth="1"/>
    <col min="8" max="8" width="14.5703125" customWidth="1"/>
    <col min="9" max="9" width="13.42578125" customWidth="1"/>
    <col min="10" max="10" width="12.140625" customWidth="1"/>
  </cols>
  <sheetData>
    <row r="2" spans="2:10" ht="18.75">
      <c r="B2" s="43" t="s">
        <v>87</v>
      </c>
    </row>
    <row r="3" spans="2:10">
      <c r="I3" s="7"/>
    </row>
    <row r="4" spans="2:10" ht="18.75">
      <c r="B4" s="45" t="s">
        <v>18</v>
      </c>
      <c r="C4" s="46"/>
      <c r="D4" s="47">
        <f>SUMIF('Daily Trade Details'!D:D,"Sell",'Daily Trade Details'!G:G)</f>
        <v>1363049.3</v>
      </c>
      <c r="G4" s="43" t="s">
        <v>38</v>
      </c>
    </row>
    <row r="5" spans="2:10">
      <c r="B5" s="19" t="s">
        <v>53</v>
      </c>
      <c r="C5" s="20"/>
      <c r="D5" s="44">
        <f>-SUMIF('Daily Trade Details'!$D:$D,"BUY",'Daily Trade Details'!$G:$G)</f>
        <v>-1356863.25</v>
      </c>
      <c r="G5" s="36" t="s">
        <v>39</v>
      </c>
      <c r="H5" s="36" t="s">
        <v>17</v>
      </c>
      <c r="I5" s="37" t="s">
        <v>42</v>
      </c>
      <c r="J5" s="38" t="s">
        <v>19</v>
      </c>
    </row>
    <row r="6" spans="2:10">
      <c r="B6" s="21" t="s">
        <v>52</v>
      </c>
      <c r="C6" s="48"/>
      <c r="D6" s="49">
        <f>D4+D5</f>
        <v>6186.0500000000466</v>
      </c>
      <c r="E6" s="54"/>
      <c r="G6" s="40" t="s">
        <v>40</v>
      </c>
      <c r="H6" s="24">
        <f>IF(ISERROR(SUMIF('Daily Trade Details'!$A:$A,Summary!G6,'Daily Trade Details'!$G:$G)),0,(SUMIF('Daily Trade Details'!$A:$A,Summary!G6,'Daily Trade Details'!$G:$G)))</f>
        <v>2719912.55</v>
      </c>
      <c r="I6" s="41">
        <f>IF(H6&lt;50000001,0.05,IF(H6&lt;100000001,0.04,0.03))</f>
        <v>0.05</v>
      </c>
      <c r="J6" s="42">
        <f>H6*I6%</f>
        <v>1359.956275</v>
      </c>
    </row>
    <row r="7" spans="2:10">
      <c r="B7" s="50" t="s">
        <v>54</v>
      </c>
      <c r="C7" s="51"/>
      <c r="D7" s="16"/>
      <c r="G7" s="40" t="s">
        <v>43</v>
      </c>
      <c r="H7" s="24">
        <f>IF(ISERROR(SUMIF('Daily Trade Details'!$A:$A,Summary!G7,'Daily Trade Details'!$G:$G)),0,(SUMIF('Daily Trade Details'!$A:$A,Summary!G7,'Daily Trade Details'!$G:$G)))</f>
        <v>0</v>
      </c>
      <c r="I7" s="41"/>
      <c r="J7" s="42">
        <f t="shared" ref="J7:J14" si="0">H7*I7%</f>
        <v>0</v>
      </c>
    </row>
    <row r="8" spans="2:10">
      <c r="B8" s="18" t="s">
        <v>19</v>
      </c>
      <c r="C8" s="23">
        <f>J15</f>
        <v>1359.956275</v>
      </c>
      <c r="D8" s="16"/>
      <c r="G8" s="40" t="s">
        <v>44</v>
      </c>
      <c r="H8" s="24">
        <f>IF(ISERROR(SUMIF('Daily Trade Details'!$A:$A,Summary!G8,'Daily Trade Details'!$G:$G)),0,(SUMIF('Daily Trade Details'!$A:$A,Summary!G8,'Daily Trade Details'!$G:$G)))</f>
        <v>0</v>
      </c>
      <c r="I8" s="41"/>
      <c r="J8" s="42">
        <f t="shared" si="0"/>
        <v>0</v>
      </c>
    </row>
    <row r="9" spans="2:10">
      <c r="B9" s="18" t="s">
        <v>29</v>
      </c>
      <c r="C9" s="23">
        <f>C8*0.103</f>
        <v>140.07549632499999</v>
      </c>
      <c r="D9" s="16"/>
      <c r="G9" s="40" t="s">
        <v>45</v>
      </c>
      <c r="H9" s="24">
        <f>IF(ISERROR(SUMIF('Daily Trade Details'!$A:$A,Summary!G9,'Daily Trade Details'!$G:$G)),0,(SUMIF('Daily Trade Details'!$A:$A,Summary!G9,'Daily Trade Details'!$G:$G)))</f>
        <v>0</v>
      </c>
      <c r="I9" s="41"/>
      <c r="J9" s="42">
        <f t="shared" si="0"/>
        <v>0</v>
      </c>
    </row>
    <row r="10" spans="2:10">
      <c r="B10" s="17" t="s">
        <v>20</v>
      </c>
      <c r="C10" s="22">
        <f>H15*0.002%</f>
        <v>54.398251000000002</v>
      </c>
      <c r="D10" s="16"/>
      <c r="G10" s="40" t="s">
        <v>46</v>
      </c>
      <c r="H10" s="24">
        <f>IF(ISERROR(SUMIF('Daily Trade Details'!$A:$A,Summary!G10,'Daily Trade Details'!$G:$G)),0,(SUMIF('Daily Trade Details'!$A:$A,Summary!G10,'Daily Trade Details'!$G:$G)))</f>
        <v>0</v>
      </c>
      <c r="I10" s="41"/>
      <c r="J10" s="42">
        <f t="shared" si="0"/>
        <v>0</v>
      </c>
    </row>
    <row r="11" spans="2:10">
      <c r="B11" s="17" t="s">
        <v>34</v>
      </c>
      <c r="C11" s="22">
        <f>H15*0.00001%</f>
        <v>0.27199125499999999</v>
      </c>
      <c r="D11" s="16"/>
      <c r="G11" s="40" t="s">
        <v>47</v>
      </c>
      <c r="H11" s="24">
        <f>IF(ISERROR(SUMIF('Daily Trade Details'!$A:$A,Summary!G11,'Daily Trade Details'!$G:$G)),0,(SUMIF('Daily Trade Details'!$A:$A,Summary!G11,'Daily Trade Details'!$G:$G)))</f>
        <v>0</v>
      </c>
      <c r="I11" s="41"/>
      <c r="J11" s="42">
        <f t="shared" si="0"/>
        <v>0</v>
      </c>
    </row>
    <row r="12" spans="2:10">
      <c r="B12" s="17" t="s">
        <v>37</v>
      </c>
      <c r="C12" s="22">
        <f>H15*0.0022%</f>
        <v>59.838076100000002</v>
      </c>
      <c r="D12" s="16"/>
      <c r="G12" s="40" t="s">
        <v>48</v>
      </c>
      <c r="H12" s="24">
        <f>IF(ISERROR(SUMIF('Daily Trade Details'!$A:$A,Summary!G12,'Daily Trade Details'!$G:$G)),0,(SUMIF('Daily Trade Details'!$A:$A,Summary!G12,'Daily Trade Details'!$G:$G)))</f>
        <v>0</v>
      </c>
      <c r="I12" s="41"/>
      <c r="J12" s="42">
        <f t="shared" si="0"/>
        <v>0</v>
      </c>
    </row>
    <row r="13" spans="2:10">
      <c r="B13" s="17" t="s">
        <v>51</v>
      </c>
      <c r="C13" s="22">
        <f>(SUMIF('Daily Trade Details'!D:D,"Sell",'Daily Trade Details'!G:G)*0.017%)</f>
        <v>231.71838100000002</v>
      </c>
      <c r="D13" s="16"/>
      <c r="G13" s="40" t="s">
        <v>49</v>
      </c>
      <c r="H13" s="24">
        <f>IF(ISERROR(SUMIF('Daily Trade Details'!$A:$A,Summary!G13,'Daily Trade Details'!$G:$G)),0,(SUMIF('Daily Trade Details'!$A:$A,Summary!G13,'Daily Trade Details'!$G:$G)))</f>
        <v>0</v>
      </c>
      <c r="I13" s="41"/>
      <c r="J13" s="42">
        <f t="shared" si="0"/>
        <v>0</v>
      </c>
    </row>
    <row r="14" spans="2:10">
      <c r="B14" s="3"/>
      <c r="C14" s="22"/>
      <c r="D14" s="52">
        <f>-SUM(C8:C14)</f>
        <v>-1846.2584706800003</v>
      </c>
      <c r="G14" s="40" t="s">
        <v>50</v>
      </c>
      <c r="H14" s="24">
        <f>IF(ISERROR(SUMIF('Daily Trade Details'!$A:$A,Summary!G14,'Daily Trade Details'!$G:$G)),0,(SUMIF('Daily Trade Details'!$A:$A,Summary!G14,'Daily Trade Details'!$G:$G)))</f>
        <v>0</v>
      </c>
      <c r="I14" s="41"/>
      <c r="J14" s="42">
        <f t="shared" si="0"/>
        <v>0</v>
      </c>
    </row>
    <row r="15" spans="2:10" ht="15.75" thickBot="1">
      <c r="B15" s="25" t="s">
        <v>62</v>
      </c>
      <c r="C15" s="26"/>
      <c r="D15" s="53">
        <f>D6+D14</f>
        <v>4339.7915293200458</v>
      </c>
      <c r="H15" s="39">
        <f>SUM(H6:H14)</f>
        <v>2719912.55</v>
      </c>
      <c r="J15" s="39">
        <f>SUM(J6:J14)</f>
        <v>1359.956275</v>
      </c>
    </row>
    <row r="16" spans="2:10">
      <c r="C16" s="5"/>
      <c r="D16" s="5"/>
      <c r="H16" s="5"/>
    </row>
    <row r="17" spans="2:10">
      <c r="C17" s="5"/>
      <c r="D17" s="5"/>
      <c r="H17" s="5"/>
    </row>
    <row r="18" spans="2:10">
      <c r="H18" s="5"/>
    </row>
    <row r="19" spans="2:10">
      <c r="B19" s="63" t="s">
        <v>61</v>
      </c>
      <c r="C19" s="64"/>
      <c r="D19" s="65" t="s">
        <v>68</v>
      </c>
    </row>
    <row r="20" spans="2:10">
      <c r="B20" s="3" t="s">
        <v>63</v>
      </c>
      <c r="C20" s="3"/>
      <c r="D20" s="61">
        <f>D4/(-D5)</f>
        <v>1.0045590813960066</v>
      </c>
    </row>
    <row r="21" spans="2:10">
      <c r="B21" s="3" t="s">
        <v>64</v>
      </c>
      <c r="C21" s="3"/>
      <c r="D21" s="62">
        <f>D6/D4</f>
        <v>4.5383905042906715E-3</v>
      </c>
    </row>
    <row r="22" spans="2:10">
      <c r="B22" s="3" t="s">
        <v>65</v>
      </c>
      <c r="C22" s="3"/>
      <c r="D22" s="62">
        <f>D15/D4</f>
        <v>3.1838844928940178E-3</v>
      </c>
    </row>
    <row r="23" spans="2:10">
      <c r="B23" s="3" t="s">
        <v>66</v>
      </c>
      <c r="C23" s="3"/>
      <c r="D23" s="62">
        <f>C8/-D5</f>
        <v>1.0022795406980033E-3</v>
      </c>
    </row>
    <row r="24" spans="2:10" ht="12.75" customHeight="1">
      <c r="B24" s="3" t="s">
        <v>67</v>
      </c>
      <c r="C24" s="3"/>
      <c r="D24" s="62">
        <f>D15/-D14</f>
        <v>2.3505872001343593</v>
      </c>
      <c r="H24" s="5"/>
      <c r="J24" s="55"/>
    </row>
    <row r="25" spans="2:10" ht="12.75" customHeight="1">
      <c r="B25" s="63" t="s">
        <v>75</v>
      </c>
      <c r="C25" s="64"/>
      <c r="D25" s="65" t="s">
        <v>76</v>
      </c>
      <c r="H25" s="5"/>
    </row>
    <row r="26" spans="2:10" ht="12.75" customHeight="1">
      <c r="B26" s="9" t="s">
        <v>69</v>
      </c>
      <c r="C26" s="11"/>
      <c r="D26" s="4">
        <f>COUNTIF('Daily Trade Details'!D:D,"SELL")</f>
        <v>27</v>
      </c>
      <c r="H26" s="5"/>
    </row>
    <row r="27" spans="2:10" ht="12.75" customHeight="1">
      <c r="B27" s="9" t="s">
        <v>74</v>
      </c>
      <c r="C27" s="11"/>
      <c r="D27" s="4">
        <f>D32</f>
        <v>5</v>
      </c>
      <c r="H27" s="5"/>
    </row>
    <row r="28" spans="2:10" ht="12.75" customHeight="1">
      <c r="B28" s="9" t="s">
        <v>70</v>
      </c>
      <c r="C28" s="11"/>
      <c r="D28" s="4">
        <f>H15/D26</f>
        <v>100737.50185185185</v>
      </c>
      <c r="F28" s="7"/>
      <c r="G28" s="7"/>
      <c r="H28" s="5"/>
    </row>
    <row r="29" spans="2:10" ht="12.75" customHeight="1">
      <c r="B29" s="9" t="s">
        <v>72</v>
      </c>
      <c r="C29" s="11"/>
      <c r="D29" s="4">
        <f>H15/D27</f>
        <v>543982.51</v>
      </c>
      <c r="F29" s="7"/>
      <c r="G29" s="7"/>
      <c r="H29" s="5"/>
    </row>
    <row r="30" spans="2:10">
      <c r="B30" s="9" t="s">
        <v>71</v>
      </c>
      <c r="C30" s="11"/>
      <c r="D30" s="4">
        <f>D6/D26</f>
        <v>229.1129629629647</v>
      </c>
      <c r="H30" s="66"/>
      <c r="I30" s="66"/>
      <c r="J30" s="66"/>
    </row>
    <row r="31" spans="2:10">
      <c r="B31" s="9" t="s">
        <v>73</v>
      </c>
      <c r="C31" s="11"/>
      <c r="D31" s="4">
        <f>D6/D27</f>
        <v>1237.2100000000094</v>
      </c>
      <c r="H31" s="66"/>
      <c r="I31" s="66"/>
      <c r="J31" s="66"/>
    </row>
    <row r="32" spans="2:10">
      <c r="B32" s="72" t="s">
        <v>79</v>
      </c>
      <c r="C32" s="10"/>
      <c r="D32" s="4">
        <f>COUNT(Pivot!A:A)</f>
        <v>5</v>
      </c>
      <c r="H32" s="66"/>
      <c r="I32" s="66"/>
      <c r="J32" s="66"/>
    </row>
    <row r="33" spans="2:10">
      <c r="B33" s="72" t="s">
        <v>80</v>
      </c>
      <c r="C33" s="10"/>
      <c r="D33" s="4">
        <f>(COUNTIF(Pivot!$B:$B,"&gt;0")-1)</f>
        <v>4</v>
      </c>
      <c r="H33" s="66"/>
      <c r="I33" s="66"/>
      <c r="J33" s="66"/>
    </row>
    <row r="34" spans="2:10">
      <c r="B34" s="72" t="s">
        <v>81</v>
      </c>
      <c r="C34" s="10"/>
      <c r="D34" s="4">
        <f>D32-D33</f>
        <v>1</v>
      </c>
      <c r="H34" s="66"/>
      <c r="I34" s="66"/>
      <c r="J34" s="66"/>
    </row>
    <row r="35" spans="2:10">
      <c r="B35" s="71"/>
      <c r="C35" s="68"/>
      <c r="D35" s="70"/>
      <c r="H35" s="66"/>
      <c r="I35" s="66"/>
      <c r="J35" s="66"/>
    </row>
    <row r="36" spans="2:10">
      <c r="B36" s="71"/>
      <c r="C36" s="68"/>
      <c r="D36" s="70"/>
      <c r="H36" s="66"/>
      <c r="I36" s="66"/>
      <c r="J36" s="66"/>
    </row>
    <row r="37" spans="2:10">
      <c r="D37" s="59"/>
      <c r="H37" s="7"/>
      <c r="I37" s="7"/>
      <c r="J37" s="7"/>
    </row>
    <row r="38" spans="2:10" ht="12.75" customHeight="1">
      <c r="B38" s="33" t="s">
        <v>28</v>
      </c>
      <c r="C38" s="5"/>
      <c r="D38" s="5"/>
    </row>
    <row r="39" spans="2:10">
      <c r="B39" s="78" t="s">
        <v>21</v>
      </c>
      <c r="C39" s="79"/>
      <c r="D39" s="5"/>
    </row>
    <row r="40" spans="2:10" ht="26.25">
      <c r="B40" s="31" t="s">
        <v>22</v>
      </c>
      <c r="C40" s="32" t="s">
        <v>23</v>
      </c>
      <c r="D40" s="5"/>
    </row>
    <row r="41" spans="2:10">
      <c r="B41" s="27" t="s">
        <v>27</v>
      </c>
      <c r="C41" s="29">
        <v>0.03</v>
      </c>
      <c r="D41" s="5"/>
    </row>
    <row r="42" spans="2:10">
      <c r="B42" s="27" t="s">
        <v>26</v>
      </c>
      <c r="C42" s="29">
        <v>3.5000000000000003E-2</v>
      </c>
      <c r="D42" s="5"/>
    </row>
    <row r="43" spans="2:10">
      <c r="B43" s="27" t="s">
        <v>25</v>
      </c>
      <c r="C43" s="29">
        <v>0.04</v>
      </c>
      <c r="D43" s="5"/>
    </row>
    <row r="44" spans="2:10">
      <c r="B44" s="28" t="s">
        <v>24</v>
      </c>
      <c r="C44" s="30">
        <v>0.05</v>
      </c>
      <c r="D44" s="5" t="s">
        <v>41</v>
      </c>
    </row>
    <row r="45" spans="2:10">
      <c r="C45" s="5"/>
      <c r="D45" s="5"/>
    </row>
    <row r="46" spans="2:10">
      <c r="B46" s="34" t="s">
        <v>30</v>
      </c>
      <c r="C46" s="5"/>
      <c r="D46" s="5"/>
    </row>
    <row r="47" spans="2:10">
      <c r="B47" s="35" t="s">
        <v>31</v>
      </c>
      <c r="C47" s="5"/>
      <c r="D47" s="5"/>
    </row>
    <row r="48" spans="2:10">
      <c r="C48" s="5"/>
      <c r="D48" s="5"/>
    </row>
    <row r="49" spans="2:2">
      <c r="B49" t="s">
        <v>32</v>
      </c>
    </row>
    <row r="50" spans="2:2">
      <c r="B50" t="s">
        <v>33</v>
      </c>
    </row>
    <row r="52" spans="2:2">
      <c r="B52" t="s">
        <v>35</v>
      </c>
    </row>
    <row r="53" spans="2:2">
      <c r="B53" t="s">
        <v>36</v>
      </c>
    </row>
    <row r="55" spans="2:2">
      <c r="B55" t="s">
        <v>37</v>
      </c>
    </row>
  </sheetData>
  <mergeCells count="1">
    <mergeCell ref="B39:C39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3:B10"/>
  <sheetViews>
    <sheetView showGridLines="0" workbookViewId="0">
      <selection activeCell="A15" sqref="A15"/>
    </sheetView>
  </sheetViews>
  <sheetFormatPr defaultRowHeight="15"/>
  <cols>
    <col min="1" max="1" width="13.140625" customWidth="1"/>
    <col min="2" max="2" width="10.85546875" bestFit="1" customWidth="1"/>
    <col min="3" max="3" width="7.28515625" customWidth="1"/>
    <col min="4" max="4" width="11.28515625" customWidth="1"/>
    <col min="5" max="6" width="6.7109375" customWidth="1"/>
    <col min="7" max="7" width="8.7109375" customWidth="1"/>
    <col min="8" max="8" width="6.7109375" customWidth="1"/>
    <col min="9" max="9" width="9.7109375" bestFit="1" customWidth="1"/>
    <col min="10" max="11" width="6.7109375" customWidth="1"/>
    <col min="12" max="12" width="8.7109375" customWidth="1"/>
    <col min="13" max="13" width="6" customWidth="1"/>
    <col min="14" max="14" width="8" customWidth="1"/>
    <col min="15" max="16" width="6" customWidth="1"/>
    <col min="17" max="17" width="8" customWidth="1"/>
    <col min="18" max="21" width="6" customWidth="1"/>
    <col min="22" max="23" width="9" customWidth="1"/>
    <col min="24" max="24" width="7.28515625" customWidth="1"/>
    <col min="25" max="25" width="11.28515625" bestFit="1" customWidth="1"/>
  </cols>
  <sheetData>
    <row r="3" spans="1:2">
      <c r="A3" s="56" t="s">
        <v>56</v>
      </c>
      <c r="B3" t="s">
        <v>59</v>
      </c>
    </row>
    <row r="4" spans="1:2">
      <c r="A4" s="58">
        <v>40009</v>
      </c>
      <c r="B4" s="7">
        <v>527.35000000000582</v>
      </c>
    </row>
    <row r="5" spans="1:2">
      <c r="A5" s="58">
        <v>40010</v>
      </c>
      <c r="B5" s="7">
        <v>-1084.5</v>
      </c>
    </row>
    <row r="6" spans="1:2">
      <c r="A6" s="58">
        <v>40011</v>
      </c>
      <c r="B6" s="7">
        <v>825</v>
      </c>
    </row>
    <row r="7" spans="1:2">
      <c r="A7" s="58">
        <v>40014</v>
      </c>
      <c r="B7" s="7">
        <v>766.69999999999709</v>
      </c>
    </row>
    <row r="8" spans="1:2">
      <c r="A8" s="58">
        <v>40015</v>
      </c>
      <c r="B8" s="7">
        <v>5151.5</v>
      </c>
    </row>
    <row r="9" spans="1:2">
      <c r="A9" s="58" t="s">
        <v>57</v>
      </c>
      <c r="B9" s="7"/>
    </row>
    <row r="10" spans="1:2">
      <c r="A10" s="57" t="s">
        <v>58</v>
      </c>
      <c r="B10" s="7">
        <v>6186.0500000000029</v>
      </c>
    </row>
  </sheetData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Please read</vt:lpstr>
      <vt:lpstr>Daily Trade Details</vt:lpstr>
      <vt:lpstr>Summary</vt:lpstr>
      <vt:lpstr>Pivot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venkatrao</dc:creator>
  <cp:lastModifiedBy>venkatrao</cp:lastModifiedBy>
  <dcterms:created xsi:type="dcterms:W3CDTF">2009-07-15T09:00:37Z</dcterms:created>
  <dcterms:modified xsi:type="dcterms:W3CDTF">2009-08-17T11:39:42Z</dcterms:modified>
</cp:coreProperties>
</file>