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$hree Nath Ashish\Desktop\"/>
    </mc:Choice>
  </mc:AlternateContent>
  <bookViews>
    <workbookView xWindow="0" yWindow="0" windowWidth="20490" windowHeight="7770"/>
  </bookViews>
  <sheets>
    <sheet name="VMT- projected-NPS vs UPS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7" l="1"/>
  <c r="C74" i="7" l="1"/>
  <c r="D78" i="7"/>
  <c r="E77" i="7"/>
  <c r="F77" i="7" s="1"/>
  <c r="D77" i="7"/>
  <c r="E76" i="7"/>
  <c r="D76" i="7"/>
  <c r="D74" i="7"/>
  <c r="D71" i="7"/>
  <c r="D70" i="7"/>
  <c r="E68" i="7"/>
  <c r="F68" i="7" s="1"/>
  <c r="D68" i="7"/>
  <c r="E67" i="7"/>
  <c r="F67" i="7" s="1"/>
  <c r="D67" i="7"/>
  <c r="B66" i="7"/>
  <c r="C65" i="7"/>
  <c r="D65" i="7" s="1"/>
  <c r="C63" i="7"/>
  <c r="D63" i="7" s="1"/>
  <c r="E63" i="7" s="1"/>
  <c r="F63" i="7" s="1"/>
  <c r="E62" i="7"/>
  <c r="F62" i="7" s="1"/>
  <c r="D62" i="7"/>
  <c r="F61" i="7"/>
  <c r="D61" i="7"/>
  <c r="H4" i="7"/>
  <c r="C11" i="7"/>
  <c r="C12" i="7" s="1"/>
  <c r="C13" i="7" s="1"/>
  <c r="C14" i="7" s="1"/>
  <c r="C15" i="7" s="1"/>
  <c r="C16" i="7" s="1"/>
  <c r="C17" i="7" s="1"/>
  <c r="C18" i="7" s="1"/>
  <c r="C19" i="7" s="1"/>
  <c r="B11" i="7"/>
  <c r="B12" i="7" s="1"/>
  <c r="B13" i="7" s="1"/>
  <c r="D10" i="7"/>
  <c r="E10" i="7" s="1"/>
  <c r="F10" i="7" s="1"/>
  <c r="G10" i="7" s="1"/>
  <c r="C66" i="7" l="1"/>
  <c r="E66" i="7" s="1"/>
  <c r="F66" i="7" s="1"/>
  <c r="D11" i="7"/>
  <c r="E11" i="7" s="1"/>
  <c r="F11" i="7" s="1"/>
  <c r="G11" i="7" s="1"/>
  <c r="E78" i="7"/>
  <c r="F78" i="7" s="1"/>
  <c r="B14" i="7"/>
  <c r="D13" i="7"/>
  <c r="E13" i="7" s="1"/>
  <c r="F13" i="7" s="1"/>
  <c r="C20" i="7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D66" i="7"/>
  <c r="F76" i="7"/>
  <c r="E65" i="7"/>
  <c r="F65" i="7" s="1"/>
  <c r="D12" i="7"/>
  <c r="E12" i="7" s="1"/>
  <c r="F12" i="7" s="1"/>
  <c r="C69" i="7" l="1"/>
  <c r="D69" i="7" s="1"/>
  <c r="G12" i="7"/>
  <c r="G13" i="7" s="1"/>
  <c r="H11" i="7"/>
  <c r="H12" i="7"/>
  <c r="C33" i="7"/>
  <c r="C34" i="7" s="1"/>
  <c r="C35" i="7" s="1"/>
  <c r="C36" i="7" s="1"/>
  <c r="C37" i="7" s="1"/>
  <c r="C38" i="7" s="1"/>
  <c r="C39" i="7" s="1"/>
  <c r="C40" i="7" s="1"/>
  <c r="C41" i="7" s="1"/>
  <c r="H13" i="7"/>
  <c r="D14" i="7"/>
  <c r="E14" i="7" s="1"/>
  <c r="F14" i="7" s="1"/>
  <c r="H14" i="7" s="1"/>
  <c r="B15" i="7"/>
  <c r="G14" i="7" l="1"/>
  <c r="C42" i="7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73" i="7" s="1"/>
  <c r="H5" i="7" s="1"/>
  <c r="C53" i="7"/>
  <c r="D15" i="7"/>
  <c r="E15" i="7" s="1"/>
  <c r="F15" i="7" s="1"/>
  <c r="H15" i="7" s="1"/>
  <c r="B16" i="7"/>
  <c r="E73" i="7" l="1"/>
  <c r="D73" i="7"/>
  <c r="G15" i="7"/>
  <c r="H6" i="7"/>
  <c r="D16" i="7"/>
  <c r="E16" i="7" s="1"/>
  <c r="F16" i="7" s="1"/>
  <c r="H16" i="7" s="1"/>
  <c r="B17" i="7"/>
  <c r="G16" i="7" l="1"/>
  <c r="F73" i="7"/>
  <c r="F80" i="7" s="1"/>
  <c r="F84" i="7" s="1"/>
  <c r="E80" i="7"/>
  <c r="E84" i="7" s="1"/>
  <c r="E86" i="7"/>
  <c r="E87" i="7" s="1"/>
  <c r="E88" i="7" s="1"/>
  <c r="B18" i="7"/>
  <c r="D17" i="7"/>
  <c r="E17" i="7" s="1"/>
  <c r="F17" i="7" s="1"/>
  <c r="H17" i="7" s="1"/>
  <c r="G17" i="7" l="1"/>
  <c r="D18" i="7"/>
  <c r="E18" i="7" s="1"/>
  <c r="F18" i="7" s="1"/>
  <c r="H18" i="7" s="1"/>
  <c r="B19" i="7"/>
  <c r="G18" i="7" l="1"/>
  <c r="D19" i="7"/>
  <c r="E19" i="7" s="1"/>
  <c r="F19" i="7" s="1"/>
  <c r="H19" i="7" s="1"/>
  <c r="B20" i="7"/>
  <c r="G19" i="7" l="1"/>
  <c r="D20" i="7"/>
  <c r="E20" i="7" s="1"/>
  <c r="F20" i="7" s="1"/>
  <c r="H20" i="7" s="1"/>
  <c r="B21" i="7"/>
  <c r="G20" i="7" l="1"/>
  <c r="B22" i="7"/>
  <c r="D21" i="7"/>
  <c r="E21" i="7" s="1"/>
  <c r="F21" i="7" s="1"/>
  <c r="H21" i="7" s="1"/>
  <c r="G21" i="7" l="1"/>
  <c r="D22" i="7"/>
  <c r="E22" i="7" s="1"/>
  <c r="F22" i="7" s="1"/>
  <c r="H22" i="7" s="1"/>
  <c r="B23" i="7"/>
  <c r="G22" i="7" l="1"/>
  <c r="B24" i="7"/>
  <c r="D23" i="7"/>
  <c r="E23" i="7" s="1"/>
  <c r="F23" i="7" s="1"/>
  <c r="H23" i="7" s="1"/>
  <c r="G23" i="7" l="1"/>
  <c r="D24" i="7"/>
  <c r="E24" i="7" s="1"/>
  <c r="F24" i="7" s="1"/>
  <c r="H24" i="7" s="1"/>
  <c r="B25" i="7"/>
  <c r="G24" i="7" l="1"/>
  <c r="D25" i="7"/>
  <c r="E25" i="7" s="1"/>
  <c r="F25" i="7" s="1"/>
  <c r="H25" i="7" s="1"/>
  <c r="B26" i="7"/>
  <c r="G25" i="7" l="1"/>
  <c r="D26" i="7"/>
  <c r="E26" i="7" s="1"/>
  <c r="F26" i="7" s="1"/>
  <c r="H26" i="7" s="1"/>
  <c r="B27" i="7"/>
  <c r="G26" i="7" l="1"/>
  <c r="D27" i="7"/>
  <c r="E27" i="7" s="1"/>
  <c r="F27" i="7" s="1"/>
  <c r="H27" i="7" s="1"/>
  <c r="B28" i="7"/>
  <c r="G27" i="7" l="1"/>
  <c r="D28" i="7"/>
  <c r="E28" i="7" s="1"/>
  <c r="F28" i="7" s="1"/>
  <c r="H28" i="7" s="1"/>
  <c r="B29" i="7"/>
  <c r="G28" i="7" l="1"/>
  <c r="D29" i="7"/>
  <c r="E29" i="7" s="1"/>
  <c r="F29" i="7" s="1"/>
  <c r="H29" i="7" s="1"/>
  <c r="B30" i="7"/>
  <c r="G29" i="7" l="1"/>
  <c r="D30" i="7"/>
  <c r="E30" i="7" s="1"/>
  <c r="F30" i="7" s="1"/>
  <c r="H30" i="7" s="1"/>
  <c r="B31" i="7"/>
  <c r="G30" i="7" l="1"/>
  <c r="D31" i="7"/>
  <c r="E31" i="7" s="1"/>
  <c r="F31" i="7" s="1"/>
  <c r="H31" i="7" s="1"/>
  <c r="B32" i="7"/>
  <c r="G31" i="7" l="1"/>
  <c r="B33" i="7"/>
  <c r="D32" i="7"/>
  <c r="E32" i="7" s="1"/>
  <c r="F32" i="7" s="1"/>
  <c r="H32" i="7" s="1"/>
  <c r="G32" i="7" l="1"/>
  <c r="B34" i="7"/>
  <c r="D33" i="7"/>
  <c r="E33" i="7" s="1"/>
  <c r="F33" i="7" s="1"/>
  <c r="H33" i="7" s="1"/>
  <c r="G33" i="7" l="1"/>
  <c r="B35" i="7"/>
  <c r="D34" i="7"/>
  <c r="E34" i="7" s="1"/>
  <c r="F34" i="7" s="1"/>
  <c r="H34" i="7" s="1"/>
  <c r="G34" i="7" l="1"/>
  <c r="B36" i="7"/>
  <c r="D35" i="7"/>
  <c r="E35" i="7" s="1"/>
  <c r="F35" i="7" s="1"/>
  <c r="H35" i="7" s="1"/>
  <c r="G35" i="7" l="1"/>
  <c r="B37" i="7"/>
  <c r="D36" i="7"/>
  <c r="E36" i="7" s="1"/>
  <c r="F36" i="7" s="1"/>
  <c r="H36" i="7" s="1"/>
  <c r="G36" i="7" l="1"/>
  <c r="B38" i="7"/>
  <c r="D37" i="7"/>
  <c r="E37" i="7" s="1"/>
  <c r="F37" i="7" s="1"/>
  <c r="H37" i="7" s="1"/>
  <c r="G37" i="7" l="1"/>
  <c r="B39" i="7"/>
  <c r="D38" i="7"/>
  <c r="E38" i="7" s="1"/>
  <c r="F38" i="7" s="1"/>
  <c r="H38" i="7" s="1"/>
  <c r="G38" i="7" l="1"/>
  <c r="D39" i="7"/>
  <c r="E39" i="7" s="1"/>
  <c r="F39" i="7" s="1"/>
  <c r="H39" i="7" s="1"/>
  <c r="B40" i="7"/>
  <c r="G39" i="7" l="1"/>
  <c r="B41" i="7"/>
  <c r="D40" i="7"/>
  <c r="E40" i="7" s="1"/>
  <c r="F40" i="7" s="1"/>
  <c r="H40" i="7" s="1"/>
  <c r="G40" i="7" l="1"/>
  <c r="B42" i="7"/>
  <c r="D41" i="7"/>
  <c r="E41" i="7" s="1"/>
  <c r="F41" i="7" s="1"/>
  <c r="H41" i="7" s="1"/>
  <c r="G41" i="7" l="1"/>
  <c r="B43" i="7"/>
  <c r="D42" i="7"/>
  <c r="E42" i="7" s="1"/>
  <c r="F42" i="7" s="1"/>
  <c r="H42" i="7" s="1"/>
  <c r="G42" i="7" l="1"/>
  <c r="D43" i="7"/>
  <c r="E43" i="7" s="1"/>
  <c r="F43" i="7" s="1"/>
  <c r="H43" i="7" s="1"/>
  <c r="B44" i="7"/>
  <c r="G43" i="7" l="1"/>
  <c r="B45" i="7"/>
  <c r="D44" i="7"/>
  <c r="E44" i="7" s="1"/>
  <c r="F44" i="7" s="1"/>
  <c r="H44" i="7" s="1"/>
  <c r="G44" i="7" l="1"/>
  <c r="D45" i="7"/>
  <c r="E45" i="7" s="1"/>
  <c r="F45" i="7" s="1"/>
  <c r="H45" i="7" s="1"/>
  <c r="B46" i="7"/>
  <c r="G45" i="7" l="1"/>
  <c r="B47" i="7"/>
  <c r="D46" i="7"/>
  <c r="E46" i="7" s="1"/>
  <c r="F46" i="7" s="1"/>
  <c r="H46" i="7" s="1"/>
  <c r="G46" i="7" l="1"/>
  <c r="B48" i="7"/>
  <c r="D47" i="7"/>
  <c r="E47" i="7" s="1"/>
  <c r="F47" i="7" s="1"/>
  <c r="H47" i="7" s="1"/>
  <c r="G47" i="7" l="1"/>
  <c r="B49" i="7"/>
  <c r="D48" i="7"/>
  <c r="E48" i="7" s="1"/>
  <c r="F48" i="7" s="1"/>
  <c r="H48" i="7" s="1"/>
  <c r="G48" i="7" l="1"/>
  <c r="D49" i="7"/>
  <c r="E49" i="7" s="1"/>
  <c r="F49" i="7" s="1"/>
  <c r="H49" i="7" s="1"/>
  <c r="B50" i="7"/>
  <c r="G49" i="7" l="1"/>
  <c r="B51" i="7"/>
  <c r="D50" i="7"/>
  <c r="E50" i="7" s="1"/>
  <c r="F50" i="7" s="1"/>
  <c r="H50" i="7" s="1"/>
  <c r="G50" i="7" l="1"/>
  <c r="B52" i="7"/>
  <c r="D52" i="7" s="1"/>
  <c r="E52" i="7" s="1"/>
  <c r="F52" i="7" s="1"/>
  <c r="D51" i="7"/>
  <c r="E51" i="7" s="1"/>
  <c r="F51" i="7" s="1"/>
  <c r="H51" i="7" s="1"/>
  <c r="G51" i="7" l="1"/>
  <c r="G52" i="7" s="1"/>
  <c r="C75" i="7" s="1"/>
  <c r="G53" i="7"/>
  <c r="H52" i="7"/>
  <c r="C85" i="7" l="1"/>
  <c r="D85" i="7" s="1"/>
  <c r="D75" i="7"/>
  <c r="C80" i="7"/>
  <c r="D80" i="7" s="1"/>
  <c r="C79" i="7"/>
  <c r="D79" i="7" s="1"/>
  <c r="C81" i="7"/>
  <c r="C82" i="7" l="1"/>
  <c r="C84" i="7" s="1"/>
  <c r="D81" i="7"/>
  <c r="D83" i="7" s="1"/>
  <c r="D84" i="7" s="1"/>
</calcChain>
</file>

<file path=xl/comments1.xml><?xml version="1.0" encoding="utf-8"?>
<comments xmlns="http://schemas.openxmlformats.org/spreadsheetml/2006/main">
  <authors>
    <author>LENOVO</author>
  </authors>
  <commentList>
    <comment ref="C82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5"/>
            <color indexed="81"/>
            <rFont val="Tahoma"/>
            <family val="2"/>
          </rPr>
          <t>formula</t>
        </r>
      </text>
    </comment>
  </commentList>
</comments>
</file>

<file path=xl/sharedStrings.xml><?xml version="1.0" encoding="utf-8"?>
<sst xmlns="http://schemas.openxmlformats.org/spreadsheetml/2006/main" count="151" uniqueCount="114">
  <si>
    <t>Expected NPS corpus at retirement</t>
  </si>
  <si>
    <t>Expected basic pay at retirement</t>
  </si>
  <si>
    <t>NPS annuity rate at retirement</t>
  </si>
  <si>
    <t>Current Basic Pay (monthly)</t>
  </si>
  <si>
    <t>Expected increase in UPS pension after retirement</t>
  </si>
  <si>
    <t>Expected DA at retirement</t>
  </si>
  <si>
    <t>Expected basic pay one year before retirement</t>
  </si>
  <si>
    <t>Expected rate of NPS return before retirement</t>
  </si>
  <si>
    <t>Current total NPS contribution each month</t>
  </si>
  <si>
    <t>Expected hike in DA each year (approximately)</t>
  </si>
  <si>
    <t>Expected DA rate at retirement (relative to today)</t>
  </si>
  <si>
    <t>Basic pay (monthly) for  UPS pension at retirement (excluding DA)</t>
  </si>
  <si>
    <t>-</t>
  </si>
  <si>
    <t>Life expectency - retirement age</t>
  </si>
  <si>
    <t>NPS / UPS monthly pension (including DA in case of UPS)</t>
  </si>
  <si>
    <t>40% of corpus with 5% Annuity</t>
  </si>
  <si>
    <t>NPS corpus to be withdrawn at the time of retirement (60%)</t>
  </si>
  <si>
    <t>Remaining NPS Corpus after death of employee to the legal heirs</t>
  </si>
  <si>
    <t>Return on NPS corpus withdrawn (60%) at the time of retirement</t>
  </si>
  <si>
    <t>Basic + DA as on retirement</t>
  </si>
  <si>
    <t>Corpus with government against NPS (40%)</t>
  </si>
  <si>
    <t>* SWP - Systematic withdrawal Plan where principal amount gets zero at the time of completion of whole period</t>
  </si>
  <si>
    <t>NPS with SWP*</t>
  </si>
  <si>
    <t>Interst on FDR @6% on corpus withdrawn 60%</t>
  </si>
  <si>
    <t>Here all fund [60% corpus] will remain with the employee</t>
  </si>
  <si>
    <t>Remarks</t>
  </si>
  <si>
    <t xml:space="preserve">Particulars / narration </t>
  </si>
  <si>
    <t>description</t>
  </si>
  <si>
    <t>C</t>
  </si>
  <si>
    <t>Variable , Future DA applicable in UPS</t>
  </si>
  <si>
    <t>6% Per Annum</t>
  </si>
  <si>
    <t>Considering age (life expectancy) 80 years</t>
  </si>
  <si>
    <t>D</t>
  </si>
  <si>
    <t>Completed years of Service (years, no decimals)</t>
  </si>
  <si>
    <t>Years to retirement left (years, no decimals)</t>
  </si>
  <si>
    <t>Expected years after retirement - life expectancy (years)</t>
  </si>
  <si>
    <t>Current DA rate (as on 01st July 2024)</t>
  </si>
  <si>
    <t>Increase in basic pay</t>
  </si>
  <si>
    <t>Total lengh of service</t>
  </si>
  <si>
    <t>Including government contribution @ 14%</t>
  </si>
  <si>
    <t>DA amount</t>
  </si>
  <si>
    <t>NPS @24%</t>
  </si>
  <si>
    <t>Gross Basic + DA</t>
  </si>
  <si>
    <t>Opening NPS balance</t>
  </si>
  <si>
    <t>Yearly NPS conribution increase</t>
  </si>
  <si>
    <t>NPS with FDR @ 6% of corpus fund (without SWP)</t>
  </si>
  <si>
    <t>Plan B (NPS)</t>
  </si>
  <si>
    <t>Plan A (NPS)</t>
  </si>
  <si>
    <t>Already available fund in NPS corpus (opening balance)</t>
  </si>
  <si>
    <t>Service year (remaining) - Edit accordingly</t>
  </si>
  <si>
    <t>DA % as on 01.07.2024 taken in 1st row at sl. No. 1</t>
  </si>
  <si>
    <t xml:space="preserve">this colour cells refer to Figures not to be modified </t>
  </si>
  <si>
    <t>UPS pension  at the age of 72 years taking DA @6% pa</t>
  </si>
  <si>
    <t>Green colour cells are to be modified only,  as per employee's self data</t>
  </si>
  <si>
    <t>Pay commission not considered yet in this worksheet</t>
  </si>
  <si>
    <t>Current corpus in opening balance as on date</t>
  </si>
  <si>
    <t>Basis (approx on retirment)</t>
  </si>
  <si>
    <t>DA (approx on retirement)</t>
  </si>
  <si>
    <t>Total basic + DA</t>
  </si>
  <si>
    <t>Corpus in NPS at the time of retirement</t>
  </si>
  <si>
    <t>UPS @ retirement</t>
  </si>
  <si>
    <t>remaining service year 1</t>
  </si>
  <si>
    <t>remaining service year 2</t>
  </si>
  <si>
    <t>remaining service year 3</t>
  </si>
  <si>
    <t>remaining service year 4</t>
  </si>
  <si>
    <t>remaining service year 5</t>
  </si>
  <si>
    <t>remaining service year 6</t>
  </si>
  <si>
    <t>remaining service year 7</t>
  </si>
  <si>
    <t>remaining service year 8</t>
  </si>
  <si>
    <t>remaining service year 9</t>
  </si>
  <si>
    <t>remaining service year 10</t>
  </si>
  <si>
    <t>remaining service year 11</t>
  </si>
  <si>
    <t>remaining service year 12</t>
  </si>
  <si>
    <t>remaining service year 13</t>
  </si>
  <si>
    <t>remaining service year 14</t>
  </si>
  <si>
    <t>remaining service year 15</t>
  </si>
  <si>
    <t>remaining service year 16</t>
  </si>
  <si>
    <t>remaining service year 17</t>
  </si>
  <si>
    <t>remaining service year 18</t>
  </si>
  <si>
    <t>remaining service year 19</t>
  </si>
  <si>
    <t>remaining service year 20</t>
  </si>
  <si>
    <t>remaining service year 21</t>
  </si>
  <si>
    <t>remaining service year 22</t>
  </si>
  <si>
    <t>remaining service year 23</t>
  </si>
  <si>
    <t>remaining service year 24</t>
  </si>
  <si>
    <t>remaining service year 25</t>
  </si>
  <si>
    <t>remaining service year 26</t>
  </si>
  <si>
    <t>remaining service year 27</t>
  </si>
  <si>
    <t>remaining service year 28</t>
  </si>
  <si>
    <t>remaining service year 29</t>
  </si>
  <si>
    <t>remaining service year 30</t>
  </si>
  <si>
    <t>remaining service year 31</t>
  </si>
  <si>
    <t>remaining service year 32</t>
  </si>
  <si>
    <t>remaining service year 33</t>
  </si>
  <si>
    <t>remaining service year 34</t>
  </si>
  <si>
    <t>remaining service year 35</t>
  </si>
  <si>
    <t>remaining service year 36</t>
  </si>
  <si>
    <t>remaining service year 37</t>
  </si>
  <si>
    <t>remaining service year 38</t>
  </si>
  <si>
    <t>remaining service year 39</t>
  </si>
  <si>
    <t>remaining service year 40</t>
  </si>
  <si>
    <t>remaining service year 41</t>
  </si>
  <si>
    <t>remaining service year 42</t>
  </si>
  <si>
    <t>Important Notings for use of this workbook to get result</t>
  </si>
  <si>
    <t>RESULT  FOR PENSION AND CORPUS</t>
  </si>
  <si>
    <t>Current year salary</t>
  </si>
  <si>
    <t>Basic as on date</t>
  </si>
  <si>
    <t>Sheet - 'A'</t>
  </si>
  <si>
    <t>Sheet 'B'</t>
  </si>
  <si>
    <t>Fixed no DA on NPS</t>
  </si>
  <si>
    <t>RESULT : Total monthly income on NPS fund or UPS (systematic investment withdrawals @6%)</t>
  </si>
  <si>
    <t xml:space="preserve">Expected UPS lump sum at retirement. </t>
  </si>
  <si>
    <t>Some rows are hidden, not to be disturbed, because calculation effect has been given</t>
  </si>
  <si>
    <t>SWP on FDR @6% (for 20 years, no residual value after 20 years), if employee opt the same at its 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</si>
</sst>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_(* #,##0_);_(* \(#,##0\);_(* &quot;-&quot;??_);_(@_)"/>
  </numFmts>
  <fonts count="23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4"/>
      <color theme="1"/>
      <name val="Aptos Narrow"/>
      <scheme val="minor"/>
    </font>
    <font>
      <sz val="24"/>
      <name val="Aptos Narrow"/>
      <family val="2"/>
      <scheme val="minor"/>
    </font>
    <font>
      <b/>
      <u/>
      <sz val="24"/>
      <color theme="1"/>
      <name val="Aptos Narrow"/>
      <scheme val="minor"/>
    </font>
    <font>
      <b/>
      <i/>
      <u/>
      <sz val="24"/>
      <color theme="1"/>
      <name val="Aptos Narrow"/>
      <scheme val="minor"/>
    </font>
    <font>
      <b/>
      <u/>
      <sz val="50"/>
      <color theme="1"/>
      <name val="Aptos Narrow"/>
      <scheme val="minor"/>
    </font>
    <font>
      <b/>
      <u/>
      <sz val="24"/>
      <name val="Aptos Narrow"/>
      <scheme val="minor"/>
    </font>
    <font>
      <b/>
      <sz val="24"/>
      <name val="Aptos Narrow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5"/>
      <color indexed="81"/>
      <name val="Tahoma"/>
      <family val="2"/>
    </font>
    <font>
      <b/>
      <sz val="20"/>
      <color theme="1"/>
      <name val="Aptos Narrow"/>
      <scheme val="minor"/>
    </font>
    <font>
      <b/>
      <sz val="18"/>
      <color theme="1"/>
      <name val="Aptos Narrow"/>
      <scheme val="minor"/>
    </font>
    <font>
      <b/>
      <sz val="24"/>
      <color rgb="FFFF0000"/>
      <name val="Aptos Narrow"/>
      <scheme val="minor"/>
    </font>
    <font>
      <b/>
      <u/>
      <sz val="32"/>
      <color theme="1"/>
      <name val="Aptos Narrow"/>
      <scheme val="minor"/>
    </font>
    <font>
      <b/>
      <sz val="24"/>
      <color rgb="FF040C28"/>
      <name val="Arial"/>
      <family val="2"/>
    </font>
    <font>
      <sz val="24"/>
      <color theme="1"/>
      <name val="Aptos Narrow"/>
      <scheme val="minor"/>
    </font>
    <font>
      <b/>
      <u/>
      <sz val="20"/>
      <color theme="1"/>
      <name val="Aptos Narrow"/>
      <scheme val="minor"/>
    </font>
    <font>
      <b/>
      <u/>
      <sz val="30"/>
      <color theme="1"/>
      <name val="Aptos Narrow"/>
      <scheme val="minor"/>
    </font>
    <font>
      <b/>
      <u/>
      <sz val="18"/>
      <color theme="1"/>
      <name val="Aptos Narrow"/>
      <scheme val="minor"/>
    </font>
    <font>
      <b/>
      <sz val="40"/>
      <color theme="1"/>
      <name val="Aptos Narrow"/>
      <scheme val="minor"/>
    </font>
    <font>
      <b/>
      <u/>
      <sz val="40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1" xfId="0" applyFill="1" applyBorder="1" applyAlignment="1" applyProtection="1">
      <alignment vertical="center"/>
      <protection hidden="1"/>
    </xf>
    <xf numFmtId="1" fontId="0" fillId="0" borderId="1" xfId="0" applyNumberForma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6" borderId="1" xfId="0" applyFill="1" applyBorder="1" applyAlignment="1" applyProtection="1">
      <alignment horizontal="right" vertical="center"/>
      <protection hidden="1"/>
    </xf>
    <xf numFmtId="9" fontId="0" fillId="0" borderId="2" xfId="0" applyNumberFormat="1" applyBorder="1" applyAlignment="1" applyProtection="1">
      <alignment vertical="center"/>
      <protection hidden="1"/>
    </xf>
    <xf numFmtId="9" fontId="0" fillId="0" borderId="1" xfId="0" applyNumberFormat="1" applyBorder="1" applyAlignment="1" applyProtection="1">
      <alignment vertical="center"/>
      <protection hidden="1"/>
    </xf>
    <xf numFmtId="9" fontId="0" fillId="6" borderId="1" xfId="0" applyNumberFormat="1" applyFill="1" applyBorder="1" applyAlignment="1" applyProtection="1">
      <alignment vertical="center"/>
      <protection hidden="1"/>
    </xf>
    <xf numFmtId="9" fontId="0" fillId="7" borderId="1" xfId="0" applyNumberFormat="1" applyFill="1" applyBorder="1" applyAlignment="1" applyProtection="1">
      <alignment vertical="center"/>
      <protection hidden="1"/>
    </xf>
    <xf numFmtId="9" fontId="0" fillId="7" borderId="2" xfId="0" applyNumberFormat="1" applyFill="1" applyBorder="1" applyAlignment="1" applyProtection="1">
      <alignment vertical="center"/>
      <protection hidden="1"/>
    </xf>
    <xf numFmtId="1" fontId="0" fillId="6" borderId="1" xfId="0" applyNumberFormat="1" applyFill="1" applyBorder="1" applyAlignment="1" applyProtection="1">
      <alignment vertical="center"/>
      <protection hidden="1"/>
    </xf>
    <xf numFmtId="1" fontId="0" fillId="0" borderId="1" xfId="0" applyNumberFormat="1" applyBorder="1" applyAlignment="1" applyProtection="1">
      <alignment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1" fontId="0" fillId="0" borderId="2" xfId="0" applyNumberFormat="1" applyBorder="1" applyAlignment="1" applyProtection="1">
      <alignment vertical="center"/>
      <protection hidden="1"/>
    </xf>
    <xf numFmtId="166" fontId="0" fillId="6" borderId="1" xfId="0" applyNumberFormat="1" applyFill="1" applyBorder="1" applyAlignment="1" applyProtection="1">
      <alignment vertical="center"/>
      <protection hidden="1"/>
    </xf>
    <xf numFmtId="166" fontId="0" fillId="0" borderId="1" xfId="0" applyNumberFormat="1" applyBorder="1" applyAlignment="1" applyProtection="1">
      <alignment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9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0" fillId="6" borderId="2" xfId="0" applyNumberFormat="1" applyFill="1" applyBorder="1" applyAlignment="1" applyProtection="1">
      <alignment vertical="center"/>
      <protection hidden="1"/>
    </xf>
    <xf numFmtId="1" fontId="2" fillId="6" borderId="1" xfId="0" applyNumberFormat="1" applyFont="1" applyFill="1" applyBorder="1" applyAlignment="1" applyProtection="1">
      <alignment vertical="center"/>
      <protection hidden="1"/>
    </xf>
    <xf numFmtId="0" fontId="0" fillId="6" borderId="0" xfId="0" applyNumberFormat="1" applyFill="1" applyBorder="1" applyAlignment="1" applyProtection="1">
      <alignment vertical="center"/>
      <protection hidden="1"/>
    </xf>
    <xf numFmtId="0" fontId="0" fillId="0" borderId="1" xfId="0" applyNumberFormat="1" applyBorder="1" applyAlignment="1" applyProtection="1">
      <alignment vertical="center"/>
      <protection hidden="1"/>
    </xf>
    <xf numFmtId="1" fontId="2" fillId="0" borderId="1" xfId="1" applyNumberFormat="1" applyFont="1" applyBorder="1" applyAlignment="1" applyProtection="1">
      <alignment horizontal="center" vertical="center" wrapText="1"/>
      <protection hidden="1"/>
    </xf>
    <xf numFmtId="9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NumberFormat="1" applyFill="1" applyBorder="1" applyAlignment="1" applyProtection="1">
      <alignment vertical="center"/>
      <protection hidden="1"/>
    </xf>
    <xf numFmtId="0" fontId="0" fillId="0" borderId="2" xfId="0" applyNumberFormat="1" applyBorder="1" applyAlignment="1" applyProtection="1">
      <alignment vertical="center"/>
      <protection hidden="1"/>
    </xf>
    <xf numFmtId="165" fontId="0" fillId="6" borderId="1" xfId="1" applyNumberFormat="1" applyFont="1" applyFill="1" applyBorder="1" applyAlignment="1" applyProtection="1">
      <alignment vertical="center"/>
      <protection hidden="1"/>
    </xf>
    <xf numFmtId="165" fontId="0" fillId="6" borderId="1" xfId="1" applyNumberFormat="1" applyFont="1" applyFill="1" applyBorder="1" applyProtection="1">
      <protection hidden="1"/>
    </xf>
    <xf numFmtId="165" fontId="0" fillId="6" borderId="1" xfId="1" applyNumberFormat="1" applyFont="1" applyFill="1" applyBorder="1" applyAlignment="1" applyProtection="1">
      <alignment horizontal="center" vertical="center"/>
      <protection hidden="1"/>
    </xf>
    <xf numFmtId="1" fontId="2" fillId="6" borderId="2" xfId="0" applyNumberFormat="1" applyFont="1" applyFill="1" applyBorder="1" applyAlignment="1" applyProtection="1">
      <alignment vertical="center"/>
      <protection hidden="1"/>
    </xf>
    <xf numFmtId="167" fontId="2" fillId="6" borderId="21" xfId="0" applyNumberFormat="1" applyFont="1" applyFill="1" applyBorder="1" applyAlignment="1" applyProtection="1">
      <alignment vertical="center"/>
      <protection hidden="1"/>
    </xf>
    <xf numFmtId="165" fontId="2" fillId="6" borderId="22" xfId="0" applyNumberFormat="1" applyFont="1" applyFill="1" applyBorder="1" applyAlignment="1" applyProtection="1">
      <alignment vertical="center"/>
      <protection hidden="1"/>
    </xf>
    <xf numFmtId="1" fontId="2" fillId="3" borderId="1" xfId="0" applyNumberFormat="1" applyFont="1" applyFill="1" applyBorder="1" applyAlignment="1" applyProtection="1">
      <alignment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165" fontId="0" fillId="0" borderId="19" xfId="0" applyNumberFormat="1" applyBorder="1" applyAlignment="1" applyProtection="1">
      <alignment horizontal="center" vertical="center"/>
      <protection hidden="1"/>
    </xf>
    <xf numFmtId="165" fontId="0" fillId="0" borderId="2" xfId="0" applyNumberFormat="1" applyBorder="1" applyAlignment="1" applyProtection="1">
      <alignment horizontal="center" vertical="center"/>
      <protection hidden="1"/>
    </xf>
    <xf numFmtId="165" fontId="0" fillId="0" borderId="18" xfId="0" applyNumberFormat="1" applyBorder="1" applyAlignment="1" applyProtection="1">
      <alignment horizontal="center" vertical="center"/>
      <protection hidden="1"/>
    </xf>
    <xf numFmtId="1" fontId="2" fillId="4" borderId="1" xfId="0" applyNumberFormat="1" applyFont="1" applyFill="1" applyBorder="1" applyAlignment="1" applyProtection="1">
      <alignment vertical="center"/>
      <protection hidden="1"/>
    </xf>
    <xf numFmtId="165" fontId="2" fillId="4" borderId="1" xfId="0" applyNumberFormat="1" applyFont="1" applyFill="1" applyBorder="1" applyAlignment="1" applyProtection="1">
      <alignment vertical="center"/>
      <protection hidden="1"/>
    </xf>
    <xf numFmtId="165" fontId="2" fillId="4" borderId="2" xfId="0" applyNumberFormat="1" applyFont="1" applyFill="1" applyBorder="1" applyAlignment="1" applyProtection="1">
      <alignment vertical="center"/>
      <protection hidden="1"/>
    </xf>
    <xf numFmtId="167" fontId="0" fillId="0" borderId="1" xfId="1" applyNumberFormat="1" applyFont="1" applyBorder="1" applyAlignment="1" applyProtection="1">
      <alignment horizontal="center" vertical="center"/>
      <protection hidden="1"/>
    </xf>
    <xf numFmtId="164" fontId="0" fillId="0" borderId="2" xfId="1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165" fontId="8" fillId="3" borderId="6" xfId="0" applyNumberFormat="1" applyFont="1" applyFill="1" applyBorder="1" applyAlignment="1" applyProtection="1">
      <alignment horizontal="center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1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2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0" fillId="0" borderId="1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0" xfId="0" applyNumberFormat="1" applyProtection="1">
      <protection locked="0"/>
    </xf>
    <xf numFmtId="2" fontId="17" fillId="0" borderId="1" xfId="0" applyNumberFormat="1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2" fillId="0" borderId="14" xfId="0" applyFont="1" applyFill="1" applyBorder="1" applyProtection="1">
      <protection locked="0"/>
    </xf>
    <xf numFmtId="0" fontId="2" fillId="0" borderId="13" xfId="0" applyFont="1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22" fillId="0" borderId="0" xfId="0" applyFont="1" applyFill="1" applyAlignment="1" applyProtection="1">
      <alignment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7" borderId="3" xfId="0" applyFill="1" applyBorder="1" applyAlignment="1" applyProtection="1">
      <alignment vertical="center" wrapText="1"/>
      <protection locked="0"/>
    </xf>
    <xf numFmtId="0" fontId="0" fillId="7" borderId="4" xfId="0" applyFill="1" applyBorder="1" applyAlignment="1" applyProtection="1">
      <alignment vertical="center"/>
      <protection locked="0"/>
    </xf>
    <xf numFmtId="9" fontId="0" fillId="0" borderId="4" xfId="0" applyNumberFormat="1" applyFill="1" applyBorder="1" applyAlignment="1" applyProtection="1">
      <alignment vertical="center"/>
      <protection locked="0"/>
    </xf>
    <xf numFmtId="165" fontId="2" fillId="0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164" fontId="0" fillId="0" borderId="0" xfId="0" applyNumberFormat="1" applyFill="1" applyProtection="1">
      <protection locked="0"/>
    </xf>
    <xf numFmtId="0" fontId="0" fillId="0" borderId="20" xfId="0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 wrapText="1"/>
      <protection locked="0"/>
    </xf>
    <xf numFmtId="164" fontId="0" fillId="0" borderId="4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hidden="1"/>
    </xf>
    <xf numFmtId="1" fontId="0" fillId="0" borderId="15" xfId="0" applyNumberFormat="1" applyBorder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16" fillId="6" borderId="33" xfId="0" applyNumberFormat="1" applyFont="1" applyFill="1" applyBorder="1" applyAlignment="1" applyProtection="1">
      <alignment horizontal="center"/>
      <protection hidden="1"/>
    </xf>
    <xf numFmtId="1" fontId="16" fillId="6" borderId="34" xfId="0" applyNumberFormat="1" applyFont="1" applyFill="1" applyBorder="1" applyAlignment="1" applyProtection="1">
      <alignment horizontal="center"/>
      <protection hidden="1"/>
    </xf>
    <xf numFmtId="0" fontId="18" fillId="0" borderId="3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wrapText="1"/>
      <protection locked="0"/>
    </xf>
    <xf numFmtId="0" fontId="0" fillId="6" borderId="27" xfId="0" applyFill="1" applyBorder="1" applyAlignment="1" applyProtection="1">
      <alignment horizontal="left"/>
      <protection locked="0"/>
    </xf>
    <xf numFmtId="0" fontId="0" fillId="6" borderId="28" xfId="0" applyFill="1" applyBorder="1" applyAlignment="1" applyProtection="1">
      <alignment horizontal="left"/>
      <protection locked="0"/>
    </xf>
    <xf numFmtId="0" fontId="0" fillId="6" borderId="30" xfId="0" applyFill="1" applyBorder="1" applyAlignment="1" applyProtection="1">
      <alignment horizontal="left"/>
      <protection locked="0"/>
    </xf>
    <xf numFmtId="0" fontId="0" fillId="6" borderId="0" xfId="0" applyFill="1" applyBorder="1" applyAlignment="1" applyProtection="1">
      <alignment horizontal="left"/>
      <protection locked="0"/>
    </xf>
    <xf numFmtId="0" fontId="0" fillId="6" borderId="32" xfId="0" applyFill="1" applyBorder="1" applyAlignment="1" applyProtection="1">
      <alignment horizontal="left"/>
      <protection locked="0"/>
    </xf>
    <xf numFmtId="0" fontId="0" fillId="6" borderId="33" xfId="0" applyFill="1" applyBorder="1" applyAlignment="1" applyProtection="1">
      <alignment horizontal="left"/>
      <protection locked="0"/>
    </xf>
    <xf numFmtId="1" fontId="0" fillId="6" borderId="28" xfId="0" applyNumberFormat="1" applyFill="1" applyBorder="1" applyAlignment="1" applyProtection="1">
      <alignment horizontal="center"/>
      <protection hidden="1"/>
    </xf>
    <xf numFmtId="1" fontId="0" fillId="6" borderId="29" xfId="0" applyNumberFormat="1" applyFill="1" applyBorder="1" applyAlignment="1" applyProtection="1">
      <alignment horizontal="center"/>
      <protection hidden="1"/>
    </xf>
    <xf numFmtId="1" fontId="0" fillId="6" borderId="31" xfId="0" applyNumberFormat="1" applyFill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4" fillId="7" borderId="1" xfId="0" applyFont="1" applyFill="1" applyBorder="1" applyAlignment="1" applyProtection="1">
      <alignment vertical="center" wrapText="1"/>
      <protection hidden="1"/>
    </xf>
    <xf numFmtId="0" fontId="0" fillId="6" borderId="23" xfId="0" applyFill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4" borderId="1" xfId="0" applyFont="1" applyFill="1" applyBorder="1" applyAlignment="1" applyProtection="1">
      <alignment vertical="center" wrapText="1"/>
      <protection hidden="1"/>
    </xf>
    <xf numFmtId="0" fontId="2" fillId="4" borderId="23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1706801</xdr:colOff>
      <xdr:row>69</xdr:row>
      <xdr:rowOff>42514</xdr:rowOff>
    </xdr:from>
    <xdr:ext cx="184731" cy="888641"/>
    <xdr:sp macro="" textlink="">
      <xdr:nvSpPr>
        <xdr:cNvPr id="2" name="Rectangle 1"/>
        <xdr:cNvSpPr/>
      </xdr:nvSpPr>
      <xdr:spPr>
        <a:xfrm>
          <a:off x="13222526" y="40666639"/>
          <a:ext cx="184731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24807333" cy="682174"/>
    <xdr:sp macro="" textlink="">
      <xdr:nvSpPr>
        <xdr:cNvPr id="3" name="Rectangle 2"/>
        <xdr:cNvSpPr/>
      </xdr:nvSpPr>
      <xdr:spPr>
        <a:xfrm>
          <a:off x="0" y="0"/>
          <a:ext cx="24807333" cy="6821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n-US" sz="40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NPS vs UPS</a:t>
          </a:r>
          <a:r>
            <a:rPr lang="en-US" sz="4000" b="1" cap="none" spc="0" baseline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 - </a:t>
          </a:r>
          <a:r>
            <a:rPr lang="en-US" sz="40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V.M.T. </a:t>
          </a:r>
          <a:r>
            <a:rPr lang="en-US" sz="4000" b="1" cap="none" spc="0" baseline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calculator</a:t>
          </a:r>
          <a:r>
            <a:rPr lang="en-US" sz="4000" b="1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</a:rPr>
            <a:t> - Projections only on the basis of information as available as on date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zoomScale="45" zoomScaleNormal="45" workbookViewId="0">
      <selection activeCell="G9" sqref="G9"/>
    </sheetView>
  </sheetViews>
  <sheetFormatPr defaultRowHeight="30"/>
  <cols>
    <col min="1" max="1" width="54.609375" style="58" customWidth="1"/>
    <col min="2" max="2" width="15.77734375" style="58" customWidth="1"/>
    <col min="3" max="3" width="16.0546875" style="58" customWidth="1"/>
    <col min="4" max="4" width="10.71875" style="58" customWidth="1"/>
    <col min="5" max="5" width="13.5" style="58" customWidth="1"/>
    <col min="6" max="7" width="12.27734375" style="58" customWidth="1"/>
    <col min="8" max="8" width="8.88671875" style="63"/>
    <col min="9" max="9" width="4.83203125" style="63" customWidth="1"/>
    <col min="10" max="10" width="22.1640625" style="52" customWidth="1"/>
    <col min="11" max="11" width="10.1640625" style="52" customWidth="1"/>
    <col min="12" max="16384" width="8.88671875" style="52"/>
  </cols>
  <sheetData>
    <row r="1" spans="1:12" ht="63">
      <c r="A1" s="50"/>
      <c r="B1" s="51"/>
      <c r="C1" s="51"/>
      <c r="D1" s="51"/>
      <c r="E1" s="51"/>
      <c r="F1" s="51"/>
      <c r="G1" s="51"/>
      <c r="H1" s="52"/>
      <c r="I1" s="52"/>
    </row>
    <row r="2" spans="1:12">
      <c r="A2" s="53"/>
      <c r="B2" s="53"/>
      <c r="C2" s="53"/>
      <c r="D2" s="53"/>
      <c r="E2" s="53"/>
      <c r="F2" s="53"/>
      <c r="G2" s="53"/>
      <c r="H2" s="52"/>
      <c r="I2" s="52"/>
    </row>
    <row r="3" spans="1:12" ht="42" thickBot="1">
      <c r="A3" s="54" t="s">
        <v>103</v>
      </c>
      <c r="B3" s="55"/>
      <c r="C3" s="55"/>
      <c r="D3" s="55"/>
      <c r="E3" s="55"/>
      <c r="F3" s="120"/>
      <c r="G3" s="120"/>
      <c r="H3" s="120"/>
      <c r="I3" s="120"/>
      <c r="J3" s="56"/>
    </row>
    <row r="4" spans="1:12">
      <c r="A4" s="57" t="s">
        <v>53</v>
      </c>
      <c r="B4" s="57"/>
      <c r="C4" s="57"/>
      <c r="D4" s="57"/>
      <c r="F4" s="125" t="s">
        <v>56</v>
      </c>
      <c r="G4" s="126"/>
      <c r="H4" s="131">
        <f>+B10*(1+3/100)^('VMT- projected-NPS vs UPS'!C62)</f>
        <v>142309.10143085758</v>
      </c>
      <c r="I4" s="132"/>
    </row>
    <row r="5" spans="1:12">
      <c r="A5" s="59" t="s">
        <v>51</v>
      </c>
      <c r="B5" s="59"/>
      <c r="C5" s="59"/>
      <c r="F5" s="127" t="s">
        <v>57</v>
      </c>
      <c r="G5" s="128"/>
      <c r="H5" s="133">
        <f>+H4*'VMT- projected-NPS vs UPS'!C73/100</f>
        <v>314503.11416219524</v>
      </c>
      <c r="I5" s="133"/>
    </row>
    <row r="6" spans="1:12" ht="30.75" thickBot="1">
      <c r="A6" s="60" t="s">
        <v>112</v>
      </c>
      <c r="B6" s="61"/>
      <c r="C6" s="61"/>
      <c r="D6" s="61"/>
      <c r="E6" s="61"/>
      <c r="F6" s="129" t="s">
        <v>58</v>
      </c>
      <c r="G6" s="130"/>
      <c r="H6" s="118">
        <f>+H5+H4</f>
        <v>456812.2155930528</v>
      </c>
      <c r="I6" s="119"/>
    </row>
    <row r="7" spans="1:12" s="63" customFormat="1" ht="50.25">
      <c r="A7" s="62" t="s">
        <v>107</v>
      </c>
    </row>
    <row r="8" spans="1:12" s="66" customFormat="1" ht="99.75" customHeight="1">
      <c r="A8" s="64" t="s">
        <v>49</v>
      </c>
      <c r="B8" s="65" t="s">
        <v>106</v>
      </c>
      <c r="C8" s="65" t="s">
        <v>50</v>
      </c>
      <c r="D8" s="65" t="s">
        <v>40</v>
      </c>
      <c r="E8" s="65" t="s">
        <v>42</v>
      </c>
      <c r="F8" s="65" t="s">
        <v>41</v>
      </c>
      <c r="G8" s="65" t="s">
        <v>43</v>
      </c>
      <c r="H8" s="65" t="s">
        <v>44</v>
      </c>
    </row>
    <row r="9" spans="1:12" s="63" customFormat="1">
      <c r="A9" s="121" t="s">
        <v>48</v>
      </c>
      <c r="B9" s="122"/>
      <c r="C9" s="122"/>
      <c r="D9" s="122"/>
      <c r="E9" s="122"/>
      <c r="F9" s="123"/>
      <c r="G9" s="67">
        <v>2121000</v>
      </c>
      <c r="H9" s="115" t="s">
        <v>12</v>
      </c>
    </row>
    <row r="10" spans="1:12" s="63" customFormat="1" ht="52.5" customHeight="1">
      <c r="A10" s="68" t="s">
        <v>105</v>
      </c>
      <c r="B10" s="67">
        <v>62200</v>
      </c>
      <c r="C10" s="1">
        <v>53</v>
      </c>
      <c r="D10" s="1">
        <f t="shared" ref="D10:D29" si="0">+B10*C10/100</f>
        <v>32966</v>
      </c>
      <c r="E10" s="1">
        <f t="shared" ref="E10:E29" si="1">+D10+B10</f>
        <v>95166</v>
      </c>
      <c r="F10" s="2">
        <f t="shared" ref="F10:F29" si="2">+E10*0.24</f>
        <v>22839.84</v>
      </c>
      <c r="G10" s="2">
        <f t="shared" ref="G10:G29" si="3">+(G9+F10*12)*1.09</f>
        <v>2610635.1072000004</v>
      </c>
      <c r="H10" s="71"/>
      <c r="J10" s="52"/>
      <c r="K10" s="52"/>
      <c r="L10" s="52"/>
    </row>
    <row r="11" spans="1:12" s="63" customFormat="1" hidden="1">
      <c r="A11" s="72" t="s">
        <v>61</v>
      </c>
      <c r="B11" s="69">
        <f t="shared" ref="B11:B52" si="4">+ROUND(B10*1.03,-2)</f>
        <v>64100</v>
      </c>
      <c r="C11" s="69">
        <f t="shared" ref="C11:C52" si="5">+C10+6</f>
        <v>59</v>
      </c>
      <c r="D11" s="69">
        <f t="shared" si="0"/>
        <v>37819</v>
      </c>
      <c r="E11" s="69">
        <f t="shared" si="1"/>
        <v>101919</v>
      </c>
      <c r="F11" s="70">
        <f t="shared" si="2"/>
        <v>24460.559999999998</v>
      </c>
      <c r="G11" s="70">
        <f t="shared" si="3"/>
        <v>3165536.3916480006</v>
      </c>
      <c r="H11" s="73">
        <f t="shared" ref="H11:H29" si="6">+(F11-F10)/F10*100</f>
        <v>7.096021688418122</v>
      </c>
      <c r="J11" s="52"/>
      <c r="K11" s="52"/>
      <c r="L11" s="52"/>
    </row>
    <row r="12" spans="1:12" s="63" customFormat="1" hidden="1">
      <c r="A12" s="72" t="s">
        <v>62</v>
      </c>
      <c r="B12" s="69">
        <f t="shared" si="4"/>
        <v>66000</v>
      </c>
      <c r="C12" s="69">
        <f t="shared" si="5"/>
        <v>65</v>
      </c>
      <c r="D12" s="69">
        <f t="shared" si="0"/>
        <v>42900</v>
      </c>
      <c r="E12" s="69">
        <f t="shared" si="1"/>
        <v>108900</v>
      </c>
      <c r="F12" s="70">
        <f t="shared" si="2"/>
        <v>26136</v>
      </c>
      <c r="G12" s="70">
        <f t="shared" si="3"/>
        <v>3792293.5468963208</v>
      </c>
      <c r="H12" s="73">
        <f t="shared" si="6"/>
        <v>6.8495570011479812</v>
      </c>
      <c r="J12" s="52"/>
      <c r="K12" s="52"/>
      <c r="L12" s="52"/>
    </row>
    <row r="13" spans="1:12" s="63" customFormat="1" hidden="1">
      <c r="A13" s="72" t="s">
        <v>63</v>
      </c>
      <c r="B13" s="69">
        <f t="shared" si="4"/>
        <v>68000</v>
      </c>
      <c r="C13" s="69">
        <f t="shared" si="5"/>
        <v>71</v>
      </c>
      <c r="D13" s="69">
        <f t="shared" si="0"/>
        <v>48280</v>
      </c>
      <c r="E13" s="69">
        <f t="shared" si="1"/>
        <v>116280</v>
      </c>
      <c r="F13" s="70">
        <f t="shared" si="2"/>
        <v>27907.200000000001</v>
      </c>
      <c r="G13" s="70">
        <f t="shared" si="3"/>
        <v>4498626.1421169899</v>
      </c>
      <c r="H13" s="73">
        <f t="shared" si="6"/>
        <v>6.7768595041322337</v>
      </c>
      <c r="J13" s="52"/>
      <c r="K13" s="52"/>
      <c r="L13" s="52"/>
    </row>
    <row r="14" spans="1:12" s="63" customFormat="1" hidden="1">
      <c r="A14" s="72" t="s">
        <v>64</v>
      </c>
      <c r="B14" s="69">
        <f t="shared" si="4"/>
        <v>70000</v>
      </c>
      <c r="C14" s="69">
        <f t="shared" si="5"/>
        <v>77</v>
      </c>
      <c r="D14" s="69">
        <f t="shared" si="0"/>
        <v>53900</v>
      </c>
      <c r="E14" s="69">
        <f t="shared" si="1"/>
        <v>123900</v>
      </c>
      <c r="F14" s="70">
        <f t="shared" si="2"/>
        <v>29736</v>
      </c>
      <c r="G14" s="70">
        <f t="shared" si="3"/>
        <v>5292449.3749075197</v>
      </c>
      <c r="H14" s="73">
        <f t="shared" si="6"/>
        <v>6.5531475748193984</v>
      </c>
    </row>
    <row r="15" spans="1:12" s="63" customFormat="1" hidden="1">
      <c r="A15" s="72" t="s">
        <v>65</v>
      </c>
      <c r="B15" s="69">
        <f t="shared" si="4"/>
        <v>72100</v>
      </c>
      <c r="C15" s="69">
        <f t="shared" si="5"/>
        <v>83</v>
      </c>
      <c r="D15" s="69">
        <f t="shared" si="0"/>
        <v>59843</v>
      </c>
      <c r="E15" s="69">
        <f t="shared" si="1"/>
        <v>131943</v>
      </c>
      <c r="F15" s="70">
        <f t="shared" si="2"/>
        <v>31666.32</v>
      </c>
      <c r="G15" s="70">
        <f t="shared" si="3"/>
        <v>6182965.2842491968</v>
      </c>
      <c r="H15" s="73">
        <f t="shared" si="6"/>
        <v>6.4915254237288122</v>
      </c>
    </row>
    <row r="16" spans="1:12" s="63" customFormat="1" hidden="1">
      <c r="A16" s="72" t="s">
        <v>66</v>
      </c>
      <c r="B16" s="69">
        <f t="shared" si="4"/>
        <v>74300</v>
      </c>
      <c r="C16" s="69">
        <f t="shared" si="5"/>
        <v>89</v>
      </c>
      <c r="D16" s="69">
        <f t="shared" si="0"/>
        <v>66127</v>
      </c>
      <c r="E16" s="69">
        <f t="shared" si="1"/>
        <v>140427</v>
      </c>
      <c r="F16" s="70">
        <f t="shared" si="2"/>
        <v>33702.479999999996</v>
      </c>
      <c r="G16" s="70">
        <f t="shared" si="3"/>
        <v>7180260.5982316248</v>
      </c>
      <c r="H16" s="73">
        <f t="shared" si="6"/>
        <v>6.4300493394874936</v>
      </c>
    </row>
    <row r="17" spans="1:13" s="63" customFormat="1" hidden="1">
      <c r="A17" s="72" t="s">
        <v>67</v>
      </c>
      <c r="B17" s="69">
        <f t="shared" si="4"/>
        <v>76500</v>
      </c>
      <c r="C17" s="69">
        <f t="shared" si="5"/>
        <v>95</v>
      </c>
      <c r="D17" s="69">
        <f t="shared" si="0"/>
        <v>72675</v>
      </c>
      <c r="E17" s="69">
        <f t="shared" si="1"/>
        <v>149175</v>
      </c>
      <c r="F17" s="70">
        <f t="shared" si="2"/>
        <v>35802</v>
      </c>
      <c r="G17" s="70">
        <f t="shared" si="3"/>
        <v>8294774.2120724721</v>
      </c>
      <c r="H17" s="73">
        <f t="shared" si="6"/>
        <v>6.2295712363007247</v>
      </c>
      <c r="K17" s="74"/>
      <c r="L17" s="74"/>
    </row>
    <row r="18" spans="1:13" s="63" customFormat="1" hidden="1">
      <c r="A18" s="72" t="s">
        <v>68</v>
      </c>
      <c r="B18" s="69">
        <f t="shared" si="4"/>
        <v>78800</v>
      </c>
      <c r="C18" s="69">
        <f t="shared" si="5"/>
        <v>101</v>
      </c>
      <c r="D18" s="69">
        <f t="shared" si="0"/>
        <v>79588</v>
      </c>
      <c r="E18" s="69">
        <f t="shared" si="1"/>
        <v>158388</v>
      </c>
      <c r="F18" s="70">
        <f t="shared" si="2"/>
        <v>38013.119999999995</v>
      </c>
      <c r="G18" s="70">
        <f t="shared" si="3"/>
        <v>9538515.5007589962</v>
      </c>
      <c r="H18" s="73">
        <f t="shared" si="6"/>
        <v>6.1759678230266335</v>
      </c>
    </row>
    <row r="19" spans="1:13" s="63" customFormat="1" hidden="1">
      <c r="A19" s="72" t="s">
        <v>69</v>
      </c>
      <c r="B19" s="69">
        <f t="shared" si="4"/>
        <v>81200</v>
      </c>
      <c r="C19" s="69">
        <f t="shared" si="5"/>
        <v>107</v>
      </c>
      <c r="D19" s="69">
        <f t="shared" si="0"/>
        <v>86884</v>
      </c>
      <c r="E19" s="69">
        <f t="shared" si="1"/>
        <v>168084</v>
      </c>
      <c r="F19" s="70">
        <f t="shared" si="2"/>
        <v>40340.159999999996</v>
      </c>
      <c r="G19" s="70">
        <f t="shared" si="3"/>
        <v>10924631.188627306</v>
      </c>
      <c r="H19" s="73">
        <f t="shared" si="6"/>
        <v>6.1216758845367103</v>
      </c>
    </row>
    <row r="20" spans="1:13" s="63" customFormat="1" hidden="1">
      <c r="A20" s="72" t="s">
        <v>70</v>
      </c>
      <c r="B20" s="69">
        <f t="shared" si="4"/>
        <v>83600</v>
      </c>
      <c r="C20" s="69">
        <f t="shared" si="5"/>
        <v>113</v>
      </c>
      <c r="D20" s="69">
        <f t="shared" si="0"/>
        <v>94468</v>
      </c>
      <c r="E20" s="69">
        <f t="shared" si="1"/>
        <v>178068</v>
      </c>
      <c r="F20" s="70">
        <f t="shared" si="2"/>
        <v>42736.32</v>
      </c>
      <c r="G20" s="70">
        <f t="shared" si="3"/>
        <v>12466839.061203765</v>
      </c>
      <c r="H20" s="73">
        <f t="shared" si="6"/>
        <v>5.939887199257524</v>
      </c>
    </row>
    <row r="21" spans="1:13" s="63" customFormat="1" hidden="1">
      <c r="A21" s="72" t="s">
        <v>71</v>
      </c>
      <c r="B21" s="69">
        <f t="shared" si="4"/>
        <v>86100</v>
      </c>
      <c r="C21" s="69">
        <f t="shared" si="5"/>
        <v>119</v>
      </c>
      <c r="D21" s="69">
        <f t="shared" si="0"/>
        <v>102459</v>
      </c>
      <c r="E21" s="69">
        <f t="shared" si="1"/>
        <v>188559</v>
      </c>
      <c r="F21" s="70">
        <f t="shared" si="2"/>
        <v>45254.159999999996</v>
      </c>
      <c r="G21" s="70">
        <f t="shared" si="3"/>
        <v>14180778.989512105</v>
      </c>
      <c r="H21" s="73">
        <f t="shared" si="6"/>
        <v>5.8915695127703938</v>
      </c>
    </row>
    <row r="22" spans="1:13" s="63" customFormat="1" hidden="1">
      <c r="A22" s="72" t="s">
        <v>72</v>
      </c>
      <c r="B22" s="69">
        <f t="shared" si="4"/>
        <v>88700</v>
      </c>
      <c r="C22" s="69">
        <f t="shared" si="5"/>
        <v>125</v>
      </c>
      <c r="D22" s="69">
        <f t="shared" si="0"/>
        <v>110875</v>
      </c>
      <c r="E22" s="69">
        <f t="shared" si="1"/>
        <v>199575</v>
      </c>
      <c r="F22" s="70">
        <f t="shared" si="2"/>
        <v>47898</v>
      </c>
      <c r="G22" s="70">
        <f t="shared" si="3"/>
        <v>16083554.938568195</v>
      </c>
      <c r="H22" s="73">
        <f t="shared" si="6"/>
        <v>5.8422032361223897</v>
      </c>
    </row>
    <row r="23" spans="1:13" s="63" customFormat="1" hidden="1">
      <c r="A23" s="72" t="s">
        <v>73</v>
      </c>
      <c r="B23" s="69">
        <f t="shared" si="4"/>
        <v>91400</v>
      </c>
      <c r="C23" s="69">
        <f t="shared" si="5"/>
        <v>131</v>
      </c>
      <c r="D23" s="69">
        <f t="shared" si="0"/>
        <v>119734</v>
      </c>
      <c r="E23" s="69">
        <f t="shared" si="1"/>
        <v>211134</v>
      </c>
      <c r="F23" s="70">
        <f t="shared" si="2"/>
        <v>50672.159999999996</v>
      </c>
      <c r="G23" s="70">
        <f t="shared" si="3"/>
        <v>18193866.735839333</v>
      </c>
      <c r="H23" s="73">
        <f t="shared" si="6"/>
        <v>5.7918075911311453</v>
      </c>
    </row>
    <row r="24" spans="1:13" s="63" customFormat="1" hidden="1">
      <c r="A24" s="72" t="s">
        <v>74</v>
      </c>
      <c r="B24" s="69">
        <f t="shared" si="4"/>
        <v>94100</v>
      </c>
      <c r="C24" s="69">
        <f t="shared" si="5"/>
        <v>137</v>
      </c>
      <c r="D24" s="69">
        <f t="shared" si="0"/>
        <v>128917</v>
      </c>
      <c r="E24" s="69">
        <f t="shared" si="1"/>
        <v>223017</v>
      </c>
      <c r="F24" s="70">
        <f t="shared" si="2"/>
        <v>53524.079999999994</v>
      </c>
      <c r="G24" s="70">
        <f t="shared" si="3"/>
        <v>20531409.708464876</v>
      </c>
      <c r="H24" s="73">
        <f t="shared" si="6"/>
        <v>5.6281792605643783</v>
      </c>
    </row>
    <row r="25" spans="1:13" s="63" customFormat="1" hidden="1">
      <c r="A25" s="72" t="s">
        <v>75</v>
      </c>
      <c r="B25" s="69">
        <f t="shared" si="4"/>
        <v>96900</v>
      </c>
      <c r="C25" s="69">
        <f t="shared" si="5"/>
        <v>143</v>
      </c>
      <c r="D25" s="69">
        <f t="shared" si="0"/>
        <v>138567</v>
      </c>
      <c r="E25" s="69">
        <f t="shared" si="1"/>
        <v>235467</v>
      </c>
      <c r="F25" s="70">
        <f t="shared" si="2"/>
        <v>56512.079999999994</v>
      </c>
      <c r="G25" s="70">
        <f t="shared" si="3"/>
        <v>23118414.588626716</v>
      </c>
      <c r="H25" s="73">
        <f t="shared" si="6"/>
        <v>5.5825340669096981</v>
      </c>
    </row>
    <row r="26" spans="1:13" s="63" customFormat="1" hidden="1">
      <c r="A26" s="72" t="s">
        <v>76</v>
      </c>
      <c r="B26" s="69">
        <f t="shared" si="4"/>
        <v>99800</v>
      </c>
      <c r="C26" s="69">
        <f t="shared" si="5"/>
        <v>149</v>
      </c>
      <c r="D26" s="69">
        <f t="shared" si="0"/>
        <v>148702</v>
      </c>
      <c r="E26" s="69">
        <f t="shared" si="1"/>
        <v>248502</v>
      </c>
      <c r="F26" s="70">
        <f t="shared" si="2"/>
        <v>59640.479999999996</v>
      </c>
      <c r="G26" s="70">
        <f t="shared" si="3"/>
        <v>25979169.380003124</v>
      </c>
      <c r="H26" s="73">
        <f t="shared" si="6"/>
        <v>5.5358075653913321</v>
      </c>
    </row>
    <row r="27" spans="1:13" s="63" customFormat="1" hidden="1">
      <c r="A27" s="72" t="s">
        <v>77</v>
      </c>
      <c r="B27" s="69">
        <f t="shared" si="4"/>
        <v>102800</v>
      </c>
      <c r="C27" s="69">
        <f t="shared" si="5"/>
        <v>155</v>
      </c>
      <c r="D27" s="69">
        <f t="shared" si="0"/>
        <v>159340</v>
      </c>
      <c r="E27" s="69">
        <f t="shared" si="1"/>
        <v>262140</v>
      </c>
      <c r="F27" s="70">
        <f t="shared" si="2"/>
        <v>62913.599999999999</v>
      </c>
      <c r="G27" s="70">
        <f t="shared" si="3"/>
        <v>29140204.512203407</v>
      </c>
      <c r="H27" s="73">
        <f t="shared" si="6"/>
        <v>5.4880846029408268</v>
      </c>
    </row>
    <row r="28" spans="1:13" ht="63.75" hidden="1" customHeight="1">
      <c r="A28" s="72" t="s">
        <v>78</v>
      </c>
      <c r="B28" s="69">
        <f t="shared" si="4"/>
        <v>105900</v>
      </c>
      <c r="C28" s="69">
        <f t="shared" si="5"/>
        <v>161</v>
      </c>
      <c r="D28" s="69">
        <f t="shared" si="0"/>
        <v>170499</v>
      </c>
      <c r="E28" s="69">
        <f t="shared" si="1"/>
        <v>276399</v>
      </c>
      <c r="F28" s="70">
        <f t="shared" si="2"/>
        <v>66335.759999999995</v>
      </c>
      <c r="G28" s="70">
        <f t="shared" si="3"/>
        <v>32630494.659101717</v>
      </c>
      <c r="H28" s="75">
        <f t="shared" si="6"/>
        <v>5.4394598306248509</v>
      </c>
      <c r="I28" s="52"/>
    </row>
    <row r="29" spans="1:13" s="63" customFormat="1" ht="48" hidden="1" customHeight="1">
      <c r="A29" s="72" t="s">
        <v>79</v>
      </c>
      <c r="B29" s="69">
        <f t="shared" si="4"/>
        <v>109100</v>
      </c>
      <c r="C29" s="69">
        <f t="shared" si="5"/>
        <v>167</v>
      </c>
      <c r="D29" s="69">
        <f t="shared" si="0"/>
        <v>182197</v>
      </c>
      <c r="E29" s="69">
        <f t="shared" si="1"/>
        <v>291297</v>
      </c>
      <c r="F29" s="70">
        <f t="shared" si="2"/>
        <v>69911.28</v>
      </c>
      <c r="G29" s="70">
        <f t="shared" si="3"/>
        <v>36481678.720820874</v>
      </c>
      <c r="H29" s="75">
        <f t="shared" si="6"/>
        <v>5.3900339726265356</v>
      </c>
      <c r="J29" s="52"/>
      <c r="K29" s="52"/>
      <c r="L29" s="52"/>
      <c r="M29" s="52"/>
    </row>
    <row r="30" spans="1:13" s="63" customFormat="1" hidden="1">
      <c r="A30" s="72" t="s">
        <v>80</v>
      </c>
      <c r="B30" s="69">
        <f t="shared" si="4"/>
        <v>112400</v>
      </c>
      <c r="C30" s="69">
        <f t="shared" si="5"/>
        <v>173</v>
      </c>
      <c r="D30" s="69">
        <f t="shared" ref="D30:D52" si="7">+B30*C30/100</f>
        <v>194452</v>
      </c>
      <c r="E30" s="69">
        <f t="shared" ref="E30:E52" si="8">+D30+B30</f>
        <v>306852</v>
      </c>
      <c r="F30" s="70">
        <f t="shared" ref="F30:F52" si="9">+E30*0.24</f>
        <v>73644.479999999996</v>
      </c>
      <c r="G30" s="70">
        <f t="shared" ref="G30:G52" si="10">+(G29+F30*12)*1.09</f>
        <v>40728299.604094751</v>
      </c>
      <c r="H30" s="75">
        <f t="shared" ref="H30:H52" si="11">+(F30-F29)/F29*100</f>
        <v>5.3399108126757184</v>
      </c>
    </row>
    <row r="31" spans="1:13" s="63" customFormat="1" hidden="1">
      <c r="A31" s="72" t="s">
        <v>81</v>
      </c>
      <c r="B31" s="69">
        <f t="shared" si="4"/>
        <v>115800</v>
      </c>
      <c r="C31" s="69">
        <f t="shared" si="5"/>
        <v>179</v>
      </c>
      <c r="D31" s="69">
        <f t="shared" si="7"/>
        <v>207282</v>
      </c>
      <c r="E31" s="69">
        <f t="shared" si="8"/>
        <v>323082</v>
      </c>
      <c r="F31" s="70">
        <f t="shared" si="9"/>
        <v>77539.679999999993</v>
      </c>
      <c r="G31" s="70">
        <f t="shared" si="10"/>
        <v>45408065.582863279</v>
      </c>
      <c r="H31" s="75">
        <f t="shared" si="11"/>
        <v>5.2891947909741468</v>
      </c>
    </row>
    <row r="32" spans="1:13" s="63" customFormat="1" hidden="1">
      <c r="A32" s="72" t="s">
        <v>82</v>
      </c>
      <c r="B32" s="69">
        <f t="shared" si="4"/>
        <v>119300</v>
      </c>
      <c r="C32" s="69">
        <f t="shared" si="5"/>
        <v>185</v>
      </c>
      <c r="D32" s="69">
        <f t="shared" si="7"/>
        <v>220705</v>
      </c>
      <c r="E32" s="69">
        <f t="shared" si="8"/>
        <v>340005</v>
      </c>
      <c r="F32" s="70">
        <f t="shared" si="9"/>
        <v>81601.2</v>
      </c>
      <c r="G32" s="70">
        <f t="shared" si="10"/>
        <v>50562135.181320973</v>
      </c>
      <c r="H32" s="75">
        <f t="shared" si="11"/>
        <v>5.2379891173138766</v>
      </c>
    </row>
    <row r="33" spans="1:13" s="63" customFormat="1" hidden="1">
      <c r="A33" s="72" t="s">
        <v>83</v>
      </c>
      <c r="B33" s="69">
        <f t="shared" si="4"/>
        <v>122900</v>
      </c>
      <c r="C33" s="69">
        <f t="shared" si="5"/>
        <v>191</v>
      </c>
      <c r="D33" s="69">
        <f t="shared" si="7"/>
        <v>234739</v>
      </c>
      <c r="E33" s="69">
        <f t="shared" si="8"/>
        <v>357639</v>
      </c>
      <c r="F33" s="70">
        <f t="shared" si="9"/>
        <v>85833.36</v>
      </c>
      <c r="G33" s="70">
        <f t="shared" si="10"/>
        <v>56235427.696439862</v>
      </c>
      <c r="H33" s="75">
        <f t="shared" si="11"/>
        <v>5.1863943177306266</v>
      </c>
    </row>
    <row r="34" spans="1:13" s="63" customFormat="1" hidden="1">
      <c r="A34" s="72" t="s">
        <v>84</v>
      </c>
      <c r="B34" s="69">
        <f t="shared" si="4"/>
        <v>126600</v>
      </c>
      <c r="C34" s="69">
        <f t="shared" si="5"/>
        <v>197</v>
      </c>
      <c r="D34" s="69">
        <f t="shared" si="7"/>
        <v>249402</v>
      </c>
      <c r="E34" s="69">
        <f t="shared" si="8"/>
        <v>376002</v>
      </c>
      <c r="F34" s="70">
        <f t="shared" si="9"/>
        <v>90240.48</v>
      </c>
      <c r="G34" s="70">
        <f t="shared" si="10"/>
        <v>62476961.66751945</v>
      </c>
      <c r="H34" s="75">
        <f t="shared" si="11"/>
        <v>5.1345071426773874</v>
      </c>
    </row>
    <row r="35" spans="1:13" s="63" customFormat="1" hidden="1">
      <c r="A35" s="72" t="s">
        <v>85</v>
      </c>
      <c r="B35" s="69">
        <f t="shared" si="4"/>
        <v>130400</v>
      </c>
      <c r="C35" s="69">
        <f t="shared" si="5"/>
        <v>203</v>
      </c>
      <c r="D35" s="69">
        <f t="shared" si="7"/>
        <v>264712</v>
      </c>
      <c r="E35" s="69">
        <f t="shared" si="8"/>
        <v>395112</v>
      </c>
      <c r="F35" s="70">
        <f t="shared" si="9"/>
        <v>94826.87999999999</v>
      </c>
      <c r="G35" s="70">
        <f t="shared" si="10"/>
        <v>69340223.807996213</v>
      </c>
      <c r="H35" s="75">
        <f t="shared" si="11"/>
        <v>5.0824197743628963</v>
      </c>
    </row>
    <row r="36" spans="1:13" s="63" customFormat="1" hidden="1">
      <c r="A36" s="72" t="s">
        <v>86</v>
      </c>
      <c r="B36" s="69">
        <f t="shared" si="4"/>
        <v>134300</v>
      </c>
      <c r="C36" s="69">
        <f t="shared" si="5"/>
        <v>209</v>
      </c>
      <c r="D36" s="69">
        <f t="shared" si="7"/>
        <v>280687</v>
      </c>
      <c r="E36" s="69">
        <f t="shared" si="8"/>
        <v>414987</v>
      </c>
      <c r="F36" s="70">
        <f t="shared" si="9"/>
        <v>99596.87999999999</v>
      </c>
      <c r="G36" s="70">
        <f t="shared" si="10"/>
        <v>76883571.141115874</v>
      </c>
      <c r="H36" s="75">
        <f t="shared" si="11"/>
        <v>5.0302192795966718</v>
      </c>
    </row>
    <row r="37" spans="1:13" s="63" customFormat="1" hidden="1">
      <c r="A37" s="72" t="s">
        <v>87</v>
      </c>
      <c r="B37" s="69">
        <f t="shared" si="4"/>
        <v>138300</v>
      </c>
      <c r="C37" s="69">
        <f t="shared" si="5"/>
        <v>215</v>
      </c>
      <c r="D37" s="69">
        <f t="shared" si="7"/>
        <v>297345</v>
      </c>
      <c r="E37" s="69">
        <f t="shared" si="8"/>
        <v>435645</v>
      </c>
      <c r="F37" s="70">
        <f t="shared" si="9"/>
        <v>104554.8</v>
      </c>
      <c r="G37" s="70">
        <f t="shared" si="10"/>
        <v>85170669.327816308</v>
      </c>
      <c r="H37" s="75">
        <f t="shared" si="11"/>
        <v>4.9779872622516024</v>
      </c>
    </row>
    <row r="38" spans="1:13" s="63" customFormat="1" ht="73.5" hidden="1" customHeight="1">
      <c r="A38" s="72" t="s">
        <v>88</v>
      </c>
      <c r="B38" s="69">
        <f t="shared" si="4"/>
        <v>142400</v>
      </c>
      <c r="C38" s="69">
        <f t="shared" si="5"/>
        <v>221</v>
      </c>
      <c r="D38" s="69">
        <f t="shared" si="7"/>
        <v>314704</v>
      </c>
      <c r="E38" s="69">
        <f t="shared" si="8"/>
        <v>457104</v>
      </c>
      <c r="F38" s="70">
        <f t="shared" si="9"/>
        <v>109704.95999999999</v>
      </c>
      <c r="G38" s="70">
        <f t="shared" si="10"/>
        <v>94270970.444119781</v>
      </c>
      <c r="H38" s="75">
        <f t="shared" si="11"/>
        <v>4.9257996763419651</v>
      </c>
      <c r="J38" s="52"/>
      <c r="K38" s="52"/>
      <c r="L38" s="52"/>
      <c r="M38" s="52"/>
    </row>
    <row r="39" spans="1:13" s="63" customFormat="1" ht="45.75" hidden="1" customHeight="1">
      <c r="A39" s="72" t="s">
        <v>89</v>
      </c>
      <c r="B39" s="69">
        <f t="shared" si="4"/>
        <v>146700</v>
      </c>
      <c r="C39" s="69">
        <f t="shared" si="5"/>
        <v>227</v>
      </c>
      <c r="D39" s="69">
        <f t="shared" si="7"/>
        <v>333009</v>
      </c>
      <c r="E39" s="69">
        <f t="shared" si="8"/>
        <v>479709</v>
      </c>
      <c r="F39" s="70">
        <f t="shared" si="9"/>
        <v>115130.15999999999</v>
      </c>
      <c r="G39" s="70">
        <f t="shared" si="10"/>
        <v>104261260.27689058</v>
      </c>
      <c r="H39" s="75">
        <f t="shared" si="11"/>
        <v>4.9452640974482804</v>
      </c>
    </row>
    <row r="40" spans="1:13" s="63" customFormat="1" ht="63" hidden="1" customHeight="1">
      <c r="A40" s="72" t="s">
        <v>90</v>
      </c>
      <c r="B40" s="69">
        <f t="shared" si="4"/>
        <v>151100</v>
      </c>
      <c r="C40" s="69">
        <f t="shared" si="5"/>
        <v>233</v>
      </c>
      <c r="D40" s="69">
        <f t="shared" si="7"/>
        <v>352063</v>
      </c>
      <c r="E40" s="69">
        <f t="shared" si="8"/>
        <v>503163</v>
      </c>
      <c r="F40" s="70">
        <f t="shared" si="9"/>
        <v>120759.12</v>
      </c>
      <c r="G40" s="70">
        <f t="shared" si="10"/>
        <v>115224302.99141073</v>
      </c>
      <c r="H40" s="75">
        <f t="shared" si="11"/>
        <v>4.8892140860396678</v>
      </c>
      <c r="I40" s="124"/>
      <c r="J40" s="124"/>
      <c r="K40" s="124"/>
      <c r="L40" s="124"/>
      <c r="M40" s="124"/>
    </row>
    <row r="41" spans="1:13" s="63" customFormat="1" hidden="1">
      <c r="A41" s="72" t="s">
        <v>91</v>
      </c>
      <c r="B41" s="69">
        <f t="shared" si="4"/>
        <v>155600</v>
      </c>
      <c r="C41" s="69">
        <f t="shared" si="5"/>
        <v>239</v>
      </c>
      <c r="D41" s="69">
        <f t="shared" si="7"/>
        <v>371884</v>
      </c>
      <c r="E41" s="69">
        <f t="shared" si="8"/>
        <v>527484</v>
      </c>
      <c r="F41" s="70">
        <f t="shared" si="9"/>
        <v>126596.15999999999</v>
      </c>
      <c r="G41" s="70">
        <f t="shared" si="10"/>
        <v>127250368.03343771</v>
      </c>
      <c r="H41" s="75">
        <f t="shared" si="11"/>
        <v>4.8336225040394414</v>
      </c>
    </row>
    <row r="42" spans="1:13" s="63" customFormat="1" hidden="1">
      <c r="A42" s="72" t="s">
        <v>92</v>
      </c>
      <c r="B42" s="69">
        <f t="shared" si="4"/>
        <v>160300</v>
      </c>
      <c r="C42" s="69">
        <f t="shared" si="5"/>
        <v>245</v>
      </c>
      <c r="D42" s="69">
        <f t="shared" si="7"/>
        <v>392735</v>
      </c>
      <c r="E42" s="69">
        <f t="shared" si="8"/>
        <v>553035</v>
      </c>
      <c r="F42" s="70">
        <f t="shared" si="9"/>
        <v>132728.4</v>
      </c>
      <c r="G42" s="70">
        <f t="shared" si="10"/>
        <v>140438988.62844712</v>
      </c>
      <c r="H42" s="75">
        <f t="shared" si="11"/>
        <v>4.8439383943399275</v>
      </c>
    </row>
    <row r="43" spans="1:13" s="63" customFormat="1" hidden="1">
      <c r="A43" s="72" t="s">
        <v>93</v>
      </c>
      <c r="B43" s="69">
        <f t="shared" si="4"/>
        <v>165100</v>
      </c>
      <c r="C43" s="69">
        <f t="shared" si="5"/>
        <v>251</v>
      </c>
      <c r="D43" s="69">
        <f t="shared" si="7"/>
        <v>414401</v>
      </c>
      <c r="E43" s="69">
        <f t="shared" si="8"/>
        <v>579501</v>
      </c>
      <c r="F43" s="70">
        <f t="shared" si="9"/>
        <v>139080.24</v>
      </c>
      <c r="G43" s="70">
        <f t="shared" si="10"/>
        <v>154897667.14420736</v>
      </c>
      <c r="H43" s="75">
        <f t="shared" si="11"/>
        <v>4.7855922319563833</v>
      </c>
    </row>
    <row r="44" spans="1:13" s="63" customFormat="1" hidden="1">
      <c r="A44" s="72" t="s">
        <v>94</v>
      </c>
      <c r="B44" s="69">
        <f t="shared" si="4"/>
        <v>170100</v>
      </c>
      <c r="C44" s="69">
        <f t="shared" si="5"/>
        <v>257</v>
      </c>
      <c r="D44" s="69">
        <f t="shared" si="7"/>
        <v>437157</v>
      </c>
      <c r="E44" s="69">
        <f t="shared" si="8"/>
        <v>607257</v>
      </c>
      <c r="F44" s="70">
        <f t="shared" si="9"/>
        <v>145741.68</v>
      </c>
      <c r="G44" s="70">
        <f t="shared" si="10"/>
        <v>170744758.36158603</v>
      </c>
      <c r="H44" s="75">
        <f t="shared" si="11"/>
        <v>4.7896379816428292</v>
      </c>
    </row>
    <row r="45" spans="1:13" s="63" customFormat="1" hidden="1">
      <c r="A45" s="72" t="s">
        <v>95</v>
      </c>
      <c r="B45" s="69">
        <f t="shared" si="4"/>
        <v>175200</v>
      </c>
      <c r="C45" s="69">
        <f t="shared" si="5"/>
        <v>263</v>
      </c>
      <c r="D45" s="69">
        <f t="shared" si="7"/>
        <v>460776</v>
      </c>
      <c r="E45" s="69">
        <f t="shared" si="8"/>
        <v>635976</v>
      </c>
      <c r="F45" s="70">
        <f t="shared" si="9"/>
        <v>152634.23999999999</v>
      </c>
      <c r="G45" s="70">
        <f t="shared" si="10"/>
        <v>188108242.4733288</v>
      </c>
      <c r="H45" s="75">
        <f t="shared" si="11"/>
        <v>4.729299127058229</v>
      </c>
    </row>
    <row r="46" spans="1:13" s="63" customFormat="1" hidden="1">
      <c r="A46" s="72" t="s">
        <v>96</v>
      </c>
      <c r="B46" s="69">
        <f t="shared" si="4"/>
        <v>180500</v>
      </c>
      <c r="C46" s="69">
        <f t="shared" si="5"/>
        <v>269</v>
      </c>
      <c r="D46" s="69">
        <f t="shared" si="7"/>
        <v>485545</v>
      </c>
      <c r="E46" s="69">
        <f t="shared" si="8"/>
        <v>666045</v>
      </c>
      <c r="F46" s="70">
        <f t="shared" si="9"/>
        <v>159850.79999999999</v>
      </c>
      <c r="G46" s="70">
        <f t="shared" si="10"/>
        <v>207128832.75992841</v>
      </c>
      <c r="H46" s="75">
        <f t="shared" si="11"/>
        <v>4.7280086040982665</v>
      </c>
    </row>
    <row r="47" spans="1:13" s="63" customFormat="1" hidden="1">
      <c r="A47" s="72" t="s">
        <v>97</v>
      </c>
      <c r="B47" s="69">
        <f t="shared" si="4"/>
        <v>185900</v>
      </c>
      <c r="C47" s="69">
        <f t="shared" si="5"/>
        <v>275</v>
      </c>
      <c r="D47" s="69">
        <f t="shared" si="7"/>
        <v>511225</v>
      </c>
      <c r="E47" s="69">
        <f t="shared" si="8"/>
        <v>697125</v>
      </c>
      <c r="F47" s="70">
        <f t="shared" si="9"/>
        <v>167310</v>
      </c>
      <c r="G47" s="70">
        <f t="shared" si="10"/>
        <v>227958842.50832197</v>
      </c>
      <c r="H47" s="75">
        <f t="shared" si="11"/>
        <v>4.6663513726550079</v>
      </c>
    </row>
    <row r="48" spans="1:13" s="63" customFormat="1" hidden="1">
      <c r="A48" s="72" t="s">
        <v>98</v>
      </c>
      <c r="B48" s="69">
        <f t="shared" si="4"/>
        <v>191500</v>
      </c>
      <c r="C48" s="69">
        <f t="shared" si="5"/>
        <v>281</v>
      </c>
      <c r="D48" s="69">
        <f t="shared" si="7"/>
        <v>538115</v>
      </c>
      <c r="E48" s="69">
        <f t="shared" si="8"/>
        <v>729615</v>
      </c>
      <c r="F48" s="70">
        <f t="shared" si="9"/>
        <v>175107.6</v>
      </c>
      <c r="G48" s="70">
        <f t="shared" si="10"/>
        <v>250765545.74207094</v>
      </c>
      <c r="H48" s="75">
        <f t="shared" si="11"/>
        <v>4.6605701990317412</v>
      </c>
    </row>
    <row r="49" spans="1:9" s="63" customFormat="1" hidden="1">
      <c r="A49" s="72" t="s">
        <v>99</v>
      </c>
      <c r="B49" s="69">
        <f t="shared" si="4"/>
        <v>197200</v>
      </c>
      <c r="C49" s="69">
        <f t="shared" si="5"/>
        <v>287</v>
      </c>
      <c r="D49" s="69">
        <f t="shared" si="7"/>
        <v>565964</v>
      </c>
      <c r="E49" s="69">
        <f t="shared" si="8"/>
        <v>763164</v>
      </c>
      <c r="F49" s="70">
        <f t="shared" si="9"/>
        <v>183159.36</v>
      </c>
      <c r="G49" s="70">
        <f t="shared" si="10"/>
        <v>275730169.28765732</v>
      </c>
      <c r="H49" s="75">
        <f t="shared" si="11"/>
        <v>4.5981784913961352</v>
      </c>
    </row>
    <row r="50" spans="1:9" s="63" customFormat="1" hidden="1">
      <c r="A50" s="72" t="s">
        <v>100</v>
      </c>
      <c r="B50" s="69">
        <f t="shared" si="4"/>
        <v>203100</v>
      </c>
      <c r="C50" s="69">
        <f t="shared" si="5"/>
        <v>293</v>
      </c>
      <c r="D50" s="69">
        <f t="shared" si="7"/>
        <v>595083</v>
      </c>
      <c r="E50" s="69">
        <f t="shared" si="8"/>
        <v>798183</v>
      </c>
      <c r="F50" s="70">
        <f t="shared" si="9"/>
        <v>191563.91999999998</v>
      </c>
      <c r="G50" s="70">
        <f t="shared" si="10"/>
        <v>303051540.59714651</v>
      </c>
      <c r="H50" s="75">
        <f t="shared" si="11"/>
        <v>4.5886598424453968</v>
      </c>
    </row>
    <row r="51" spans="1:9" s="63" customFormat="1" hidden="1">
      <c r="A51" s="72" t="s">
        <v>101</v>
      </c>
      <c r="B51" s="69">
        <f t="shared" si="4"/>
        <v>209200</v>
      </c>
      <c r="C51" s="69">
        <f t="shared" si="5"/>
        <v>299</v>
      </c>
      <c r="D51" s="69">
        <f t="shared" si="7"/>
        <v>625508</v>
      </c>
      <c r="E51" s="69">
        <f t="shared" si="8"/>
        <v>834708</v>
      </c>
      <c r="F51" s="70">
        <f t="shared" si="9"/>
        <v>200329.91999999998</v>
      </c>
      <c r="G51" s="70">
        <f t="shared" si="10"/>
        <v>332946494.60448974</v>
      </c>
      <c r="H51" s="75">
        <f t="shared" si="11"/>
        <v>4.5760182815219066</v>
      </c>
    </row>
    <row r="52" spans="1:9" s="63" customFormat="1" ht="30.75" hidden="1" thickBot="1">
      <c r="A52" s="72" t="s">
        <v>102</v>
      </c>
      <c r="B52" s="69">
        <f t="shared" si="4"/>
        <v>215500</v>
      </c>
      <c r="C52" s="69">
        <f t="shared" si="5"/>
        <v>305</v>
      </c>
      <c r="D52" s="69">
        <f t="shared" si="7"/>
        <v>657275</v>
      </c>
      <c r="E52" s="69">
        <f t="shared" si="8"/>
        <v>872775</v>
      </c>
      <c r="F52" s="70">
        <f t="shared" si="9"/>
        <v>209466</v>
      </c>
      <c r="G52" s="70">
        <f t="shared" si="10"/>
        <v>365651494.39889383</v>
      </c>
      <c r="H52" s="75">
        <f t="shared" si="11"/>
        <v>4.5605169712043097</v>
      </c>
    </row>
    <row r="53" spans="1:9" s="63" customFormat="1" ht="30.75" hidden="1" thickBot="1">
      <c r="A53" s="76" t="s">
        <v>59</v>
      </c>
      <c r="B53" s="77"/>
      <c r="C53" s="78">
        <f>LOOKUP(2,--1/(C9:C52&lt;&gt;""),C9:C51)</f>
        <v>305</v>
      </c>
      <c r="D53" s="77"/>
      <c r="E53" s="77"/>
      <c r="F53" s="79"/>
      <c r="G53" s="78">
        <f>LOOKUP(2,--1/(G9:G52&lt;&gt;""),G9:G51)</f>
        <v>365651494.39889383</v>
      </c>
      <c r="H53" s="80"/>
    </row>
    <row r="54" spans="1:9">
      <c r="A54" s="61"/>
      <c r="B54" s="61"/>
      <c r="C54" s="61"/>
      <c r="D54" s="61"/>
      <c r="E54" s="61"/>
      <c r="F54" s="61"/>
      <c r="G54" s="61"/>
      <c r="H54" s="52"/>
      <c r="I54" s="52"/>
    </row>
    <row r="55" spans="1:9" ht="50.25">
      <c r="A55" s="81" t="s">
        <v>108</v>
      </c>
      <c r="B55" s="61"/>
      <c r="C55" s="61"/>
      <c r="D55" s="61"/>
      <c r="E55" s="61"/>
      <c r="F55" s="61"/>
      <c r="G55" s="61"/>
      <c r="H55" s="52"/>
      <c r="I55" s="52"/>
    </row>
    <row r="56" spans="1:9" ht="17.25" customHeight="1">
      <c r="A56" s="81"/>
      <c r="B56" s="61"/>
      <c r="C56" s="61"/>
      <c r="D56" s="61"/>
      <c r="E56" s="61"/>
      <c r="F56" s="61"/>
      <c r="G56" s="61"/>
      <c r="H56" s="52"/>
      <c r="I56" s="52"/>
    </row>
    <row r="57" spans="1:9">
      <c r="A57" s="82" t="s">
        <v>104</v>
      </c>
      <c r="B57" s="61"/>
      <c r="C57" s="61"/>
      <c r="D57" s="61"/>
      <c r="E57" s="61"/>
      <c r="F57" s="61"/>
      <c r="G57" s="61"/>
      <c r="H57" s="52"/>
      <c r="I57" s="52"/>
    </row>
    <row r="58" spans="1:9" ht="30.75" thickBot="1">
      <c r="A58" s="61"/>
      <c r="B58" s="61"/>
      <c r="C58" s="61"/>
      <c r="D58" s="61"/>
      <c r="E58" s="61"/>
      <c r="F58" s="61"/>
      <c r="G58" s="61"/>
      <c r="H58" s="52"/>
      <c r="I58" s="52"/>
    </row>
    <row r="59" spans="1:9" s="88" customFormat="1" ht="180">
      <c r="A59" s="83" t="s">
        <v>26</v>
      </c>
      <c r="B59" s="84" t="s">
        <v>27</v>
      </c>
      <c r="C59" s="85" t="s">
        <v>22</v>
      </c>
      <c r="D59" s="86" t="s">
        <v>45</v>
      </c>
      <c r="E59" s="86" t="s">
        <v>60</v>
      </c>
      <c r="F59" s="86" t="s">
        <v>52</v>
      </c>
      <c r="G59" s="87" t="s">
        <v>25</v>
      </c>
    </row>
    <row r="60" spans="1:9" s="93" customFormat="1" ht="60">
      <c r="A60" s="89"/>
      <c r="B60" s="90"/>
      <c r="C60" s="91" t="s">
        <v>47</v>
      </c>
      <c r="D60" s="91" t="s">
        <v>46</v>
      </c>
      <c r="E60" s="91" t="s">
        <v>28</v>
      </c>
      <c r="F60" s="91" t="s">
        <v>32</v>
      </c>
      <c r="G60" s="92"/>
    </row>
    <row r="61" spans="1:9">
      <c r="A61" s="94" t="s">
        <v>33</v>
      </c>
      <c r="B61" s="95"/>
      <c r="C61" s="96">
        <v>9</v>
      </c>
      <c r="D61" s="3">
        <f>+C61</f>
        <v>9</v>
      </c>
      <c r="E61" s="3">
        <f>+C61</f>
        <v>9</v>
      </c>
      <c r="F61" s="4">
        <f>+E61</f>
        <v>9</v>
      </c>
      <c r="G61" s="97"/>
      <c r="H61" s="52"/>
      <c r="I61" s="52"/>
    </row>
    <row r="62" spans="1:9">
      <c r="A62" s="94" t="s">
        <v>34</v>
      </c>
      <c r="B62" s="95"/>
      <c r="C62" s="96">
        <v>28</v>
      </c>
      <c r="D62" s="3">
        <f>+C62</f>
        <v>28</v>
      </c>
      <c r="E62" s="3">
        <f>+C62</f>
        <v>28</v>
      </c>
      <c r="F62" s="4">
        <f>+E62</f>
        <v>28</v>
      </c>
      <c r="G62" s="97"/>
      <c r="H62" s="52"/>
      <c r="I62" s="52"/>
    </row>
    <row r="63" spans="1:9">
      <c r="A63" s="94" t="s">
        <v>38</v>
      </c>
      <c r="B63" s="95"/>
      <c r="C63" s="5">
        <f>+C62+C61</f>
        <v>37</v>
      </c>
      <c r="D63" s="3">
        <f>+C63</f>
        <v>37</v>
      </c>
      <c r="E63" s="3">
        <f>+D63</f>
        <v>37</v>
      </c>
      <c r="F63" s="4">
        <f>+E63</f>
        <v>37</v>
      </c>
      <c r="G63" s="97"/>
      <c r="H63" s="52"/>
      <c r="I63" s="52"/>
    </row>
    <row r="64" spans="1:9" ht="120">
      <c r="A64" s="94" t="s">
        <v>35</v>
      </c>
      <c r="B64" s="135" t="s">
        <v>13</v>
      </c>
      <c r="C64" s="6">
        <v>20</v>
      </c>
      <c r="D64" s="3">
        <v>20</v>
      </c>
      <c r="E64" s="3">
        <v>20</v>
      </c>
      <c r="F64" s="4">
        <v>20</v>
      </c>
      <c r="G64" s="136" t="s">
        <v>31</v>
      </c>
      <c r="H64" s="52"/>
      <c r="I64" s="52"/>
    </row>
    <row r="65" spans="1:9">
      <c r="A65" s="94" t="s">
        <v>3</v>
      </c>
      <c r="B65" s="95"/>
      <c r="C65" s="5">
        <f>+B10</f>
        <v>62200</v>
      </c>
      <c r="D65" s="3">
        <f t="shared" ref="D65:D71" si="12">+C65</f>
        <v>62200</v>
      </c>
      <c r="E65" s="3">
        <f t="shared" ref="E65:E68" si="13">+C65</f>
        <v>62200</v>
      </c>
      <c r="F65" s="4">
        <f>+E65</f>
        <v>62200</v>
      </c>
      <c r="G65" s="97"/>
      <c r="H65" s="52"/>
      <c r="I65" s="52"/>
    </row>
    <row r="66" spans="1:9">
      <c r="A66" s="94" t="s">
        <v>36</v>
      </c>
      <c r="B66" s="134">
        <f>53/100</f>
        <v>0.53</v>
      </c>
      <c r="C66" s="5">
        <f>+C65*B66</f>
        <v>32966</v>
      </c>
      <c r="D66" s="3">
        <f t="shared" si="12"/>
        <v>32966</v>
      </c>
      <c r="E66" s="3">
        <f t="shared" si="13"/>
        <v>32966</v>
      </c>
      <c r="F66" s="4">
        <f>+E66</f>
        <v>32966</v>
      </c>
      <c r="G66" s="97"/>
      <c r="H66" s="52"/>
      <c r="I66" s="52"/>
    </row>
    <row r="67" spans="1:9">
      <c r="A67" s="94" t="s">
        <v>9</v>
      </c>
      <c r="B67" s="95"/>
      <c r="C67" s="9">
        <v>0.06</v>
      </c>
      <c r="D67" s="8">
        <f t="shared" si="12"/>
        <v>0.06</v>
      </c>
      <c r="E67" s="8">
        <f t="shared" si="13"/>
        <v>0.06</v>
      </c>
      <c r="F67" s="7">
        <f>+E67</f>
        <v>0.06</v>
      </c>
      <c r="G67" s="97"/>
      <c r="H67" s="52"/>
      <c r="I67" s="52"/>
    </row>
    <row r="68" spans="1:9" ht="120">
      <c r="A68" s="99" t="s">
        <v>37</v>
      </c>
      <c r="B68" s="137" t="s">
        <v>54</v>
      </c>
      <c r="C68" s="10">
        <v>0.03</v>
      </c>
      <c r="D68" s="10">
        <f t="shared" si="12"/>
        <v>0.03</v>
      </c>
      <c r="E68" s="10">
        <f t="shared" si="13"/>
        <v>0.03</v>
      </c>
      <c r="F68" s="11">
        <f>+E68</f>
        <v>0.03</v>
      </c>
      <c r="G68" s="100"/>
      <c r="H68" s="52"/>
      <c r="I68" s="52"/>
    </row>
    <row r="69" spans="1:9" ht="120">
      <c r="A69" s="94" t="s">
        <v>8</v>
      </c>
      <c r="B69" s="135" t="s">
        <v>39</v>
      </c>
      <c r="C69" s="12">
        <f>+(C65+C66)*10/100*2.4</f>
        <v>22839.84</v>
      </c>
      <c r="D69" s="13">
        <f t="shared" si="12"/>
        <v>22839.84</v>
      </c>
      <c r="E69" s="14" t="s">
        <v>12</v>
      </c>
      <c r="F69" s="15" t="s">
        <v>12</v>
      </c>
      <c r="G69" s="97"/>
      <c r="H69" s="52"/>
      <c r="I69" s="52"/>
    </row>
    <row r="70" spans="1:9">
      <c r="A70" s="94" t="s">
        <v>7</v>
      </c>
      <c r="B70" s="95"/>
      <c r="C70" s="16">
        <v>0.09</v>
      </c>
      <c r="D70" s="17">
        <f t="shared" si="12"/>
        <v>0.09</v>
      </c>
      <c r="E70" s="18" t="s">
        <v>12</v>
      </c>
      <c r="F70" s="19" t="s">
        <v>12</v>
      </c>
      <c r="G70" s="97"/>
      <c r="H70" s="52"/>
      <c r="I70" s="52"/>
    </row>
    <row r="71" spans="1:9">
      <c r="A71" s="94" t="s">
        <v>2</v>
      </c>
      <c r="B71" s="95"/>
      <c r="C71" s="9">
        <v>0.05</v>
      </c>
      <c r="D71" s="8">
        <f t="shared" si="12"/>
        <v>0.05</v>
      </c>
      <c r="E71" s="21" t="s">
        <v>12</v>
      </c>
      <c r="F71" s="20" t="s">
        <v>12</v>
      </c>
      <c r="G71" s="97"/>
      <c r="H71" s="52"/>
      <c r="I71" s="52"/>
    </row>
    <row r="72" spans="1:9">
      <c r="A72" s="94" t="s">
        <v>4</v>
      </c>
      <c r="B72" s="95"/>
      <c r="C72" s="21" t="s">
        <v>12</v>
      </c>
      <c r="D72" s="3"/>
      <c r="E72" s="22" t="s">
        <v>30</v>
      </c>
      <c r="F72" s="22" t="s">
        <v>30</v>
      </c>
      <c r="G72" s="97"/>
      <c r="H72" s="52"/>
      <c r="I72" s="52"/>
    </row>
    <row r="73" spans="1:9">
      <c r="A73" s="94" t="s">
        <v>10</v>
      </c>
      <c r="B73" s="98"/>
      <c r="C73" s="24">
        <f>+IF(C62=1,C11,IF(C62=2,C12,IF(C62=3,C13,IF(C62=4,C14,IF(C62=5,C15,IF(C62=6,C16,IF(C62=7,C17,IF(C62=8,C18,IF(C62=9,C19,IF(C62=10,C20,IF(C62=11,C21,IF(C62=12,C22,IF(C62=13,C23,IF(C62=14,C24,IF(C62=15,C25,IF(C62=16,C26,IF(C62=17,C27,IF(C62=18,C28,IF(C62=19,C29,IF(C62=20,C30,IF(C62=21,C31,IF(C62=22,C32,IF(C62=23,C33,IF(C62=24,C34,IF(C62=25,C35,IF(C62=26,C36,IF(C62=27,C37,IF(C62=28,C38,IF(C62=29,C39,IF(C62=30,C40,IF(C62=31,C41,IF(C62=32,C42,IF(C62=33,C43,IF(C62=34,C44,IF(C62=35,C45,IF(C62=36,C46,IF(C62=37,C47,IF(C62=38,C48,IF(C62=39,C49,IF(C62=40,C50,IF(C62=41,C51,IF(C62=42,C52,0))))))))))))))))))))))))))))))))))))))))))</f>
        <v>221</v>
      </c>
      <c r="D73" s="8">
        <f>+C73/100</f>
        <v>2.21</v>
      </c>
      <c r="E73" s="9">
        <f>+C73/100</f>
        <v>2.21</v>
      </c>
      <c r="F73" s="23">
        <f>+E73*100+12*6</f>
        <v>293</v>
      </c>
      <c r="G73" s="101"/>
      <c r="H73" s="52"/>
      <c r="I73" s="52"/>
    </row>
    <row r="74" spans="1:9">
      <c r="A74" s="94" t="s">
        <v>55</v>
      </c>
      <c r="B74" s="95"/>
      <c r="C74" s="25">
        <f>+G9</f>
        <v>2121000</v>
      </c>
      <c r="D74" s="26">
        <f t="shared" ref="D74:D79" si="14">+C74</f>
        <v>2121000</v>
      </c>
      <c r="E74" s="29" t="s">
        <v>12</v>
      </c>
      <c r="F74" s="30" t="s">
        <v>12</v>
      </c>
      <c r="G74" s="101"/>
      <c r="H74" s="52"/>
      <c r="I74" s="52"/>
    </row>
    <row r="75" spans="1:9">
      <c r="A75" s="94" t="s">
        <v>0</v>
      </c>
      <c r="B75" s="102"/>
      <c r="C75" s="24">
        <f>+IF(C62=1,G11,IF(C62=2,G12,IF(C62=3,G13,IF(C62=4,G14,IF(C62=5,G15,IF(C62=6,G16,IF(C62=7,G17,IF(C62=8,G18,IF(C62=9,G19,IF(C62=10,G20,IF(C62=11,G21,IF(C62=12,G22,IF(C62=13,G23,IF(C62=14,G24,IF(C62=15,G25,IF(C62=16,G26,IF(C62=17,G27,IF(C62=18,G28,IF(C62=19,G29,IF(C62=20,G30,IF(C62=21,G31,IF(C62=22,G32,IF(C62=23,G33,IF(C62=24,G34,IF(C62=25,G35,IF(C62=26,G36,IF(C62=27,G37,IF(C62=28,G38,IF(C62=29,G39,IF(C62=30,G40,IF(C62=31,G41,IF(C62=32,G42,IF(C62=33,G43,IF(C62=34,G44,IF(C62=35,G45,IF(C62=36,G46,IF(C62=37,G47,IF(C62=38,G48,IF(C62=39,G49,IF(C62=40,G50,IF(C62=41,G51,IF(C62=42,G52,0))))))))))))))))))))))))))))))))))))))))))</f>
        <v>94270970.444119781</v>
      </c>
      <c r="D75" s="27">
        <f>+C75</f>
        <v>94270970.444119781</v>
      </c>
      <c r="E75" s="21" t="s">
        <v>12</v>
      </c>
      <c r="F75" s="20" t="s">
        <v>12</v>
      </c>
      <c r="G75" s="103"/>
      <c r="I75" s="52"/>
    </row>
    <row r="76" spans="1:9">
      <c r="A76" s="94" t="s">
        <v>6</v>
      </c>
      <c r="B76" s="95"/>
      <c r="C76" s="21" t="s">
        <v>12</v>
      </c>
      <c r="D76" s="28" t="str">
        <f t="shared" si="14"/>
        <v>-</v>
      </c>
      <c r="E76" s="32">
        <f>+'VMT- projected-NPS vs UPS'!B10*(1+3/100)^('VMT- projected-NPS vs UPS'!C62-1)</f>
        <v>138164.17614646367</v>
      </c>
      <c r="F76" s="31">
        <f>+E76</f>
        <v>138164.17614646367</v>
      </c>
      <c r="G76" s="104"/>
      <c r="H76" s="52"/>
      <c r="I76" s="52"/>
    </row>
    <row r="77" spans="1:9">
      <c r="A77" s="94" t="s">
        <v>1</v>
      </c>
      <c r="B77" s="95"/>
      <c r="C77" s="21" t="s">
        <v>12</v>
      </c>
      <c r="D77" s="28" t="str">
        <f t="shared" si="14"/>
        <v>-</v>
      </c>
      <c r="E77" s="32">
        <f>+'VMT- projected-NPS vs UPS'!B10*(1+3/100)^('VMT- projected-NPS vs UPS'!C62)</f>
        <v>142309.10143085758</v>
      </c>
      <c r="F77" s="33">
        <f>+E77</f>
        <v>142309.10143085758</v>
      </c>
      <c r="G77" s="104"/>
      <c r="H77" s="52"/>
      <c r="I77" s="52"/>
    </row>
    <row r="78" spans="1:9">
      <c r="A78" s="94" t="s">
        <v>11</v>
      </c>
      <c r="B78" s="95"/>
      <c r="C78" s="21" t="s">
        <v>12</v>
      </c>
      <c r="D78" s="28" t="str">
        <f t="shared" si="14"/>
        <v>-</v>
      </c>
      <c r="E78" s="31">
        <f>(E77+E76)/2</f>
        <v>140236.63878866064</v>
      </c>
      <c r="F78" s="31">
        <f>+E78</f>
        <v>140236.63878866064</v>
      </c>
      <c r="G78" s="105"/>
      <c r="H78" s="52"/>
      <c r="I78" s="52"/>
    </row>
    <row r="79" spans="1:9" ht="30.75" thickBot="1">
      <c r="A79" s="94" t="s">
        <v>20</v>
      </c>
      <c r="B79" s="95"/>
      <c r="C79" s="12">
        <f>+C75*40/100</f>
        <v>37708388.177647918</v>
      </c>
      <c r="D79" s="13">
        <f t="shared" si="14"/>
        <v>37708388.177647918</v>
      </c>
      <c r="E79" s="116" t="s">
        <v>12</v>
      </c>
      <c r="F79" s="117" t="s">
        <v>12</v>
      </c>
      <c r="G79" s="106"/>
      <c r="H79" s="52"/>
      <c r="I79" s="52"/>
    </row>
    <row r="80" spans="1:9" ht="120.75" thickBot="1">
      <c r="A80" s="94" t="s">
        <v>14</v>
      </c>
      <c r="B80" s="135" t="s">
        <v>15</v>
      </c>
      <c r="C80" s="24">
        <f>+C75*40/100*C71/12</f>
        <v>157118.284073533</v>
      </c>
      <c r="D80" s="34">
        <f>+C80</f>
        <v>157118.284073533</v>
      </c>
      <c r="E80" s="35">
        <f>+(E78+E78*E73)/2</f>
        <v>225079.80525580031</v>
      </c>
      <c r="F80" s="36">
        <f>(+F78+F78*F73/100)/2</f>
        <v>275564.99521971814</v>
      </c>
      <c r="G80" s="138" t="s">
        <v>29</v>
      </c>
      <c r="H80" s="52"/>
      <c r="I80" s="107"/>
    </row>
    <row r="81" spans="1:9">
      <c r="A81" s="94" t="s">
        <v>16</v>
      </c>
      <c r="B81" s="95"/>
      <c r="C81" s="37">
        <f>+C75*0.6</f>
        <v>56562582.26647187</v>
      </c>
      <c r="D81" s="37">
        <f>+C81</f>
        <v>56562582.26647187</v>
      </c>
      <c r="E81" s="41" t="s">
        <v>12</v>
      </c>
      <c r="F81" s="39" t="s">
        <v>12</v>
      </c>
      <c r="G81" s="108"/>
      <c r="H81" s="52"/>
      <c r="I81" s="52"/>
    </row>
    <row r="82" spans="1:9" ht="210">
      <c r="A82" s="94" t="s">
        <v>18</v>
      </c>
      <c r="B82" s="139" t="s">
        <v>113</v>
      </c>
      <c r="C82" s="24">
        <f>-PMT(6%/12,20*12,C81,0,1)</f>
        <v>403215.82769578823</v>
      </c>
      <c r="D82" s="21" t="s">
        <v>12</v>
      </c>
      <c r="E82" s="38" t="s">
        <v>12</v>
      </c>
      <c r="F82" s="40" t="s">
        <v>12</v>
      </c>
      <c r="G82" s="97"/>
      <c r="H82" s="52"/>
      <c r="I82" s="52"/>
    </row>
    <row r="83" spans="1:9" ht="120.75" thickBot="1">
      <c r="A83" s="94" t="s">
        <v>23</v>
      </c>
      <c r="B83" s="139" t="s">
        <v>24</v>
      </c>
      <c r="C83" s="14" t="s">
        <v>12</v>
      </c>
      <c r="D83" s="24">
        <f>+D81*6/100/12</f>
        <v>282812.91133235936</v>
      </c>
      <c r="E83" s="38" t="s">
        <v>12</v>
      </c>
      <c r="F83" s="40" t="s">
        <v>12</v>
      </c>
      <c r="G83" s="97"/>
      <c r="H83" s="52"/>
      <c r="I83" s="52"/>
    </row>
    <row r="84" spans="1:9" ht="120.75" thickBot="1">
      <c r="A84" s="109" t="s">
        <v>110</v>
      </c>
      <c r="B84" s="140" t="s">
        <v>109</v>
      </c>
      <c r="C84" s="42">
        <f>+C82+C80</f>
        <v>560334.11176932126</v>
      </c>
      <c r="D84" s="42">
        <f>+D83+D80</f>
        <v>439931.19540589233</v>
      </c>
      <c r="E84" s="43">
        <f>+E80</f>
        <v>225079.80525580031</v>
      </c>
      <c r="F84" s="44">
        <f>+F80</f>
        <v>275564.99521971814</v>
      </c>
      <c r="G84" s="141" t="s">
        <v>29</v>
      </c>
      <c r="H84" s="52"/>
      <c r="I84" s="52"/>
    </row>
    <row r="85" spans="1:9">
      <c r="A85" s="94" t="s">
        <v>17</v>
      </c>
      <c r="B85" s="95"/>
      <c r="C85" s="37">
        <f>+C75*40/100</f>
        <v>37708388.177647918</v>
      </c>
      <c r="D85" s="37">
        <f>+C85</f>
        <v>37708388.177647918</v>
      </c>
      <c r="E85" s="21" t="s">
        <v>12</v>
      </c>
      <c r="F85" s="20" t="s">
        <v>12</v>
      </c>
      <c r="G85" s="97"/>
      <c r="H85" s="52"/>
      <c r="I85" s="52"/>
    </row>
    <row r="86" spans="1:9">
      <c r="A86" s="94" t="s">
        <v>5</v>
      </c>
      <c r="B86" s="95"/>
      <c r="C86" s="21" t="s">
        <v>12</v>
      </c>
      <c r="D86" s="21" t="s">
        <v>12</v>
      </c>
      <c r="E86" s="45">
        <f>+E77*E73</f>
        <v>314503.11416219524</v>
      </c>
      <c r="F86" s="46" t="s">
        <v>12</v>
      </c>
      <c r="G86" s="110"/>
      <c r="H86" s="52"/>
      <c r="I86" s="52"/>
    </row>
    <row r="87" spans="1:9">
      <c r="A87" s="94" t="s">
        <v>19</v>
      </c>
      <c r="B87" s="95"/>
      <c r="C87" s="21" t="s">
        <v>12</v>
      </c>
      <c r="D87" s="21" t="s">
        <v>12</v>
      </c>
      <c r="E87" s="45">
        <f>+E86+E77</f>
        <v>456812.2155930528</v>
      </c>
      <c r="F87" s="46" t="s">
        <v>12</v>
      </c>
      <c r="G87" s="110"/>
      <c r="H87" s="52"/>
      <c r="I87" s="52"/>
    </row>
    <row r="88" spans="1:9" ht="30.75" thickBot="1">
      <c r="A88" s="111" t="s">
        <v>111</v>
      </c>
      <c r="B88" s="112"/>
      <c r="C88" s="47" t="s">
        <v>12</v>
      </c>
      <c r="D88" s="47" t="s">
        <v>12</v>
      </c>
      <c r="E88" s="48">
        <f>(E61+E62)*2*3*E87/30</f>
        <v>3380410.3953885906</v>
      </c>
      <c r="F88" s="49" t="s">
        <v>12</v>
      </c>
      <c r="G88" s="113"/>
      <c r="H88" s="52"/>
      <c r="I88" s="52"/>
    </row>
    <row r="89" spans="1:9">
      <c r="H89" s="52"/>
      <c r="I89" s="52"/>
    </row>
    <row r="90" spans="1:9">
      <c r="H90" s="52"/>
      <c r="I90" s="52"/>
    </row>
    <row r="91" spans="1:9">
      <c r="A91" s="114" t="s">
        <v>21</v>
      </c>
    </row>
  </sheetData>
  <sheetProtection algorithmName="SHA-512" hashValue="EtIzhQCH+/8DP6zJo1DWV6AmfIzn77H4Eact0SrVd/kcCWNuc8slg/hn5fqZPX/8MyFK/+hZWeDxE5f75NJEFw==" saltValue="0MAEEkPHr5C08bFBRuUNew==" spinCount="100000" sheet="1" selectLockedCells="1"/>
  <mergeCells count="9">
    <mergeCell ref="H6:I6"/>
    <mergeCell ref="F3:I3"/>
    <mergeCell ref="A9:F9"/>
    <mergeCell ref="I40:M40"/>
    <mergeCell ref="F4:G4"/>
    <mergeCell ref="F5:G5"/>
    <mergeCell ref="F6:G6"/>
    <mergeCell ref="H4:I4"/>
    <mergeCell ref="H5:I5"/>
  </mergeCells>
  <pageMargins left="0.7" right="0.7" top="0.75" bottom="0.75" header="0.3" footer="0.3"/>
  <pageSetup paperSize="9" scale="37" fitToHeight="0" orientation="landscape" r:id="rId1"/>
  <headerFooter>
    <oddHeader>&amp;CDRAG YOUR DATA ACCORDINGLY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VMT- projected-NPS vs 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Pattabiraman M</dc:creator>
  <cp:lastModifiedBy>CA Nitin K Varshney</cp:lastModifiedBy>
  <cp:lastPrinted>2024-08-30T13:32:41Z</cp:lastPrinted>
  <dcterms:created xsi:type="dcterms:W3CDTF">2024-08-25T16:15:57Z</dcterms:created>
  <dcterms:modified xsi:type="dcterms:W3CDTF">2024-08-31T08:46:29Z</dcterms:modified>
</cp:coreProperties>
</file>