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19"/>
  <workbookPr defaultThemeVersion="166925"/>
  <mc:AlternateContent xmlns:mc="http://schemas.openxmlformats.org/markup-compatibility/2006">
    <mc:Choice Requires="x15">
      <x15ac:absPath xmlns:x15ac="http://schemas.microsoft.com/office/spreadsheetml/2010/11/ac" url="https://ssjainassociates-my.sharepoint.com/personal/shweta_ssjain_com/Documents/SSjain/Tax calculator/"/>
    </mc:Choice>
  </mc:AlternateContent>
  <xr:revisionPtr revIDLastSave="0" documentId="8_{36327330-3C4D-4D20-8293-E92BA00861F0}" xr6:coauthVersionLast="47" xr6:coauthVersionMax="47" xr10:uidLastSave="{00000000-0000-0000-0000-000000000000}"/>
  <bookViews>
    <workbookView xWindow="-110" yWindow="-110" windowWidth="19420" windowHeight="10420" xr2:uid="{00000000-000D-0000-FFFF-FFFF00000000}"/>
  </bookViews>
  <sheets>
    <sheet name="Instructions" sheetId="6" r:id="rId1"/>
    <sheet name="WATERFALL DIAGRAM" sheetId="2" state="hidden" r:id="rId2"/>
    <sheet name="Sheet2" sheetId="5" state="hidden" r:id="rId3"/>
    <sheet name="Salary Calculator" sheetId="1" r:id="rId4"/>
    <sheet name="Sheet1" sheetId="9" state="hidden" r:id="rId5"/>
    <sheet name="Sheet5" sheetId="12" state="hidden" r:id="rId6"/>
    <sheet name="old" sheetId="11" state="hidden" r:id="rId7"/>
    <sheet name="new" sheetId="10" state="hidden" r:id="rId8"/>
    <sheet name="Sheet6" sheetId="13" state="hidden" r:id="rId9"/>
    <sheet name="Sheet7" sheetId="14" state="hidden" r:id="rId10"/>
    <sheet name="Salary Calculator (2)" sheetId="8" state="hidden" r:id="rId11"/>
  </sheets>
  <definedNames>
    <definedName name="_xlnm.Print_Area" localSheetId="0">Instructions!$A$1:$B$39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8" i="1" l="1"/>
  <c r="H108" i="1" s="1"/>
  <c r="G107" i="1"/>
  <c r="H107" i="1" s="1"/>
  <c r="G106" i="1"/>
  <c r="H106" i="1" s="1"/>
  <c r="F86" i="1" l="1"/>
  <c r="F85" i="1" s="1"/>
  <c r="G72" i="1" s="1"/>
  <c r="J26" i="1"/>
  <c r="G86" i="1" l="1"/>
  <c r="F65" i="1" l="1"/>
  <c r="F66" i="1"/>
  <c r="F63" i="1"/>
  <c r="F62" i="1"/>
  <c r="G136" i="1" l="1"/>
  <c r="H136" i="1" s="1"/>
  <c r="G67" i="1"/>
  <c r="G64" i="1"/>
  <c r="G104" i="1" l="1"/>
  <c r="H104" i="1" s="1"/>
  <c r="G56" i="1"/>
  <c r="H105" i="8"/>
  <c r="H96" i="8"/>
  <c r="G96" i="8"/>
  <c r="H91" i="8"/>
  <c r="F91" i="8"/>
  <c r="F87" i="8"/>
  <c r="F86" i="8"/>
  <c r="F85" i="8"/>
  <c r="F84" i="8"/>
  <c r="F83" i="8"/>
  <c r="F82" i="8"/>
  <c r="F81" i="8"/>
  <c r="F80" i="8"/>
  <c r="G76" i="8"/>
  <c r="G63" i="8"/>
  <c r="F57" i="8"/>
  <c r="F56" i="8"/>
  <c r="F55" i="8"/>
  <c r="F54" i="8"/>
  <c r="G53" i="8"/>
  <c r="H53" i="8"/>
  <c r="G51" i="8"/>
  <c r="H51" i="8"/>
  <c r="G48" i="8"/>
  <c r="E44" i="8"/>
  <c r="G38" i="8"/>
  <c r="J36" i="8"/>
  <c r="G34" i="8"/>
  <c r="G33" i="8"/>
  <c r="H33" i="8"/>
  <c r="G28" i="8"/>
  <c r="G27" i="8"/>
  <c r="G26" i="8"/>
  <c r="H26" i="8"/>
  <c r="G25" i="8"/>
  <c r="G24" i="8"/>
  <c r="G23" i="8"/>
  <c r="G22" i="8"/>
  <c r="H22" i="8"/>
  <c r="F21" i="8"/>
  <c r="F20" i="8"/>
  <c r="F19" i="8"/>
  <c r="I16" i="8"/>
  <c r="G16" i="8"/>
  <c r="H15" i="8"/>
  <c r="G15" i="8"/>
  <c r="J15" i="8"/>
  <c r="J20" i="8"/>
  <c r="D6" i="8"/>
  <c r="G59" i="1"/>
  <c r="H59" i="1" s="1"/>
  <c r="G31" i="1"/>
  <c r="F98" i="1"/>
  <c r="F97" i="1"/>
  <c r="F96" i="1"/>
  <c r="F95" i="1"/>
  <c r="F94" i="1"/>
  <c r="F93" i="1"/>
  <c r="F92" i="1"/>
  <c r="F91" i="1"/>
  <c r="G35" i="1"/>
  <c r="G34" i="1"/>
  <c r="G33" i="1"/>
  <c r="H33" i="1" s="1"/>
  <c r="G32" i="1"/>
  <c r="G30" i="1"/>
  <c r="G29" i="1"/>
  <c r="H29" i="1" s="1"/>
  <c r="G41" i="1"/>
  <c r="H132" i="1"/>
  <c r="A17" i="6"/>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7" i="6"/>
  <c r="H30" i="8"/>
  <c r="H36" i="8"/>
  <c r="G98" i="8"/>
  <c r="G19" i="8"/>
  <c r="G30" i="8"/>
  <c r="G36" i="8"/>
  <c r="G60" i="8"/>
  <c r="I87" i="8"/>
  <c r="H95" i="8"/>
  <c r="J21" i="8"/>
  <c r="J27" i="8"/>
  <c r="J28" i="8"/>
  <c r="H38" i="8"/>
  <c r="H60" i="8"/>
  <c r="F79" i="8"/>
  <c r="E89" i="8"/>
  <c r="G95" i="8"/>
  <c r="H98" i="8"/>
  <c r="E6" i="8"/>
  <c r="E88" i="8"/>
  <c r="F88" i="8"/>
  <c r="F26" i="1"/>
  <c r="F89" i="8"/>
  <c r="H93" i="8"/>
  <c r="H94" i="8"/>
  <c r="G78" i="8"/>
  <c r="F87" i="1"/>
  <c r="H87" i="1" s="1"/>
  <c r="I5" i="2"/>
  <c r="A8" i="2"/>
  <c r="A9" i="2"/>
  <c r="A10" i="2"/>
  <c r="H5" i="2"/>
  <c r="J5" i="2"/>
  <c r="K5" i="2"/>
  <c r="L5" i="2"/>
  <c r="E51" i="1"/>
  <c r="G45" i="1" s="1"/>
  <c r="G94" i="8"/>
  <c r="G93" i="8"/>
  <c r="H102" i="8"/>
  <c r="H101" i="8"/>
  <c r="H99" i="8"/>
  <c r="H100" i="8"/>
  <c r="A11" i="2"/>
  <c r="A12" i="2"/>
  <c r="A13" i="2"/>
  <c r="A14" i="2"/>
  <c r="M5" i="2"/>
  <c r="N5" i="2"/>
  <c r="O5" i="2"/>
  <c r="D6" i="1"/>
  <c r="E6" i="1" s="1"/>
  <c r="F100" i="1" s="1"/>
  <c r="F99" i="1" s="1"/>
  <c r="G101" i="8"/>
  <c r="G102" i="8"/>
  <c r="J32" i="8"/>
  <c r="J29" i="8"/>
  <c r="J30" i="8"/>
  <c r="G99" i="8"/>
  <c r="G100" i="8"/>
  <c r="A15" i="2"/>
  <c r="A16" i="2"/>
  <c r="A17" i="2"/>
  <c r="A18" i="2"/>
  <c r="A19" i="2"/>
  <c r="A20" i="2"/>
  <c r="A21" i="2"/>
  <c r="G22" i="1"/>
  <c r="D15" i="1" s="1"/>
  <c r="F28" i="1"/>
  <c r="F27" i="1"/>
  <c r="J34" i="8"/>
  <c r="J35" i="8"/>
  <c r="G103" i="8"/>
  <c r="G104" i="8"/>
  <c r="H103" i="8"/>
  <c r="H104" i="8"/>
  <c r="G107" i="8"/>
  <c r="G106" i="8"/>
  <c r="C10" i="8"/>
  <c r="J37" i="8"/>
  <c r="J38" i="8"/>
  <c r="H107" i="8"/>
  <c r="H106" i="8"/>
  <c r="D10" i="8"/>
  <c r="D12" i="8"/>
  <c r="G23" i="1"/>
  <c r="H64" i="1" l="1"/>
  <c r="G87" i="1"/>
  <c r="H67" i="1"/>
  <c r="H22" i="1"/>
  <c r="H37" i="1" s="1"/>
  <c r="F90" i="1"/>
  <c r="G89" i="1" s="1"/>
  <c r="G26" i="1"/>
  <c r="G37" i="1" s="1"/>
  <c r="H45" i="1"/>
  <c r="E15" i="1" l="1"/>
  <c r="E40" i="1"/>
  <c r="G40" i="1" s="1"/>
  <c r="H40" i="1" s="1"/>
  <c r="E16" i="1" s="1"/>
  <c r="E17" i="1" s="1"/>
  <c r="J21" i="1"/>
  <c r="D16" i="1" l="1"/>
  <c r="D17" i="1" s="1"/>
  <c r="G43" i="1"/>
  <c r="G69" i="1" s="1"/>
  <c r="J69" i="1" s="1"/>
  <c r="H43" i="1"/>
  <c r="H69" i="1" s="1"/>
  <c r="H102" i="1" s="1"/>
  <c r="H116" i="1" s="1"/>
  <c r="H125" i="1" l="1"/>
  <c r="G103" i="1"/>
  <c r="G111" i="1" s="1"/>
  <c r="G118" i="1" s="1"/>
  <c r="G102" i="1"/>
  <c r="G116" i="1" s="1"/>
  <c r="H103" i="1"/>
  <c r="H111" i="1" s="1"/>
  <c r="G125" i="1" l="1"/>
  <c r="H110" i="1"/>
  <c r="H115" i="1"/>
  <c r="H114" i="1"/>
  <c r="G110" i="1"/>
  <c r="G128" i="1" s="1"/>
  <c r="G114" i="1"/>
  <c r="G115" i="1"/>
  <c r="H118" i="1"/>
  <c r="G137" i="1"/>
  <c r="G138" i="1" s="1"/>
  <c r="G127" i="1" l="1"/>
  <c r="G126" i="1"/>
  <c r="G139" i="1"/>
  <c r="G122" i="1"/>
  <c r="H122" i="1"/>
  <c r="H137" i="1"/>
  <c r="H138" i="1" s="1"/>
  <c r="H139" i="1" s="1"/>
  <c r="H127" i="1" s="1"/>
  <c r="H126" i="1" l="1"/>
  <c r="G123" i="1"/>
  <c r="G124" i="1" s="1"/>
  <c r="H123" i="1"/>
  <c r="G130" i="1" l="1"/>
  <c r="G131" i="1" s="1"/>
  <c r="G133" i="1" s="1"/>
  <c r="H124" i="1"/>
  <c r="H130" i="1" l="1"/>
  <c r="H131" i="1" s="1"/>
  <c r="H133" i="1" s="1"/>
  <c r="D19" i="1" l="1"/>
  <c r="D18" i="1"/>
  <c r="C10" i="1"/>
  <c r="D10" i="1"/>
  <c r="E19" i="1"/>
  <c r="E18" i="1"/>
  <c r="D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Kutus</author>
    <author>shweta tiwari</author>
    <author>Shreyansh Kumar Jain</author>
    <author>Shweta Jain</author>
  </authors>
  <commentList>
    <comment ref="D5" authorId="0" shapeId="0" xr:uid="{00000000-0006-0000-0300-000001000000}">
      <text>
        <r>
          <rPr>
            <b/>
            <sz val="9"/>
            <color indexed="81"/>
            <rFont val="Tahoma"/>
            <family val="2"/>
          </rPr>
          <t>S S Jain:</t>
        </r>
        <r>
          <rPr>
            <sz val="9"/>
            <color indexed="81"/>
            <rFont val="Tahoma"/>
            <family val="2"/>
          </rPr>
          <t xml:space="preserve">
Put only in </t>
        </r>
        <r>
          <rPr>
            <b/>
            <sz val="9"/>
            <color indexed="81"/>
            <rFont val="Arial Black"/>
            <family val="2"/>
          </rPr>
          <t>DD-MM-YYYY</t>
        </r>
        <r>
          <rPr>
            <sz val="9"/>
            <color indexed="81"/>
            <rFont val="Tahoma"/>
            <family val="2"/>
          </rPr>
          <t xml:space="preserve"> format</t>
        </r>
      </text>
    </comment>
    <comment ref="F26" authorId="0" shapeId="0" xr:uid="{00000000-0006-0000-0300-000002000000}">
      <text>
        <r>
          <rPr>
            <b/>
            <sz val="10"/>
            <color indexed="81"/>
            <rFont val="Lucida Sans"/>
            <family val="2"/>
          </rPr>
          <t>S S JAIN:</t>
        </r>
        <r>
          <rPr>
            <sz val="10"/>
            <color indexed="81"/>
            <rFont val="Lucida Sans"/>
            <family val="2"/>
          </rPr>
          <t xml:space="preserve">
</t>
        </r>
        <r>
          <rPr>
            <b/>
            <sz val="10"/>
            <color indexed="81"/>
            <rFont val="Lucida Sans"/>
            <family val="2"/>
          </rPr>
          <t>For Metro 50% of Basic Salary. For Non-Metro 40%</t>
        </r>
      </text>
    </comment>
    <comment ref="F27" authorId="0" shapeId="0" xr:uid="{00000000-0006-0000-0300-000003000000}">
      <text>
        <r>
          <rPr>
            <b/>
            <sz val="9"/>
            <color indexed="81"/>
            <rFont val="Lucida Sans"/>
            <family val="2"/>
          </rPr>
          <t>S S JAIN:</t>
        </r>
        <r>
          <rPr>
            <sz val="9"/>
            <color indexed="81"/>
            <rFont val="Lucida Sans"/>
            <family val="2"/>
          </rPr>
          <t xml:space="preserve">
</t>
        </r>
        <r>
          <rPr>
            <b/>
            <sz val="9"/>
            <color indexed="81"/>
            <rFont val="Lucida Sans"/>
            <family val="2"/>
          </rPr>
          <t>Rent paid over 10% of Basic Salary i.e.
Rent paid-10%(Basic+DA)</t>
        </r>
      </text>
    </comment>
    <comment ref="E29" authorId="0" shapeId="0" xr:uid="{00000000-0006-0000-0300-000004000000}">
      <text>
        <r>
          <rPr>
            <b/>
            <sz val="9"/>
            <color indexed="81"/>
            <rFont val="Tahoma"/>
            <family val="2"/>
          </rPr>
          <t>S S Jain:</t>
        </r>
        <r>
          <rPr>
            <sz val="9"/>
            <color indexed="81"/>
            <rFont val="Tahoma"/>
            <family val="2"/>
          </rPr>
          <t xml:space="preserve">
Maximum Deduction Rs.25,00,000 U/S 10(10AA)</t>
        </r>
      </text>
    </comment>
    <comment ref="F30" authorId="1" shapeId="0" xr:uid="{00000000-0006-0000-0300-000005000000}">
      <text>
        <r>
          <rPr>
            <b/>
            <sz val="9"/>
            <color indexed="81"/>
            <rFont val="Tahoma"/>
            <family val="2"/>
          </rPr>
          <t>S S JAIN:
Maximum benefit is Rs. 26400 per year.</t>
        </r>
      </text>
    </comment>
    <comment ref="F31" authorId="1" shapeId="0" xr:uid="{00000000-0006-0000-0300-000006000000}">
      <text>
        <r>
          <rPr>
            <b/>
            <sz val="9"/>
            <color indexed="81"/>
            <rFont val="Tahoma"/>
            <family val="2"/>
          </rPr>
          <t xml:space="preserve">S S JAIN:
Per </t>
        </r>
        <r>
          <rPr>
            <sz val="9"/>
            <color indexed="81"/>
            <rFont val="Tahoma"/>
            <family val="2"/>
          </rPr>
          <t>Children Allowance max for 2 children in total is Rs.1200 per year.</t>
        </r>
      </text>
    </comment>
    <comment ref="E56" authorId="0" shapeId="0" xr:uid="{00000000-0006-0000-0300-000007000000}">
      <text>
        <r>
          <rPr>
            <b/>
            <sz val="9"/>
            <color indexed="81"/>
            <rFont val="Tahoma"/>
            <family val="2"/>
          </rPr>
          <t>S S JAIN:</t>
        </r>
        <r>
          <rPr>
            <sz val="9"/>
            <color indexed="81"/>
            <rFont val="Tahoma"/>
            <family val="2"/>
          </rPr>
          <t xml:space="preserve">
Maximum Deduction U/S 24 Rs.2,00,000/-</t>
        </r>
      </text>
    </comment>
    <comment ref="H59" authorId="1" shapeId="0" xr:uid="{00000000-0006-0000-0300-000008000000}">
      <text>
        <r>
          <rPr>
            <b/>
            <sz val="9"/>
            <color indexed="81"/>
            <rFont val="Tahoma"/>
            <family val="2"/>
          </rPr>
          <t>S S jain: Loss on House property not allowed to be set off In new regime. However deduction of interest to the extent of rent received can be taken</t>
        </r>
        <r>
          <rPr>
            <sz val="9"/>
            <color indexed="81"/>
            <rFont val="Tahoma"/>
            <family val="2"/>
          </rPr>
          <t xml:space="preserve">
</t>
        </r>
      </text>
    </comment>
    <comment ref="F87" authorId="2" shapeId="0" xr:uid="{00000000-0006-0000-0300-00000C000000}">
      <text>
        <r>
          <rPr>
            <b/>
            <sz val="9"/>
            <color indexed="81"/>
            <rFont val="Tahoma"/>
            <family val="2"/>
          </rPr>
          <t xml:space="preserve">S S JAIN:
Max exemption 14% of Basic+DA for Govt. Employees. Others @10%.
The calculator takes 10% for Non Govt employees
</t>
        </r>
      </text>
    </comment>
    <comment ref="E94" authorId="0" shapeId="0" xr:uid="{00000000-0006-0000-0300-000009000000}">
      <text>
        <r>
          <rPr>
            <b/>
            <sz val="9"/>
            <color indexed="81"/>
            <rFont val="Tahoma"/>
            <family val="2"/>
          </rPr>
          <t>S S JAIN:</t>
        </r>
        <r>
          <rPr>
            <sz val="9"/>
            <color indexed="81"/>
            <rFont val="Tahoma"/>
            <family val="2"/>
          </rPr>
          <t xml:space="preserve">
For Severe disability more than 80% Rs. 125000/- and for others Rs.75000/-</t>
        </r>
      </text>
    </comment>
    <comment ref="E95" authorId="0" shapeId="0" xr:uid="{00000000-0006-0000-0300-00000A000000}">
      <text>
        <r>
          <rPr>
            <b/>
            <sz val="9"/>
            <color indexed="81"/>
            <rFont val="Tahoma"/>
            <family val="2"/>
          </rPr>
          <t>S S JAIN:</t>
        </r>
        <r>
          <rPr>
            <sz val="9"/>
            <color indexed="81"/>
            <rFont val="Tahoma"/>
            <family val="2"/>
          </rPr>
          <t xml:space="preserve">
Relative include Spouse, cildren, parents, brother, sister</t>
        </r>
      </text>
    </comment>
    <comment ref="E97" authorId="2" shapeId="0" xr:uid="{00000000-0006-0000-0300-00000B000000}">
      <text>
        <r>
          <rPr>
            <b/>
            <sz val="9"/>
            <color indexed="81"/>
            <rFont val="Tahoma"/>
            <family val="2"/>
          </rPr>
          <t>S S JAIN:
lower of following
60000
25% of Adj GTI
Rent paid-10% Adg GTI</t>
        </r>
      </text>
    </comment>
    <comment ref="G132" authorId="3" shapeId="0" xr:uid="{774585B2-C381-4C3F-9710-4B7A7CD2F813}">
      <text>
        <r>
          <rPr>
            <b/>
            <sz val="9"/>
            <color indexed="81"/>
            <rFont val="Tahoma"/>
            <charset val="1"/>
          </rPr>
          <t>Shweta Jain:</t>
        </r>
        <r>
          <rPr>
            <sz val="9"/>
            <color indexed="81"/>
            <rFont val="Tahoma"/>
            <charset val="1"/>
          </rPr>
          <t xml:space="preserve">
enter positive amount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Kutus</author>
    <author>shweta tiwari</author>
    <author>Shreyansh Kumar Jain</author>
  </authors>
  <commentList>
    <comment ref="D5" authorId="0" shapeId="0" xr:uid="{00000000-0006-0000-0400-000001000000}">
      <text>
        <r>
          <rPr>
            <b/>
            <sz val="9"/>
            <color indexed="81"/>
            <rFont val="Tahoma"/>
            <family val="2"/>
          </rPr>
          <t>S S Jain:</t>
        </r>
        <r>
          <rPr>
            <sz val="9"/>
            <color indexed="81"/>
            <rFont val="Tahoma"/>
            <family val="2"/>
          </rPr>
          <t xml:space="preserve">
Put only in </t>
        </r>
        <r>
          <rPr>
            <b/>
            <sz val="9"/>
            <color indexed="81"/>
            <rFont val="Arial Black"/>
            <family val="2"/>
          </rPr>
          <t>DD-MM-YYYY</t>
        </r>
        <r>
          <rPr>
            <sz val="9"/>
            <color indexed="81"/>
            <rFont val="Tahoma"/>
            <family val="2"/>
          </rPr>
          <t xml:space="preserve"> format</t>
        </r>
      </text>
    </comment>
    <comment ref="F19" authorId="0" shapeId="0" xr:uid="{00000000-0006-0000-0400-000002000000}">
      <text>
        <r>
          <rPr>
            <b/>
            <sz val="10"/>
            <color indexed="81"/>
            <rFont val="Lucida Sans"/>
            <family val="2"/>
          </rPr>
          <t>S S JAIN:</t>
        </r>
        <r>
          <rPr>
            <sz val="10"/>
            <color indexed="81"/>
            <rFont val="Lucida Sans"/>
            <family val="2"/>
          </rPr>
          <t xml:space="preserve">
</t>
        </r>
        <r>
          <rPr>
            <b/>
            <sz val="10"/>
            <color indexed="81"/>
            <rFont val="Lucida Sans"/>
            <family val="2"/>
          </rPr>
          <t>For Metro 50% of Basic Salary. For Non-Metro 40%</t>
        </r>
      </text>
    </comment>
    <comment ref="F20" authorId="0" shapeId="0" xr:uid="{00000000-0006-0000-0400-000003000000}">
      <text>
        <r>
          <rPr>
            <b/>
            <sz val="9"/>
            <color indexed="81"/>
            <rFont val="Lucida Sans"/>
            <family val="2"/>
          </rPr>
          <t>S S JAIN:</t>
        </r>
        <r>
          <rPr>
            <sz val="9"/>
            <color indexed="81"/>
            <rFont val="Lucida Sans"/>
            <family val="2"/>
          </rPr>
          <t xml:space="preserve">
</t>
        </r>
        <r>
          <rPr>
            <b/>
            <sz val="9"/>
            <color indexed="81"/>
            <rFont val="Lucida Sans"/>
            <family val="2"/>
          </rPr>
          <t>Rent paid over 10% of Basic Salary i.e.
Rent paid-10%(Basic+DA)</t>
        </r>
      </text>
    </comment>
    <comment ref="E22" authorId="0" shapeId="0" xr:uid="{00000000-0006-0000-0400-000004000000}">
      <text>
        <r>
          <rPr>
            <b/>
            <sz val="9"/>
            <color indexed="81"/>
            <rFont val="Tahoma"/>
            <family val="2"/>
          </rPr>
          <t>S S Jain:</t>
        </r>
        <r>
          <rPr>
            <sz val="9"/>
            <color indexed="81"/>
            <rFont val="Tahoma"/>
            <family val="2"/>
          </rPr>
          <t xml:space="preserve">
Maximum Deduction Rs.25,00,000 U/S 10(10AA)</t>
        </r>
      </text>
    </comment>
    <comment ref="F23" authorId="1" shapeId="0" xr:uid="{00000000-0006-0000-0400-000005000000}">
      <text>
        <r>
          <rPr>
            <b/>
            <sz val="9"/>
            <color indexed="81"/>
            <rFont val="Tahoma"/>
            <family val="2"/>
          </rPr>
          <t>S S JAIN:
Maximum benefit is Rs. 26400 per year.</t>
        </r>
      </text>
    </comment>
    <comment ref="F24" authorId="1" shapeId="0" xr:uid="{00000000-0006-0000-0400-000006000000}">
      <text>
        <r>
          <rPr>
            <b/>
            <sz val="9"/>
            <color indexed="81"/>
            <rFont val="Tahoma"/>
            <family val="2"/>
          </rPr>
          <t xml:space="preserve">S S JAIN:
Per </t>
        </r>
        <r>
          <rPr>
            <sz val="9"/>
            <color indexed="81"/>
            <rFont val="Tahoma"/>
            <family val="2"/>
          </rPr>
          <t>Children Allowance max for 2 children in total is Rs.1200 per year.</t>
        </r>
      </text>
    </comment>
    <comment ref="E48" authorId="0" shapeId="0" xr:uid="{00000000-0006-0000-0400-000007000000}">
      <text>
        <r>
          <rPr>
            <b/>
            <sz val="9"/>
            <color indexed="81"/>
            <rFont val="Tahoma"/>
            <family val="2"/>
          </rPr>
          <t>S S JAIN:</t>
        </r>
        <r>
          <rPr>
            <sz val="9"/>
            <color indexed="81"/>
            <rFont val="Tahoma"/>
            <family val="2"/>
          </rPr>
          <t xml:space="preserve">
Maximum Deduction U/S 24 Rs.2,00,000/-</t>
        </r>
      </text>
    </comment>
    <comment ref="H51" authorId="1" shapeId="0" xr:uid="{00000000-0006-0000-0400-000008000000}">
      <text>
        <r>
          <rPr>
            <b/>
            <sz val="9"/>
            <color indexed="81"/>
            <rFont val="Tahoma"/>
            <family val="2"/>
          </rPr>
          <t>S S jain: Loss on House property not allowed to be set off In new regime. However deduction of interest to the extent of rent received can be taken</t>
        </r>
        <r>
          <rPr>
            <sz val="9"/>
            <color indexed="81"/>
            <rFont val="Tahoma"/>
            <family val="2"/>
          </rPr>
          <t xml:space="preserve">
</t>
        </r>
      </text>
    </comment>
    <comment ref="E83" authorId="0" shapeId="0" xr:uid="{00000000-0006-0000-0400-000009000000}">
      <text>
        <r>
          <rPr>
            <b/>
            <sz val="9"/>
            <color indexed="81"/>
            <rFont val="Tahoma"/>
            <family val="2"/>
          </rPr>
          <t>S S JAIN:</t>
        </r>
        <r>
          <rPr>
            <sz val="9"/>
            <color indexed="81"/>
            <rFont val="Tahoma"/>
            <family val="2"/>
          </rPr>
          <t xml:space="preserve">
For Severe disability more than 80% Rs. 125000/- and for others Rs.75000/-</t>
        </r>
      </text>
    </comment>
    <comment ref="E84" authorId="0" shapeId="0" xr:uid="{00000000-0006-0000-0400-00000A000000}">
      <text>
        <r>
          <rPr>
            <b/>
            <sz val="9"/>
            <color indexed="81"/>
            <rFont val="Tahoma"/>
            <family val="2"/>
          </rPr>
          <t>S S JAIN:</t>
        </r>
        <r>
          <rPr>
            <sz val="9"/>
            <color indexed="81"/>
            <rFont val="Tahoma"/>
            <family val="2"/>
          </rPr>
          <t xml:space="preserve">
Relative include Spouse, cildren, parents, brother, sister</t>
        </r>
      </text>
    </comment>
    <comment ref="E86" authorId="2" shapeId="0" xr:uid="{00000000-0006-0000-0400-00000B000000}">
      <text>
        <r>
          <rPr>
            <b/>
            <sz val="9"/>
            <color indexed="81"/>
            <rFont val="Tahoma"/>
            <family val="2"/>
          </rPr>
          <t>S S JAIN:
lower of following
60000
25% of Adj GTI
Rent paid-10% Adg GTI</t>
        </r>
      </text>
    </comment>
    <comment ref="F91" authorId="2" shapeId="0" xr:uid="{00000000-0006-0000-0400-00000C000000}">
      <text>
        <r>
          <rPr>
            <b/>
            <sz val="9"/>
            <color indexed="81"/>
            <rFont val="Tahoma"/>
            <family val="2"/>
          </rPr>
          <t>S S JAIN:
Max exemption 14% of Basic+DA for Govt. Employees. Others @10%</t>
        </r>
      </text>
    </comment>
  </commentList>
</comments>
</file>

<file path=xl/sharedStrings.xml><?xml version="1.0" encoding="utf-8"?>
<sst xmlns="http://schemas.openxmlformats.org/spreadsheetml/2006/main" count="543" uniqueCount="211">
  <si>
    <t>D I S C L A I M E R</t>
  </si>
  <si>
    <r>
      <rPr>
        <sz val="10"/>
        <color rgb="FF000000"/>
        <rFont val="Arial"/>
        <family val="2"/>
      </rPr>
      <t>This tax calculator can be used to calculate the approximate tax payable by individuals. This should NOT be used to compute the actual taxes to be paid to the Government. The author is not responsible for any inaccuracies in the tax computed by using this calculator. If you find any inconsistency, please let me know and I will try to fix it at the earliest</t>
    </r>
    <r>
      <rPr>
        <b/>
        <sz val="10"/>
        <color rgb="FF000000"/>
        <rFont val="Arial"/>
        <family val="2"/>
      </rPr>
      <t xml:space="preserve">. </t>
    </r>
    <r>
      <rPr>
        <sz val="10"/>
        <color rgb="FF000000"/>
        <rFont val="Arial"/>
        <family val="2"/>
      </rPr>
      <t xml:space="preserve">Reach me </t>
    </r>
    <r>
      <rPr>
        <b/>
        <sz val="8"/>
        <color rgb="FF002060"/>
        <rFont val="Arial"/>
        <family val="2"/>
      </rPr>
      <t>@ Shweta@ssjain.com</t>
    </r>
  </si>
  <si>
    <t>P L E A S E   R E A D   T H E S E   I N S T R U C T I O N S   C A R E F U L L Y</t>
  </si>
  <si>
    <t>Enter the salary and tax declaration details in the yellow-colored cells.</t>
  </si>
  <si>
    <r>
      <rPr>
        <sz val="8"/>
        <color rgb="FF000000"/>
        <rFont val="Arial"/>
        <family val="2"/>
      </rPr>
      <t>Enter your date of birth in cell</t>
    </r>
    <r>
      <rPr>
        <b/>
        <sz val="8"/>
        <color rgb="FF000000"/>
        <rFont val="Arial"/>
        <family val="2"/>
      </rPr>
      <t xml:space="preserve"> </t>
    </r>
    <r>
      <rPr>
        <b/>
        <sz val="8"/>
        <color rgb="FFFF0000"/>
        <rFont val="Arial"/>
        <family val="2"/>
      </rPr>
      <t>D5</t>
    </r>
  </si>
  <si>
    <t>Enter other investements, payments under the respective heads to avail the chapter VIA benefits.</t>
  </si>
  <si>
    <t>Enter capital gains after setting off losses</t>
  </si>
  <si>
    <t xml:space="preserve">Inter head setoff is only allowed in case of Short term capital loss i.e. short term capital loss can be set off against longt term capital gain (and not vice versa). </t>
  </si>
  <si>
    <t xml:space="preserve">Further Loss from capital gains can not be setoff against any other income. However, if there is unexhausted basic exemption limit, stcg 111A and LTCG 112A  can be setoff against unexhausted basic exemption limit for resisent indivudal or HUF. </t>
  </si>
  <si>
    <t>Put zeros wherever no data is there else the calculation may go wrong</t>
  </si>
  <si>
    <t>Loss from house property if any, will be set-off from income from other sources in the above calculation assuming the assessee falls highest tax bracket therefore normal income will be taxed at 30%. Alternatively it can be set off against any other head.</t>
  </si>
  <si>
    <t>T A X   R U L E S   &amp;   O T H E R   U S E F U L   I N F O R M A T I O N</t>
  </si>
  <si>
    <t> </t>
  </si>
  <si>
    <r>
      <t xml:space="preserve">HRA exemption is  minimum of (40% </t>
    </r>
    <r>
      <rPr>
        <sz val="8"/>
        <color rgb="FF969696"/>
        <rFont val="Arial"/>
        <family val="2"/>
      </rPr>
      <t>(</t>
    </r>
    <r>
      <rPr>
        <sz val="8"/>
        <color rgb="FF0000FF"/>
        <rFont val="Arial"/>
        <family val="2"/>
      </rPr>
      <t>50% for metros</t>
    </r>
    <r>
      <rPr>
        <sz val="8"/>
        <color rgb="FF969696"/>
        <rFont val="Arial"/>
        <family val="2"/>
      </rPr>
      <t>)</t>
    </r>
    <r>
      <rPr>
        <sz val="8"/>
        <rFont val="Arial"/>
        <family val="2"/>
      </rPr>
      <t xml:space="preserve"> of Basic+DA, </t>
    </r>
    <r>
      <rPr>
        <sz val="8"/>
        <color rgb="FF0000FF"/>
        <rFont val="Arial"/>
        <family val="2"/>
      </rPr>
      <t>or</t>
    </r>
    <r>
      <rPr>
        <sz val="8"/>
        <rFont val="Arial"/>
        <family val="2"/>
      </rPr>
      <t xml:space="preserve"> HRA received, </t>
    </r>
    <r>
      <rPr>
        <sz val="8"/>
        <color rgb="FF0000FF"/>
        <rFont val="Arial"/>
        <family val="2"/>
      </rPr>
      <t>or</t>
    </r>
    <r>
      <rPr>
        <sz val="8"/>
        <rFont val="Arial"/>
        <family val="2"/>
      </rPr>
      <t xml:space="preserve"> rent paid - 10% of Basic+DA)- Exemption calcualted based on monthly pay.</t>
    </r>
  </si>
  <si>
    <t>LTA is exempt to the tune of economy class airfare for the family to any destination in India, by the shortest route.
LTA can be claimed twice in a block of 4 calendar years. The current block is from 2022 to 2025.</t>
  </si>
  <si>
    <t>Loss on house property- ( Interest on Housing Loan). If the house is self-occupied and if the loan was taken before Apr 1, 1999 deduction is limited to Rs.30,000/- per year. If the loan is taken after 01-Apr-1999, maximum allowed is Rs.2.0 lakh.</t>
  </si>
  <si>
    <t>Deduction form total income will be available for Investments made in LIC, Pension Plans, FD with Scheduled Bank with term of 5 yrs, PPF, PF, VPF, Tax Saving Mutual Funds, NSC, Repayment of Housing Loan Principal, Children Education,Sukanya Samriddhi Yojana, etc upto Rs.1.5 lakh. Sec 80C</t>
  </si>
  <si>
    <t>Medical Insurance premium is allowed as deduction upto Rs.25,000/- per year. An additional deduction upto Rs.50,000/- ( for Sr.citizen).</t>
  </si>
  <si>
    <t>Repayment of interest on Education loan (India or Outside India - taken for higher education from a university  for self, Spouse and Children) is deductible U/s 80E.</t>
  </si>
  <si>
    <t>Interest on saving bank account is eligible for Deduction U/s 80TTA upto Rs.10,000/- interst received above 10,000 is fully taxable.</t>
  </si>
  <si>
    <t>80 DDB - Expenses on medical treatment or deposit of any amount for such maintenance of such handicapped dependent relative. (Lower of Actual Expenses on treatment or Maximum 40,000/1 Lakh</t>
  </si>
  <si>
    <t>80EE. Deduction in respect of interest on loan taken for residential house property.
The deduction shall not exceed Rs. 50,000 and shall be allowed in computing the total income of the individual for the assessment year beginning on the 1st day of April, 2017 and subsequent assessment years.
(i) The loan has been sanctioned by the financial institution during the period beginning on the 1st day of April, 2016 and ending on the 31st day of March, 2017;
(ii)  loan sanctioned less than equal to Rs. 35 Lakhs;
(iii) Value of residential house property less than equal to Rs. 50 Lakhs ;
(iv) the assessee does not own any residential house property on the date of sanction of loan.
(4)  First decution should be claimed u/s 24 (b) of hiuse property (Upto Rs. 2 lakhs) and remaining Interest deduction u/s 80EE.</t>
  </si>
  <si>
    <t xml:space="preserve">80GG : The lowest of these will be considered as the deduction under this section- 
1.) Rs.5,000 per month
2.) 25% of the total Income (excluding long-term capital gains, short-term capital gains under section 111A and Income under Section 115A or 115D and deductions under 80C to 80U. Also, income is before making a deduction under section 80GG).
3.) Actual rent less 10% of Income
</t>
  </si>
  <si>
    <r>
      <t xml:space="preserve">
Tax rates- </t>
    </r>
    <r>
      <rPr>
        <b/>
        <sz val="8"/>
        <color rgb="FF000000"/>
        <rFont val="Arial"/>
        <family val="2"/>
      </rPr>
      <t>Old Regime</t>
    </r>
    <r>
      <rPr>
        <sz val="8"/>
        <color rgb="FF000000"/>
        <rFont val="Arial"/>
        <family val="2"/>
      </rPr>
      <t xml:space="preserve"> Taxable Income up to 2.5 lakh is exempted and   From 2.5 lakh to 5.0 lakh 5% , 5.0 lakh to 10.0 lakh 20% and 10.0 lakh and above 30%. Senior citizen (60 Years and above) the base exemmption limit is Rs.3.0 lakh and for Super Senior Citizens (80 Years and above) the base limit is Rs.5.0lakh
</t>
    </r>
    <r>
      <rPr>
        <b/>
        <sz val="8"/>
        <color rgb="FF000000"/>
        <rFont val="Arial"/>
        <family val="2"/>
      </rPr>
      <t xml:space="preserve">
New Regime- </t>
    </r>
    <r>
      <rPr>
        <sz val="8"/>
        <color rgb="FF000000"/>
        <rFont val="Arial"/>
        <family val="2"/>
      </rPr>
      <t>Taxable Income up to 3 lakh is exempted. From 3 lakh to 6  lakh 5% , 6 lakh to 9 Lakh 10%, 9 Lakh to 12 lakh 15%, 12 lakh to 15 Lakh 20%, and 15 lakh and above 30%.
From FY 23-24 onwards, the new tax regime shall be deafult for the taxpayers. An individual who is currently availing more deductions &amp; exemption under the Income Tax Act has to otp old regime in order to avail them and continue to pay tax in the old regime.</t>
    </r>
  </si>
  <si>
    <r>
      <rPr>
        <b/>
        <sz val="8"/>
        <color rgb="FF000000"/>
        <rFont val="Arial"/>
        <family val="2"/>
      </rPr>
      <t xml:space="preserve">Under OLD Tax Regime : </t>
    </r>
    <r>
      <rPr>
        <sz val="8"/>
        <color rgb="FF000000"/>
        <rFont val="Arial"/>
        <family val="2"/>
      </rPr>
      <t xml:space="preserve"> Surcharge of 10 percent on persons whose taxable income exceed  50 Lakh and 15% whose income exceeds 1 crore, 25% for 2 crore and 37% for whose income exceeds 5 crore.</t>
    </r>
  </si>
  <si>
    <r>
      <rPr>
        <b/>
        <sz val="8"/>
        <color rgb="FF000000"/>
        <rFont val="Arial"/>
        <family val="2"/>
      </rPr>
      <t xml:space="preserve">Under NEW Tax Regime : </t>
    </r>
    <r>
      <rPr>
        <sz val="8"/>
        <color rgb="FF000000"/>
        <rFont val="Arial"/>
        <family val="2"/>
      </rPr>
      <t xml:space="preserve"> Surcharge of 10 percent on persons whose taxable income exceed  50 Lakh and 15% whose income exceeds 1 crore and 25% where income exceeds 2 crore and above.</t>
    </r>
  </si>
  <si>
    <t>Education Cess @ 4%  will be charged on Total Tax Payable + Surcharge</t>
  </si>
  <si>
    <r>
      <rPr>
        <b/>
        <sz val="8"/>
        <color rgb="FF000000"/>
        <rFont val="Arial"/>
        <family val="2"/>
      </rPr>
      <t>Under OLD Tax Regime:</t>
    </r>
    <r>
      <rPr>
        <sz val="8"/>
        <color rgb="FF000000"/>
        <rFont val="Arial"/>
        <family val="2"/>
      </rPr>
      <t xml:space="preserve">  Rebate from income tax has been allowed maximum up to Rs 12500 u/s 87A to assessee having income up to Rs 5 Lakhs/- .The benefit of this change will be available only if your taxable income is up to Rs 5 Lakhs </t>
    </r>
  </si>
  <si>
    <r>
      <rPr>
        <b/>
        <sz val="8"/>
        <color rgb="FF000000"/>
        <rFont val="Arial"/>
        <family val="2"/>
      </rPr>
      <t>Under NEW Tax Regime:</t>
    </r>
    <r>
      <rPr>
        <sz val="8"/>
        <color rgb="FF000000"/>
        <rFont val="Arial"/>
        <family val="2"/>
      </rPr>
      <t xml:space="preserve">  Rebate from income tax has been allowed maximum up to Rs 25000 u/s 87A to assessee having income up to Rs 7 Lakhs/- .The benefit of this change will be available only if your taxable income is up to Rs 7 Lakhs</t>
    </r>
  </si>
  <si>
    <t xml:space="preserve">Please check the eligibility and deductible amount of the Donation. Employers cannot allow tax benefit on donations made to private/non government trust which needs to be claimed by the employees from income tax department while filing the personal return. Donations made to national relief fund are eligible for 100% from taxable income, in any other cases the deduction restricted to 50% of amount paid. Maximum deduction  restricted to 10% of the total income. </t>
  </si>
  <si>
    <t>Agricultural income is exempt from tax, however considered for overall tax computation, and the tax computated on the basic limit and agricultural income is allowed as rebate.</t>
  </si>
  <si>
    <t>Capital gains to be bifurcated as per the respective rates, basic limit of Rs.1 Lakh allowed on the long term capital gain from securities.</t>
  </si>
  <si>
    <t>CLA Perquisite- If the accommodation provided is taken on lease/ rent by the employer , 15% of your total income (Total income reduced by Sec 10 exemptions and other perquisite values) or rent paid by the company should be considered as perquisite. If the accommodation provided is owned by the employer - 10% of 'salary' in cities having population exceeding twenty five lakh as per the 2001 census. For other places, the perquisite value is 7.5% of salary.</t>
  </si>
  <si>
    <t>If the company is provided any hard-furnishing facilities 10% of the actual cost should be considered as Hard Furnishing Perquisite.</t>
  </si>
  <si>
    <t>If the employer contribution to NPS and PF is more than 7.5 Lakh for the FY, amount above 7.5 lakh will be considered as Perqusite.Interest accured on such income also to be considered for tax computation</t>
  </si>
  <si>
    <t>If you are availing company provided/Leased car and expenses paid by the employer, and if the car cc is less than 1.6,  Rs.1800/-pm and if the car cc is greater than 1.6  Rs.2400/-pm to be considered as taxable perquisite. Driver salary need to be taken Rs.900/- pm</t>
  </si>
  <si>
    <t>If the car is owned by you, and if you are availing any reimbursment of the running and maintenance of the car, the total amount reimbursed reduced by Rs.1800/- pm (if car is less than 1.6cc) or Rs.2400/-pm (if the car is greater than 1.6cc) need to be taken as perquisite.
If driver salary also reimbursed, total driver salary reduced by Rs.900/- pm to be added to the car perquisite.</t>
  </si>
  <si>
    <t>Deductions</t>
  </si>
  <si>
    <t>Zero</t>
  </si>
  <si>
    <t>Gross Income</t>
  </si>
  <si>
    <t>SAME</t>
  </si>
  <si>
    <t>New</t>
  </si>
  <si>
    <t>OLD</t>
  </si>
  <si>
    <t>80U</t>
  </si>
  <si>
    <t>Metro</t>
  </si>
  <si>
    <t>Disablility i.e. &gt;40% but &lt;80%</t>
  </si>
  <si>
    <t>Non-Metro</t>
  </si>
  <si>
    <t>Severe Disability i.e. &gt; 80%</t>
  </si>
  <si>
    <t>Not Applicable</t>
  </si>
  <si>
    <t>80DD</t>
  </si>
  <si>
    <t>80D</t>
  </si>
  <si>
    <t>Senior Citizen</t>
  </si>
  <si>
    <t>Otherwise</t>
  </si>
  <si>
    <t>80DDB</t>
  </si>
  <si>
    <t>Dependent Sr Citizen</t>
  </si>
  <si>
    <t>Normal Case</t>
  </si>
  <si>
    <t>INCOME TAX CALCULATOR FOR FY 2023-24 (AY 2024-25) - OLD REGIME VS NEW REGIME</t>
  </si>
  <si>
    <t>Name</t>
  </si>
  <si>
    <t>abcd</t>
  </si>
  <si>
    <r>
      <t xml:space="preserve">Under </t>
    </r>
    <r>
      <rPr>
        <b/>
        <sz val="11"/>
        <color theme="0"/>
        <rFont val="Segoe UI"/>
        <family val="2"/>
      </rPr>
      <t>OLD Regime</t>
    </r>
  </si>
  <si>
    <r>
      <t xml:space="preserve">Under </t>
    </r>
    <r>
      <rPr>
        <b/>
        <sz val="11"/>
        <color theme="0"/>
        <rFont val="Segoe UI"/>
        <family val="2"/>
      </rPr>
      <t>NEW Regime</t>
    </r>
  </si>
  <si>
    <t>Date of Birth</t>
  </si>
  <si>
    <t>Age (Years)</t>
  </si>
  <si>
    <t>REGULAR TAX PAYER</t>
  </si>
  <si>
    <t>Income Tax payable/(refundable)</t>
  </si>
  <si>
    <t>Old Regime</t>
  </si>
  <si>
    <t>New Regime</t>
  </si>
  <si>
    <t>Fill only yellow cells</t>
  </si>
  <si>
    <t>Benefit Under</t>
  </si>
  <si>
    <t>Summary of Return</t>
  </si>
  <si>
    <t>Net Income</t>
  </si>
  <si>
    <t>Tax Liability</t>
  </si>
  <si>
    <t>Please read the notes below before proceeding with the calculation</t>
  </si>
  <si>
    <t>Tax to Gross Income Ratio</t>
  </si>
  <si>
    <t>Particulars</t>
  </si>
  <si>
    <t>TAX CALCULATION</t>
  </si>
  <si>
    <t>OLD REGIME</t>
  </si>
  <si>
    <t>NEW REGIME</t>
  </si>
  <si>
    <t>Gross Income from Salaries and Allowances</t>
  </si>
  <si>
    <t>Less: Exemptions</t>
  </si>
  <si>
    <t xml:space="preserve"> (i) H.R.A Exemption     (Least of the following three)10(13A)</t>
  </si>
  <si>
    <r>
      <t xml:space="preserve">  Resident of </t>
    </r>
    <r>
      <rPr>
        <b/>
        <i/>
        <sz val="12"/>
        <rFont val="Segoe UI"/>
        <family val="2"/>
      </rPr>
      <t>(Select from Dropdown)</t>
    </r>
  </si>
  <si>
    <t xml:space="preserve">    a. Basic Salary (Basic+DA)</t>
  </si>
  <si>
    <t xml:space="preserve">    b. Rent Paid</t>
  </si>
  <si>
    <t xml:space="preserve">    c. H.R.A received</t>
  </si>
  <si>
    <t>(ii) Retirement Leave Encashment U/S 10(10AA)</t>
  </si>
  <si>
    <t>(iii) Sodexo Meal Coupon</t>
  </si>
  <si>
    <t>(iv) Children Education Allowance (Rs. 100 pm per child {Max 2})</t>
  </si>
  <si>
    <t>(v) Leave Travel Allowance-to the extent allowed10(5)</t>
  </si>
  <si>
    <t>(vi) Gratuity Payment 10(10)-to the extent allowed</t>
  </si>
  <si>
    <t>(vii) Uniform Allowance</t>
  </si>
  <si>
    <t>(v) Other Tax free Allowances and reimbursements</t>
  </si>
  <si>
    <t>Income from salary after   exemptions</t>
  </si>
  <si>
    <t>Less: deduction under section 16</t>
  </si>
  <si>
    <t xml:space="preserve">(i) Standard Deduction for Salaried &amp; Pensioners (Rs.50,000) </t>
  </si>
  <si>
    <t>(ii) Professional Tax</t>
  </si>
  <si>
    <t>Income From Salaries(After Deduction/exemption  - (A)</t>
  </si>
  <si>
    <t>Add: Income from Other Sources - (B)</t>
  </si>
  <si>
    <t>1. Interest income from the following sources:</t>
  </si>
  <si>
    <t xml:space="preserve">     a. Bank (Savings A/C)</t>
  </si>
  <si>
    <t xml:space="preserve">     b. Bank (F.D/ Recurring)</t>
  </si>
  <si>
    <t xml:space="preserve">     c. N.S.C( Accrued/Received)</t>
  </si>
  <si>
    <t xml:space="preserve">     e. Family Pension</t>
  </si>
  <si>
    <t xml:space="preserve">Less: 1/3 or 15000 </t>
  </si>
  <si>
    <t xml:space="preserve">     f. Dividend</t>
  </si>
  <si>
    <t xml:space="preserve">    g. others</t>
  </si>
  <si>
    <t>Add: Income from House Properties [Let out/Self occupied) (C)</t>
  </si>
  <si>
    <t xml:space="preserve">  a. Interest paid on Housing Loan (U/S 24) - Sel Occupied</t>
  </si>
  <si>
    <t xml:space="preserve">  a. Interest paid on Housing Loan (U/S 24) - Let Out</t>
  </si>
  <si>
    <t xml:space="preserve">  b. Rent received from let out properties after Municipal Taxes and std deduction</t>
  </si>
  <si>
    <t>Add: Income from Capital Gains (D)-refer note 2 below</t>
  </si>
  <si>
    <t xml:space="preserve">Short Term Capital Gains ( tax @ slab rates) </t>
  </si>
  <si>
    <t>Short Term Capital Gains (S.111A-equity shares and equity oriented MF)@ 15%</t>
  </si>
  <si>
    <t>Total Short term Capital Gain</t>
  </si>
  <si>
    <t xml:space="preserve">Long Term Capital Gains( S.112 Charged to tax @ 20%) </t>
  </si>
  <si>
    <t>Long Term Capital Gains (S.112A-equity shares and equity oriented MF) @10% exempt upto Rs. 1 lakh</t>
  </si>
  <si>
    <t>Total Long Term Capital Gain</t>
  </si>
  <si>
    <t>Gross Total Income (G.T.I) - (D = A + B + C + D)</t>
  </si>
  <si>
    <t>Less: Deduction U/S 80C (Max eligible amount Rs.1,50,000/-)</t>
  </si>
  <si>
    <t>a. EPF &amp; GPF Contribution</t>
  </si>
  <si>
    <t>b. Public Provident Fund (PPF)</t>
  </si>
  <si>
    <t>c. N.S.C (Investment + accrued Interest before Maturity Year)</t>
  </si>
  <si>
    <t>d. Tax Saving Fixed Deposit (5 Years and above)</t>
  </si>
  <si>
    <t>e. E.L.S.S (Tax Saving Mutual Fund)</t>
  </si>
  <si>
    <t>f. Life Insurance Premiums paid</t>
  </si>
  <si>
    <t>g. New Pension Scheme (NPS) (U/S 80CCC)</t>
  </si>
  <si>
    <t>h. Pension Plan from Insurance Co./Mutual Funds (u/s 80CCC)</t>
  </si>
  <si>
    <t>i. Principal Repayment on House Building Loan</t>
  </si>
  <si>
    <t>j. Sukanya Samriddhi Yojana</t>
  </si>
  <si>
    <t>k. Stamp Duty &amp; Registration Fees on House Buying</t>
  </si>
  <si>
    <t>l. Tuition fees for children (max 2 children)</t>
  </si>
  <si>
    <t>Less: Deduction under section 80CCD(1)-NPS</t>
  </si>
  <si>
    <t>Less: Additional deduction for NPS U/S 80CCD(1B)-Max Rs.50,000)</t>
  </si>
  <si>
    <t>Less: Employer Contribution to NPS U/S 80CCD(2)</t>
  </si>
  <si>
    <t>Less: Deduction under chapter VI-A from a to k</t>
  </si>
  <si>
    <t>a. 80 D Medical Insurance premium (for Self )</t>
  </si>
  <si>
    <r>
      <t xml:space="preserve">b. 80 D Medical Insurance premium (for Dependent Parents) </t>
    </r>
    <r>
      <rPr>
        <b/>
        <sz val="12"/>
        <rFont val="Segoe UI"/>
        <family val="2"/>
      </rPr>
      <t>Select from dropdown</t>
    </r>
  </si>
  <si>
    <t>c. 80 E Interest Paid on Education Loan</t>
  </si>
  <si>
    <t>d. 80 EE Additional benefit from interest on housing loan for first time home owners</t>
  </si>
  <si>
    <r>
      <t xml:space="preserve">e. 80 DD Medical Treatment for dependent handicapped </t>
    </r>
    <r>
      <rPr>
        <b/>
        <sz val="12"/>
        <rFont val="Segoe UI"/>
        <family val="2"/>
      </rPr>
      <t>(Select from Dropdown)</t>
    </r>
  </si>
  <si>
    <r>
      <t xml:space="preserve">f. 80 DDB Expenditure on Specified Medical Treatment for self/ dependent relative </t>
    </r>
    <r>
      <rPr>
        <b/>
        <sz val="12"/>
        <rFont val="Segoe UI"/>
        <family val="2"/>
      </rPr>
      <t>(Select from Dropdown)</t>
    </r>
  </si>
  <si>
    <t>g. 80 G, 80 GGA, 80 GGC Donation to approved funds-to the extent allowed as deduction</t>
  </si>
  <si>
    <t>h. 80 GG  Rent paid in case of no HRA received-amount allowable as deduction</t>
  </si>
  <si>
    <r>
      <t>i. 80 U For Physically Disabled person (</t>
    </r>
    <r>
      <rPr>
        <b/>
        <i/>
        <sz val="12"/>
        <rFont val="Segoe UI"/>
        <family val="2"/>
      </rPr>
      <t>Select from Dropdown</t>
    </r>
    <r>
      <rPr>
        <sz val="12"/>
        <rFont val="Segoe UI"/>
        <family val="2"/>
      </rPr>
      <t>)</t>
    </r>
  </si>
  <si>
    <t xml:space="preserve">j. 80 TTA (Other than Sr Citizens for SB accounts) </t>
  </si>
  <si>
    <t xml:space="preserve">k. 80 TTB (For resident Sr Citizens on SB &amp; FD) </t>
  </si>
  <si>
    <t>Net Taxable Income after all deductions</t>
  </si>
  <si>
    <t>Taxable at special rates (Capital Gain Tax, Winning from Lottery)</t>
  </si>
  <si>
    <t>Taxable at normal rates(excl div and CG)</t>
  </si>
  <si>
    <t>Taxable at normal rates(including div)</t>
  </si>
  <si>
    <t>Tax liability at special rates</t>
  </si>
  <si>
    <t>Tax on Short Term Capital Gains u/s 111 A @ 15%</t>
  </si>
  <si>
    <t>Tax on Long Term Capital Gains u/s 112 @ 20%</t>
  </si>
  <si>
    <t>Tax on Long Term Capital Gains u/s 112 A - STT Paid @ 10%</t>
  </si>
  <si>
    <t>Tax Liability at normal rates</t>
  </si>
  <si>
    <t>Total tax liability</t>
  </si>
  <si>
    <t>Tax Rebate of Old Regime is Rs. 12,500 and For New Regime is Rs. 25,000</t>
  </si>
  <si>
    <t>Net Tax Payable</t>
  </si>
  <si>
    <t>Add: Surcharge @ 10%/15% If TI &gt; Rs 50 lacs /Rs. 100 lacs</t>
  </si>
  <si>
    <t>Add: Add. Surcharge @ 25% if TI&gt;Rs. 2crores (excluding CGain &amp; Dividend)</t>
  </si>
  <si>
    <t>Add: Surcharge on capital gain and dividend if TI&gt;Rs. 2crores</t>
  </si>
  <si>
    <t>Add: Surcharge @37% if TI&gt;5crore (only for old regime)</t>
  </si>
  <si>
    <t>Add: Cess @ 4%</t>
  </si>
  <si>
    <t>Total Tax payable</t>
  </si>
  <si>
    <t>Advance Tax Paid / TDS reflected under 26AS</t>
  </si>
  <si>
    <t>Balance Tax to be Paid</t>
  </si>
  <si>
    <t>The below data is used for calculation purposes. Please do not edit or change the below cells</t>
  </si>
  <si>
    <t>LTCG taxable 112A(after 1lac exemption)</t>
  </si>
  <si>
    <t>Avg tax rate on normal income</t>
  </si>
  <si>
    <t>Tax on Dividend</t>
  </si>
  <si>
    <t>Tax on Total CG and dividend</t>
  </si>
  <si>
    <t>IF(g117&gt;=250000,f63*15%,IF((250000-g117)&lt;=f65,f63*15%,IF((250000-g117-f65)&lt;=f63,(f63-(250000-g117-f65))*15%,0)))</t>
  </si>
  <si>
    <t>IF(h117&gt;=300000,f63*15%,IF((300000-h117)&lt;=f65,f63*15%,IF((300000-h117-f65)&lt;=f63,(f63-(300000-h117-f65))*15%,0)))</t>
  </si>
  <si>
    <t>IF(g117&gt;=250000,f65*20%,IF((250000-g117)&lt;=f65,(f65-(250000-g117))*20%,0))</t>
  </si>
  <si>
    <t>IF(h117&gt;=300000,f65*20%,IF((300000-h117)&lt;=f65,(f65-(300000-h117))*20%,0))</t>
  </si>
  <si>
    <t>IF(F113&gt;=250000,F132*10%,IF((250000-F113)&lt;=F109,F132*10%,IF((250000-F113-F109)&lt;=F108,F132*10%,IF(AND((250000-F113-F109-F108)&lt;=F110,(F110-(250000-F113-F109-F108)&gt;100000)),(F132-(250000-F113--F108))*10%,0))))</t>
  </si>
  <si>
    <t>IF(G113&gt;=300000,G132*10%,IF((300000-G113)&lt;=G109,G132*10%,IF((300000-G113-G109)&lt;=G108,G132*10%,IF(AND((300000-G113-G109-G108)&lt;=G110,(G110-(300000-G113-G109-G108)&gt;100000)),(G132-(300000-G113-G108-G109))*10%,0))))</t>
  </si>
  <si>
    <t>ROUND((IF(g108&lt;5000000,0,IF(g108&lt;=10000000,g128*10%,IF(g108&lt;=20000000,g128*15%,0)))),0)</t>
  </si>
  <si>
    <t>IF(AND(g108&gt;20000000,g116&gt;0,g116&lt;=20000000),(g124-g144)*15%,IF(AND(g108&gt;20000000,g116&gt;0,g116&lt;=50000000),(g124-g144)*25%,0))</t>
  </si>
  <si>
    <t>ROUND(IF(g108&gt;20000000,((SUM(g120:g122)+g144)*15%),0),0)</t>
  </si>
  <si>
    <t>IF(g116&gt;50000000,g116*37%,0)</t>
  </si>
  <si>
    <t>ROUND((IF(h108&lt;5000000,0,IF(h108&lt;=10000000,h128*10%,IF(h108&lt;=20000000,h128*15%,0)))),0)</t>
  </si>
  <si>
    <t>IF(AND(h108&gt;20000000,h116&gt;0,h116&lt;=20000000),(h124-h144)*15%,IF(AND(h108&gt;20000000,h116&gt;0,h116&lt;=50000000),(h124-h144)*25%,0))</t>
  </si>
  <si>
    <t>ROUND(IF(h108&gt;20000000,(h145*15%),0),0)</t>
  </si>
  <si>
    <t>IF(g108&gt;=250000,g142*10%,IF((250000-g108)&lt;=g113,g142*10%,IF((250000-g108-g113)&lt;=g112,g142*10%,IF(AND((250000-g108-g113-g112)&lt;=g114,(g114-(250000-g108-g113-g112)&gt;100000)),(g142-(250000-g108--g112))*10%,0))))</t>
  </si>
  <si>
    <t>IF(h108&gt;=300000,h142*10%,IF((300000-h108)&lt;=h113,h142*10%,IF((300000-h108-h113)&lt;=h112,h142*10%,IF(AND((300000-h108-h113-h112)&lt;=h114,(h114-(300000-h108-h113-h112)&gt;100000)),(h142-(300000-h108-h112-h113))*10%,0))))</t>
  </si>
  <si>
    <t>JSW Employees</t>
  </si>
  <si>
    <t>IILUSTRATIVE NOT EXHAUSTIVE</t>
  </si>
  <si>
    <t>TAX CALCULATION AS PER NEW REGIME</t>
  </si>
  <si>
    <t>(i)Retirement Leave Encashment U/S 10(10AA)</t>
  </si>
  <si>
    <t>Deduction from family pension is now allowed under the new regime as well</t>
  </si>
  <si>
    <t>Less: Standard deduction</t>
  </si>
  <si>
    <t>Income From Salaries</t>
  </si>
  <si>
    <t>Add: Income from Other Sources</t>
  </si>
  <si>
    <t>Add : Income From Let out House property</t>
  </si>
  <si>
    <t>a. Interest paid on Let out property (U/S 24)</t>
  </si>
  <si>
    <t>b. Rent received from let out properties after Municipal Taxes and std deduction</t>
  </si>
  <si>
    <t xml:space="preserve">Contribution in NPS over Rs.7.5 Lakh in a year is now taxable income as per Budget 2020.
</t>
  </si>
  <si>
    <t>Gross Total Income</t>
  </si>
  <si>
    <t>Tax Rebate of  Rs. 25000 (For Income less than 7 Lakh)</t>
  </si>
  <si>
    <t>Surcharge</t>
  </si>
  <si>
    <t>please check</t>
  </si>
  <si>
    <t>Add: Income from Capital Gains (D)</t>
  </si>
  <si>
    <t xml:space="preserve">Short Term Capital Gains (other than S.111A, tax @ slab rates) </t>
  </si>
  <si>
    <t>Long Term Capital Gains (S.112-equity shares and equity oriented MF) @10% exempt upto Rs. 1 lakh</t>
  </si>
  <si>
    <t xml:space="preserve">Long Term Capital Gains (Other than S.112 Charged to tax @ 20%) </t>
  </si>
  <si>
    <t>Max Deduction U/S 80CCD(1B) Rs. 50,000 over and above Section 80C</t>
  </si>
  <si>
    <t>Max Employer's Contribution 14% of (Basic+DA) as per Section 80CCD(2)</t>
  </si>
  <si>
    <t>Total taxable income</t>
  </si>
  <si>
    <t>Taxable at normal rates</t>
  </si>
  <si>
    <t xml:space="preserve">Surcharge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</si>
</sst>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 #,##0.00_ ;_ * \-#,##0.00_ ;_ * &quot;-&quot;??_ ;_ @_ "/>
    <numFmt numFmtId="165" formatCode="_ * #,##0_ ;_ * \-#,##0_ ;_ * &quot;-&quot;??_ ;_ @_ "/>
    <numFmt numFmtId="166" formatCode="_(* #,##0_);_(* \(#,##0\);_(* &quot;-&quot;??_);_(@_)"/>
  </numFmts>
  <fonts count="65">
    <font>
      <sz val="11"/>
      <color theme="1"/>
      <name val="Calibri"/>
      <family val="2"/>
      <scheme val="minor"/>
    </font>
    <font>
      <sz val="11"/>
      <color theme="1"/>
      <name val="Calibri"/>
      <family val="2"/>
      <scheme val="minor"/>
    </font>
    <font>
      <u/>
      <sz val="11"/>
      <color theme="10"/>
      <name val="Calibri"/>
      <family val="2"/>
      <scheme val="minor"/>
    </font>
    <font>
      <b/>
      <sz val="9"/>
      <color indexed="81"/>
      <name val="Tahoma"/>
      <family val="2"/>
    </font>
    <font>
      <sz val="9"/>
      <color indexed="81"/>
      <name val="Tahoma"/>
      <family val="2"/>
    </font>
    <font>
      <b/>
      <sz val="9"/>
      <color indexed="81"/>
      <name val="Arial Black"/>
      <family val="2"/>
    </font>
    <font>
      <b/>
      <sz val="10"/>
      <color indexed="81"/>
      <name val="Lucida Sans"/>
      <family val="2"/>
    </font>
    <font>
      <sz val="10"/>
      <color indexed="81"/>
      <name val="Lucida Sans"/>
      <family val="2"/>
    </font>
    <font>
      <b/>
      <sz val="9"/>
      <color indexed="81"/>
      <name val="Lucida Sans"/>
      <family val="2"/>
    </font>
    <font>
      <sz val="9"/>
      <color indexed="81"/>
      <name val="Lucida Sans"/>
      <family val="2"/>
    </font>
    <font>
      <b/>
      <sz val="11"/>
      <name val="Segoe UI"/>
      <family val="2"/>
    </font>
    <font>
      <sz val="12"/>
      <name val="Segoe UI"/>
      <family val="2"/>
    </font>
    <font>
      <b/>
      <sz val="12"/>
      <name val="Segoe UI"/>
      <family val="2"/>
    </font>
    <font>
      <b/>
      <sz val="11"/>
      <color rgb="FF000000"/>
      <name val="Segoe UI"/>
      <family val="2"/>
    </font>
    <font>
      <b/>
      <sz val="11"/>
      <color theme="1"/>
      <name val="Segoe UI"/>
      <family val="2"/>
    </font>
    <font>
      <b/>
      <sz val="12"/>
      <color rgb="FF000000"/>
      <name val="Segoe UI"/>
      <family val="2"/>
    </font>
    <font>
      <b/>
      <sz val="12"/>
      <color theme="1"/>
      <name val="Segoe UI"/>
      <family val="2"/>
    </font>
    <font>
      <b/>
      <sz val="16"/>
      <color theme="0"/>
      <name val="Segoe UI"/>
      <family val="2"/>
    </font>
    <font>
      <sz val="11"/>
      <color theme="1"/>
      <name val="Segoe UI"/>
      <family val="2"/>
    </font>
    <font>
      <sz val="11"/>
      <color rgb="FF000000"/>
      <name val="Segoe UI"/>
      <family val="2"/>
    </font>
    <font>
      <b/>
      <sz val="14"/>
      <color rgb="FF002060"/>
      <name val="Segoe UI"/>
      <family val="2"/>
    </font>
    <font>
      <sz val="11"/>
      <color theme="0"/>
      <name val="Segoe UI"/>
      <family val="2"/>
    </font>
    <font>
      <b/>
      <u/>
      <sz val="12"/>
      <color rgb="FF000000"/>
      <name val="Segoe UI"/>
      <family val="2"/>
    </font>
    <font>
      <sz val="11"/>
      <name val="Segoe UI"/>
      <family val="2"/>
    </font>
    <font>
      <sz val="12"/>
      <color theme="0"/>
      <name val="Segoe UI"/>
      <family val="2"/>
    </font>
    <font>
      <sz val="14"/>
      <color theme="0"/>
      <name val="Segoe UI"/>
      <family val="2"/>
    </font>
    <font>
      <b/>
      <u/>
      <sz val="12"/>
      <name val="Segoe UI"/>
      <family val="2"/>
    </font>
    <font>
      <sz val="11"/>
      <color rgb="FFFF0000"/>
      <name val="Calibri"/>
      <family val="2"/>
      <scheme val="minor"/>
    </font>
    <font>
      <b/>
      <sz val="11"/>
      <color theme="1"/>
      <name val="Calibri"/>
      <family val="2"/>
      <scheme val="minor"/>
    </font>
    <font>
      <b/>
      <sz val="12"/>
      <color theme="0"/>
      <name val="Segoe UI"/>
      <family val="2"/>
    </font>
    <font>
      <b/>
      <sz val="11"/>
      <color theme="0"/>
      <name val="Segoe UI"/>
      <family val="2"/>
    </font>
    <font>
      <sz val="11"/>
      <color rgb="FF0070C0"/>
      <name val="Calibri"/>
      <family val="2"/>
      <scheme val="minor"/>
    </font>
    <font>
      <i/>
      <u/>
      <sz val="12"/>
      <name val="Segoe UI"/>
      <family val="2"/>
    </font>
    <font>
      <b/>
      <i/>
      <sz val="12"/>
      <name val="Segoe UI"/>
      <family val="2"/>
    </font>
    <font>
      <b/>
      <sz val="14"/>
      <color theme="0"/>
      <name val="Segoe UI"/>
      <family val="2"/>
    </font>
    <font>
      <i/>
      <u/>
      <sz val="11"/>
      <name val="Segoe UI"/>
      <family val="2"/>
    </font>
    <font>
      <b/>
      <sz val="10"/>
      <color rgb="FF008080"/>
      <name val="Arial"/>
      <family val="2"/>
    </font>
    <font>
      <sz val="11"/>
      <color theme="1"/>
      <name val="Arial"/>
      <family val="2"/>
    </font>
    <font>
      <sz val="10"/>
      <name val="Arial"/>
      <family val="2"/>
    </font>
    <font>
      <b/>
      <sz val="9"/>
      <name val="Arial"/>
      <family val="2"/>
    </font>
    <font>
      <sz val="10"/>
      <color rgb="FF000000"/>
      <name val="Arial"/>
      <family val="2"/>
    </font>
    <font>
      <sz val="8"/>
      <color rgb="FF000000"/>
      <name val="Arial"/>
      <family val="2"/>
    </font>
    <font>
      <sz val="8"/>
      <name val="Arial"/>
      <family val="2"/>
    </font>
    <font>
      <b/>
      <sz val="10"/>
      <color rgb="FFFF0000"/>
      <name val="Arial"/>
      <family val="2"/>
    </font>
    <font>
      <b/>
      <sz val="8"/>
      <color rgb="FF000000"/>
      <name val="Arial"/>
      <family val="2"/>
    </font>
    <font>
      <b/>
      <sz val="8"/>
      <color rgb="FFFF0000"/>
      <name val="Arial"/>
      <family val="2"/>
    </font>
    <font>
      <sz val="8"/>
      <color rgb="FF969696"/>
      <name val="Arial"/>
      <family val="2"/>
    </font>
    <font>
      <sz val="8"/>
      <color rgb="FF0000FF"/>
      <name val="Arial"/>
      <family val="2"/>
    </font>
    <font>
      <u/>
      <sz val="11"/>
      <color theme="10"/>
      <name val="Arial"/>
      <family val="2"/>
    </font>
    <font>
      <b/>
      <sz val="8"/>
      <color rgb="FF002060"/>
      <name val="Arial"/>
      <family val="2"/>
    </font>
    <font>
      <sz val="11"/>
      <name val="Calibri"/>
      <family val="2"/>
      <scheme val="minor"/>
    </font>
    <font>
      <b/>
      <sz val="12"/>
      <color rgb="FFFF0000"/>
      <name val="Segoe UI"/>
      <family val="2"/>
    </font>
    <font>
      <sz val="12"/>
      <color rgb="FFFF0000"/>
      <name val="Segoe UI"/>
      <family val="2"/>
    </font>
    <font>
      <sz val="12"/>
      <color rgb="FFFFFFFF"/>
      <name val="Segoe UI"/>
      <family val="2"/>
    </font>
    <font>
      <b/>
      <sz val="10"/>
      <color rgb="FF000000"/>
      <name val="Arial"/>
      <family val="2"/>
    </font>
    <font>
      <sz val="28"/>
      <color theme="8" tint="-0.499984740745262"/>
      <name val="Cambria"/>
      <family val="1"/>
    </font>
    <font>
      <b/>
      <sz val="12"/>
      <color rgb="FF92D050"/>
      <name val="Segoe UI"/>
      <family val="2"/>
    </font>
    <font>
      <b/>
      <i/>
      <u/>
      <sz val="11"/>
      <color theme="1"/>
      <name val="Segoe UI"/>
      <family val="2"/>
    </font>
    <font>
      <sz val="12"/>
      <color theme="1"/>
      <name val="Segoe UI"/>
      <family val="2"/>
    </font>
    <font>
      <sz val="10"/>
      <name val="MS Sans Serif"/>
      <family val="2"/>
    </font>
    <font>
      <b/>
      <sz val="10"/>
      <name val="Arial"/>
      <family val="2"/>
    </font>
    <font>
      <u/>
      <sz val="12"/>
      <name val="Segoe UI"/>
      <family val="2"/>
    </font>
    <font>
      <i/>
      <sz val="12"/>
      <name val="Segoe UI"/>
      <family val="2"/>
    </font>
    <font>
      <sz val="9"/>
      <color indexed="81"/>
      <name val="Tahoma"/>
      <charset val="1"/>
    </font>
    <font>
      <b/>
      <sz val="9"/>
      <color indexed="81"/>
      <name val="Tahoma"/>
      <charset val="1"/>
    </font>
  </fonts>
  <fills count="17">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00FF99"/>
        <bgColor indexed="64"/>
      </patternFill>
    </fill>
    <fill>
      <patternFill patternType="solid">
        <fgColor theme="8" tint="0.79998168889431442"/>
        <bgColor indexed="64"/>
      </patternFill>
    </fill>
    <fill>
      <patternFill patternType="solid">
        <fgColor rgb="FFCCFFFF"/>
        <bgColor rgb="FF000000"/>
      </patternFill>
    </fill>
    <fill>
      <patternFill patternType="solid">
        <fgColor rgb="FFC0C0C0"/>
        <bgColor rgb="FF000000"/>
      </patternFill>
    </fill>
    <fill>
      <patternFill patternType="solid">
        <fgColor indexed="65"/>
        <bgColor rgb="FF000000"/>
      </patternFill>
    </fill>
    <fill>
      <patternFill patternType="solid">
        <fgColor theme="4" tint="-0.249977111117893"/>
        <bgColor indexed="64"/>
      </patternFill>
    </fill>
    <fill>
      <patternFill patternType="solid">
        <fgColor theme="4" tint="-0.499984740745262"/>
        <bgColor indexed="64"/>
      </patternFill>
    </fill>
    <fill>
      <patternFill patternType="solid">
        <fgColor rgb="FFD9D9D9"/>
        <bgColor indexed="64"/>
      </patternFill>
    </fill>
    <fill>
      <patternFill patternType="solid">
        <fgColor rgb="FFFFFF00"/>
        <bgColor indexed="64"/>
      </patternFill>
    </fill>
  </fills>
  <borders count="70">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double">
        <color theme="0"/>
      </bottom>
      <diagonal/>
    </border>
    <border>
      <left style="medium">
        <color indexed="64"/>
      </left>
      <right style="medium">
        <color indexed="64"/>
      </right>
      <top/>
      <bottom style="double">
        <color theme="0"/>
      </bottom>
      <diagonal/>
    </border>
    <border>
      <left style="medium">
        <color indexed="64"/>
      </left>
      <right style="medium">
        <color indexed="64"/>
      </right>
      <top style="thin">
        <color theme="0"/>
      </top>
      <bottom style="double">
        <color theme="0"/>
      </bottom>
      <diagonal/>
    </border>
    <border>
      <left style="medium">
        <color indexed="64"/>
      </left>
      <right style="medium">
        <color indexed="64"/>
      </right>
      <top style="thin">
        <color theme="0"/>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theme="0"/>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theme="0"/>
      </top>
      <bottom style="double">
        <color theme="0"/>
      </bottom>
      <diagonal/>
    </border>
    <border>
      <left/>
      <right style="medium">
        <color indexed="64"/>
      </right>
      <top style="thin">
        <color theme="0"/>
      </top>
      <bottom/>
      <diagonal/>
    </border>
    <border>
      <left/>
      <right style="medium">
        <color indexed="64"/>
      </right>
      <top style="thin">
        <color indexed="64"/>
      </top>
      <bottom style="double">
        <color indexed="64"/>
      </bottom>
      <diagonal/>
    </border>
    <border>
      <left/>
      <right style="medium">
        <color indexed="64"/>
      </right>
      <top style="thin">
        <color indexed="64"/>
      </top>
      <bottom style="thin">
        <color theme="0"/>
      </bottom>
      <diagonal/>
    </border>
    <border>
      <left/>
      <right style="thin">
        <color indexed="64"/>
      </right>
      <top/>
      <bottom/>
      <diagonal/>
    </border>
    <border>
      <left/>
      <right style="medium">
        <color indexed="64"/>
      </right>
      <top style="thin">
        <color indexed="64"/>
      </top>
      <bottom/>
      <diagonal/>
    </border>
    <border>
      <left/>
      <right style="medium">
        <color indexed="64"/>
      </right>
      <top/>
      <bottom style="thin">
        <color theme="0"/>
      </bottom>
      <diagonal/>
    </border>
    <border>
      <left/>
      <right/>
      <top style="medium">
        <color rgb="FF000000"/>
      </top>
      <bottom style="medium">
        <color indexed="64"/>
      </bottom>
      <diagonal/>
    </border>
    <border>
      <left/>
      <right style="thin">
        <color indexed="64"/>
      </right>
      <top style="medium">
        <color indexed="64"/>
      </top>
      <bottom/>
      <diagonal/>
    </border>
    <border>
      <left/>
      <right style="thin">
        <color indexed="64"/>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style="double">
        <color theme="0"/>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rgb="FF000000"/>
      </right>
      <top style="thin">
        <color indexed="64"/>
      </top>
      <bottom/>
      <diagonal/>
    </border>
    <border>
      <left style="medium">
        <color indexed="64"/>
      </left>
      <right style="thin">
        <color rgb="FF000000"/>
      </right>
      <top/>
      <bottom/>
      <diagonal/>
    </border>
    <border>
      <left style="medium">
        <color indexed="64"/>
      </left>
      <right style="medium">
        <color indexed="64"/>
      </right>
      <top style="thin">
        <color rgb="FF000000"/>
      </top>
      <bottom/>
      <diagonal/>
    </border>
    <border>
      <left/>
      <right style="medium">
        <color indexed="64"/>
      </right>
      <top style="medium">
        <color rgb="FF000000"/>
      </top>
      <bottom style="medium">
        <color indexed="64"/>
      </bottom>
      <diagonal/>
    </border>
    <border>
      <left style="thin">
        <color rgb="FF000000"/>
      </left>
      <right style="medium">
        <color indexed="64"/>
      </right>
      <top style="medium">
        <color indexed="64"/>
      </top>
      <bottom style="double">
        <color theme="0"/>
      </bottom>
      <diagonal/>
    </border>
    <border>
      <left style="thin">
        <color rgb="FF000000"/>
      </left>
      <right style="medium">
        <color indexed="64"/>
      </right>
      <top/>
      <bottom/>
      <diagonal/>
    </border>
    <border>
      <left style="thin">
        <color rgb="FF000000"/>
      </left>
      <right style="medium">
        <color indexed="64"/>
      </right>
      <top style="double">
        <color theme="0"/>
      </top>
      <bottom/>
      <diagonal/>
    </border>
    <border>
      <left style="thin">
        <color rgb="FF000000"/>
      </left>
      <right style="medium">
        <color indexed="64"/>
      </right>
      <top style="thin">
        <color indexed="64"/>
      </top>
      <bottom/>
      <diagonal/>
    </border>
    <border>
      <left/>
      <right style="medium">
        <color indexed="64"/>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right/>
      <top/>
      <bottom style="medium">
        <color rgb="FF000000"/>
      </bottom>
      <diagonal/>
    </border>
    <border>
      <left style="medium">
        <color indexed="64"/>
      </left>
      <right/>
      <top/>
      <bottom style="medium">
        <color rgb="FF000000"/>
      </bottom>
      <diagonal/>
    </border>
    <border>
      <left style="medium">
        <color indexed="64"/>
      </left>
      <right style="thin">
        <color indexed="64"/>
      </right>
      <top/>
      <bottom/>
      <diagonal/>
    </border>
    <border>
      <left/>
      <right style="medium">
        <color indexed="64"/>
      </right>
      <top style="medium">
        <color indexed="64"/>
      </top>
      <bottom/>
      <diagonal/>
    </border>
    <border>
      <left/>
      <right style="medium">
        <color indexed="64"/>
      </right>
      <top style="thin">
        <color rgb="FF000000"/>
      </top>
      <bottom/>
      <diagonal/>
    </border>
    <border>
      <left/>
      <right style="medium">
        <color indexed="64"/>
      </right>
      <top style="thin">
        <color indexed="64"/>
      </top>
      <bottom style="double">
        <color theme="0"/>
      </bottom>
      <diagonal/>
    </border>
    <border>
      <left/>
      <right style="medium">
        <color indexed="64"/>
      </right>
      <top/>
      <bottom style="double">
        <color theme="0"/>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double">
        <color theme="0"/>
      </top>
      <bottom/>
      <diagonal/>
    </border>
    <border>
      <left style="medium">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rgb="FF000000"/>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8" fillId="0" borderId="0"/>
    <xf numFmtId="0" fontId="59" fillId="0" borderId="0"/>
    <xf numFmtId="0" fontId="59" fillId="0" borderId="0"/>
  </cellStyleXfs>
  <cellXfs count="434">
    <xf numFmtId="0" fontId="0" fillId="0" borderId="0" xfId="0"/>
    <xf numFmtId="49" fontId="12" fillId="0" borderId="1" xfId="0" applyNumberFormat="1" applyFont="1" applyBorder="1"/>
    <xf numFmtId="49" fontId="11" fillId="0" borderId="1" xfId="0" applyNumberFormat="1" applyFont="1" applyBorder="1" applyAlignment="1">
      <alignment vertical="center"/>
    </xf>
    <xf numFmtId="0" fontId="18" fillId="0" borderId="0" xfId="0" applyFont="1"/>
    <xf numFmtId="0" fontId="18" fillId="0" borderId="0" xfId="0" applyFont="1" applyAlignment="1">
      <alignment horizontal="center" wrapText="1"/>
    </xf>
    <xf numFmtId="49" fontId="20" fillId="0" borderId="1" xfId="3" applyNumberFormat="1" applyFont="1" applyBorder="1" applyAlignment="1" applyProtection="1">
      <alignment horizontal="left"/>
    </xf>
    <xf numFmtId="49" fontId="20" fillId="0" borderId="0" xfId="3" applyNumberFormat="1" applyFont="1" applyBorder="1" applyAlignment="1" applyProtection="1">
      <alignment horizontal="left"/>
    </xf>
    <xf numFmtId="0" fontId="19" fillId="0" borderId="0" xfId="0" applyFont="1"/>
    <xf numFmtId="49" fontId="22" fillId="0" borderId="1" xfId="0" applyNumberFormat="1" applyFont="1" applyBorder="1" applyAlignment="1">
      <alignment horizontal="center"/>
    </xf>
    <xf numFmtId="0" fontId="18" fillId="0" borderId="2" xfId="0" applyFont="1" applyBorder="1"/>
    <xf numFmtId="14" fontId="13" fillId="2" borderId="3" xfId="0" applyNumberFormat="1" applyFont="1" applyFill="1" applyBorder="1" applyAlignment="1" applyProtection="1">
      <alignment horizontal="center"/>
      <protection locked="0"/>
    </xf>
    <xf numFmtId="49" fontId="22" fillId="0" borderId="10" xfId="0" applyNumberFormat="1" applyFont="1" applyBorder="1" applyAlignment="1">
      <alignment horizontal="center"/>
    </xf>
    <xf numFmtId="49" fontId="22" fillId="0" borderId="5" xfId="0" applyNumberFormat="1" applyFont="1" applyBorder="1" applyAlignment="1">
      <alignment horizontal="center"/>
    </xf>
    <xf numFmtId="0" fontId="18" fillId="0" borderId="5" xfId="0" applyFont="1" applyBorder="1"/>
    <xf numFmtId="0" fontId="18" fillId="0" borderId="6" xfId="0" applyFont="1" applyBorder="1"/>
    <xf numFmtId="49" fontId="12" fillId="0" borderId="1" xfId="0" applyNumberFormat="1" applyFont="1" applyBorder="1" applyAlignment="1">
      <alignment vertical="center"/>
    </xf>
    <xf numFmtId="49" fontId="11" fillId="5" borderId="1" xfId="0" applyNumberFormat="1" applyFont="1" applyFill="1" applyBorder="1"/>
    <xf numFmtId="49" fontId="11" fillId="0" borderId="1" xfId="0" applyNumberFormat="1" applyFont="1" applyBorder="1"/>
    <xf numFmtId="49" fontId="11" fillId="0" borderId="1" xfId="0" applyNumberFormat="1" applyFont="1" applyBorder="1" applyAlignment="1">
      <alignment horizontal="left"/>
    </xf>
    <xf numFmtId="49" fontId="26" fillId="0" borderId="1" xfId="0" applyNumberFormat="1" applyFont="1" applyBorder="1"/>
    <xf numFmtId="0" fontId="16" fillId="2" borderId="3" xfId="0" applyFont="1" applyFill="1" applyBorder="1" applyAlignment="1" applyProtection="1">
      <alignment horizontal="center"/>
      <protection locked="0"/>
    </xf>
    <xf numFmtId="165" fontId="13" fillId="0" borderId="0" xfId="1" applyNumberFormat="1" applyFont="1" applyFill="1" applyBorder="1" applyAlignment="1" applyProtection="1">
      <alignment horizontal="center"/>
      <protection hidden="1"/>
    </xf>
    <xf numFmtId="0" fontId="18" fillId="0" borderId="1" xfId="0" applyFont="1" applyBorder="1" applyAlignment="1">
      <alignment horizontal="center" wrapText="1"/>
    </xf>
    <xf numFmtId="0" fontId="18" fillId="0" borderId="2" xfId="0" applyFont="1" applyBorder="1" applyAlignment="1">
      <alignment horizontal="center" wrapText="1"/>
    </xf>
    <xf numFmtId="0" fontId="18" fillId="0" borderId="1" xfId="0" applyFont="1" applyBorder="1"/>
    <xf numFmtId="165" fontId="15" fillId="6" borderId="3" xfId="0" applyNumberFormat="1" applyFont="1" applyFill="1" applyBorder="1" applyAlignment="1">
      <alignment horizontal="center"/>
    </xf>
    <xf numFmtId="165" fontId="13" fillId="6" borderId="3" xfId="1" applyNumberFormat="1" applyFont="1" applyFill="1" applyBorder="1" applyAlignment="1" applyProtection="1">
      <alignment horizontal="center"/>
      <protection hidden="1"/>
    </xf>
    <xf numFmtId="0" fontId="0" fillId="0" borderId="3" xfId="0" applyBorder="1" applyAlignment="1">
      <alignment horizontal="center"/>
    </xf>
    <xf numFmtId="0" fontId="27" fillId="7" borderId="3" xfId="0" applyFont="1" applyFill="1" applyBorder="1" applyAlignment="1">
      <alignment horizontal="center"/>
    </xf>
    <xf numFmtId="0" fontId="31" fillId="9" borderId="3" xfId="0" applyFont="1" applyFill="1" applyBorder="1" applyAlignment="1">
      <alignment horizontal="center"/>
    </xf>
    <xf numFmtId="0" fontId="28" fillId="3" borderId="11" xfId="0" applyFont="1" applyFill="1" applyBorder="1" applyAlignment="1">
      <alignment horizontal="right" vertical="center"/>
    </xf>
    <xf numFmtId="0" fontId="28" fillId="3" borderId="12" xfId="0" applyFont="1" applyFill="1" applyBorder="1" applyAlignment="1">
      <alignment vertical="center"/>
    </xf>
    <xf numFmtId="165" fontId="28" fillId="3" borderId="3" xfId="1" applyNumberFormat="1" applyFont="1" applyFill="1" applyBorder="1" applyAlignment="1">
      <alignment horizontal="center"/>
    </xf>
    <xf numFmtId="0" fontId="28" fillId="8" borderId="3" xfId="0" applyFont="1" applyFill="1" applyBorder="1" applyAlignment="1">
      <alignment horizontal="center"/>
    </xf>
    <xf numFmtId="49" fontId="12" fillId="5" borderId="1" xfId="0" applyNumberFormat="1" applyFont="1" applyFill="1" applyBorder="1"/>
    <xf numFmtId="49" fontId="32" fillId="5" borderId="1" xfId="0" applyNumberFormat="1" applyFont="1" applyFill="1" applyBorder="1"/>
    <xf numFmtId="0" fontId="23" fillId="0" borderId="0" xfId="0" applyFont="1"/>
    <xf numFmtId="165" fontId="11" fillId="0" borderId="13" xfId="0" applyNumberFormat="1" applyFont="1" applyBorder="1"/>
    <xf numFmtId="165" fontId="12" fillId="5" borderId="14" xfId="0" applyNumberFormat="1" applyFont="1" applyFill="1" applyBorder="1" applyAlignment="1" applyProtection="1">
      <alignment vertical="center"/>
      <protection hidden="1"/>
    </xf>
    <xf numFmtId="165" fontId="11" fillId="5" borderId="15" xfId="0" applyNumberFormat="1" applyFont="1" applyFill="1" applyBorder="1" applyAlignment="1" applyProtection="1">
      <alignment vertical="center"/>
      <protection hidden="1"/>
    </xf>
    <xf numFmtId="165" fontId="12" fillId="5" borderId="16" xfId="0" applyNumberFormat="1" applyFont="1" applyFill="1" applyBorder="1" applyAlignment="1" applyProtection="1">
      <alignment vertical="center"/>
      <protection hidden="1"/>
    </xf>
    <xf numFmtId="165" fontId="11" fillId="5" borderId="13" xfId="0" applyNumberFormat="1" applyFont="1" applyFill="1" applyBorder="1"/>
    <xf numFmtId="165" fontId="18" fillId="0" borderId="13" xfId="0" applyNumberFormat="1" applyFont="1" applyBorder="1"/>
    <xf numFmtId="165" fontId="12" fillId="5" borderId="13" xfId="0" applyNumberFormat="1" applyFont="1" applyFill="1" applyBorder="1" applyAlignment="1" applyProtection="1">
      <alignment vertical="center"/>
      <protection hidden="1"/>
    </xf>
    <xf numFmtId="165" fontId="11" fillId="5" borderId="16" xfId="0" applyNumberFormat="1" applyFont="1" applyFill="1" applyBorder="1" applyAlignment="1" applyProtection="1">
      <alignment vertical="center"/>
      <protection hidden="1"/>
    </xf>
    <xf numFmtId="165" fontId="11" fillId="5" borderId="17" xfId="0" applyNumberFormat="1" applyFont="1" applyFill="1" applyBorder="1" applyAlignment="1" applyProtection="1">
      <alignment vertical="center"/>
      <protection hidden="1"/>
    </xf>
    <xf numFmtId="165" fontId="11" fillId="5" borderId="13" xfId="0" applyNumberFormat="1" applyFont="1" applyFill="1" applyBorder="1" applyAlignment="1" applyProtection="1">
      <alignment vertical="center"/>
      <protection hidden="1"/>
    </xf>
    <xf numFmtId="165" fontId="12" fillId="5" borderId="18" xfId="0" applyNumberFormat="1" applyFont="1" applyFill="1" applyBorder="1" applyAlignment="1" applyProtection="1">
      <alignment vertical="center"/>
      <protection hidden="1"/>
    </xf>
    <xf numFmtId="165" fontId="11" fillId="5" borderId="13" xfId="0" applyNumberFormat="1" applyFont="1" applyFill="1" applyBorder="1" applyAlignment="1" applyProtection="1">
      <alignment vertical="center"/>
      <protection locked="0"/>
    </xf>
    <xf numFmtId="9" fontId="18" fillId="0" borderId="0" xfId="0" applyNumberFormat="1" applyFont="1"/>
    <xf numFmtId="9" fontId="0" fillId="0" borderId="0" xfId="0" applyNumberFormat="1"/>
    <xf numFmtId="0" fontId="18" fillId="0" borderId="0" xfId="0" applyFont="1" applyAlignment="1">
      <alignment vertical="center"/>
    </xf>
    <xf numFmtId="165" fontId="11" fillId="5" borderId="13" xfId="0" applyNumberFormat="1" applyFont="1" applyFill="1" applyBorder="1" applyAlignment="1">
      <alignment vertical="center"/>
    </xf>
    <xf numFmtId="0" fontId="19" fillId="0" borderId="0" xfId="0" applyFont="1" applyAlignment="1">
      <alignment vertical="center"/>
    </xf>
    <xf numFmtId="0" fontId="28" fillId="0" borderId="0" xfId="0" applyFont="1" applyAlignment="1">
      <alignment horizontal="center"/>
    </xf>
    <xf numFmtId="0" fontId="29" fillId="13" borderId="3" xfId="0" applyFont="1" applyFill="1" applyBorder="1" applyAlignment="1">
      <alignment horizontal="center"/>
    </xf>
    <xf numFmtId="165" fontId="30" fillId="13" borderId="3" xfId="1" applyNumberFormat="1" applyFont="1" applyFill="1" applyBorder="1" applyAlignment="1" applyProtection="1">
      <alignment horizontal="center"/>
      <protection hidden="1"/>
    </xf>
    <xf numFmtId="49" fontId="29" fillId="13" borderId="3" xfId="0" applyNumberFormat="1" applyFont="1" applyFill="1" applyBorder="1" applyAlignment="1">
      <alignment horizontal="center" wrapText="1"/>
    </xf>
    <xf numFmtId="49" fontId="29" fillId="13" borderId="3" xfId="0" applyNumberFormat="1" applyFont="1" applyFill="1" applyBorder="1" applyAlignment="1">
      <alignment horizontal="center"/>
    </xf>
    <xf numFmtId="0" fontId="30" fillId="13" borderId="3" xfId="0" applyFont="1" applyFill="1" applyBorder="1" applyAlignment="1">
      <alignment horizontal="center" vertical="center"/>
    </xf>
    <xf numFmtId="165" fontId="12" fillId="6" borderId="19" xfId="0" applyNumberFormat="1" applyFont="1" applyFill="1" applyBorder="1" applyAlignment="1" applyProtection="1">
      <alignment vertical="center"/>
      <protection hidden="1"/>
    </xf>
    <xf numFmtId="165" fontId="12" fillId="6" borderId="18" xfId="0" applyNumberFormat="1" applyFont="1" applyFill="1" applyBorder="1" applyAlignment="1" applyProtection="1">
      <alignment vertical="center"/>
      <protection hidden="1"/>
    </xf>
    <xf numFmtId="10" fontId="12" fillId="6" borderId="20" xfId="2" applyNumberFormat="1" applyFont="1" applyFill="1" applyBorder="1" applyAlignment="1" applyProtection="1">
      <alignment horizontal="center"/>
      <protection hidden="1"/>
    </xf>
    <xf numFmtId="0" fontId="30" fillId="13" borderId="3" xfId="0" applyFont="1" applyFill="1" applyBorder="1" applyAlignment="1" applyProtection="1">
      <alignment horizontal="center" vertical="center" wrapText="1"/>
      <protection hidden="1"/>
    </xf>
    <xf numFmtId="49" fontId="12" fillId="5" borderId="0" xfId="0" applyNumberFormat="1" applyFont="1" applyFill="1"/>
    <xf numFmtId="49" fontId="12" fillId="0" borderId="0" xfId="0" applyNumberFormat="1" applyFont="1"/>
    <xf numFmtId="49" fontId="11" fillId="0" borderId="0" xfId="0" applyNumberFormat="1" applyFont="1" applyAlignment="1">
      <alignment horizontal="left"/>
    </xf>
    <xf numFmtId="49" fontId="11" fillId="0" borderId="0" xfId="0" applyNumberFormat="1" applyFont="1"/>
    <xf numFmtId="165" fontId="18" fillId="0" borderId="2" xfId="0" applyNumberFormat="1" applyFont="1" applyBorder="1"/>
    <xf numFmtId="49" fontId="12" fillId="0" borderId="0" xfId="0" applyNumberFormat="1" applyFont="1" applyAlignment="1">
      <alignment vertical="center"/>
    </xf>
    <xf numFmtId="49" fontId="11" fillId="0" borderId="0" xfId="0" applyNumberFormat="1" applyFont="1" applyAlignment="1">
      <alignment horizontal="left" vertical="top" wrapText="1"/>
    </xf>
    <xf numFmtId="165" fontId="11" fillId="0" borderId="2" xfId="0" applyNumberFormat="1" applyFont="1" applyBorder="1"/>
    <xf numFmtId="165" fontId="11" fillId="5" borderId="2" xfId="0" applyNumberFormat="1" applyFont="1" applyFill="1" applyBorder="1"/>
    <xf numFmtId="165" fontId="11" fillId="5" borderId="2" xfId="0" applyNumberFormat="1" applyFont="1" applyFill="1" applyBorder="1" applyAlignment="1" applyProtection="1">
      <alignment vertical="center"/>
      <protection hidden="1"/>
    </xf>
    <xf numFmtId="49" fontId="11" fillId="0" borderId="1" xfId="0" applyNumberFormat="1" applyFont="1" applyBorder="1" applyAlignment="1">
      <alignment wrapText="1"/>
    </xf>
    <xf numFmtId="49" fontId="11" fillId="0" borderId="1" xfId="0" applyNumberFormat="1" applyFont="1" applyBorder="1" applyAlignment="1">
      <alignment horizontal="left" vertical="top"/>
    </xf>
    <xf numFmtId="0" fontId="37" fillId="0" borderId="0" xfId="0" applyFont="1" applyAlignment="1">
      <alignment wrapText="1"/>
    </xf>
    <xf numFmtId="0" fontId="38" fillId="0" borderId="0" xfId="0" applyFont="1" applyAlignment="1">
      <alignment vertical="center" wrapText="1"/>
    </xf>
    <xf numFmtId="0" fontId="39" fillId="0" borderId="0" xfId="0" applyFont="1" applyAlignment="1">
      <alignment wrapText="1"/>
    </xf>
    <xf numFmtId="0" fontId="42" fillId="0" borderId="0" xfId="0" applyFont="1" applyAlignment="1">
      <alignment vertical="center" wrapText="1"/>
    </xf>
    <xf numFmtId="0" fontId="42" fillId="0" borderId="0" xfId="0" applyFont="1" applyAlignment="1">
      <alignment wrapText="1"/>
    </xf>
    <xf numFmtId="0" fontId="42" fillId="12" borderId="23" xfId="0" applyFont="1" applyFill="1" applyBorder="1" applyAlignment="1">
      <alignment vertical="center" wrapText="1"/>
    </xf>
    <xf numFmtId="0" fontId="37" fillId="0" borderId="0" xfId="0" applyFont="1" applyAlignment="1">
      <alignment vertical="center" wrapText="1"/>
    </xf>
    <xf numFmtId="0" fontId="42" fillId="12" borderId="12" xfId="0" applyFont="1" applyFill="1" applyBorder="1" applyAlignment="1">
      <alignment horizontal="center" vertical="center" wrapText="1"/>
    </xf>
    <xf numFmtId="0" fontId="42" fillId="12" borderId="12" xfId="0" applyFont="1" applyFill="1" applyBorder="1" applyAlignment="1">
      <alignment vertical="center" wrapText="1"/>
    </xf>
    <xf numFmtId="0" fontId="42" fillId="12" borderId="23" xfId="0" applyFont="1" applyFill="1" applyBorder="1" applyAlignment="1">
      <alignment wrapText="1"/>
    </xf>
    <xf numFmtId="0" fontId="41" fillId="12" borderId="23" xfId="0" applyFont="1" applyFill="1" applyBorder="1" applyAlignment="1">
      <alignment vertical="center" wrapText="1"/>
    </xf>
    <xf numFmtId="0" fontId="48" fillId="0" borderId="0" xfId="3" applyFont="1" applyAlignment="1">
      <alignment vertical="center" wrapText="1"/>
    </xf>
    <xf numFmtId="49" fontId="12" fillId="2" borderId="0" xfId="0" applyNumberFormat="1" applyFont="1" applyFill="1" applyAlignment="1">
      <alignment horizontal="center"/>
    </xf>
    <xf numFmtId="49" fontId="29" fillId="13" borderId="11" xfId="0" applyNumberFormat="1" applyFont="1" applyFill="1" applyBorder="1" applyAlignment="1">
      <alignment horizontal="center" vertical="center" wrapText="1"/>
    </xf>
    <xf numFmtId="49" fontId="29" fillId="13" borderId="11" xfId="0" applyNumberFormat="1" applyFont="1" applyFill="1" applyBorder="1" applyAlignment="1">
      <alignment vertical="center"/>
    </xf>
    <xf numFmtId="43" fontId="14" fillId="0" borderId="30" xfId="0" applyNumberFormat="1" applyFont="1" applyBorder="1"/>
    <xf numFmtId="164" fontId="10" fillId="6" borderId="30" xfId="0" applyNumberFormat="1" applyFont="1" applyFill="1" applyBorder="1" applyAlignment="1" applyProtection="1">
      <alignment vertical="center"/>
      <protection hidden="1"/>
    </xf>
    <xf numFmtId="164" fontId="23" fillId="5" borderId="30" xfId="0" applyNumberFormat="1" applyFont="1" applyFill="1" applyBorder="1" applyAlignment="1" applyProtection="1">
      <alignment vertical="center"/>
      <protection hidden="1"/>
    </xf>
    <xf numFmtId="164" fontId="23" fillId="0" borderId="31" xfId="1" applyFont="1" applyFill="1" applyBorder="1" applyAlignment="1" applyProtection="1">
      <alignment horizontal="center"/>
    </xf>
    <xf numFmtId="165" fontId="10" fillId="0" borderId="25" xfId="0" applyNumberFormat="1" applyFont="1" applyBorder="1" applyAlignment="1" applyProtection="1">
      <alignment vertical="center"/>
      <protection hidden="1"/>
    </xf>
    <xf numFmtId="164" fontId="10" fillId="0" borderId="26" xfId="0" applyNumberFormat="1" applyFont="1" applyBorder="1" applyAlignment="1" applyProtection="1">
      <alignment vertical="center"/>
      <protection hidden="1"/>
    </xf>
    <xf numFmtId="164" fontId="10" fillId="6" borderId="28" xfId="0" applyNumberFormat="1" applyFont="1" applyFill="1" applyBorder="1" applyAlignment="1" applyProtection="1">
      <alignment vertical="center"/>
      <protection hidden="1"/>
    </xf>
    <xf numFmtId="164" fontId="10" fillId="5" borderId="2" xfId="0" applyNumberFormat="1" applyFont="1" applyFill="1" applyBorder="1" applyAlignment="1" applyProtection="1">
      <alignment vertical="center"/>
      <protection locked="0"/>
    </xf>
    <xf numFmtId="164" fontId="10" fillId="6" borderId="27" xfId="0" applyNumberFormat="1" applyFont="1" applyFill="1" applyBorder="1" applyAlignment="1" applyProtection="1">
      <alignment vertical="center"/>
      <protection hidden="1"/>
    </xf>
    <xf numFmtId="165" fontId="30" fillId="13" borderId="3" xfId="1" applyNumberFormat="1" applyFont="1" applyFill="1" applyBorder="1" applyAlignment="1" applyProtection="1">
      <alignment horizontal="center" vertical="center"/>
      <protection hidden="1"/>
    </xf>
    <xf numFmtId="49" fontId="11" fillId="5" borderId="33" xfId="0" applyNumberFormat="1" applyFont="1" applyFill="1" applyBorder="1"/>
    <xf numFmtId="49" fontId="35" fillId="0" borderId="29" xfId="0" applyNumberFormat="1" applyFont="1" applyBorder="1"/>
    <xf numFmtId="49" fontId="10" fillId="0" borderId="29" xfId="0" applyNumberFormat="1" applyFont="1" applyBorder="1"/>
    <xf numFmtId="0" fontId="23" fillId="0" borderId="29" xfId="0" applyFont="1" applyBorder="1"/>
    <xf numFmtId="49" fontId="11" fillId="0" borderId="29" xfId="0" applyNumberFormat="1" applyFont="1" applyBorder="1"/>
    <xf numFmtId="49" fontId="12" fillId="0" borderId="29" xfId="0" applyNumberFormat="1" applyFont="1" applyBorder="1"/>
    <xf numFmtId="49" fontId="51" fillId="0" borderId="29" xfId="0" applyNumberFormat="1" applyFont="1" applyBorder="1"/>
    <xf numFmtId="49" fontId="52" fillId="0" borderId="0" xfId="0" applyNumberFormat="1" applyFont="1"/>
    <xf numFmtId="49" fontId="52" fillId="0" borderId="0" xfId="0" applyNumberFormat="1" applyFont="1" applyAlignment="1">
      <alignment vertical="center" wrapText="1"/>
    </xf>
    <xf numFmtId="0" fontId="14" fillId="0" borderId="29" xfId="0" applyFont="1" applyBorder="1"/>
    <xf numFmtId="49" fontId="12" fillId="6" borderId="29" xfId="0" applyNumberFormat="1" applyFont="1" applyFill="1" applyBorder="1"/>
    <xf numFmtId="49" fontId="11" fillId="5" borderId="29" xfId="0" applyNumberFormat="1" applyFont="1" applyFill="1" applyBorder="1"/>
    <xf numFmtId="49" fontId="11" fillId="0" borderId="29" xfId="0" applyNumberFormat="1" applyFont="1" applyBorder="1" applyAlignment="1">
      <alignment vertical="center"/>
    </xf>
    <xf numFmtId="49" fontId="12" fillId="6" borderId="34" xfId="0" applyNumberFormat="1" applyFont="1" applyFill="1" applyBorder="1" applyAlignment="1">
      <alignment vertical="center"/>
    </xf>
    <xf numFmtId="49" fontId="34" fillId="13" borderId="35" xfId="0" applyNumberFormat="1" applyFont="1" applyFill="1" applyBorder="1" applyAlignment="1">
      <alignment vertical="center" wrapText="1"/>
    </xf>
    <xf numFmtId="165" fontId="19" fillId="5" borderId="15" xfId="0" applyNumberFormat="1" applyFont="1" applyFill="1" applyBorder="1"/>
    <xf numFmtId="0" fontId="19" fillId="0" borderId="13" xfId="0" applyFont="1" applyBorder="1"/>
    <xf numFmtId="165" fontId="19" fillId="0" borderId="36" xfId="0" applyNumberFormat="1" applyFont="1" applyBorder="1"/>
    <xf numFmtId="165" fontId="19" fillId="0" borderId="13" xfId="0" applyNumberFormat="1" applyFont="1" applyBorder="1"/>
    <xf numFmtId="0" fontId="19" fillId="0" borderId="13" xfId="0" applyFont="1" applyBorder="1" applyAlignment="1">
      <alignment wrapText="1"/>
    </xf>
    <xf numFmtId="43" fontId="19" fillId="15" borderId="13" xfId="0" applyNumberFormat="1" applyFont="1" applyFill="1" applyBorder="1"/>
    <xf numFmtId="43" fontId="19" fillId="15" borderId="13" xfId="0" applyNumberFormat="1" applyFont="1" applyFill="1" applyBorder="1" applyAlignment="1">
      <alignment vertical="center"/>
    </xf>
    <xf numFmtId="0" fontId="19" fillId="15" borderId="13" xfId="0" applyFont="1" applyFill="1" applyBorder="1"/>
    <xf numFmtId="43" fontId="18" fillId="15" borderId="13" xfId="0" applyNumberFormat="1" applyFont="1" applyFill="1" applyBorder="1"/>
    <xf numFmtId="0" fontId="18" fillId="0" borderId="13" xfId="0" applyFont="1" applyBorder="1"/>
    <xf numFmtId="164" fontId="19" fillId="3" borderId="13" xfId="1" applyFont="1" applyFill="1" applyBorder="1"/>
    <xf numFmtId="43" fontId="19" fillId="3" borderId="13" xfId="0" applyNumberFormat="1" applyFont="1" applyFill="1" applyBorder="1"/>
    <xf numFmtId="43" fontId="19" fillId="3" borderId="13" xfId="0" applyNumberFormat="1" applyFont="1" applyFill="1" applyBorder="1" applyAlignment="1">
      <alignment vertical="center"/>
    </xf>
    <xf numFmtId="49" fontId="11" fillId="0" borderId="0" xfId="0" applyNumberFormat="1" applyFont="1" applyAlignment="1">
      <alignment vertical="center"/>
    </xf>
    <xf numFmtId="43" fontId="18" fillId="15" borderId="13" xfId="0" applyNumberFormat="1" applyFont="1" applyFill="1" applyBorder="1" applyAlignment="1">
      <alignment vertical="center"/>
    </xf>
    <xf numFmtId="49" fontId="11" fillId="5" borderId="1" xfId="0" applyNumberFormat="1" applyFont="1" applyFill="1" applyBorder="1" applyAlignment="1">
      <alignment horizontal="center"/>
    </xf>
    <xf numFmtId="49" fontId="11" fillId="5" borderId="0" xfId="0" applyNumberFormat="1" applyFont="1" applyFill="1" applyAlignment="1">
      <alignment horizontal="center"/>
    </xf>
    <xf numFmtId="49" fontId="11" fillId="5" borderId="2" xfId="0" applyNumberFormat="1" applyFont="1" applyFill="1" applyBorder="1" applyAlignment="1">
      <alignment horizontal="center"/>
    </xf>
    <xf numFmtId="49" fontId="12" fillId="6" borderId="1" xfId="0" applyNumberFormat="1" applyFont="1" applyFill="1" applyBorder="1" applyAlignment="1">
      <alignment horizontal="center"/>
    </xf>
    <xf numFmtId="49" fontId="12" fillId="6" borderId="0" xfId="0" applyNumberFormat="1" applyFont="1" applyFill="1" applyAlignment="1">
      <alignment horizontal="center"/>
    </xf>
    <xf numFmtId="49" fontId="12" fillId="6" borderId="2" xfId="0" applyNumberFormat="1" applyFont="1" applyFill="1" applyBorder="1" applyAlignment="1">
      <alignment horizontal="center"/>
    </xf>
    <xf numFmtId="165" fontId="11" fillId="5" borderId="30" xfId="0" applyNumberFormat="1" applyFont="1" applyFill="1" applyBorder="1"/>
    <xf numFmtId="165" fontId="11" fillId="5" borderId="2" xfId="1" applyNumberFormat="1" applyFont="1" applyFill="1" applyBorder="1" applyAlignment="1" applyProtection="1">
      <protection hidden="1"/>
    </xf>
    <xf numFmtId="165" fontId="11" fillId="5" borderId="2" xfId="1" applyNumberFormat="1" applyFont="1" applyFill="1" applyBorder="1" applyProtection="1">
      <protection hidden="1"/>
    </xf>
    <xf numFmtId="165" fontId="11" fillId="5" borderId="2" xfId="1" applyNumberFormat="1" applyFont="1" applyFill="1" applyBorder="1" applyAlignment="1" applyProtection="1">
      <alignment vertical="center"/>
      <protection hidden="1"/>
    </xf>
    <xf numFmtId="165" fontId="11" fillId="0" borderId="40" xfId="0" applyNumberFormat="1" applyFont="1" applyBorder="1"/>
    <xf numFmtId="165" fontId="12" fillId="2" borderId="40" xfId="0" applyNumberFormat="1" applyFont="1" applyFill="1" applyBorder="1" applyAlignment="1" applyProtection="1">
      <alignment horizontal="center"/>
      <protection locked="0"/>
    </xf>
    <xf numFmtId="165" fontId="11" fillId="2" borderId="40" xfId="1" applyNumberFormat="1" applyFont="1" applyFill="1" applyBorder="1" applyProtection="1">
      <protection locked="0"/>
    </xf>
    <xf numFmtId="165" fontId="11" fillId="2" borderId="40" xfId="1" applyNumberFormat="1" applyFont="1" applyFill="1" applyBorder="1" applyAlignment="1" applyProtection="1">
      <alignment vertical="center"/>
      <protection locked="0"/>
    </xf>
    <xf numFmtId="0" fontId="18" fillId="0" borderId="40" xfId="0" applyFont="1" applyBorder="1"/>
    <xf numFmtId="165" fontId="11" fillId="5" borderId="40" xfId="1" applyNumberFormat="1" applyFont="1" applyFill="1" applyBorder="1" applyAlignment="1" applyProtection="1">
      <protection hidden="1"/>
    </xf>
    <xf numFmtId="165" fontId="11" fillId="0" borderId="40" xfId="1" applyNumberFormat="1" applyFont="1" applyFill="1" applyBorder="1" applyProtection="1">
      <protection locked="0"/>
    </xf>
    <xf numFmtId="165" fontId="11" fillId="0" borderId="40" xfId="1" applyNumberFormat="1" applyFont="1" applyBorder="1" applyProtection="1">
      <protection locked="0"/>
    </xf>
    <xf numFmtId="165" fontId="11" fillId="0" borderId="40" xfId="1" applyNumberFormat="1" applyFont="1" applyFill="1" applyBorder="1"/>
    <xf numFmtId="165" fontId="12" fillId="2" borderId="40" xfId="1" applyNumberFormat="1" applyFont="1" applyFill="1" applyBorder="1" applyAlignment="1" applyProtection="1">
      <alignment vertical="center" wrapText="1"/>
      <protection locked="0"/>
    </xf>
    <xf numFmtId="165" fontId="12" fillId="2" borderId="40" xfId="1" applyNumberFormat="1" applyFont="1" applyFill="1" applyBorder="1" applyAlignment="1" applyProtection="1">
      <alignment horizontal="center" vertical="center" wrapText="1"/>
      <protection locked="0"/>
    </xf>
    <xf numFmtId="166" fontId="11" fillId="2" borderId="40" xfId="1" applyNumberFormat="1" applyFont="1" applyFill="1" applyBorder="1" applyAlignment="1" applyProtection="1">
      <alignment vertical="center"/>
      <protection locked="0"/>
    </xf>
    <xf numFmtId="166" fontId="18" fillId="0" borderId="2" xfId="0" applyNumberFormat="1" applyFont="1" applyBorder="1"/>
    <xf numFmtId="166" fontId="11" fillId="2" borderId="40" xfId="1" applyNumberFormat="1" applyFont="1" applyFill="1" applyBorder="1" applyProtection="1">
      <protection locked="0"/>
    </xf>
    <xf numFmtId="166" fontId="11" fillId="5" borderId="2" xfId="1" applyNumberFormat="1" applyFont="1" applyFill="1" applyBorder="1" applyProtection="1">
      <protection hidden="1"/>
    </xf>
    <xf numFmtId="165" fontId="18" fillId="0" borderId="41" xfId="0" applyNumberFormat="1" applyFont="1" applyBorder="1"/>
    <xf numFmtId="0" fontId="19" fillId="0" borderId="0" xfId="0" applyFont="1" applyAlignment="1">
      <alignment horizontal="center" wrapText="1"/>
    </xf>
    <xf numFmtId="0" fontId="18" fillId="0" borderId="0" xfId="0" applyFont="1" applyProtection="1">
      <protection locked="0"/>
    </xf>
    <xf numFmtId="0" fontId="20" fillId="0" borderId="0" xfId="0" applyFont="1" applyProtection="1">
      <protection locked="0"/>
    </xf>
    <xf numFmtId="14" fontId="21" fillId="0" borderId="0" xfId="0" applyNumberFormat="1" applyFont="1"/>
    <xf numFmtId="0" fontId="15" fillId="0" borderId="0" xfId="0" applyFont="1" applyAlignment="1">
      <alignment horizontal="center"/>
    </xf>
    <xf numFmtId="164" fontId="23" fillId="5" borderId="43" xfId="0" applyNumberFormat="1" applyFont="1" applyFill="1" applyBorder="1" applyAlignment="1" applyProtection="1">
      <alignment vertical="center"/>
      <protection hidden="1"/>
    </xf>
    <xf numFmtId="0" fontId="23" fillId="0" borderId="44" xfId="0" applyFont="1" applyBorder="1"/>
    <xf numFmtId="164" fontId="23" fillId="0" borderId="45" xfId="0" applyNumberFormat="1" applyFont="1" applyBorder="1"/>
    <xf numFmtId="43" fontId="14" fillId="0" borderId="46" xfId="0" applyNumberFormat="1" applyFont="1" applyBorder="1"/>
    <xf numFmtId="164" fontId="18" fillId="0" borderId="44" xfId="0" applyNumberFormat="1" applyFont="1" applyBorder="1"/>
    <xf numFmtId="164" fontId="18" fillId="0" borderId="44" xfId="0" applyNumberFormat="1" applyFont="1" applyBorder="1" applyAlignment="1">
      <alignment vertical="center"/>
    </xf>
    <xf numFmtId="10" fontId="10" fillId="6" borderId="47" xfId="2" applyNumberFormat="1" applyFont="1" applyFill="1" applyBorder="1" applyAlignment="1" applyProtection="1">
      <alignment horizontal="center"/>
      <protection hidden="1"/>
    </xf>
    <xf numFmtId="0" fontId="19" fillId="0" borderId="2" xfId="0" applyFont="1" applyBorder="1"/>
    <xf numFmtId="0" fontId="25" fillId="0" borderId="0" xfId="0" applyFont="1" applyAlignment="1">
      <alignment vertical="center" wrapText="1"/>
    </xf>
    <xf numFmtId="0" fontId="19" fillId="0" borderId="0" xfId="0" applyFont="1" applyAlignment="1">
      <alignment wrapText="1"/>
    </xf>
    <xf numFmtId="0" fontId="19" fillId="0" borderId="2" xfId="0" applyFont="1" applyBorder="1" applyAlignment="1">
      <alignment vertical="center"/>
    </xf>
    <xf numFmtId="164" fontId="50" fillId="0" borderId="0" xfId="0" applyNumberFormat="1" applyFont="1"/>
    <xf numFmtId="164" fontId="23" fillId="0" borderId="2" xfId="1" applyFont="1" applyFill="1" applyBorder="1" applyAlignment="1" applyProtection="1">
      <alignment horizontal="center"/>
    </xf>
    <xf numFmtId="43" fontId="18" fillId="0" borderId="13" xfId="0" applyNumberFormat="1" applyFont="1" applyBorder="1"/>
    <xf numFmtId="43" fontId="19" fillId="0" borderId="13" xfId="0" applyNumberFormat="1" applyFont="1" applyBorder="1"/>
    <xf numFmtId="49" fontId="12" fillId="6" borderId="10" xfId="0" applyNumberFormat="1" applyFont="1" applyFill="1" applyBorder="1" applyAlignment="1">
      <alignment horizontal="center" vertical="center"/>
    </xf>
    <xf numFmtId="49" fontId="12" fillId="6" borderId="5" xfId="0" applyNumberFormat="1" applyFont="1" applyFill="1" applyBorder="1" applyAlignment="1">
      <alignment horizontal="center" vertical="center"/>
    </xf>
    <xf numFmtId="49" fontId="12" fillId="6" borderId="6" xfId="0" applyNumberFormat="1" applyFont="1" applyFill="1" applyBorder="1" applyAlignment="1">
      <alignment horizontal="center" vertical="center"/>
    </xf>
    <xf numFmtId="0" fontId="24" fillId="0" borderId="0" xfId="0" applyFont="1" applyAlignment="1">
      <alignment wrapText="1"/>
    </xf>
    <xf numFmtId="0" fontId="53" fillId="4" borderId="0" xfId="0" applyFont="1" applyFill="1" applyAlignment="1">
      <alignment wrapText="1"/>
    </xf>
    <xf numFmtId="0" fontId="24" fillId="4" borderId="0" xfId="0" applyFont="1" applyFill="1" applyAlignment="1">
      <alignment vertical="center" wrapText="1"/>
    </xf>
    <xf numFmtId="165" fontId="12" fillId="0" borderId="13" xfId="0" applyNumberFormat="1" applyFont="1" applyBorder="1"/>
    <xf numFmtId="0" fontId="19" fillId="15" borderId="13" xfId="0" applyFont="1" applyFill="1" applyBorder="1" applyAlignment="1">
      <alignment wrapText="1"/>
    </xf>
    <xf numFmtId="49" fontId="26" fillId="0" borderId="1" xfId="0" applyNumberFormat="1" applyFont="1" applyBorder="1" applyAlignment="1">
      <alignment vertical="center" wrapText="1"/>
    </xf>
    <xf numFmtId="49" fontId="12" fillId="0" borderId="0" xfId="0" applyNumberFormat="1" applyFont="1" applyAlignment="1">
      <alignment vertical="center" wrapText="1"/>
    </xf>
    <xf numFmtId="165" fontId="11" fillId="2" borderId="40" xfId="1" applyNumberFormat="1" applyFont="1" applyFill="1" applyBorder="1" applyAlignment="1" applyProtection="1">
      <alignment vertical="center" wrapText="1"/>
      <protection locked="0"/>
    </xf>
    <xf numFmtId="165" fontId="11" fillId="5" borderId="2" xfId="0" applyNumberFormat="1" applyFont="1" applyFill="1" applyBorder="1" applyAlignment="1">
      <alignment vertical="center" wrapText="1"/>
    </xf>
    <xf numFmtId="165" fontId="11" fillId="5" borderId="16" xfId="0" applyNumberFormat="1" applyFont="1" applyFill="1" applyBorder="1" applyAlignment="1" applyProtection="1">
      <alignment vertical="center" wrapText="1"/>
      <protection hidden="1"/>
    </xf>
    <xf numFmtId="43" fontId="19" fillId="15" borderId="13" xfId="0" applyNumberFormat="1" applyFont="1" applyFill="1" applyBorder="1" applyAlignment="1">
      <alignment vertical="center" wrapText="1"/>
    </xf>
    <xf numFmtId="0" fontId="19" fillId="0" borderId="2" xfId="0" applyFont="1" applyBorder="1" applyAlignment="1">
      <alignment vertical="center" wrapText="1"/>
    </xf>
    <xf numFmtId="0" fontId="18" fillId="0" borderId="0" xfId="0" applyFont="1" applyAlignment="1">
      <alignment vertical="center" wrapText="1"/>
    </xf>
    <xf numFmtId="49" fontId="12" fillId="2" borderId="0" xfId="0" applyNumberFormat="1" applyFont="1" applyFill="1" applyAlignment="1">
      <alignment horizontal="center" vertical="center"/>
    </xf>
    <xf numFmtId="166" fontId="11" fillId="2" borderId="39" xfId="1" applyNumberFormat="1" applyFont="1" applyFill="1" applyBorder="1" applyProtection="1">
      <protection locked="0"/>
    </xf>
    <xf numFmtId="49" fontId="12" fillId="6" borderId="48" xfId="0" applyNumberFormat="1" applyFont="1" applyFill="1" applyBorder="1" applyAlignment="1">
      <alignment horizontal="center"/>
    </xf>
    <xf numFmtId="49" fontId="12" fillId="6" borderId="49" xfId="0" applyNumberFormat="1" applyFont="1" applyFill="1" applyBorder="1" applyAlignment="1">
      <alignment horizontal="center"/>
    </xf>
    <xf numFmtId="49" fontId="12" fillId="6" borderId="50" xfId="0" applyNumberFormat="1" applyFont="1" applyFill="1" applyBorder="1" applyAlignment="1">
      <alignment horizontal="center"/>
    </xf>
    <xf numFmtId="165" fontId="14" fillId="6" borderId="51" xfId="0" applyNumberFormat="1" applyFont="1" applyFill="1" applyBorder="1"/>
    <xf numFmtId="165" fontId="14" fillId="6" borderId="52" xfId="0" applyNumberFormat="1" applyFont="1" applyFill="1" applyBorder="1"/>
    <xf numFmtId="14" fontId="21" fillId="0" borderId="0" xfId="0" applyNumberFormat="1" applyFont="1" applyProtection="1">
      <protection hidden="1"/>
    </xf>
    <xf numFmtId="0" fontId="18" fillId="0" borderId="0" xfId="0" applyFont="1" applyProtection="1">
      <protection hidden="1"/>
    </xf>
    <xf numFmtId="0" fontId="18" fillId="0" borderId="0" xfId="0" applyFont="1" applyAlignment="1" applyProtection="1">
      <alignment horizontal="center" wrapText="1"/>
      <protection hidden="1"/>
    </xf>
    <xf numFmtId="0" fontId="23" fillId="0" borderId="0" xfId="0" applyFont="1" applyProtection="1">
      <protection hidden="1"/>
    </xf>
    <xf numFmtId="49" fontId="20" fillId="0" borderId="0" xfId="3" applyNumberFormat="1" applyFont="1" applyBorder="1" applyAlignment="1" applyProtection="1">
      <alignment horizontal="left"/>
      <protection hidden="1"/>
    </xf>
    <xf numFmtId="49" fontId="29" fillId="13" borderId="3" xfId="0" applyNumberFormat="1" applyFont="1" applyFill="1" applyBorder="1" applyAlignment="1" applyProtection="1">
      <alignment horizontal="center" wrapText="1"/>
      <protection hidden="1"/>
    </xf>
    <xf numFmtId="49" fontId="29" fillId="13" borderId="3" xfId="0" applyNumberFormat="1" applyFont="1" applyFill="1" applyBorder="1" applyAlignment="1" applyProtection="1">
      <alignment horizontal="center"/>
      <protection hidden="1"/>
    </xf>
    <xf numFmtId="49" fontId="29" fillId="13" borderId="11" xfId="0" applyNumberFormat="1" applyFont="1" applyFill="1" applyBorder="1" applyAlignment="1" applyProtection="1">
      <alignment horizontal="center" vertical="center" wrapText="1"/>
      <protection hidden="1"/>
    </xf>
    <xf numFmtId="49" fontId="29" fillId="13" borderId="11" xfId="0" applyNumberFormat="1" applyFont="1" applyFill="1" applyBorder="1" applyAlignment="1" applyProtection="1">
      <alignment vertical="center"/>
      <protection hidden="1"/>
    </xf>
    <xf numFmtId="0" fontId="29" fillId="13" borderId="3" xfId="0" applyFont="1" applyFill="1" applyBorder="1" applyAlignment="1" applyProtection="1">
      <alignment horizontal="center"/>
      <protection hidden="1"/>
    </xf>
    <xf numFmtId="165" fontId="15" fillId="6" borderId="3" xfId="0" applyNumberFormat="1" applyFont="1" applyFill="1" applyBorder="1" applyAlignment="1" applyProtection="1">
      <alignment horizontal="center"/>
      <protection hidden="1"/>
    </xf>
    <xf numFmtId="0" fontId="30" fillId="13" borderId="3" xfId="0" applyFont="1" applyFill="1" applyBorder="1" applyAlignment="1" applyProtection="1">
      <alignment horizontal="center" vertical="center"/>
      <protection hidden="1"/>
    </xf>
    <xf numFmtId="49" fontId="34" fillId="13" borderId="35" xfId="0" applyNumberFormat="1" applyFont="1" applyFill="1" applyBorder="1" applyAlignment="1" applyProtection="1">
      <alignment vertical="center" wrapText="1"/>
      <protection hidden="1"/>
    </xf>
    <xf numFmtId="49" fontId="12" fillId="5" borderId="1" xfId="0" applyNumberFormat="1" applyFont="1" applyFill="1" applyBorder="1" applyProtection="1">
      <protection hidden="1"/>
    </xf>
    <xf numFmtId="165" fontId="11" fillId="5" borderId="30" xfId="0" applyNumberFormat="1" applyFont="1" applyFill="1" applyBorder="1" applyProtection="1">
      <protection hidden="1"/>
    </xf>
    <xf numFmtId="165" fontId="11" fillId="0" borderId="13" xfId="0" applyNumberFormat="1" applyFont="1" applyBorder="1" applyProtection="1">
      <protection hidden="1"/>
    </xf>
    <xf numFmtId="49" fontId="32" fillId="5" borderId="1" xfId="0" applyNumberFormat="1" applyFont="1" applyFill="1" applyBorder="1" applyProtection="1">
      <protection hidden="1"/>
    </xf>
    <xf numFmtId="165" fontId="11" fillId="0" borderId="40" xfId="0" applyNumberFormat="1" applyFont="1" applyBorder="1" applyProtection="1">
      <protection hidden="1"/>
    </xf>
    <xf numFmtId="165" fontId="11" fillId="0" borderId="2" xfId="0" applyNumberFormat="1" applyFont="1" applyBorder="1" applyProtection="1">
      <protection hidden="1"/>
    </xf>
    <xf numFmtId="49" fontId="12" fillId="0" borderId="1" xfId="0" applyNumberFormat="1" applyFont="1" applyBorder="1" applyProtection="1">
      <protection hidden="1"/>
    </xf>
    <xf numFmtId="49" fontId="11" fillId="0" borderId="1" xfId="0" applyNumberFormat="1" applyFont="1" applyBorder="1" applyAlignment="1" applyProtection="1">
      <alignment horizontal="left"/>
      <protection hidden="1"/>
    </xf>
    <xf numFmtId="165" fontId="11" fillId="5" borderId="2" xfId="0" applyNumberFormat="1" applyFont="1" applyFill="1" applyBorder="1" applyProtection="1">
      <protection hidden="1"/>
    </xf>
    <xf numFmtId="49" fontId="11" fillId="0" borderId="1" xfId="0" applyNumberFormat="1" applyFont="1" applyBorder="1" applyProtection="1">
      <protection hidden="1"/>
    </xf>
    <xf numFmtId="0" fontId="19" fillId="0" borderId="0" xfId="0" applyFont="1" applyProtection="1">
      <protection hidden="1"/>
    </xf>
    <xf numFmtId="49" fontId="12" fillId="0" borderId="1" xfId="0" applyNumberFormat="1" applyFont="1" applyBorder="1" applyAlignment="1" applyProtection="1">
      <alignment vertical="center"/>
      <protection hidden="1"/>
    </xf>
    <xf numFmtId="0" fontId="18" fillId="0" borderId="0" xfId="0" applyFont="1" applyAlignment="1" applyProtection="1">
      <alignment vertical="center"/>
      <protection hidden="1"/>
    </xf>
    <xf numFmtId="0" fontId="19" fillId="0" borderId="0" xfId="0" applyFont="1" applyAlignment="1" applyProtection="1">
      <alignment vertical="center"/>
      <protection hidden="1"/>
    </xf>
    <xf numFmtId="166" fontId="18" fillId="0" borderId="2" xfId="0" applyNumberFormat="1" applyFont="1" applyBorder="1" applyProtection="1">
      <protection hidden="1"/>
    </xf>
    <xf numFmtId="0" fontId="24" fillId="0" borderId="0" xfId="0" applyFont="1" applyAlignment="1" applyProtection="1">
      <alignment horizontal="center" wrapText="1"/>
      <protection hidden="1"/>
    </xf>
    <xf numFmtId="0" fontId="18" fillId="0" borderId="1" xfId="0" applyFont="1" applyBorder="1" applyProtection="1">
      <protection hidden="1"/>
    </xf>
    <xf numFmtId="0" fontId="18" fillId="0" borderId="40" xfId="0" applyFont="1" applyBorder="1" applyProtection="1">
      <protection hidden="1"/>
    </xf>
    <xf numFmtId="0" fontId="18" fillId="0" borderId="2" xfId="0" applyFont="1" applyBorder="1" applyProtection="1">
      <protection hidden="1"/>
    </xf>
    <xf numFmtId="165" fontId="18" fillId="0" borderId="41" xfId="0" applyNumberFormat="1" applyFont="1" applyBorder="1" applyProtection="1">
      <protection hidden="1"/>
    </xf>
    <xf numFmtId="165" fontId="18" fillId="0" borderId="13" xfId="0" applyNumberFormat="1" applyFont="1" applyBorder="1" applyProtection="1">
      <protection hidden="1"/>
    </xf>
    <xf numFmtId="0" fontId="18" fillId="0" borderId="13" xfId="0" applyFont="1" applyBorder="1" applyProtection="1">
      <protection hidden="1"/>
    </xf>
    <xf numFmtId="9" fontId="18" fillId="0" borderId="0" xfId="0" applyNumberFormat="1" applyFont="1" applyProtection="1">
      <protection hidden="1"/>
    </xf>
    <xf numFmtId="165" fontId="18" fillId="0" borderId="2" xfId="0" applyNumberFormat="1" applyFont="1" applyBorder="1" applyProtection="1">
      <protection hidden="1"/>
    </xf>
    <xf numFmtId="165" fontId="11" fillId="0" borderId="40" xfId="1" applyNumberFormat="1" applyFont="1" applyFill="1" applyBorder="1" applyProtection="1">
      <protection hidden="1"/>
    </xf>
    <xf numFmtId="165" fontId="11" fillId="0" borderId="40" xfId="1" applyNumberFormat="1" applyFont="1" applyBorder="1" applyProtection="1">
      <protection hidden="1"/>
    </xf>
    <xf numFmtId="165" fontId="11" fillId="5" borderId="2" xfId="0" applyNumberFormat="1" applyFont="1" applyFill="1" applyBorder="1" applyAlignment="1" applyProtection="1">
      <alignment vertical="center" wrapText="1"/>
      <protection hidden="1"/>
    </xf>
    <xf numFmtId="49" fontId="26" fillId="0" borderId="1" xfId="0" applyNumberFormat="1" applyFont="1" applyBorder="1" applyProtection="1">
      <protection hidden="1"/>
    </xf>
    <xf numFmtId="49" fontId="11" fillId="0" borderId="1" xfId="0" applyNumberFormat="1" applyFont="1" applyBorder="1" applyAlignment="1" applyProtection="1">
      <alignment horizontal="left" vertical="top"/>
      <protection hidden="1"/>
    </xf>
    <xf numFmtId="49" fontId="11" fillId="0" borderId="1" xfId="0" applyNumberFormat="1" applyFont="1" applyBorder="1" applyAlignment="1" applyProtection="1">
      <alignment vertical="center"/>
      <protection hidden="1"/>
    </xf>
    <xf numFmtId="49" fontId="11" fillId="0" borderId="1" xfId="0" applyNumberFormat="1" applyFont="1" applyBorder="1" applyAlignment="1" applyProtection="1">
      <alignment wrapText="1"/>
      <protection hidden="1"/>
    </xf>
    <xf numFmtId="49" fontId="11" fillId="5" borderId="1" xfId="0" applyNumberFormat="1" applyFont="1" applyFill="1" applyBorder="1" applyProtection="1">
      <protection hidden="1"/>
    </xf>
    <xf numFmtId="49" fontId="11" fillId="5" borderId="1" xfId="0" applyNumberFormat="1" applyFont="1" applyFill="1" applyBorder="1" applyAlignment="1" applyProtection="1">
      <alignment horizontal="center"/>
      <protection hidden="1"/>
    </xf>
    <xf numFmtId="49" fontId="12" fillId="6" borderId="1" xfId="0" applyNumberFormat="1" applyFont="1" applyFill="1" applyBorder="1" applyAlignment="1" applyProtection="1">
      <alignment horizontal="center"/>
      <protection hidden="1"/>
    </xf>
    <xf numFmtId="0" fontId="18" fillId="0" borderId="1" xfId="0" applyFont="1" applyBorder="1" applyAlignment="1" applyProtection="1">
      <alignment horizontal="center" wrapText="1"/>
      <protection hidden="1"/>
    </xf>
    <xf numFmtId="0" fontId="19" fillId="0" borderId="2" xfId="0" applyFont="1" applyBorder="1" applyAlignment="1" applyProtection="1">
      <alignment horizontal="center" wrapText="1"/>
      <protection hidden="1"/>
    </xf>
    <xf numFmtId="49" fontId="20" fillId="0" borderId="1" xfId="3" applyNumberFormat="1" applyFont="1" applyBorder="1" applyAlignment="1" applyProtection="1">
      <alignment horizontal="left"/>
      <protection hidden="1"/>
    </xf>
    <xf numFmtId="0" fontId="19" fillId="0" borderId="2" xfId="0" applyFont="1" applyBorder="1" applyProtection="1">
      <protection hidden="1"/>
    </xf>
    <xf numFmtId="49" fontId="22" fillId="0" borderId="1" xfId="0" applyNumberFormat="1" applyFont="1" applyBorder="1" applyAlignment="1" applyProtection="1">
      <alignment horizontal="center"/>
      <protection hidden="1"/>
    </xf>
    <xf numFmtId="0" fontId="23" fillId="0" borderId="2" xfId="0" applyFont="1" applyBorder="1" applyProtection="1">
      <protection hidden="1"/>
    </xf>
    <xf numFmtId="0" fontId="23" fillId="0" borderId="0" xfId="0" applyFont="1" applyAlignment="1" applyProtection="1">
      <alignment vertical="center" wrapText="1"/>
      <protection hidden="1"/>
    </xf>
    <xf numFmtId="49" fontId="22" fillId="0" borderId="1" xfId="0" applyNumberFormat="1" applyFont="1" applyBorder="1" applyAlignment="1" applyProtection="1">
      <alignment horizontal="center" vertical="center" wrapText="1"/>
      <protection hidden="1"/>
    </xf>
    <xf numFmtId="0" fontId="19" fillId="0" borderId="2" xfId="0" applyFont="1" applyBorder="1" applyAlignment="1" applyProtection="1">
      <alignment vertical="center" wrapText="1"/>
      <protection hidden="1"/>
    </xf>
    <xf numFmtId="165" fontId="18" fillId="0" borderId="3" xfId="1" applyNumberFormat="1" applyFont="1" applyBorder="1" applyProtection="1">
      <protection hidden="1"/>
    </xf>
    <xf numFmtId="165" fontId="30" fillId="13" borderId="3" xfId="1" applyNumberFormat="1" applyFont="1" applyFill="1" applyBorder="1" applyAlignment="1" applyProtection="1">
      <alignment horizontal="center" vertical="center" wrapText="1"/>
      <protection hidden="1"/>
    </xf>
    <xf numFmtId="165" fontId="11" fillId="5" borderId="26" xfId="0" applyNumberFormat="1" applyFont="1" applyFill="1" applyBorder="1" applyAlignment="1" applyProtection="1">
      <alignment vertical="center"/>
      <protection hidden="1"/>
    </xf>
    <xf numFmtId="165" fontId="11" fillId="2" borderId="55" xfId="1" applyNumberFormat="1" applyFont="1" applyFill="1" applyBorder="1" applyProtection="1">
      <protection locked="0"/>
    </xf>
    <xf numFmtId="165" fontId="12" fillId="2" borderId="55" xfId="1" applyNumberFormat="1" applyFont="1" applyFill="1" applyBorder="1" applyAlignment="1" applyProtection="1">
      <alignment horizontal="center" vertical="center" wrapText="1"/>
      <protection locked="0"/>
    </xf>
    <xf numFmtId="165" fontId="18" fillId="0" borderId="13" xfId="1" applyNumberFormat="1" applyFont="1" applyBorder="1" applyProtection="1">
      <protection hidden="1"/>
    </xf>
    <xf numFmtId="165" fontId="11" fillId="5" borderId="17" xfId="1" applyNumberFormat="1" applyFont="1" applyFill="1" applyBorder="1" applyAlignment="1" applyProtection="1">
      <alignment vertical="center"/>
      <protection hidden="1"/>
    </xf>
    <xf numFmtId="165" fontId="12" fillId="6" borderId="19" xfId="1" applyNumberFormat="1" applyFont="1" applyFill="1" applyBorder="1" applyAlignment="1" applyProtection="1">
      <alignment vertical="center"/>
      <protection hidden="1"/>
    </xf>
    <xf numFmtId="0" fontId="24" fillId="0" borderId="0" xfId="0" applyFont="1" applyAlignment="1" applyProtection="1">
      <alignment horizontal="left" vertical="center" wrapText="1"/>
      <protection hidden="1"/>
    </xf>
    <xf numFmtId="0" fontId="18" fillId="0" borderId="3" xfId="0" applyFont="1" applyBorder="1" applyAlignment="1" applyProtection="1">
      <alignment horizontal="center"/>
      <protection hidden="1"/>
    </xf>
    <xf numFmtId="9" fontId="30" fillId="13" borderId="3" xfId="2" applyFont="1" applyFill="1" applyBorder="1" applyAlignment="1" applyProtection="1">
      <alignment horizontal="center" vertical="center"/>
      <protection hidden="1"/>
    </xf>
    <xf numFmtId="9" fontId="30" fillId="13" borderId="3" xfId="2" applyFont="1" applyFill="1" applyBorder="1" applyAlignment="1" applyProtection="1">
      <alignment horizontal="center" vertical="center" wrapText="1"/>
      <protection hidden="1"/>
    </xf>
    <xf numFmtId="165" fontId="11" fillId="2" borderId="13" xfId="1" applyNumberFormat="1" applyFont="1" applyFill="1" applyBorder="1" applyAlignment="1" applyProtection="1">
      <alignment vertical="center"/>
      <protection locked="0"/>
    </xf>
    <xf numFmtId="49" fontId="56" fillId="0" borderId="1" xfId="0" applyNumberFormat="1" applyFont="1" applyBorder="1" applyAlignment="1" applyProtection="1">
      <alignment horizontal="center"/>
      <protection hidden="1"/>
    </xf>
    <xf numFmtId="0" fontId="55" fillId="0" borderId="1" xfId="0" applyFont="1" applyBorder="1" applyAlignment="1" applyProtection="1">
      <alignment vertical="center"/>
      <protection hidden="1"/>
    </xf>
    <xf numFmtId="165" fontId="12" fillId="5" borderId="2" xfId="1" applyNumberFormat="1" applyFont="1" applyFill="1" applyBorder="1" applyProtection="1">
      <protection hidden="1"/>
    </xf>
    <xf numFmtId="0" fontId="14" fillId="0" borderId="0" xfId="0" applyFont="1" applyProtection="1">
      <protection hidden="1"/>
    </xf>
    <xf numFmtId="0" fontId="14" fillId="0" borderId="0" xfId="0" applyFont="1" applyAlignment="1" applyProtection="1">
      <alignment vertical="top"/>
      <protection hidden="1"/>
    </xf>
    <xf numFmtId="0" fontId="14" fillId="0" borderId="0" xfId="0" applyFont="1" applyAlignment="1" applyProtection="1">
      <alignment horizontal="left"/>
      <protection hidden="1"/>
    </xf>
    <xf numFmtId="165" fontId="18" fillId="0" borderId="0" xfId="0" applyNumberFormat="1" applyFont="1" applyProtection="1">
      <protection hidden="1"/>
    </xf>
    <xf numFmtId="0" fontId="57" fillId="0" borderId="0" xfId="0" applyFont="1" applyProtection="1">
      <protection hidden="1"/>
    </xf>
    <xf numFmtId="166" fontId="23" fillId="0" borderId="0" xfId="0" applyNumberFormat="1" applyFont="1" applyProtection="1">
      <protection hidden="1"/>
    </xf>
    <xf numFmtId="165" fontId="23" fillId="0" borderId="0" xfId="0" applyNumberFormat="1" applyFont="1" applyProtection="1">
      <protection hidden="1"/>
    </xf>
    <xf numFmtId="164" fontId="18" fillId="0" borderId="0" xfId="0" applyNumberFormat="1" applyFont="1" applyProtection="1">
      <protection hidden="1"/>
    </xf>
    <xf numFmtId="49" fontId="12" fillId="0" borderId="1" xfId="0" applyNumberFormat="1" applyFont="1" applyBorder="1" applyAlignment="1" applyProtection="1">
      <alignment vertical="center" wrapText="1"/>
      <protection hidden="1"/>
    </xf>
    <xf numFmtId="165" fontId="58" fillId="0" borderId="13" xfId="0" applyNumberFormat="1" applyFont="1" applyBorder="1" applyProtection="1">
      <protection hidden="1"/>
    </xf>
    <xf numFmtId="49" fontId="12" fillId="6" borderId="54" xfId="0" applyNumberFormat="1" applyFont="1" applyFill="1" applyBorder="1" applyAlignment="1" applyProtection="1">
      <alignment horizontal="center"/>
      <protection hidden="1"/>
    </xf>
    <xf numFmtId="49" fontId="12" fillId="6" borderId="53" xfId="0" applyNumberFormat="1" applyFont="1" applyFill="1" applyBorder="1" applyAlignment="1" applyProtection="1">
      <alignment horizontal="center"/>
      <protection hidden="1"/>
    </xf>
    <xf numFmtId="49" fontId="12" fillId="5" borderId="2" xfId="0" applyNumberFormat="1" applyFont="1" applyFill="1" applyBorder="1" applyProtection="1">
      <protection hidden="1"/>
    </xf>
    <xf numFmtId="49" fontId="12" fillId="0" borderId="2" xfId="0" applyNumberFormat="1" applyFont="1" applyBorder="1" applyProtection="1">
      <protection hidden="1"/>
    </xf>
    <xf numFmtId="49" fontId="11" fillId="0" borderId="2" xfId="0" applyNumberFormat="1" applyFont="1" applyBorder="1" applyAlignment="1" applyProtection="1">
      <alignment horizontal="left"/>
      <protection hidden="1"/>
    </xf>
    <xf numFmtId="49" fontId="11" fillId="0" borderId="2" xfId="0" applyNumberFormat="1" applyFont="1" applyBorder="1" applyProtection="1">
      <protection hidden="1"/>
    </xf>
    <xf numFmtId="49" fontId="12" fillId="0" borderId="2" xfId="0" applyNumberFormat="1" applyFont="1" applyBorder="1" applyAlignment="1" applyProtection="1">
      <alignment vertical="center"/>
      <protection hidden="1"/>
    </xf>
    <xf numFmtId="49" fontId="12" fillId="0" borderId="2" xfId="0" applyNumberFormat="1" applyFont="1" applyBorder="1" applyAlignment="1" applyProtection="1">
      <alignment vertical="center" wrapText="1"/>
      <protection hidden="1"/>
    </xf>
    <xf numFmtId="0" fontId="18" fillId="0" borderId="2" xfId="0" applyFont="1" applyBorder="1" applyAlignment="1" applyProtection="1">
      <alignment vertical="center"/>
      <protection hidden="1"/>
    </xf>
    <xf numFmtId="49" fontId="12" fillId="2" borderId="2" xfId="0" applyNumberFormat="1" applyFont="1" applyFill="1" applyBorder="1" applyAlignment="1" applyProtection="1">
      <alignment horizontal="center"/>
      <protection locked="0"/>
    </xf>
    <xf numFmtId="49" fontId="11" fillId="0" borderId="2" xfId="0" applyNumberFormat="1" applyFont="1" applyBorder="1" applyAlignment="1" applyProtection="1">
      <alignment horizontal="left" vertical="top" wrapText="1"/>
      <protection hidden="1"/>
    </xf>
    <xf numFmtId="49" fontId="11" fillId="0" borderId="2" xfId="0" applyNumberFormat="1" applyFont="1" applyBorder="1" applyAlignment="1" applyProtection="1">
      <alignment vertical="center"/>
      <protection hidden="1"/>
    </xf>
    <xf numFmtId="49" fontId="12" fillId="2" borderId="2" xfId="0" applyNumberFormat="1" applyFont="1" applyFill="1" applyBorder="1" applyAlignment="1" applyProtection="1">
      <alignment horizontal="center" vertical="center"/>
      <protection locked="0"/>
    </xf>
    <xf numFmtId="49" fontId="11" fillId="5" borderId="10" xfId="0" applyNumberFormat="1" applyFont="1" applyFill="1" applyBorder="1" applyProtection="1">
      <protection hidden="1"/>
    </xf>
    <xf numFmtId="49" fontId="12" fillId="5" borderId="5" xfId="0" applyNumberFormat="1" applyFont="1" applyFill="1" applyBorder="1" applyProtection="1">
      <protection hidden="1"/>
    </xf>
    <xf numFmtId="49" fontId="12" fillId="5" borderId="6" xfId="0" applyNumberFormat="1" applyFont="1" applyFill="1" applyBorder="1" applyProtection="1">
      <protection hidden="1"/>
    </xf>
    <xf numFmtId="49" fontId="34" fillId="13" borderId="56" xfId="0" applyNumberFormat="1" applyFont="1" applyFill="1" applyBorder="1" applyAlignment="1" applyProtection="1">
      <alignment vertical="center" wrapText="1"/>
      <protection hidden="1"/>
    </xf>
    <xf numFmtId="165" fontId="18" fillId="0" borderId="57" xfId="0" applyNumberFormat="1" applyFont="1" applyBorder="1" applyProtection="1">
      <protection hidden="1"/>
    </xf>
    <xf numFmtId="165" fontId="12" fillId="5" borderId="58" xfId="0" applyNumberFormat="1" applyFont="1" applyFill="1" applyBorder="1" applyAlignment="1" applyProtection="1">
      <alignment vertical="center"/>
      <protection hidden="1"/>
    </xf>
    <xf numFmtId="165" fontId="12" fillId="5" borderId="25" xfId="0" applyNumberFormat="1" applyFont="1" applyFill="1" applyBorder="1" applyAlignment="1" applyProtection="1">
      <alignment vertical="center"/>
      <protection hidden="1"/>
    </xf>
    <xf numFmtId="165" fontId="12" fillId="5" borderId="27" xfId="0" applyNumberFormat="1" applyFont="1" applyFill="1" applyBorder="1" applyAlignment="1" applyProtection="1">
      <alignment vertical="center"/>
      <protection hidden="1"/>
    </xf>
    <xf numFmtId="165" fontId="18" fillId="0" borderId="2" xfId="1" applyNumberFormat="1" applyFont="1" applyBorder="1" applyProtection="1">
      <protection hidden="1"/>
    </xf>
    <xf numFmtId="165" fontId="11" fillId="0" borderId="1" xfId="0" applyNumberFormat="1" applyFont="1" applyBorder="1" applyProtection="1">
      <protection hidden="1"/>
    </xf>
    <xf numFmtId="165" fontId="11" fillId="0" borderId="10" xfId="0" applyNumberFormat="1" applyFont="1" applyBorder="1" applyProtection="1">
      <protection hidden="1"/>
    </xf>
    <xf numFmtId="0" fontId="38" fillId="0" borderId="0" xfId="6" applyFont="1"/>
    <xf numFmtId="49" fontId="61" fillId="0" borderId="1" xfId="0" applyNumberFormat="1" applyFont="1" applyBorder="1" applyProtection="1">
      <protection hidden="1"/>
    </xf>
    <xf numFmtId="49" fontId="11" fillId="5" borderId="1" xfId="0" applyNumberFormat="1" applyFont="1" applyFill="1" applyBorder="1" applyAlignment="1" applyProtection="1">
      <alignment horizontal="left"/>
      <protection hidden="1"/>
    </xf>
    <xf numFmtId="0" fontId="38" fillId="0" borderId="0" xfId="4"/>
    <xf numFmtId="164" fontId="38" fillId="0" borderId="0" xfId="6" applyNumberFormat="1" applyFont="1"/>
    <xf numFmtId="0" fontId="20" fillId="0" borderId="0" xfId="0" applyFont="1" applyProtection="1">
      <protection hidden="1"/>
    </xf>
    <xf numFmtId="0" fontId="15" fillId="0" borderId="0" xfId="0" applyFont="1" applyAlignment="1" applyProtection="1">
      <alignment horizontal="center"/>
      <protection hidden="1"/>
    </xf>
    <xf numFmtId="0" fontId="30" fillId="0" borderId="0" xfId="0" applyFont="1" applyAlignment="1" applyProtection="1">
      <alignment horizontal="center" vertical="center" wrapText="1"/>
      <protection hidden="1"/>
    </xf>
    <xf numFmtId="0" fontId="30" fillId="0" borderId="0" xfId="0" applyFont="1" applyAlignment="1" applyProtection="1">
      <alignment horizontal="center" vertical="center"/>
      <protection hidden="1"/>
    </xf>
    <xf numFmtId="49" fontId="22" fillId="0" borderId="0" xfId="0" applyNumberFormat="1" applyFont="1" applyAlignment="1" applyProtection="1">
      <alignment horizontal="center"/>
      <protection hidden="1"/>
    </xf>
    <xf numFmtId="49" fontId="12" fillId="5" borderId="0" xfId="0" applyNumberFormat="1" applyFont="1" applyFill="1" applyProtection="1">
      <protection hidden="1"/>
    </xf>
    <xf numFmtId="49" fontId="12" fillId="0" borderId="0" xfId="0" applyNumberFormat="1" applyFont="1" applyProtection="1">
      <protection hidden="1"/>
    </xf>
    <xf numFmtId="49" fontId="11" fillId="0" borderId="0" xfId="0" applyNumberFormat="1" applyFont="1" applyAlignment="1" applyProtection="1">
      <alignment horizontal="left"/>
      <protection hidden="1"/>
    </xf>
    <xf numFmtId="49" fontId="11" fillId="0" borderId="0" xfId="0" applyNumberFormat="1" applyFont="1" applyProtection="1">
      <protection hidden="1"/>
    </xf>
    <xf numFmtId="49" fontId="12" fillId="0" borderId="0" xfId="0" applyNumberFormat="1" applyFont="1" applyAlignment="1" applyProtection="1">
      <alignment vertical="center"/>
      <protection hidden="1"/>
    </xf>
    <xf numFmtId="49" fontId="12" fillId="0" borderId="0" xfId="0" applyNumberFormat="1" applyFont="1" applyAlignment="1" applyProtection="1">
      <alignment vertical="center" wrapText="1"/>
      <protection hidden="1"/>
    </xf>
    <xf numFmtId="49" fontId="11" fillId="0" borderId="0" xfId="0" applyNumberFormat="1" applyFont="1" applyAlignment="1" applyProtection="1">
      <alignment horizontal="left" vertical="top" wrapText="1"/>
      <protection hidden="1"/>
    </xf>
    <xf numFmtId="49" fontId="11" fillId="0" borderId="0" xfId="0" applyNumberFormat="1" applyFont="1" applyAlignment="1" applyProtection="1">
      <alignment vertical="center"/>
      <protection hidden="1"/>
    </xf>
    <xf numFmtId="49" fontId="11" fillId="5" borderId="0" xfId="0" applyNumberFormat="1" applyFont="1" applyFill="1" applyAlignment="1" applyProtection="1">
      <alignment horizontal="center"/>
      <protection hidden="1"/>
    </xf>
    <xf numFmtId="49" fontId="12" fillId="6" borderId="0" xfId="0" applyNumberFormat="1" applyFont="1" applyFill="1" applyAlignment="1" applyProtection="1">
      <alignment horizontal="center"/>
      <protection hidden="1"/>
    </xf>
    <xf numFmtId="49" fontId="12" fillId="6" borderId="10" xfId="0" applyNumberFormat="1" applyFont="1" applyFill="1" applyBorder="1" applyAlignment="1" applyProtection="1">
      <alignment horizontal="center"/>
      <protection hidden="1"/>
    </xf>
    <xf numFmtId="49" fontId="12" fillId="6" borderId="5" xfId="0" applyNumberFormat="1" applyFont="1" applyFill="1" applyBorder="1" applyAlignment="1" applyProtection="1">
      <alignment horizontal="center"/>
      <protection hidden="1"/>
    </xf>
    <xf numFmtId="165" fontId="12" fillId="6" borderId="64" xfId="1" applyNumberFormat="1" applyFont="1" applyFill="1" applyBorder="1" applyAlignment="1" applyProtection="1">
      <alignment vertical="center"/>
      <protection hidden="1"/>
    </xf>
    <xf numFmtId="165" fontId="11" fillId="5" borderId="13" xfId="0" applyNumberFormat="1" applyFont="1" applyFill="1" applyBorder="1" applyProtection="1">
      <protection hidden="1"/>
    </xf>
    <xf numFmtId="165" fontId="12" fillId="0" borderId="13" xfId="0" applyNumberFormat="1" applyFont="1" applyBorder="1" applyProtection="1">
      <protection hidden="1"/>
    </xf>
    <xf numFmtId="165" fontId="11" fillId="5" borderId="13" xfId="1" applyNumberFormat="1" applyFont="1" applyFill="1" applyBorder="1" applyProtection="1">
      <protection hidden="1"/>
    </xf>
    <xf numFmtId="165" fontId="18" fillId="0" borderId="20" xfId="1" applyNumberFormat="1" applyFont="1" applyBorder="1" applyProtection="1">
      <protection hidden="1"/>
    </xf>
    <xf numFmtId="165" fontId="19" fillId="5" borderId="59" xfId="0" applyNumberFormat="1" applyFont="1" applyFill="1" applyBorder="1" applyProtection="1">
      <protection hidden="1"/>
    </xf>
    <xf numFmtId="43" fontId="19" fillId="0" borderId="2" xfId="0" applyNumberFormat="1" applyFont="1" applyBorder="1" applyProtection="1">
      <protection hidden="1"/>
    </xf>
    <xf numFmtId="165" fontId="19" fillId="0" borderId="65" xfId="0" applyNumberFormat="1" applyFont="1" applyBorder="1" applyProtection="1">
      <protection hidden="1"/>
    </xf>
    <xf numFmtId="43" fontId="19" fillId="3" borderId="2" xfId="0" applyNumberFormat="1" applyFont="1" applyFill="1" applyBorder="1" applyProtection="1">
      <protection hidden="1"/>
    </xf>
    <xf numFmtId="43" fontId="19" fillId="3" borderId="2" xfId="0" applyNumberFormat="1" applyFont="1" applyFill="1" applyBorder="1" applyAlignment="1" applyProtection="1">
      <alignment vertical="center"/>
      <protection hidden="1"/>
    </xf>
    <xf numFmtId="165" fontId="19" fillId="0" borderId="2" xfId="0" applyNumberFormat="1" applyFont="1" applyBorder="1" applyProtection="1">
      <protection hidden="1"/>
    </xf>
    <xf numFmtId="164" fontId="19" fillId="3" borderId="2" xfId="1" applyFont="1" applyFill="1" applyBorder="1" applyProtection="1">
      <protection hidden="1"/>
    </xf>
    <xf numFmtId="43" fontId="19" fillId="15" borderId="2" xfId="0" applyNumberFormat="1" applyFont="1" applyFill="1" applyBorder="1" applyProtection="1">
      <protection hidden="1"/>
    </xf>
    <xf numFmtId="0" fontId="19" fillId="0" borderId="2" xfId="0" applyFont="1" applyBorder="1" applyAlignment="1" applyProtection="1">
      <alignment wrapText="1"/>
      <protection hidden="1"/>
    </xf>
    <xf numFmtId="0" fontId="19" fillId="15" borderId="2" xfId="0" applyFont="1" applyFill="1" applyBorder="1" applyAlignment="1" applyProtection="1">
      <alignment wrapText="1"/>
      <protection hidden="1"/>
    </xf>
    <xf numFmtId="43" fontId="19" fillId="15" borderId="2" xfId="0" applyNumberFormat="1" applyFont="1" applyFill="1" applyBorder="1" applyAlignment="1" applyProtection="1">
      <alignment vertical="center"/>
      <protection hidden="1"/>
    </xf>
    <xf numFmtId="43" fontId="19" fillId="15" borderId="2" xfId="0" applyNumberFormat="1" applyFont="1" applyFill="1" applyBorder="1" applyAlignment="1" applyProtection="1">
      <alignment vertical="center" wrapText="1"/>
      <protection hidden="1"/>
    </xf>
    <xf numFmtId="165" fontId="58" fillId="0" borderId="2" xfId="0" applyNumberFormat="1" applyFont="1" applyBorder="1" applyProtection="1">
      <protection hidden="1"/>
    </xf>
    <xf numFmtId="0" fontId="19" fillId="15" borderId="2" xfId="0" applyFont="1" applyFill="1" applyBorder="1" applyProtection="1">
      <protection hidden="1"/>
    </xf>
    <xf numFmtId="43" fontId="18" fillId="15" borderId="2" xfId="0" applyNumberFormat="1" applyFont="1" applyFill="1" applyBorder="1" applyAlignment="1" applyProtection="1">
      <alignment vertical="center"/>
      <protection hidden="1"/>
    </xf>
    <xf numFmtId="43" fontId="18" fillId="15" borderId="2" xfId="0" applyNumberFormat="1" applyFont="1" applyFill="1" applyBorder="1" applyProtection="1">
      <protection hidden="1"/>
    </xf>
    <xf numFmtId="165" fontId="18" fillId="0" borderId="6" xfId="1" applyNumberFormat="1" applyFont="1" applyBorder="1" applyProtection="1">
      <protection hidden="1"/>
    </xf>
    <xf numFmtId="0" fontId="18" fillId="0" borderId="13" xfId="0" applyFont="1" applyBorder="1" applyAlignment="1" applyProtection="1">
      <alignment vertical="center"/>
      <protection hidden="1"/>
    </xf>
    <xf numFmtId="165" fontId="14" fillId="6" borderId="63" xfId="1" applyNumberFormat="1" applyFont="1" applyFill="1" applyBorder="1" applyProtection="1">
      <protection hidden="1"/>
    </xf>
    <xf numFmtId="165" fontId="18" fillId="0" borderId="66" xfId="0" applyNumberFormat="1" applyFont="1" applyBorder="1" applyProtection="1">
      <protection hidden="1"/>
    </xf>
    <xf numFmtId="165" fontId="11" fillId="0" borderId="1" xfId="1" applyNumberFormat="1" applyFont="1" applyFill="1" applyBorder="1" applyProtection="1">
      <protection hidden="1"/>
    </xf>
    <xf numFmtId="165" fontId="11" fillId="5" borderId="68" xfId="0" applyNumberFormat="1" applyFont="1" applyFill="1" applyBorder="1" applyProtection="1">
      <protection hidden="1"/>
    </xf>
    <xf numFmtId="165" fontId="11" fillId="0" borderId="68" xfId="0" applyNumberFormat="1" applyFont="1" applyBorder="1" applyProtection="1">
      <protection hidden="1"/>
    </xf>
    <xf numFmtId="165" fontId="11" fillId="5" borderId="68" xfId="1" applyNumberFormat="1" applyFont="1" applyFill="1" applyBorder="1" applyProtection="1">
      <protection hidden="1"/>
    </xf>
    <xf numFmtId="165" fontId="18" fillId="0" borderId="68" xfId="0" applyNumberFormat="1" applyFont="1" applyBorder="1" applyProtection="1">
      <protection hidden="1"/>
    </xf>
    <xf numFmtId="165" fontId="11" fillId="5" borderId="68" xfId="0" applyNumberFormat="1" applyFont="1" applyFill="1" applyBorder="1" applyAlignment="1" applyProtection="1">
      <alignment vertical="center"/>
      <protection hidden="1"/>
    </xf>
    <xf numFmtId="165" fontId="11" fillId="5" borderId="67" xfId="0" applyNumberFormat="1" applyFont="1" applyFill="1" applyBorder="1" applyAlignment="1" applyProtection="1">
      <alignment vertical="center"/>
      <protection hidden="1"/>
    </xf>
    <xf numFmtId="164" fontId="18" fillId="0" borderId="13" xfId="1" applyFont="1" applyBorder="1" applyProtection="1">
      <protection hidden="1"/>
    </xf>
    <xf numFmtId="164" fontId="18" fillId="0" borderId="2" xfId="1" applyFont="1" applyBorder="1" applyProtection="1">
      <protection hidden="1"/>
    </xf>
    <xf numFmtId="165" fontId="11" fillId="5" borderId="35" xfId="0" applyNumberFormat="1" applyFont="1" applyFill="1" applyBorder="1" applyAlignment="1" applyProtection="1">
      <alignment vertical="center"/>
      <protection hidden="1"/>
    </xf>
    <xf numFmtId="165" fontId="14" fillId="6" borderId="69" xfId="1" applyNumberFormat="1" applyFont="1" applyFill="1" applyBorder="1" applyProtection="1">
      <protection hidden="1"/>
    </xf>
    <xf numFmtId="43" fontId="18" fillId="0" borderId="13" xfId="0" applyNumberFormat="1" applyFont="1" applyBorder="1" applyProtection="1">
      <protection hidden="1"/>
    </xf>
    <xf numFmtId="165" fontId="18" fillId="0" borderId="13" xfId="1" applyNumberFormat="1" applyFont="1" applyFill="1" applyBorder="1" applyProtection="1">
      <protection hidden="1"/>
    </xf>
    <xf numFmtId="0" fontId="42" fillId="12" borderId="3" xfId="0" applyFont="1" applyFill="1" applyBorder="1" applyAlignment="1">
      <alignment horizontal="center" vertical="center" wrapText="1"/>
    </xf>
    <xf numFmtId="0" fontId="42" fillId="12" borderId="3" xfId="0" applyFont="1" applyFill="1" applyBorder="1" applyAlignment="1">
      <alignment vertical="center" wrapText="1"/>
    </xf>
    <xf numFmtId="165" fontId="11" fillId="0" borderId="40" xfId="1" applyNumberFormat="1" applyFont="1" applyFill="1" applyBorder="1" applyAlignment="1" applyProtection="1">
      <alignment vertical="center" wrapText="1"/>
      <protection hidden="1"/>
    </xf>
    <xf numFmtId="0" fontId="0" fillId="0" borderId="0" xfId="0" applyProtection="1">
      <protection hidden="1"/>
    </xf>
    <xf numFmtId="0" fontId="0" fillId="0" borderId="13" xfId="0" applyBorder="1" applyProtection="1">
      <protection hidden="1"/>
    </xf>
    <xf numFmtId="0" fontId="38" fillId="0" borderId="13" xfId="4" applyBorder="1" applyProtection="1">
      <protection hidden="1"/>
    </xf>
    <xf numFmtId="0" fontId="38" fillId="0" borderId="13" xfId="6" applyFont="1" applyBorder="1" applyProtection="1">
      <protection hidden="1"/>
    </xf>
    <xf numFmtId="0" fontId="38" fillId="0" borderId="0" xfId="6" applyFont="1" applyProtection="1">
      <protection hidden="1"/>
    </xf>
    <xf numFmtId="164" fontId="38" fillId="0" borderId="0" xfId="1" applyFont="1" applyProtection="1">
      <protection hidden="1"/>
    </xf>
    <xf numFmtId="0" fontId="38" fillId="3" borderId="21" xfId="0" applyFont="1" applyFill="1" applyBorder="1" applyAlignment="1" applyProtection="1">
      <alignment horizontal="left"/>
      <protection hidden="1"/>
    </xf>
    <xf numFmtId="0" fontId="62" fillId="3" borderId="60" xfId="5" applyFont="1" applyFill="1" applyBorder="1" applyAlignment="1" applyProtection="1">
      <alignment horizontal="left"/>
      <protection hidden="1"/>
    </xf>
    <xf numFmtId="0" fontId="33" fillId="3" borderId="60" xfId="4" applyFont="1" applyFill="1" applyBorder="1" applyAlignment="1" applyProtection="1">
      <alignment horizontal="left"/>
      <protection hidden="1"/>
    </xf>
    <xf numFmtId="0" fontId="62" fillId="3" borderId="60" xfId="6" applyFont="1" applyFill="1" applyBorder="1" applyProtection="1">
      <protection hidden="1"/>
    </xf>
    <xf numFmtId="164" fontId="11" fillId="3" borderId="60" xfId="1" applyFont="1" applyFill="1" applyBorder="1" applyProtection="1">
      <protection hidden="1"/>
    </xf>
    <xf numFmtId="166" fontId="11" fillId="3" borderId="3" xfId="1" applyNumberFormat="1" applyFont="1" applyFill="1" applyBorder="1" applyProtection="1">
      <protection hidden="1"/>
    </xf>
    <xf numFmtId="0" fontId="60" fillId="3" borderId="21" xfId="6" applyFont="1" applyFill="1" applyBorder="1" applyAlignment="1" applyProtection="1">
      <alignment horizontal="right"/>
      <protection hidden="1"/>
    </xf>
    <xf numFmtId="0" fontId="11" fillId="3" borderId="60" xfId="0" applyFont="1" applyFill="1" applyBorder="1" applyAlignment="1" applyProtection="1">
      <alignment horizontal="left"/>
      <protection hidden="1"/>
    </xf>
    <xf numFmtId="0" fontId="11" fillId="3" borderId="60" xfId="6" applyFont="1" applyFill="1" applyBorder="1" applyProtection="1">
      <protection hidden="1"/>
    </xf>
    <xf numFmtId="43" fontId="11" fillId="3" borderId="3" xfId="1" applyNumberFormat="1" applyFont="1" applyFill="1" applyBorder="1" applyProtection="1">
      <protection hidden="1"/>
    </xf>
    <xf numFmtId="0" fontId="60" fillId="3" borderId="61" xfId="6" applyFont="1" applyFill="1" applyBorder="1" applyAlignment="1" applyProtection="1">
      <alignment horizontal="right"/>
      <protection hidden="1"/>
    </xf>
    <xf numFmtId="0" fontId="11" fillId="3" borderId="62" xfId="0" applyFont="1" applyFill="1" applyBorder="1" applyAlignment="1" applyProtection="1">
      <alignment horizontal="left"/>
      <protection hidden="1"/>
    </xf>
    <xf numFmtId="0" fontId="11" fillId="3" borderId="62" xfId="6" applyFont="1" applyFill="1" applyBorder="1" applyProtection="1">
      <protection hidden="1"/>
    </xf>
    <xf numFmtId="164" fontId="11" fillId="3" borderId="62" xfId="1" applyFont="1" applyFill="1" applyBorder="1" applyProtection="1">
      <protection hidden="1"/>
    </xf>
    <xf numFmtId="164" fontId="11" fillId="3" borderId="12" xfId="1" applyFont="1" applyFill="1" applyBorder="1" applyProtection="1">
      <protection hidden="1"/>
    </xf>
    <xf numFmtId="0" fontId="42" fillId="12" borderId="24" xfId="0" applyFont="1" applyFill="1" applyBorder="1" applyAlignment="1">
      <alignment vertical="center" wrapText="1"/>
    </xf>
    <xf numFmtId="0" fontId="36" fillId="10" borderId="21" xfId="0" applyFont="1" applyFill="1" applyBorder="1" applyAlignment="1">
      <alignment horizontal="center" wrapText="1"/>
    </xf>
    <xf numFmtId="0" fontId="36" fillId="10" borderId="22" xfId="0" applyFont="1" applyFill="1" applyBorder="1" applyAlignment="1">
      <alignment horizontal="center" wrapText="1"/>
    </xf>
    <xf numFmtId="0" fontId="38" fillId="11" borderId="21" xfId="0" applyFont="1" applyFill="1" applyBorder="1" applyAlignment="1">
      <alignment horizontal="left" vertical="center" wrapText="1"/>
    </xf>
    <xf numFmtId="0" fontId="38" fillId="11" borderId="22" xfId="0" applyFont="1" applyFill="1" applyBorder="1" applyAlignment="1">
      <alignment horizontal="left" vertical="center" wrapText="1"/>
    </xf>
    <xf numFmtId="0" fontId="43" fillId="10" borderId="21" xfId="0" applyFont="1" applyFill="1" applyBorder="1" applyAlignment="1">
      <alignment horizontal="center" vertical="center" wrapText="1"/>
    </xf>
    <xf numFmtId="0" fontId="43" fillId="10" borderId="22" xfId="0" applyFont="1" applyFill="1" applyBorder="1" applyAlignment="1">
      <alignment horizontal="center" vertical="center" wrapText="1"/>
    </xf>
    <xf numFmtId="0" fontId="43" fillId="10" borderId="21" xfId="0" applyFont="1" applyFill="1" applyBorder="1" applyAlignment="1">
      <alignment horizontal="center" wrapText="1"/>
    </xf>
    <xf numFmtId="0" fontId="43" fillId="10" borderId="24" xfId="0" applyFont="1" applyFill="1" applyBorder="1" applyAlignment="1">
      <alignment horizontal="center" wrapText="1"/>
    </xf>
    <xf numFmtId="165" fontId="28" fillId="3" borderId="3" xfId="1" applyNumberFormat="1" applyFont="1" applyFill="1" applyBorder="1" applyAlignment="1">
      <alignment horizontal="center" vertical="center"/>
    </xf>
    <xf numFmtId="0" fontId="0" fillId="0" borderId="4" xfId="0" applyBorder="1" applyAlignment="1">
      <alignment horizontal="center"/>
    </xf>
    <xf numFmtId="0" fontId="28" fillId="3" borderId="3" xfId="0" applyFont="1" applyFill="1" applyBorder="1" applyAlignment="1">
      <alignment horizontal="center" vertical="center"/>
    </xf>
    <xf numFmtId="0" fontId="18" fillId="0" borderId="0" xfId="0" applyFont="1" applyAlignment="1" applyProtection="1">
      <alignment horizontal="center"/>
      <protection hidden="1"/>
    </xf>
    <xf numFmtId="164" fontId="19" fillId="3" borderId="2" xfId="1" applyFont="1" applyFill="1" applyBorder="1" applyAlignment="1" applyProtection="1">
      <alignment horizontal="center" vertical="center"/>
      <protection hidden="1"/>
    </xf>
    <xf numFmtId="164" fontId="19" fillId="3" borderId="59" xfId="1" applyFont="1" applyFill="1" applyBorder="1" applyAlignment="1" applyProtection="1">
      <alignment horizontal="center" vertical="center"/>
      <protection hidden="1"/>
    </xf>
    <xf numFmtId="0" fontId="17" fillId="14" borderId="7" xfId="0" applyFont="1" applyFill="1" applyBorder="1" applyAlignment="1" applyProtection="1">
      <alignment horizontal="center"/>
      <protection hidden="1"/>
    </xf>
    <xf numFmtId="0" fontId="17" fillId="14" borderId="8" xfId="0" applyFont="1" applyFill="1" applyBorder="1" applyAlignment="1" applyProtection="1">
      <alignment horizontal="center"/>
      <protection hidden="1"/>
    </xf>
    <xf numFmtId="0" fontId="17" fillId="14" borderId="9" xfId="0" applyFont="1" applyFill="1" applyBorder="1" applyAlignment="1" applyProtection="1">
      <alignment horizontal="center"/>
      <protection hidden="1"/>
    </xf>
    <xf numFmtId="0" fontId="29" fillId="13" borderId="3" xfId="0" applyFont="1" applyFill="1" applyBorder="1" applyAlignment="1" applyProtection="1">
      <alignment horizontal="center"/>
      <protection hidden="1"/>
    </xf>
    <xf numFmtId="0" fontId="16" fillId="2" borderId="0" xfId="0" applyFont="1" applyFill="1" applyAlignment="1" applyProtection="1">
      <alignment horizontal="center"/>
      <protection hidden="1"/>
    </xf>
    <xf numFmtId="49" fontId="34" fillId="13" borderId="38" xfId="0" applyNumberFormat="1" applyFont="1" applyFill="1" applyBorder="1" applyAlignment="1" applyProtection="1">
      <alignment horizontal="center" vertical="center" wrapText="1"/>
      <protection hidden="1"/>
    </xf>
    <xf numFmtId="49" fontId="34" fillId="13" borderId="37" xfId="0" applyNumberFormat="1" applyFont="1" applyFill="1" applyBorder="1" applyAlignment="1" applyProtection="1">
      <alignment horizontal="center" vertical="center" wrapText="1"/>
      <protection hidden="1"/>
    </xf>
    <xf numFmtId="49" fontId="34" fillId="13" borderId="7" xfId="0" applyNumberFormat="1" applyFont="1" applyFill="1" applyBorder="1" applyAlignment="1" applyProtection="1">
      <alignment horizontal="center" vertical="center" wrapText="1"/>
      <protection hidden="1"/>
    </xf>
    <xf numFmtId="49" fontId="34" fillId="13" borderId="8" xfId="0" applyNumberFormat="1" applyFont="1" applyFill="1" applyBorder="1" applyAlignment="1" applyProtection="1">
      <alignment horizontal="center" vertical="center" wrapText="1"/>
      <protection hidden="1"/>
    </xf>
    <xf numFmtId="49" fontId="34" fillId="13" borderId="9" xfId="0" applyNumberFormat="1" applyFont="1" applyFill="1" applyBorder="1" applyAlignment="1" applyProtection="1">
      <alignment horizontal="center" vertical="center" wrapText="1"/>
      <protection hidden="1"/>
    </xf>
    <xf numFmtId="165" fontId="11" fillId="0" borderId="13" xfId="0" applyNumberFormat="1" applyFont="1" applyBorder="1" applyAlignment="1" applyProtection="1">
      <alignment horizontal="center" vertical="center"/>
      <protection hidden="1"/>
    </xf>
    <xf numFmtId="165" fontId="11" fillId="0" borderId="13" xfId="0" applyNumberFormat="1" applyFont="1" applyBorder="1" applyAlignment="1">
      <alignment horizontal="center" vertical="center"/>
    </xf>
    <xf numFmtId="164" fontId="19" fillId="3" borderId="13" xfId="1" applyFont="1" applyFill="1" applyBorder="1" applyAlignment="1">
      <alignment horizontal="center" vertical="center"/>
    </xf>
    <xf numFmtId="164" fontId="19" fillId="3" borderId="15" xfId="1" applyFont="1" applyFill="1" applyBorder="1" applyAlignment="1">
      <alignment horizontal="center" vertical="center"/>
    </xf>
    <xf numFmtId="0" fontId="24" fillId="4" borderId="0" xfId="0" applyFont="1" applyFill="1" applyAlignment="1">
      <alignment horizontal="center" wrapText="1"/>
    </xf>
    <xf numFmtId="0" fontId="18" fillId="16" borderId="2" xfId="0" applyFont="1" applyFill="1" applyBorder="1" applyAlignment="1">
      <alignment horizontal="center"/>
    </xf>
    <xf numFmtId="0" fontId="17" fillId="14" borderId="7" xfId="0" applyFont="1" applyFill="1" applyBorder="1" applyAlignment="1">
      <alignment horizontal="center"/>
    </xf>
    <xf numFmtId="0" fontId="17" fillId="14" borderId="8" xfId="0" applyFont="1" applyFill="1" applyBorder="1" applyAlignment="1">
      <alignment horizontal="center"/>
    </xf>
    <xf numFmtId="0" fontId="17" fillId="14" borderId="9" xfId="0" applyFont="1" applyFill="1" applyBorder="1" applyAlignment="1">
      <alignment horizontal="center"/>
    </xf>
    <xf numFmtId="0" fontId="29" fillId="13" borderId="3" xfId="0" applyFont="1" applyFill="1" applyBorder="1" applyAlignment="1">
      <alignment horizontal="center"/>
    </xf>
    <xf numFmtId="0" fontId="16" fillId="2" borderId="0" xfId="0" applyFont="1" applyFill="1" applyAlignment="1" applyProtection="1">
      <alignment horizontal="center"/>
      <protection locked="0"/>
    </xf>
    <xf numFmtId="49" fontId="34" fillId="13" borderId="7" xfId="0" applyNumberFormat="1" applyFont="1" applyFill="1" applyBorder="1" applyAlignment="1">
      <alignment horizontal="center" vertical="center" wrapText="1"/>
    </xf>
    <xf numFmtId="49" fontId="34" fillId="13" borderId="8" xfId="0" applyNumberFormat="1" applyFont="1" applyFill="1" applyBorder="1" applyAlignment="1">
      <alignment horizontal="center" vertical="center" wrapText="1"/>
    </xf>
    <xf numFmtId="49" fontId="34" fillId="13" borderId="9" xfId="0" applyNumberFormat="1" applyFont="1" applyFill="1" applyBorder="1" applyAlignment="1">
      <alignment horizontal="center" vertical="center" wrapText="1"/>
    </xf>
    <xf numFmtId="49" fontId="34" fillId="13" borderId="38" xfId="0" applyNumberFormat="1" applyFont="1" applyFill="1" applyBorder="1" applyAlignment="1">
      <alignment horizontal="center" vertical="center" wrapText="1"/>
    </xf>
    <xf numFmtId="49" fontId="34" fillId="13" borderId="37" xfId="0" applyNumberFormat="1" applyFont="1" applyFill="1" applyBorder="1" applyAlignment="1">
      <alignment horizontal="center" vertical="center" wrapText="1"/>
    </xf>
    <xf numFmtId="49" fontId="34" fillId="13" borderId="32" xfId="0" applyNumberFormat="1" applyFont="1" applyFill="1" applyBorder="1" applyAlignment="1">
      <alignment horizontal="center" vertical="center" wrapText="1"/>
    </xf>
    <xf numFmtId="49" fontId="34" fillId="13" borderId="42" xfId="0" applyNumberFormat="1" applyFont="1" applyFill="1" applyBorder="1" applyAlignment="1">
      <alignment horizontal="center" vertical="center" wrapText="1"/>
    </xf>
    <xf numFmtId="165" fontId="18" fillId="0" borderId="3" xfId="1" applyNumberFormat="1" applyFont="1" applyBorder="1" applyAlignment="1" applyProtection="1">
      <alignment horizontal="center"/>
      <protection hidden="1"/>
    </xf>
  </cellXfs>
  <cellStyles count="7">
    <cellStyle name="Comma" xfId="1" builtinId="3"/>
    <cellStyle name="Hyperlink" xfId="3" builtinId="8"/>
    <cellStyle name="Normal" xfId="0" builtinId="0"/>
    <cellStyle name="Normal_PDM-Tax Computation - FY 05 06" xfId="4" xr:uid="{57582F2B-0D13-4DBE-8AA1-B0CA507F88AF}"/>
    <cellStyle name="Normal_RKM-Tax Computation FY 05-06" xfId="5" xr:uid="{86A7AFFB-B681-4DE4-880A-AF8D56355919}"/>
    <cellStyle name="Normal_TAX1997A" xfId="6" xr:uid="{7465A677-0F39-47AE-9145-E974C1F2D10C}"/>
    <cellStyle name="Percent" xfId="2" builtinId="5"/>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00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9525</xdr:rowOff>
    </xdr:from>
    <xdr:to>
      <xdr:col>1</xdr:col>
      <xdr:colOff>19050</xdr:colOff>
      <xdr:row>6</xdr:row>
      <xdr:rowOff>9525</xdr:rowOff>
    </xdr:to>
    <xdr:cxnSp macro="">
      <xdr:nvCxnSpPr>
        <xdr:cNvPr id="5" name="Straight Connector 4">
          <a:extLst>
            <a:ext uri="{FF2B5EF4-FFF2-40B4-BE49-F238E27FC236}">
              <a16:creationId xmlns:a16="http://schemas.microsoft.com/office/drawing/2014/main" id="{00000000-0008-0000-0100-000005000000}"/>
            </a:ext>
          </a:extLst>
        </xdr:cNvPr>
        <xdr:cNvCxnSpPr/>
      </xdr:nvCxnSpPr>
      <xdr:spPr>
        <a:xfrm>
          <a:off x="9525" y="771525"/>
          <a:ext cx="1419225" cy="9144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6</xdr:row>
      <xdr:rowOff>0</xdr:rowOff>
    </xdr:from>
    <xdr:to>
      <xdr:col>1</xdr:col>
      <xdr:colOff>5353050</xdr:colOff>
      <xdr:row>13</xdr:row>
      <xdr:rowOff>28575</xdr:rowOff>
    </xdr:to>
    <xdr:pic>
      <xdr:nvPicPr>
        <xdr:cNvPr id="3" name="Picture 2">
          <a:extLst>
            <a:ext uri="{FF2B5EF4-FFF2-40B4-BE49-F238E27FC236}">
              <a16:creationId xmlns:a16="http://schemas.microsoft.com/office/drawing/2014/main" id="{8EDA26B1-6E80-8138-E21E-90A56B4786C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176" t="29194" r="15319" b="37037"/>
        <a:stretch/>
      </xdr:blipFill>
      <xdr:spPr>
        <a:xfrm>
          <a:off x="638175" y="1390650"/>
          <a:ext cx="5324475" cy="1562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405319</xdr:colOff>
      <xdr:row>3</xdr:row>
      <xdr:rowOff>60797</xdr:rowOff>
    </xdr:from>
    <xdr:to>
      <xdr:col>1</xdr:col>
      <xdr:colOff>4042855</xdr:colOff>
      <xdr:row>9</xdr:row>
      <xdr:rowOff>24980</xdr:rowOff>
    </xdr:to>
    <xdr:pic>
      <xdr:nvPicPr>
        <xdr:cNvPr id="2" name="Picture 2">
          <a:extLst>
            <a:ext uri="{FF2B5EF4-FFF2-40B4-BE49-F238E27FC236}">
              <a16:creationId xmlns:a16="http://schemas.microsoft.com/office/drawing/2014/main" id="{1732550B-8D15-4535-A1E7-C412723D74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4919" y="727547"/>
          <a:ext cx="3637536" cy="13453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0"/>
  <sheetViews>
    <sheetView showGridLines="0" tabSelected="1" view="pageBreakPreview" topLeftCell="A24" zoomScale="113" zoomScaleNormal="100" zoomScaleSheetLayoutView="130" workbookViewId="0">
      <selection activeCell="A24" sqref="A1:XFD1048576"/>
    </sheetView>
  </sheetViews>
  <sheetFormatPr defaultColWidth="57.140625" defaultRowHeight="15" customHeight="1"/>
  <cols>
    <col min="1" max="1" width="7.140625" style="82" customWidth="1"/>
    <col min="2" max="2" width="101.28515625" style="76" customWidth="1"/>
    <col min="3" max="16384" width="57.140625" style="76"/>
  </cols>
  <sheetData>
    <row r="1" spans="1:2" ht="15" customHeight="1">
      <c r="A1" s="391" t="s">
        <v>0</v>
      </c>
      <c r="B1" s="392"/>
    </row>
    <row r="2" spans="1:2" ht="15" customHeight="1">
      <c r="A2" s="77"/>
      <c r="B2" s="78"/>
    </row>
    <row r="3" spans="1:2" ht="54.75" customHeight="1">
      <c r="A3" s="393" t="s">
        <v>1</v>
      </c>
      <c r="B3" s="394"/>
    </row>
    <row r="4" spans="1:2" ht="15" customHeight="1">
      <c r="A4" s="79"/>
      <c r="B4" s="80"/>
    </row>
    <row r="5" spans="1:2" ht="14.1">
      <c r="A5" s="395" t="s">
        <v>2</v>
      </c>
      <c r="B5" s="396"/>
    </row>
    <row r="6" spans="1:2" s="82" customFormat="1" ht="15" customHeight="1">
      <c r="A6" s="83">
        <v>1</v>
      </c>
      <c r="B6" s="81" t="s">
        <v>3</v>
      </c>
    </row>
    <row r="7" spans="1:2" s="82" customFormat="1" ht="15" customHeight="1">
      <c r="A7" s="83">
        <f>A6+1</f>
        <v>2</v>
      </c>
      <c r="B7" s="81" t="s">
        <v>4</v>
      </c>
    </row>
    <row r="8" spans="1:2" ht="15" customHeight="1">
      <c r="A8" s="83">
        <v>3</v>
      </c>
      <c r="B8" s="81" t="s">
        <v>5</v>
      </c>
    </row>
    <row r="9" spans="1:2" ht="15" customHeight="1">
      <c r="A9" s="366">
        <v>4</v>
      </c>
      <c r="B9" s="367" t="s">
        <v>6</v>
      </c>
    </row>
    <row r="10" spans="1:2" ht="20.45" customHeight="1">
      <c r="A10" s="366">
        <v>5</v>
      </c>
      <c r="B10" s="390" t="s">
        <v>7</v>
      </c>
    </row>
    <row r="11" spans="1:2" ht="20.100000000000001">
      <c r="A11" s="366">
        <v>6</v>
      </c>
      <c r="B11" s="390" t="s">
        <v>8</v>
      </c>
    </row>
    <row r="12" spans="1:2" ht="15" customHeight="1">
      <c r="A12" s="366">
        <v>7</v>
      </c>
      <c r="B12" s="390" t="s">
        <v>9</v>
      </c>
    </row>
    <row r="13" spans="1:2" ht="24" customHeight="1">
      <c r="A13" s="366">
        <v>8</v>
      </c>
      <c r="B13" s="390" t="s">
        <v>10</v>
      </c>
    </row>
    <row r="14" spans="1:2" ht="15" customHeight="1">
      <c r="A14" s="397" t="s">
        <v>11</v>
      </c>
      <c r="B14" s="398"/>
    </row>
    <row r="15" spans="1:2" ht="15" customHeight="1">
      <c r="A15" s="84" t="s">
        <v>12</v>
      </c>
      <c r="B15" s="85" t="s">
        <v>12</v>
      </c>
    </row>
    <row r="16" spans="1:2" ht="20.100000000000001">
      <c r="A16" s="83">
        <v>1</v>
      </c>
      <c r="B16" s="81" t="s">
        <v>13</v>
      </c>
    </row>
    <row r="17" spans="1:2" ht="20.100000000000001">
      <c r="A17" s="83">
        <f t="shared" ref="A17:A22" si="0">A16+1</f>
        <v>2</v>
      </c>
      <c r="B17" s="81" t="s">
        <v>14</v>
      </c>
    </row>
    <row r="18" spans="1:2" ht="20.100000000000001">
      <c r="A18" s="83">
        <f t="shared" si="0"/>
        <v>3</v>
      </c>
      <c r="B18" s="81" t="s">
        <v>15</v>
      </c>
    </row>
    <row r="19" spans="1:2" ht="20.100000000000001">
      <c r="A19" s="83">
        <f t="shared" si="0"/>
        <v>4</v>
      </c>
      <c r="B19" s="81" t="s">
        <v>16</v>
      </c>
    </row>
    <row r="20" spans="1:2" ht="20.25" customHeight="1">
      <c r="A20" s="83">
        <f t="shared" si="0"/>
        <v>5</v>
      </c>
      <c r="B20" s="81" t="s">
        <v>17</v>
      </c>
    </row>
    <row r="21" spans="1:2" ht="23.25" customHeight="1">
      <c r="A21" s="83">
        <f t="shared" si="0"/>
        <v>6</v>
      </c>
      <c r="B21" s="81" t="s">
        <v>18</v>
      </c>
    </row>
    <row r="22" spans="1:2" ht="14.1">
      <c r="A22" s="83">
        <f t="shared" si="0"/>
        <v>7</v>
      </c>
      <c r="B22" s="81" t="s">
        <v>19</v>
      </c>
    </row>
    <row r="23" spans="1:2" ht="20.100000000000001">
      <c r="A23" s="83">
        <f t="shared" ref="A23:A24" si="1">A22+1</f>
        <v>8</v>
      </c>
      <c r="B23" s="81" t="s">
        <v>20</v>
      </c>
    </row>
    <row r="24" spans="1:2" ht="110.1">
      <c r="A24" s="83">
        <f t="shared" si="1"/>
        <v>9</v>
      </c>
      <c r="B24" s="81" t="s">
        <v>21</v>
      </c>
    </row>
    <row r="25" spans="1:2" ht="69.95">
      <c r="A25" s="83">
        <f t="shared" ref="A25:A39" si="2">A24+1</f>
        <v>10</v>
      </c>
      <c r="B25" s="81" t="s">
        <v>22</v>
      </c>
    </row>
    <row r="26" spans="1:2" ht="101.45">
      <c r="A26" s="83">
        <f t="shared" si="2"/>
        <v>11</v>
      </c>
      <c r="B26" s="86" t="s">
        <v>23</v>
      </c>
    </row>
    <row r="27" spans="1:2" ht="20.45">
      <c r="A27" s="83">
        <f t="shared" si="2"/>
        <v>12</v>
      </c>
      <c r="B27" s="86" t="s">
        <v>24</v>
      </c>
    </row>
    <row r="28" spans="1:2" ht="20.45">
      <c r="A28" s="83">
        <f t="shared" si="2"/>
        <v>13</v>
      </c>
      <c r="B28" s="86" t="s">
        <v>25</v>
      </c>
    </row>
    <row r="29" spans="1:2" ht="14.1">
      <c r="A29" s="83">
        <f t="shared" si="2"/>
        <v>14</v>
      </c>
      <c r="B29" s="81" t="s">
        <v>26</v>
      </c>
    </row>
    <row r="30" spans="1:2" ht="20.45">
      <c r="A30" s="83">
        <f t="shared" si="2"/>
        <v>15</v>
      </c>
      <c r="B30" s="86" t="s">
        <v>27</v>
      </c>
    </row>
    <row r="31" spans="1:2" ht="20.45">
      <c r="A31" s="83">
        <f t="shared" si="2"/>
        <v>16</v>
      </c>
      <c r="B31" s="86" t="s">
        <v>28</v>
      </c>
    </row>
    <row r="32" spans="1:2" ht="39.950000000000003">
      <c r="A32" s="83">
        <f t="shared" si="2"/>
        <v>17</v>
      </c>
      <c r="B32" s="81" t="s">
        <v>29</v>
      </c>
    </row>
    <row r="33" spans="1:2" ht="20.100000000000001">
      <c r="A33" s="83">
        <f t="shared" si="2"/>
        <v>18</v>
      </c>
      <c r="B33" s="81" t="s">
        <v>30</v>
      </c>
    </row>
    <row r="34" spans="1:2" ht="14.1">
      <c r="A34" s="83">
        <f t="shared" si="2"/>
        <v>19</v>
      </c>
      <c r="B34" s="81" t="s">
        <v>31</v>
      </c>
    </row>
    <row r="35" spans="1:2" ht="39.950000000000003">
      <c r="A35" s="83">
        <f t="shared" si="2"/>
        <v>20</v>
      </c>
      <c r="B35" s="81" t="s">
        <v>32</v>
      </c>
    </row>
    <row r="36" spans="1:2" ht="14.1">
      <c r="A36" s="83">
        <f t="shared" si="2"/>
        <v>21</v>
      </c>
      <c r="B36" s="81" t="s">
        <v>33</v>
      </c>
    </row>
    <row r="37" spans="1:2" ht="20.100000000000001">
      <c r="A37" s="83">
        <f t="shared" si="2"/>
        <v>22</v>
      </c>
      <c r="B37" s="81" t="s">
        <v>34</v>
      </c>
    </row>
    <row r="38" spans="1:2" ht="20.100000000000001">
      <c r="A38" s="83">
        <f t="shared" si="2"/>
        <v>23</v>
      </c>
      <c r="B38" s="81" t="s">
        <v>35</v>
      </c>
    </row>
    <row r="39" spans="1:2" ht="40.5" customHeight="1">
      <c r="A39" s="83">
        <f t="shared" si="2"/>
        <v>24</v>
      </c>
      <c r="B39" s="81" t="s">
        <v>36</v>
      </c>
    </row>
    <row r="40" spans="1:2" ht="15" customHeight="1">
      <c r="A40" s="79"/>
      <c r="B40" s="87"/>
    </row>
  </sheetData>
  <sheetProtection algorithmName="SHA-512" hashValue="5rK/LXs/4cd06Lv95MTAueson3YjXKe/6uIfja6RoECNMGCxxb2WvBYK6v2JeNGRx55Oq+8SBCW5TXrgJDaCMA==" saltValue="I1GcU7f+cPiF+qpDXl7d9g==" spinCount="100000" sheet="1" objects="1" scenarios="1" selectLockedCells="1" selectUnlockedCells="1"/>
  <mergeCells count="4">
    <mergeCell ref="A1:B1"/>
    <mergeCell ref="A3:B3"/>
    <mergeCell ref="A5:B5"/>
    <mergeCell ref="A14:B14"/>
  </mergeCells>
  <pageMargins left="0.7" right="0.7" top="0.75" bottom="0.75" header="0.3" footer="0.3"/>
  <pageSetup paperSize="9" scale="66" orientation="portrait" horizontalDpi="4294967292"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DAE83-5889-4940-B3F2-F323F2C227CF}">
  <dimension ref="A1"/>
  <sheetViews>
    <sheetView workbookViewId="0">
      <selection activeCell="B3" sqref="B3"/>
    </sheetView>
  </sheetViews>
  <sheetFormatPr defaultRowHeight="14.45"/>
  <sheetData>
    <row r="1" spans="1:1">
      <c r="A1" t="s">
        <v>185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17"/>
  <sheetViews>
    <sheetView showGridLines="0" topLeftCell="C15" zoomScaleNormal="100" zoomScaleSheetLayoutView="100" workbookViewId="0">
      <selection activeCell="I32" sqref="I32"/>
    </sheetView>
  </sheetViews>
  <sheetFormatPr defaultRowHeight="16.5"/>
  <cols>
    <col min="1" max="1" width="9.140625" style="3"/>
    <col min="2" max="2" width="82.140625" style="3" customWidth="1"/>
    <col min="3" max="3" width="17.85546875" style="3" customWidth="1"/>
    <col min="4" max="4" width="18.5703125" style="3" bestFit="1" customWidth="1"/>
    <col min="5" max="5" width="29.7109375" style="3" customWidth="1"/>
    <col min="6" max="6" width="25" style="3" bestFit="1" customWidth="1"/>
    <col min="7" max="7" width="17.7109375" style="3" bestFit="1" customWidth="1"/>
    <col min="8" max="8" width="18.42578125" style="3" customWidth="1"/>
    <col min="9" max="9" width="39.5703125" style="3" customWidth="1"/>
    <col min="10" max="10" width="55.42578125" style="3" customWidth="1"/>
    <col min="11" max="12" width="9.140625" style="3" customWidth="1"/>
    <col min="13" max="13" width="14.28515625" style="3" customWidth="1"/>
    <col min="14" max="17" width="9.140625" style="3" customWidth="1"/>
    <col min="18" max="16380" width="9.140625" style="3"/>
    <col min="16381" max="16381" width="5.140625" style="3" bestFit="1" customWidth="1"/>
    <col min="16382" max="16382" width="10.28515625" style="3" bestFit="1" customWidth="1"/>
    <col min="16383" max="16383" width="19.5703125" style="3" bestFit="1" customWidth="1"/>
    <col min="16384" max="16384" width="10.28515625" style="3" bestFit="1" customWidth="1"/>
  </cols>
  <sheetData>
    <row r="1" spans="2:12" ht="25.5" thickBot="1">
      <c r="B1" s="421" t="s">
        <v>56</v>
      </c>
      <c r="C1" s="422"/>
      <c r="D1" s="422"/>
      <c r="E1" s="422"/>
      <c r="F1" s="422"/>
      <c r="G1" s="422"/>
      <c r="H1" s="422"/>
      <c r="I1" s="422"/>
      <c r="J1" s="423"/>
    </row>
    <row r="2" spans="2:12" s="4" customFormat="1" ht="6" customHeight="1">
      <c r="B2" s="22"/>
      <c r="H2" s="157"/>
      <c r="J2" s="23"/>
    </row>
    <row r="3" spans="2:12" s="36" customFormat="1" ht="21">
      <c r="B3" s="5"/>
      <c r="C3" s="6"/>
      <c r="D3" s="6"/>
      <c r="E3" s="158"/>
      <c r="F3" s="159"/>
      <c r="G3" s="158"/>
      <c r="H3" s="7"/>
      <c r="I3" s="160">
        <v>45382</v>
      </c>
      <c r="J3" s="9"/>
    </row>
    <row r="4" spans="2:12" s="36" customFormat="1" ht="16.5" customHeight="1">
      <c r="B4" s="24"/>
      <c r="C4" s="55" t="s">
        <v>57</v>
      </c>
      <c r="D4" s="20" t="s">
        <v>186</v>
      </c>
      <c r="E4" s="57" t="s">
        <v>59</v>
      </c>
      <c r="F4" s="58" t="s">
        <v>60</v>
      </c>
      <c r="H4" s="7"/>
      <c r="I4" s="3"/>
      <c r="J4" s="9"/>
    </row>
    <row r="5" spans="2:12" s="36" customFormat="1" ht="20.25" customHeight="1">
      <c r="B5" s="24"/>
      <c r="C5" s="55" t="s">
        <v>61</v>
      </c>
      <c r="D5" s="10">
        <v>33227</v>
      </c>
      <c r="H5" s="7"/>
      <c r="I5" s="3"/>
      <c r="J5" s="9"/>
      <c r="L5" s="36" t="s">
        <v>187</v>
      </c>
    </row>
    <row r="6" spans="2:12" s="36" customFormat="1" ht="20.25" customHeight="1">
      <c r="B6" s="24"/>
      <c r="C6" s="55" t="s">
        <v>62</v>
      </c>
      <c r="D6" s="100">
        <f>(I3-D5)/365</f>
        <v>33.301369863013697</v>
      </c>
      <c r="E6" s="89" t="str">
        <f>IF(D6&gt;80,"SUPER SENIOR CITIZEN",IF(D6&lt;60,"REGULAR TAX PAYER","SENIOR CITIZEN"))</f>
        <v>REGULAR TAX PAYER</v>
      </c>
      <c r="F6" s="90" t="s">
        <v>63</v>
      </c>
      <c r="H6" s="7"/>
      <c r="I6" s="3"/>
      <c r="J6" s="9"/>
    </row>
    <row r="7" spans="2:12" s="36" customFormat="1" ht="17.45">
      <c r="B7" s="24"/>
      <c r="C7" s="161"/>
      <c r="D7" s="21"/>
      <c r="E7" s="3"/>
      <c r="H7" s="7"/>
      <c r="J7" s="9"/>
    </row>
    <row r="8" spans="2:12" s="36" customFormat="1" ht="17.45">
      <c r="B8" s="24"/>
      <c r="C8" s="424" t="s">
        <v>64</v>
      </c>
      <c r="D8" s="424"/>
      <c r="E8" s="3"/>
      <c r="H8" s="7"/>
      <c r="I8" s="3"/>
      <c r="J8" s="9"/>
    </row>
    <row r="9" spans="2:12" s="36" customFormat="1" ht="17.45">
      <c r="B9" s="24"/>
      <c r="C9" s="55" t="s">
        <v>65</v>
      </c>
      <c r="D9" s="56" t="s">
        <v>66</v>
      </c>
      <c r="E9" s="3"/>
      <c r="F9" s="425" t="s">
        <v>67</v>
      </c>
      <c r="G9" s="425"/>
      <c r="H9" s="7"/>
      <c r="I9" s="3"/>
      <c r="J9" s="9"/>
    </row>
    <row r="10" spans="2:12" s="36" customFormat="1" ht="17.45">
      <c r="B10" s="24"/>
      <c r="C10" s="25">
        <f>G106</f>
        <v>296400</v>
      </c>
      <c r="D10" s="26">
        <f>H106</f>
        <v>296400</v>
      </c>
      <c r="E10" s="3"/>
      <c r="H10" s="7"/>
      <c r="I10" s="3"/>
      <c r="J10" s="9"/>
    </row>
    <row r="11" spans="2:12" s="36" customFormat="1" ht="17.45">
      <c r="B11" s="8"/>
      <c r="E11" s="3"/>
      <c r="H11" s="7"/>
      <c r="I11" s="3"/>
      <c r="J11" s="9"/>
    </row>
    <row r="12" spans="2:12" s="36" customFormat="1" ht="17.45">
      <c r="B12" s="8"/>
      <c r="C12" s="63" t="s">
        <v>68</v>
      </c>
      <c r="D12" s="59" t="str">
        <f>IF(D10&gt;C10,"Old Regime", "New Regime")</f>
        <v>New Regime</v>
      </c>
      <c r="E12" s="3"/>
      <c r="H12" s="7"/>
      <c r="I12" s="3"/>
      <c r="J12" s="9"/>
    </row>
    <row r="13" spans="2:12" s="36" customFormat="1" ht="18" thickBot="1">
      <c r="B13" s="11"/>
      <c r="C13" s="12"/>
      <c r="D13" s="12"/>
      <c r="E13" s="13"/>
      <c r="F13" s="13"/>
      <c r="G13" s="13"/>
      <c r="H13" s="7"/>
      <c r="I13" s="13"/>
      <c r="J13" s="14"/>
    </row>
    <row r="14" spans="2:12" s="36" customFormat="1" ht="21.6" thickBot="1">
      <c r="B14" s="426" t="s">
        <v>74</v>
      </c>
      <c r="C14" s="427"/>
      <c r="D14" s="428"/>
      <c r="E14" s="429" t="s">
        <v>75</v>
      </c>
      <c r="F14" s="430"/>
      <c r="G14" s="115" t="s">
        <v>76</v>
      </c>
      <c r="H14" s="115" t="s">
        <v>77</v>
      </c>
      <c r="I14" s="431" t="s">
        <v>188</v>
      </c>
      <c r="J14" s="432"/>
      <c r="K14" s="3"/>
    </row>
    <row r="15" spans="2:12" s="36" customFormat="1" ht="18" thickBot="1">
      <c r="B15" s="34" t="s">
        <v>78</v>
      </c>
      <c r="C15" s="64"/>
      <c r="D15" s="64"/>
      <c r="E15" s="194">
        <v>2000000</v>
      </c>
      <c r="F15" s="137"/>
      <c r="G15" s="37">
        <f>E15</f>
        <v>2000000</v>
      </c>
      <c r="H15" s="116">
        <f>G15</f>
        <v>2000000</v>
      </c>
      <c r="I15" s="101" t="s">
        <v>78</v>
      </c>
      <c r="J15" s="162">
        <f>G15</f>
        <v>2000000</v>
      </c>
      <c r="K15" s="3"/>
    </row>
    <row r="16" spans="2:12" s="36" customFormat="1" ht="18" thickTop="1">
      <c r="B16" s="35" t="s">
        <v>79</v>
      </c>
      <c r="C16" s="65"/>
      <c r="D16" s="65"/>
      <c r="E16" s="141"/>
      <c r="F16" s="71"/>
      <c r="G16" s="37">
        <f>-(F17+SUM(F22:F28))</f>
        <v>0</v>
      </c>
      <c r="H16" s="37"/>
      <c r="I16" s="102" t="str">
        <f>B16</f>
        <v>Less: Exemptions</v>
      </c>
      <c r="J16" s="163"/>
      <c r="K16" s="3"/>
    </row>
    <row r="17" spans="2:27" s="36" customFormat="1" ht="17.45">
      <c r="B17" s="1" t="s">
        <v>80</v>
      </c>
      <c r="C17" s="65"/>
      <c r="D17" s="65"/>
      <c r="E17" s="141"/>
      <c r="F17" s="138"/>
      <c r="G17" s="37"/>
      <c r="H17" s="176"/>
      <c r="I17" s="103" t="s">
        <v>189</v>
      </c>
      <c r="J17" s="163"/>
      <c r="K17" s="3"/>
    </row>
    <row r="18" spans="2:27" s="36" customFormat="1" ht="18" thickBot="1">
      <c r="B18" s="18" t="s">
        <v>81</v>
      </c>
      <c r="C18" s="66"/>
      <c r="D18" s="66"/>
      <c r="E18" s="142" t="s">
        <v>48</v>
      </c>
      <c r="F18" s="72"/>
      <c r="G18" s="37"/>
      <c r="H18" s="117"/>
      <c r="I18" s="104"/>
      <c r="J18" s="163"/>
      <c r="K18" s="3" t="s">
        <v>190</v>
      </c>
    </row>
    <row r="19" spans="2:27" s="36" customFormat="1" ht="18" thickTop="1">
      <c r="B19" s="18" t="s">
        <v>82</v>
      </c>
      <c r="C19" s="66"/>
      <c r="D19" s="66"/>
      <c r="E19" s="143">
        <v>0</v>
      </c>
      <c r="F19" s="138">
        <f>IF(E18="Metro",E19*50%,IF(E18="Non-metro",E19*40%,0))</f>
        <v>0</v>
      </c>
      <c r="G19" s="416">
        <f>-MIN(F19:F21)</f>
        <v>0</v>
      </c>
      <c r="H19" s="417">
        <v>0</v>
      </c>
      <c r="I19" s="105" t="s">
        <v>191</v>
      </c>
      <c r="J19" s="164">
        <v>50000</v>
      </c>
      <c r="K19" s="3"/>
      <c r="AA19" s="3"/>
    </row>
    <row r="20" spans="2:27" ht="17.45">
      <c r="B20" s="17" t="s">
        <v>83</v>
      </c>
      <c r="C20" s="67"/>
      <c r="D20" s="67"/>
      <c r="E20" s="143">
        <v>0</v>
      </c>
      <c r="F20" s="138">
        <f>E20-(E19*10%)</f>
        <v>0</v>
      </c>
      <c r="G20" s="416"/>
      <c r="H20" s="417"/>
      <c r="I20" s="106" t="s">
        <v>192</v>
      </c>
      <c r="J20" s="165">
        <f>J15-J19</f>
        <v>1950000</v>
      </c>
      <c r="N20" s="7"/>
      <c r="O20" s="7"/>
      <c r="P20" s="7"/>
      <c r="Q20" s="7"/>
      <c r="R20" s="7"/>
    </row>
    <row r="21" spans="2:27" ht="18" thickBot="1">
      <c r="B21" s="17" t="s">
        <v>84</v>
      </c>
      <c r="C21" s="67"/>
      <c r="D21" s="67"/>
      <c r="E21" s="143">
        <v>0</v>
      </c>
      <c r="F21" s="138">
        <f>E21</f>
        <v>0</v>
      </c>
      <c r="G21" s="416"/>
      <c r="H21" s="418"/>
      <c r="I21" s="106" t="s">
        <v>193</v>
      </c>
      <c r="J21" s="166">
        <f>G38</f>
        <v>0</v>
      </c>
      <c r="N21" s="7"/>
      <c r="O21" s="7"/>
      <c r="P21" s="7"/>
      <c r="Q21" s="7"/>
      <c r="R21" s="7"/>
    </row>
    <row r="22" spans="2:27" ht="18" thickTop="1">
      <c r="B22" s="1" t="s">
        <v>85</v>
      </c>
      <c r="C22" s="65"/>
      <c r="D22" s="65"/>
      <c r="E22" s="143">
        <v>0</v>
      </c>
      <c r="F22" s="138"/>
      <c r="G22" s="37">
        <f>-IF(E22&lt;=2500000,E22,2500000)</f>
        <v>0</v>
      </c>
      <c r="H22" s="118">
        <f>G22</f>
        <v>0</v>
      </c>
      <c r="I22" s="107" t="s">
        <v>194</v>
      </c>
      <c r="J22" s="166"/>
      <c r="N22" s="7"/>
      <c r="O22" s="7"/>
      <c r="P22" s="7"/>
      <c r="Q22" s="7"/>
      <c r="R22" s="7"/>
    </row>
    <row r="23" spans="2:27" ht="17.45">
      <c r="B23" s="1" t="s">
        <v>86</v>
      </c>
      <c r="C23" s="65"/>
      <c r="D23" s="65"/>
      <c r="E23" s="143">
        <v>0</v>
      </c>
      <c r="F23" s="139"/>
      <c r="G23" s="37">
        <f>-MIN(E23,26400)</f>
        <v>0</v>
      </c>
      <c r="H23" s="127">
        <v>0</v>
      </c>
      <c r="I23" s="108" t="s">
        <v>195</v>
      </c>
      <c r="J23" s="166"/>
      <c r="N23" s="7"/>
      <c r="O23" s="7"/>
      <c r="P23" s="7"/>
      <c r="Q23" s="7"/>
      <c r="R23" s="7"/>
    </row>
    <row r="24" spans="2:27" s="51" customFormat="1" ht="21" customHeight="1">
      <c r="B24" s="15" t="s">
        <v>87</v>
      </c>
      <c r="C24" s="69"/>
      <c r="D24" s="69"/>
      <c r="E24" s="144">
        <v>0</v>
      </c>
      <c r="F24" s="140"/>
      <c r="G24" s="37">
        <f>-MIN(E24,2400)</f>
        <v>0</v>
      </c>
      <c r="H24" s="128">
        <v>0</v>
      </c>
      <c r="I24" s="109" t="s">
        <v>196</v>
      </c>
      <c r="J24" s="167"/>
      <c r="N24" s="53"/>
      <c r="O24" s="53"/>
      <c r="P24" s="53"/>
      <c r="Q24" s="53"/>
      <c r="R24" s="53"/>
    </row>
    <row r="25" spans="2:27" ht="17.45">
      <c r="B25" s="15" t="s">
        <v>88</v>
      </c>
      <c r="E25" s="152">
        <v>0</v>
      </c>
      <c r="F25" s="153"/>
      <c r="G25" s="37">
        <f>-E25</f>
        <v>0</v>
      </c>
      <c r="H25" s="127">
        <v>0</v>
      </c>
      <c r="I25" s="106"/>
      <c r="J25" s="166"/>
      <c r="N25" s="7"/>
      <c r="O25" s="7"/>
      <c r="P25" s="7"/>
      <c r="Q25" s="7"/>
      <c r="R25" s="7"/>
    </row>
    <row r="26" spans="2:27" ht="17.45">
      <c r="B26" s="15" t="s">
        <v>89</v>
      </c>
      <c r="E26" s="152">
        <v>0</v>
      </c>
      <c r="F26" s="153"/>
      <c r="G26" s="37">
        <f>-E26</f>
        <v>0</v>
      </c>
      <c r="H26" s="119">
        <f>G26</f>
        <v>0</v>
      </c>
      <c r="J26" s="166"/>
      <c r="M26" s="419" t="s">
        <v>197</v>
      </c>
      <c r="N26" s="419"/>
      <c r="O26" s="419"/>
      <c r="P26" s="419"/>
      <c r="Q26" s="7"/>
      <c r="R26" s="7"/>
    </row>
    <row r="27" spans="2:27" ht="17.45">
      <c r="B27" s="15" t="s">
        <v>90</v>
      </c>
      <c r="E27" s="152">
        <v>0</v>
      </c>
      <c r="F27" s="153"/>
      <c r="G27" s="37">
        <f>-E27</f>
        <v>0</v>
      </c>
      <c r="H27" s="126">
        <v>0</v>
      </c>
      <c r="I27" s="110" t="s">
        <v>198</v>
      </c>
      <c r="J27" s="91">
        <f>SUM(J20:J26)</f>
        <v>1950000</v>
      </c>
      <c r="M27" s="419"/>
      <c r="N27" s="419"/>
      <c r="O27" s="419"/>
      <c r="P27" s="419"/>
      <c r="Q27" s="7"/>
      <c r="R27" s="7"/>
    </row>
    <row r="28" spans="2:27" ht="17.45">
      <c r="B28" s="1" t="s">
        <v>91</v>
      </c>
      <c r="C28" s="65"/>
      <c r="D28" s="65"/>
      <c r="E28" s="154">
        <v>0</v>
      </c>
      <c r="F28" s="155"/>
      <c r="G28" s="37">
        <f>-E28</f>
        <v>0</v>
      </c>
      <c r="H28" s="126">
        <v>0</v>
      </c>
      <c r="I28" s="111" t="s">
        <v>146</v>
      </c>
      <c r="J28" s="92">
        <f>J27</f>
        <v>1950000</v>
      </c>
      <c r="M28" s="419"/>
      <c r="N28" s="419"/>
      <c r="O28" s="419"/>
      <c r="P28" s="419"/>
      <c r="Q28" s="7"/>
      <c r="R28" s="7"/>
    </row>
    <row r="29" spans="2:27" ht="17.45">
      <c r="B29" s="24"/>
      <c r="E29" s="145"/>
      <c r="F29" s="9"/>
      <c r="G29" s="37"/>
      <c r="H29" s="117"/>
      <c r="I29" s="112" t="s">
        <v>71</v>
      </c>
      <c r="J29" s="93">
        <f>IF(G93&lt;=300000,0,IF(G93&lt;=600000,(G93-300000)*5%,IF(G93&lt;=900000,(G93-600000)*10%+15000,IF(G93&lt;=1200000,(G93-900000)*15%+45000,IF(G93&lt;=1500000,(G93-1200000)*20%+90000,(G93-1500000)*30%+150000)))))</f>
        <v>172500</v>
      </c>
      <c r="M29" s="419"/>
      <c r="N29" s="419"/>
      <c r="O29" s="419"/>
      <c r="P29" s="419"/>
      <c r="Q29" s="7"/>
      <c r="R29" s="7"/>
    </row>
    <row r="30" spans="2:27" ht="17.45">
      <c r="B30" s="1" t="s">
        <v>92</v>
      </c>
      <c r="E30" s="145"/>
      <c r="G30" s="156">
        <f>SUM(G15:G29)</f>
        <v>2000000</v>
      </c>
      <c r="H30" s="156">
        <f>SUM(H15:H29)</f>
        <v>2000000</v>
      </c>
      <c r="I30" s="113" t="s">
        <v>199</v>
      </c>
      <c r="J30" s="94">
        <f>-IF(G93&lt;=700000,MIN(J29,25000),0)</f>
        <v>0</v>
      </c>
    </row>
    <row r="31" spans="2:27" ht="17.45">
      <c r="B31" s="1"/>
      <c r="E31" s="145"/>
      <c r="G31" s="42"/>
      <c r="H31" s="42"/>
      <c r="I31" s="113"/>
      <c r="J31" s="174"/>
    </row>
    <row r="32" spans="2:27" ht="18" thickBot="1">
      <c r="B32" s="17" t="s">
        <v>93</v>
      </c>
      <c r="E32" s="145"/>
      <c r="F32" s="9"/>
      <c r="G32" s="125"/>
      <c r="H32" s="117"/>
      <c r="I32" s="113" t="s">
        <v>200</v>
      </c>
      <c r="J32" s="95">
        <f>IF(G93&lt;=5000000,0,IF(G93&lt;=10000000,J29*10%,IF(G93&lt;=20000000,J29*15%,J29*25%)))</f>
        <v>0</v>
      </c>
    </row>
    <row r="33" spans="2:12" ht="18.600000000000001" thickTop="1" thickBot="1">
      <c r="B33" s="1" t="s">
        <v>94</v>
      </c>
      <c r="C33" s="65"/>
      <c r="D33" s="65"/>
      <c r="E33" s="146">
        <v>50000</v>
      </c>
      <c r="F33" s="138"/>
      <c r="G33" s="42">
        <f>-E33</f>
        <v>-50000</v>
      </c>
      <c r="H33" s="119">
        <f>G33</f>
        <v>-50000</v>
      </c>
      <c r="I33" s="113"/>
      <c r="J33" s="95"/>
    </row>
    <row r="34" spans="2:12" ht="18" thickTop="1">
      <c r="B34" s="1" t="s">
        <v>95</v>
      </c>
      <c r="C34" s="65"/>
      <c r="D34" s="65"/>
      <c r="E34" s="143">
        <v>0</v>
      </c>
      <c r="F34" s="138"/>
      <c r="G34" s="42">
        <f>-E34</f>
        <v>0</v>
      </c>
      <c r="H34" s="121">
        <v>0</v>
      </c>
      <c r="I34" s="113" t="s">
        <v>162</v>
      </c>
      <c r="J34" s="96">
        <f>(J29+J30+J32)*4%</f>
        <v>6900</v>
      </c>
    </row>
    <row r="35" spans="2:12" ht="17.45">
      <c r="B35" s="24"/>
      <c r="E35" s="145"/>
      <c r="F35" s="9"/>
      <c r="G35" s="37"/>
      <c r="H35" s="117"/>
      <c r="I35" s="111" t="s">
        <v>157</v>
      </c>
      <c r="J35" s="97">
        <f>SUM(J29:J34)</f>
        <v>179400</v>
      </c>
    </row>
    <row r="36" spans="2:12" ht="18" thickBot="1">
      <c r="B36" s="1" t="s">
        <v>96</v>
      </c>
      <c r="C36" s="65"/>
      <c r="D36" s="65"/>
      <c r="E36" s="141"/>
      <c r="F36" s="72"/>
      <c r="G36" s="38">
        <f>SUM(G30:G34)</f>
        <v>1950000</v>
      </c>
      <c r="H36" s="38">
        <f>SUM(H30:H35)</f>
        <v>1950000</v>
      </c>
      <c r="I36" s="105" t="s">
        <v>164</v>
      </c>
      <c r="J36" s="98">
        <f>G105</f>
        <v>0</v>
      </c>
    </row>
    <row r="37" spans="2:12" ht="18.600000000000001" thickTop="1" thickBot="1">
      <c r="B37" s="1"/>
      <c r="C37" s="65"/>
      <c r="D37" s="65"/>
      <c r="E37" s="141"/>
      <c r="F37" s="72"/>
      <c r="G37" s="39"/>
      <c r="H37" s="117"/>
      <c r="I37" s="111" t="s">
        <v>165</v>
      </c>
      <c r="J37" s="99">
        <f>J35-J36</f>
        <v>179400</v>
      </c>
    </row>
    <row r="38" spans="2:12" ht="18.600000000000001" thickTop="1" thickBot="1">
      <c r="B38" s="1" t="s">
        <v>97</v>
      </c>
      <c r="C38" s="65"/>
      <c r="D38" s="65"/>
      <c r="E38" s="141"/>
      <c r="F38" s="139"/>
      <c r="G38" s="40">
        <f>SUM(E40:E45)</f>
        <v>0</v>
      </c>
      <c r="H38" s="40">
        <f>G38</f>
        <v>0</v>
      </c>
      <c r="I38" s="114" t="s">
        <v>73</v>
      </c>
      <c r="J38" s="168">
        <f>J35/J15</f>
        <v>8.9700000000000002E-2</v>
      </c>
    </row>
    <row r="39" spans="2:12" ht="18" thickTop="1">
      <c r="B39" s="15" t="s">
        <v>98</v>
      </c>
      <c r="C39" s="69"/>
      <c r="D39" s="69"/>
      <c r="E39" s="141"/>
      <c r="F39" s="72"/>
      <c r="G39" s="41"/>
      <c r="H39" s="117"/>
      <c r="J39" s="9"/>
    </row>
    <row r="40" spans="2:12" ht="17.45">
      <c r="B40" s="17" t="s">
        <v>99</v>
      </c>
      <c r="C40" s="67"/>
      <c r="D40" s="67"/>
      <c r="E40" s="143">
        <v>0</v>
      </c>
      <c r="F40" s="72"/>
      <c r="G40" s="41"/>
      <c r="H40" s="117"/>
      <c r="J40" s="9"/>
    </row>
    <row r="41" spans="2:12" ht="17.45">
      <c r="B41" s="17" t="s">
        <v>100</v>
      </c>
      <c r="C41" s="67"/>
      <c r="D41" s="67"/>
      <c r="E41" s="143">
        <v>0</v>
      </c>
      <c r="F41" s="72"/>
      <c r="G41" s="41"/>
      <c r="H41" s="117"/>
      <c r="J41" s="9"/>
      <c r="L41" s="49"/>
    </row>
    <row r="42" spans="2:12" ht="17.45">
      <c r="B42" s="17" t="s">
        <v>101</v>
      </c>
      <c r="C42" s="67"/>
      <c r="D42" s="67"/>
      <c r="E42" s="143">
        <v>0</v>
      </c>
      <c r="F42" s="72"/>
      <c r="G42" s="41"/>
      <c r="H42" s="120"/>
      <c r="J42" s="9"/>
      <c r="L42" s="49"/>
    </row>
    <row r="43" spans="2:12" ht="17.25" customHeight="1">
      <c r="B43" s="17" t="s">
        <v>102</v>
      </c>
      <c r="E43" s="143">
        <v>0</v>
      </c>
      <c r="F43" s="68"/>
      <c r="G43" s="42"/>
      <c r="H43" s="120"/>
      <c r="J43" s="9"/>
      <c r="L43" s="49"/>
    </row>
    <row r="44" spans="2:12" ht="18" customHeight="1">
      <c r="B44" s="17" t="s">
        <v>103</v>
      </c>
      <c r="E44" s="147">
        <f>-MIN(15000,ROUND(E43/3,0))</f>
        <v>0</v>
      </c>
      <c r="F44" s="68"/>
      <c r="G44" s="42"/>
      <c r="H44" s="120"/>
      <c r="J44" s="9"/>
      <c r="L44" s="49"/>
    </row>
    <row r="45" spans="2:12" ht="18" customHeight="1">
      <c r="B45" s="15"/>
      <c r="C45" s="69"/>
      <c r="D45" s="69"/>
      <c r="E45" s="147">
        <v>0</v>
      </c>
      <c r="F45" s="72"/>
      <c r="G45" s="41"/>
      <c r="H45" s="120"/>
      <c r="I45" s="7"/>
      <c r="J45" s="169"/>
      <c r="L45" s="49"/>
    </row>
    <row r="46" spans="2:12" ht="18" customHeight="1">
      <c r="B46" s="15"/>
      <c r="C46" s="69"/>
      <c r="D46" s="69"/>
      <c r="E46" s="147"/>
      <c r="F46" s="72"/>
      <c r="G46" s="41"/>
      <c r="H46" s="120"/>
      <c r="I46" s="7"/>
      <c r="J46" s="169"/>
    </row>
    <row r="47" spans="2:12" ht="16.5" customHeight="1" thickBot="1">
      <c r="B47" s="1" t="s">
        <v>106</v>
      </c>
      <c r="C47" s="65"/>
      <c r="D47" s="65"/>
      <c r="E47" s="141"/>
      <c r="F47" s="72"/>
      <c r="G47" s="40"/>
      <c r="H47" s="120"/>
      <c r="I47" s="170"/>
      <c r="J47" s="169"/>
    </row>
    <row r="48" spans="2:12" ht="16.5" customHeight="1" thickTop="1">
      <c r="B48" s="17" t="s">
        <v>107</v>
      </c>
      <c r="C48" s="67"/>
      <c r="D48" s="67"/>
      <c r="E48" s="143">
        <v>200000</v>
      </c>
      <c r="F48" s="139"/>
      <c r="G48" s="183">
        <f>-MIN(E48,200000)</f>
        <v>-200000</v>
      </c>
      <c r="H48" s="184"/>
      <c r="I48" s="170"/>
      <c r="J48" s="169"/>
    </row>
    <row r="49" spans="1:10" ht="16.5" customHeight="1">
      <c r="B49" s="17"/>
      <c r="C49" s="67"/>
      <c r="D49" s="67"/>
      <c r="E49" s="147"/>
      <c r="F49" s="139"/>
      <c r="G49" s="41"/>
      <c r="H49" s="117"/>
      <c r="I49" s="170"/>
      <c r="J49" s="169"/>
    </row>
    <row r="50" spans="1:10" ht="16.5" customHeight="1">
      <c r="A50" s="420" t="s">
        <v>201</v>
      </c>
      <c r="B50" s="17" t="s">
        <v>108</v>
      </c>
      <c r="C50" s="67"/>
      <c r="D50" s="67"/>
      <c r="E50" s="143">
        <v>0</v>
      </c>
      <c r="F50" s="139"/>
      <c r="G50" s="41"/>
      <c r="H50" s="117"/>
      <c r="I50" s="170"/>
      <c r="J50" s="169"/>
    </row>
    <row r="51" spans="1:10" ht="16.5" customHeight="1">
      <c r="A51" s="420"/>
      <c r="B51" s="17" t="s">
        <v>109</v>
      </c>
      <c r="C51" s="67"/>
      <c r="D51" s="67"/>
      <c r="E51" s="143">
        <v>0</v>
      </c>
      <c r="F51" s="139"/>
      <c r="G51" s="41">
        <f>E51-E50</f>
        <v>0</v>
      </c>
      <c r="H51" s="119">
        <f>IF(G51&lt;0,0,G51)</f>
        <v>0</v>
      </c>
      <c r="I51" s="170"/>
      <c r="J51" s="169"/>
    </row>
    <row r="52" spans="1:10" ht="16.5" customHeight="1">
      <c r="B52" s="17"/>
      <c r="C52" s="67"/>
      <c r="D52" s="67"/>
      <c r="E52" s="147"/>
      <c r="F52" s="139"/>
      <c r="G52" s="41"/>
      <c r="H52" s="117"/>
      <c r="I52" s="170"/>
      <c r="J52" s="169"/>
    </row>
    <row r="53" spans="1:10" ht="16.5" customHeight="1">
      <c r="B53" s="1" t="s">
        <v>202</v>
      </c>
      <c r="C53" s="67"/>
      <c r="D53" s="67"/>
      <c r="E53" s="148"/>
      <c r="F53" s="139"/>
      <c r="G53" s="41">
        <f>SUM(F54:F57)</f>
        <v>0</v>
      </c>
      <c r="H53" s="119">
        <f>G53</f>
        <v>0</v>
      </c>
      <c r="I53" s="170"/>
      <c r="J53" s="169"/>
    </row>
    <row r="54" spans="1:10" ht="16.5" customHeight="1">
      <c r="B54" s="17" t="s">
        <v>203</v>
      </c>
      <c r="C54" s="67"/>
      <c r="D54" s="67"/>
      <c r="E54" s="143">
        <v>0</v>
      </c>
      <c r="F54" s="139">
        <f>E54</f>
        <v>0</v>
      </c>
      <c r="G54" s="41"/>
      <c r="H54" s="117"/>
      <c r="I54" s="170"/>
      <c r="J54" s="169"/>
    </row>
    <row r="55" spans="1:10" ht="16.5" customHeight="1">
      <c r="B55" s="17" t="s">
        <v>112</v>
      </c>
      <c r="C55" s="67"/>
      <c r="D55" s="67"/>
      <c r="E55" s="143">
        <v>0</v>
      </c>
      <c r="F55" s="139">
        <f>E55</f>
        <v>0</v>
      </c>
      <c r="G55" s="41"/>
      <c r="H55" s="117"/>
      <c r="I55" s="170"/>
      <c r="J55" s="169"/>
    </row>
    <row r="56" spans="1:10" ht="21">
      <c r="B56" s="17" t="s">
        <v>204</v>
      </c>
      <c r="E56" s="143">
        <v>0</v>
      </c>
      <c r="F56" s="139">
        <f>IF(E56&lt;=100000,0,E56-100000)</f>
        <v>0</v>
      </c>
      <c r="G56" s="41"/>
      <c r="H56" s="117"/>
      <c r="I56" s="170"/>
      <c r="J56" s="169"/>
    </row>
    <row r="57" spans="1:10" ht="17.45">
      <c r="B57" s="17" t="s">
        <v>205</v>
      </c>
      <c r="E57" s="143">
        <v>0</v>
      </c>
      <c r="F57" s="139">
        <f>E57</f>
        <v>0</v>
      </c>
      <c r="G57" s="41"/>
      <c r="H57" s="117"/>
      <c r="I57" s="171"/>
      <c r="J57" s="169"/>
    </row>
    <row r="58" spans="1:10" ht="17.45">
      <c r="B58" s="17"/>
      <c r="E58" s="148"/>
      <c r="F58" s="139"/>
      <c r="G58" s="41"/>
      <c r="H58" s="117"/>
      <c r="I58" s="7"/>
      <c r="J58" s="169"/>
    </row>
    <row r="59" spans="1:10" ht="17.45">
      <c r="B59" s="24"/>
      <c r="E59" s="148"/>
      <c r="F59" s="139"/>
      <c r="G59" s="41"/>
      <c r="H59" s="117"/>
      <c r="I59" s="7"/>
      <c r="J59" s="169"/>
    </row>
    <row r="60" spans="1:10" ht="18" thickBot="1">
      <c r="B60" s="1" t="s">
        <v>117</v>
      </c>
      <c r="C60" s="65"/>
      <c r="D60" s="65"/>
      <c r="E60" s="149"/>
      <c r="F60" s="72"/>
      <c r="G60" s="38">
        <f>SUM(G36:G59)</f>
        <v>1750000</v>
      </c>
      <c r="H60" s="38">
        <f>SUM(H36:H59)</f>
        <v>1950000</v>
      </c>
      <c r="I60" s="7"/>
      <c r="J60" s="169"/>
    </row>
    <row r="61" spans="1:10" ht="18" thickTop="1">
      <c r="B61" s="1"/>
      <c r="C61" s="65"/>
      <c r="D61" s="65"/>
      <c r="E61" s="149"/>
      <c r="F61" s="72"/>
      <c r="G61" s="43"/>
      <c r="H61" s="117"/>
      <c r="I61" s="7"/>
      <c r="J61" s="169"/>
    </row>
    <row r="62" spans="1:10" ht="17.45">
      <c r="B62" s="1" t="s">
        <v>118</v>
      </c>
      <c r="C62" s="65"/>
      <c r="D62" s="65"/>
      <c r="E62" s="141"/>
      <c r="F62" s="72"/>
      <c r="G62" s="41"/>
      <c r="H62" s="117"/>
      <c r="J62" s="169"/>
    </row>
    <row r="63" spans="1:10" ht="18" thickBot="1">
      <c r="B63" s="17" t="s">
        <v>119</v>
      </c>
      <c r="C63" s="67"/>
      <c r="D63" s="67"/>
      <c r="E63" s="143">
        <v>0</v>
      </c>
      <c r="F63" s="139"/>
      <c r="G63" s="44">
        <f>-MIN(SUM(E63:E74),150000)</f>
        <v>-150000</v>
      </c>
      <c r="H63" s="121">
        <v>0</v>
      </c>
      <c r="J63" s="169"/>
    </row>
    <row r="64" spans="1:10" ht="18" thickTop="1">
      <c r="B64" s="17" t="s">
        <v>120</v>
      </c>
      <c r="C64" s="67"/>
      <c r="D64" s="67"/>
      <c r="E64" s="143">
        <v>0</v>
      </c>
      <c r="F64" s="72"/>
      <c r="G64" s="41"/>
      <c r="H64" s="121">
        <v>0</v>
      </c>
      <c r="J64" s="169"/>
    </row>
    <row r="65" spans="2:20" ht="17.45">
      <c r="B65" s="17" t="s">
        <v>121</v>
      </c>
      <c r="C65" s="67"/>
      <c r="D65" s="67"/>
      <c r="E65" s="143">
        <v>150000</v>
      </c>
      <c r="F65" s="72"/>
      <c r="G65" s="41"/>
      <c r="H65" s="121">
        <v>0</v>
      </c>
      <c r="J65" s="169"/>
    </row>
    <row r="66" spans="2:20" ht="17.45">
      <c r="B66" s="17" t="s">
        <v>122</v>
      </c>
      <c r="C66" s="67"/>
      <c r="D66" s="67"/>
      <c r="E66" s="143">
        <v>0</v>
      </c>
      <c r="F66" s="72"/>
      <c r="G66" s="41"/>
      <c r="H66" s="121">
        <v>0</v>
      </c>
      <c r="I66" s="7"/>
      <c r="J66" s="169"/>
    </row>
    <row r="67" spans="2:20" ht="17.45">
      <c r="B67" s="17" t="s">
        <v>123</v>
      </c>
      <c r="C67" s="67"/>
      <c r="D67" s="67"/>
      <c r="E67" s="143">
        <v>0</v>
      </c>
      <c r="F67" s="72"/>
      <c r="G67" s="41"/>
      <c r="H67" s="121">
        <v>0</v>
      </c>
      <c r="I67" s="7"/>
      <c r="J67" s="169"/>
    </row>
    <row r="68" spans="2:20" ht="17.45">
      <c r="B68" s="17" t="s">
        <v>124</v>
      </c>
      <c r="C68" s="67"/>
      <c r="D68" s="67"/>
      <c r="E68" s="143">
        <v>0</v>
      </c>
      <c r="F68" s="72"/>
      <c r="G68" s="41"/>
      <c r="H68" s="121">
        <v>0</v>
      </c>
      <c r="I68" s="7"/>
      <c r="J68" s="169"/>
    </row>
    <row r="69" spans="2:20" ht="17.45">
      <c r="B69" s="17" t="s">
        <v>125</v>
      </c>
      <c r="C69" s="67"/>
      <c r="D69" s="67"/>
      <c r="E69" s="143">
        <v>0</v>
      </c>
      <c r="F69" s="72"/>
      <c r="G69" s="41"/>
      <c r="H69" s="121">
        <v>0</v>
      </c>
      <c r="I69" s="7"/>
      <c r="J69" s="169"/>
    </row>
    <row r="70" spans="2:20" ht="17.25" customHeight="1">
      <c r="B70" s="17" t="s">
        <v>126</v>
      </c>
      <c r="C70" s="67"/>
      <c r="D70" s="67"/>
      <c r="E70" s="143">
        <v>0</v>
      </c>
      <c r="F70" s="72"/>
      <c r="G70" s="41"/>
      <c r="H70" s="121">
        <v>0</v>
      </c>
      <c r="I70" s="7"/>
      <c r="J70" s="169"/>
    </row>
    <row r="71" spans="2:20" ht="17.45">
      <c r="B71" s="17" t="s">
        <v>127</v>
      </c>
      <c r="C71" s="67"/>
      <c r="D71" s="67"/>
      <c r="E71" s="143">
        <v>0</v>
      </c>
      <c r="F71" s="72"/>
      <c r="G71" s="41"/>
      <c r="H71" s="122">
        <v>0</v>
      </c>
      <c r="I71" s="7"/>
      <c r="J71" s="169"/>
    </row>
    <row r="72" spans="2:20" ht="17.45">
      <c r="B72" s="17" t="s">
        <v>128</v>
      </c>
      <c r="C72" s="67"/>
      <c r="D72" s="67"/>
      <c r="E72" s="143">
        <v>0</v>
      </c>
      <c r="F72" s="72"/>
      <c r="G72" s="41"/>
      <c r="H72" s="121">
        <v>0</v>
      </c>
      <c r="I72" s="7"/>
      <c r="J72" s="169"/>
    </row>
    <row r="73" spans="2:20" ht="17.45">
      <c r="B73" s="17" t="s">
        <v>129</v>
      </c>
      <c r="C73" s="67"/>
      <c r="D73" s="67"/>
      <c r="E73" s="143">
        <v>0</v>
      </c>
      <c r="F73" s="72"/>
      <c r="G73" s="41"/>
      <c r="H73" s="121">
        <v>0</v>
      </c>
      <c r="J73" s="169"/>
    </row>
    <row r="74" spans="2:20" ht="17.45">
      <c r="B74" s="17" t="s">
        <v>130</v>
      </c>
      <c r="C74" s="67"/>
      <c r="D74" s="67"/>
      <c r="E74" s="143">
        <v>0</v>
      </c>
      <c r="F74" s="72"/>
      <c r="G74" s="41"/>
      <c r="H74" s="121">
        <v>0</v>
      </c>
      <c r="J74" s="169"/>
    </row>
    <row r="75" spans="2:20" s="51" customFormat="1" ht="17.45">
      <c r="B75" s="17"/>
      <c r="C75" s="67"/>
      <c r="D75" s="67"/>
      <c r="E75" s="147"/>
      <c r="F75" s="72"/>
      <c r="G75" s="41"/>
      <c r="H75" s="117"/>
      <c r="J75" s="169"/>
      <c r="K75" s="3"/>
      <c r="L75" s="3"/>
      <c r="M75" s="3"/>
      <c r="N75" s="3"/>
      <c r="O75" s="3"/>
      <c r="P75" s="3"/>
      <c r="Q75" s="3"/>
      <c r="R75" s="3"/>
      <c r="S75" s="3"/>
      <c r="T75" s="3"/>
    </row>
    <row r="76" spans="2:20" s="192" customFormat="1" ht="18" customHeight="1" thickBot="1">
      <c r="B76" s="185" t="s">
        <v>132</v>
      </c>
      <c r="C76" s="186"/>
      <c r="D76" s="186"/>
      <c r="E76" s="187">
        <v>0</v>
      </c>
      <c r="F76" s="188"/>
      <c r="G76" s="189">
        <f>-MIN(E76,50000)</f>
        <v>0</v>
      </c>
      <c r="H76" s="190">
        <v>0</v>
      </c>
      <c r="J76" s="191"/>
      <c r="L76" s="182" t="s">
        <v>206</v>
      </c>
    </row>
    <row r="77" spans="2:20" ht="18.600000000000001" thickTop="1" thickBot="1">
      <c r="B77" s="19"/>
      <c r="C77" s="65"/>
      <c r="D77" s="65"/>
      <c r="E77" s="147"/>
      <c r="F77" s="72"/>
      <c r="G77" s="44"/>
      <c r="H77" s="117"/>
      <c r="I77" s="180"/>
      <c r="J77" s="169"/>
    </row>
    <row r="78" spans="2:20" ht="18.600000000000001" thickTop="1" thickBot="1">
      <c r="B78" s="19" t="s">
        <v>134</v>
      </c>
      <c r="C78" s="65"/>
      <c r="D78" s="65"/>
      <c r="E78" s="141"/>
      <c r="F78" s="72"/>
      <c r="G78" s="40">
        <f>SUM(F79:F89)</f>
        <v>-25000</v>
      </c>
      <c r="H78" s="123"/>
      <c r="I78" s="180"/>
      <c r="J78" s="169"/>
    </row>
    <row r="79" spans="2:20" ht="18" thickTop="1">
      <c r="B79" s="17" t="s">
        <v>135</v>
      </c>
      <c r="C79" s="67"/>
      <c r="D79" s="67"/>
      <c r="E79" s="143">
        <v>25000</v>
      </c>
      <c r="F79" s="41">
        <f>-IF(D6&lt;60,MIN(E79,25000),MIN(E79,50000))</f>
        <v>-25000</v>
      </c>
      <c r="H79" s="121">
        <v>0</v>
      </c>
      <c r="I79" s="180"/>
      <c r="J79" s="172"/>
      <c r="K79" s="51"/>
      <c r="L79" s="51"/>
      <c r="M79" s="51"/>
      <c r="N79" s="51"/>
      <c r="O79" s="51"/>
      <c r="P79" s="51"/>
      <c r="Q79" s="51"/>
      <c r="R79" s="51"/>
      <c r="S79" s="51"/>
      <c r="T79" s="51"/>
    </row>
    <row r="80" spans="2:20" ht="17.45">
      <c r="B80" s="17" t="s">
        <v>136</v>
      </c>
      <c r="C80" s="67"/>
      <c r="D80" s="88" t="s">
        <v>52</v>
      </c>
      <c r="E80" s="143">
        <v>0</v>
      </c>
      <c r="F80" s="41">
        <f>-IF(D80="Parents are Senior Citizen",MIN(E80,50000),MIN(E80,25000))</f>
        <v>0</v>
      </c>
      <c r="H80" s="121">
        <v>0</v>
      </c>
      <c r="J80" s="169"/>
    </row>
    <row r="81" spans="2:12" ht="17.45">
      <c r="B81" s="17" t="s">
        <v>137</v>
      </c>
      <c r="C81" s="67"/>
      <c r="D81" s="67"/>
      <c r="E81" s="143">
        <v>0</v>
      </c>
      <c r="F81" s="41">
        <f>-E81</f>
        <v>0</v>
      </c>
      <c r="H81" s="121">
        <v>0</v>
      </c>
      <c r="J81" s="169"/>
    </row>
    <row r="82" spans="2:12" ht="17.45">
      <c r="B82" s="75" t="s">
        <v>138</v>
      </c>
      <c r="C82" s="70"/>
      <c r="D82" s="70"/>
      <c r="E82" s="143">
        <v>0</v>
      </c>
      <c r="F82" s="41">
        <f>-E82</f>
        <v>0</v>
      </c>
      <c r="H82" s="121">
        <v>0</v>
      </c>
      <c r="I82" s="7"/>
      <c r="J82" s="169"/>
    </row>
    <row r="83" spans="2:12" ht="17.45">
      <c r="B83" s="2" t="s">
        <v>139</v>
      </c>
      <c r="C83" s="129"/>
      <c r="D83" s="129"/>
      <c r="E83" s="150" t="s">
        <v>48</v>
      </c>
      <c r="F83" s="52">
        <f>-IF(E83="Disablility i.e. &gt;40% but &lt;80%",75000,IF(E83="Severe Disability i.e. &gt; 80%",125000,0))</f>
        <v>0</v>
      </c>
      <c r="H83" s="130">
        <v>0</v>
      </c>
      <c r="I83" s="7"/>
      <c r="J83" s="169"/>
    </row>
    <row r="84" spans="2:12" ht="35.1">
      <c r="B84" s="74" t="s">
        <v>140</v>
      </c>
      <c r="C84" s="67"/>
      <c r="D84" s="193" t="s">
        <v>48</v>
      </c>
      <c r="E84" s="143">
        <v>0</v>
      </c>
      <c r="F84" s="41">
        <f>-MIN(IF(D84="Senior citizen patient",100000,IF(D84="Normal Case",40000,0)),E84)</f>
        <v>0</v>
      </c>
      <c r="H84" s="124">
        <v>0</v>
      </c>
      <c r="I84" s="7"/>
      <c r="J84" s="169"/>
    </row>
    <row r="85" spans="2:12" ht="17.45">
      <c r="B85" s="17" t="s">
        <v>141</v>
      </c>
      <c r="C85" s="67"/>
      <c r="D85" s="67"/>
      <c r="E85" s="143">
        <v>0</v>
      </c>
      <c r="F85" s="41">
        <f>-E85</f>
        <v>0</v>
      </c>
      <c r="H85" s="124">
        <v>0</v>
      </c>
      <c r="I85"/>
      <c r="J85" s="169"/>
    </row>
    <row r="86" spans="2:12" s="51" customFormat="1" ht="17.45">
      <c r="B86" s="17" t="s">
        <v>142</v>
      </c>
      <c r="C86" s="67"/>
      <c r="D86" s="67"/>
      <c r="E86" s="143">
        <v>0</v>
      </c>
      <c r="F86" s="41">
        <f>-E86</f>
        <v>0</v>
      </c>
      <c r="H86" s="124">
        <v>0</v>
      </c>
      <c r="J86" s="172"/>
    </row>
    <row r="87" spans="2:12" ht="17.45">
      <c r="B87" s="2" t="s">
        <v>143</v>
      </c>
      <c r="C87" s="51"/>
      <c r="D87" s="51"/>
      <c r="E87" s="151" t="s">
        <v>48</v>
      </c>
      <c r="F87" s="52">
        <f>-IF(E87="Disablility i.e. &gt;40% but &lt;80%",40000,IF(E87="Severe Disability i.e. &gt; 80%",125000,0))</f>
        <v>0</v>
      </c>
      <c r="H87" s="124">
        <v>0</v>
      </c>
      <c r="I87" s="173" t="e">
        <f>G60+G63-#REF!-#REF!-#REF!-#REF!-#REF!-#REF!-#REF!-#REF!-#REF!-#REF!+F91</f>
        <v>#REF!</v>
      </c>
      <c r="J87" s="169"/>
    </row>
    <row r="88" spans="2:12" ht="17.45">
      <c r="B88" s="17" t="s">
        <v>144</v>
      </c>
      <c r="C88" s="67"/>
      <c r="D88" s="67"/>
      <c r="E88" s="147">
        <f>IF(D6&lt;60,E40,0)</f>
        <v>0</v>
      </c>
      <c r="F88" s="41">
        <f>-MIN(E88,10000)</f>
        <v>0</v>
      </c>
      <c r="H88" s="124">
        <v>0</v>
      </c>
      <c r="I88" s="7"/>
      <c r="J88" s="169"/>
    </row>
    <row r="89" spans="2:12" ht="17.45">
      <c r="B89" s="17" t="s">
        <v>145</v>
      </c>
      <c r="C89" s="67"/>
      <c r="D89" s="67"/>
      <c r="E89" s="147">
        <f>IF(D6&gt;59,E40+E41,0)</f>
        <v>0</v>
      </c>
      <c r="F89" s="41">
        <f>-MIN(IF(E6="SUPER SENIOR CITIZEN",50000,IF(E6="SENIOR CITIZEN",50000,0)),E89)</f>
        <v>0</v>
      </c>
      <c r="H89" s="124">
        <v>0</v>
      </c>
      <c r="J89" s="9"/>
    </row>
    <row r="90" spans="2:12" ht="17.45">
      <c r="B90" s="17"/>
      <c r="C90" s="67"/>
      <c r="D90" s="67"/>
      <c r="E90" s="147"/>
      <c r="F90" s="37"/>
      <c r="H90" s="125"/>
      <c r="J90" s="9"/>
    </row>
    <row r="91" spans="2:12" ht="16.5" customHeight="1">
      <c r="B91" s="19" t="s">
        <v>133</v>
      </c>
      <c r="C91" s="65"/>
      <c r="D91" s="65"/>
      <c r="E91" s="143">
        <v>0</v>
      </c>
      <c r="F91" s="45">
        <f>-MIN(E91,10%*E19)</f>
        <v>0</v>
      </c>
      <c r="H91" s="42">
        <f>F91</f>
        <v>0</v>
      </c>
      <c r="J91" s="9"/>
      <c r="L91" s="181" t="s">
        <v>207</v>
      </c>
    </row>
    <row r="92" spans="2:12" ht="17.45">
      <c r="B92" s="19"/>
      <c r="C92" s="65"/>
      <c r="D92" s="65"/>
      <c r="E92" s="147"/>
      <c r="F92" s="139"/>
      <c r="G92" s="46"/>
      <c r="H92" s="125"/>
      <c r="I92" s="180"/>
      <c r="J92" s="9"/>
    </row>
    <row r="93" spans="2:12" ht="18" thickBot="1">
      <c r="B93" s="1" t="s">
        <v>146</v>
      </c>
      <c r="C93" s="65"/>
      <c r="D93" s="65"/>
      <c r="E93" s="141"/>
      <c r="F93" s="71"/>
      <c r="G93" s="47">
        <f>G60+G63+G76+G78+F91</f>
        <v>1575000</v>
      </c>
      <c r="H93" s="47">
        <f>H60+H63+H76+H78+H91</f>
        <v>1950000</v>
      </c>
      <c r="I93" s="180"/>
      <c r="J93" s="9"/>
    </row>
    <row r="94" spans="2:12" ht="18" thickTop="1">
      <c r="B94" s="17" t="s">
        <v>208</v>
      </c>
      <c r="E94" s="145"/>
      <c r="F94" s="68"/>
      <c r="G94" s="42">
        <f>G60+G63+G76+G78+F91</f>
        <v>1575000</v>
      </c>
      <c r="H94" s="42">
        <f>H60+H63+H76+H78+H91</f>
        <v>1950000</v>
      </c>
      <c r="I94" s="180"/>
      <c r="J94" s="9"/>
    </row>
    <row r="95" spans="2:12" ht="17.45">
      <c r="B95" s="17" t="s">
        <v>147</v>
      </c>
      <c r="E95" s="145"/>
      <c r="F95" s="68"/>
      <c r="G95" s="42">
        <f>SUM(F55:F57)</f>
        <v>0</v>
      </c>
      <c r="H95" s="42">
        <f>SUM(F55:F57)</f>
        <v>0</v>
      </c>
      <c r="I95" s="180"/>
      <c r="J95" s="9"/>
    </row>
    <row r="96" spans="2:12" ht="17.45">
      <c r="B96" s="17" t="s">
        <v>209</v>
      </c>
      <c r="E96" s="145"/>
      <c r="F96" s="68"/>
      <c r="G96" s="42">
        <f>F94-F95</f>
        <v>0</v>
      </c>
      <c r="H96" s="42">
        <f>F94-F95</f>
        <v>0</v>
      </c>
      <c r="J96" s="9"/>
    </row>
    <row r="97" spans="2:10">
      <c r="B97" s="24"/>
      <c r="E97" s="145"/>
      <c r="F97" s="9"/>
      <c r="G97" s="125"/>
      <c r="H97" s="125"/>
      <c r="J97" s="9"/>
    </row>
    <row r="98" spans="2:10" ht="17.45">
      <c r="B98" s="17" t="s">
        <v>150</v>
      </c>
      <c r="E98" s="145"/>
      <c r="F98" s="68"/>
      <c r="G98" s="42">
        <f>F55*15%+F56*10%+F57*20%</f>
        <v>0</v>
      </c>
      <c r="H98" s="42">
        <f>F55*15%+F56*10%+F57*20%</f>
        <v>0</v>
      </c>
      <c r="J98" s="9"/>
    </row>
    <row r="99" spans="2:10" ht="18" thickBot="1">
      <c r="B99" s="16" t="s">
        <v>154</v>
      </c>
      <c r="C99" s="64"/>
      <c r="D99" s="64"/>
      <c r="E99" s="141"/>
      <c r="F99" s="73"/>
      <c r="G99" s="125">
        <f>ROUNDUP(IF(D6&lt;60,IF(G93&lt;=250000,0,IF(G93&lt;500000,(G93-250000)*5%,IF(G93&lt;1000000,(G93-500000)*20%+12500,(G93-1000000)*30%+112500))),IF(D6&lt;80,IF(G93&lt;=300000,0,IF(G93&lt;500000,(G93-300000)*5%,IF(G93&lt;1000000,(G93-500000)*20%+10000,(G93-1000000)*30%+110000))),IF(G93&lt;=500000,0,IF(G93&lt;1000000,(G93-500000)*20%,(G93-1000000)*30%+100000)))),0)</f>
        <v>285000</v>
      </c>
      <c r="H99" s="125">
        <f>IF(H93&lt;=300000,0,IF(H93&lt;=600000,(H93-300000)*5%,IF(H93&lt;=900000,(H93-600000)*10%+15000,IF(H93&lt;=1200000,(H93-900000)*15%+45000,IF(H93&lt;=1500000,(H93-1200000)*20%+90000,(H93-1500000)*30%+150000)))))</f>
        <v>285000</v>
      </c>
      <c r="J99" s="9"/>
    </row>
    <row r="100" spans="2:10" ht="18" thickBot="1">
      <c r="B100" s="195" t="s">
        <v>155</v>
      </c>
      <c r="C100" s="196"/>
      <c r="D100" s="196"/>
      <c r="E100" s="196"/>
      <c r="F100" s="197"/>
      <c r="G100" s="198">
        <f>SUM(G98:G99)</f>
        <v>285000</v>
      </c>
      <c r="H100" s="199">
        <f>SUM(H98:H99)</f>
        <v>285000</v>
      </c>
      <c r="J100" s="9"/>
    </row>
    <row r="101" spans="2:10" ht="17.45">
      <c r="B101" s="131" t="s">
        <v>156</v>
      </c>
      <c r="C101" s="132"/>
      <c r="D101" s="132"/>
      <c r="E101" s="132"/>
      <c r="F101" s="133"/>
      <c r="G101" s="48">
        <f>-IF(G93&lt;=500000,MIN(G100,12500),0)</f>
        <v>0</v>
      </c>
      <c r="H101" s="175">
        <f>-IF(H93&lt;=700000,MIN(H100,25000),0)</f>
        <v>0</v>
      </c>
      <c r="J101" s="9"/>
    </row>
    <row r="102" spans="2:10" ht="18" thickBot="1">
      <c r="B102" s="131" t="s">
        <v>210</v>
      </c>
      <c r="C102" s="132"/>
      <c r="D102" s="132"/>
      <c r="E102" s="132"/>
      <c r="F102" s="133"/>
      <c r="G102" s="44">
        <f>IF(G93&lt;=5000000,0,IF(G93&lt;10^7,F99*10%,IF(G93&lt;20000000,(F99*15%),IF(G93&lt;50000000,F99*25%,F99*37%))))</f>
        <v>0</v>
      </c>
      <c r="H102" s="125">
        <f>IF(H93&lt;=5000000,0,IF(H93&lt;=10000000,J29*10%,IF(H93&lt;=20000000,J29*15%,J29*25%)))</f>
        <v>0</v>
      </c>
      <c r="J102" s="9"/>
    </row>
    <row r="103" spans="2:10" ht="18" thickTop="1">
      <c r="B103" s="131" t="s">
        <v>162</v>
      </c>
      <c r="C103" s="132"/>
      <c r="D103" s="132"/>
      <c r="E103" s="132"/>
      <c r="F103" s="133"/>
      <c r="G103" s="45">
        <f>ROUNDUP((G100+G102+G101)*4%,0)</f>
        <v>11400</v>
      </c>
      <c r="H103" s="125">
        <f>ROUNDUP((G100+G102+G101)*4%,0)</f>
        <v>11400</v>
      </c>
      <c r="J103" s="9"/>
    </row>
    <row r="104" spans="2:10" ht="17.45">
      <c r="B104" s="134" t="s">
        <v>157</v>
      </c>
      <c r="C104" s="135"/>
      <c r="D104" s="135"/>
      <c r="E104" s="135"/>
      <c r="F104" s="136"/>
      <c r="G104" s="60">
        <f>SUM(G100:G103)</f>
        <v>296400</v>
      </c>
      <c r="H104" s="60">
        <f>SUM(H100:H103)</f>
        <v>296400</v>
      </c>
      <c r="J104" s="9"/>
    </row>
    <row r="105" spans="2:10" ht="17.45">
      <c r="B105" s="131" t="s">
        <v>164</v>
      </c>
      <c r="C105" s="132"/>
      <c r="D105" s="132"/>
      <c r="E105" s="132"/>
      <c r="F105" s="133"/>
      <c r="G105" s="48">
        <v>0</v>
      </c>
      <c r="H105" s="42">
        <f>G105</f>
        <v>0</v>
      </c>
      <c r="J105" s="9"/>
    </row>
    <row r="106" spans="2:10" ht="18" thickBot="1">
      <c r="B106" s="134" t="s">
        <v>165</v>
      </c>
      <c r="C106" s="135"/>
      <c r="D106" s="135"/>
      <c r="E106" s="135"/>
      <c r="F106" s="136"/>
      <c r="G106" s="61">
        <f>G104-G105</f>
        <v>296400</v>
      </c>
      <c r="H106" s="61">
        <f>H104-H105</f>
        <v>296400</v>
      </c>
      <c r="J106" s="9"/>
    </row>
    <row r="107" spans="2:10" ht="18.600000000000001" thickTop="1" thickBot="1">
      <c r="B107" s="177" t="s">
        <v>73</v>
      </c>
      <c r="C107" s="178"/>
      <c r="D107" s="178"/>
      <c r="E107" s="178"/>
      <c r="F107" s="179"/>
      <c r="G107" s="62">
        <f>G104/G60</f>
        <v>0.16937142857142856</v>
      </c>
      <c r="H107" s="62">
        <f>H104/H60</f>
        <v>0.152</v>
      </c>
      <c r="I107" s="13"/>
      <c r="J107" s="14"/>
    </row>
    <row r="113" spans="4:4">
      <c r="D113" s="3" t="s">
        <v>69</v>
      </c>
    </row>
    <row r="114" spans="4:4">
      <c r="D114" s="3" t="s">
        <v>39</v>
      </c>
    </row>
    <row r="115" spans="4:4">
      <c r="D115" s="3" t="s">
        <v>37</v>
      </c>
    </row>
    <row r="116" spans="4:4">
      <c r="D116" s="3" t="s">
        <v>70</v>
      </c>
    </row>
    <row r="117" spans="4:4">
      <c r="D117" s="3" t="s">
        <v>71</v>
      </c>
    </row>
  </sheetData>
  <mergeCells count="10">
    <mergeCell ref="G19:G21"/>
    <mergeCell ref="H19:H21"/>
    <mergeCell ref="M26:P29"/>
    <mergeCell ref="A50:A51"/>
    <mergeCell ref="B1:J1"/>
    <mergeCell ref="C8:D8"/>
    <mergeCell ref="F9:G9"/>
    <mergeCell ref="B14:D14"/>
    <mergeCell ref="E14:F14"/>
    <mergeCell ref="I14:J14"/>
  </mergeCells>
  <conditionalFormatting sqref="C10">
    <cfRule type="cellIs" dxfId="1" priority="2" operator="lessThan">
      <formula>$D$10</formula>
    </cfRule>
  </conditionalFormatting>
  <conditionalFormatting sqref="D10">
    <cfRule type="cellIs" dxfId="0" priority="1" operator="lessThan">
      <formula>$C$10</formula>
    </cfRule>
  </conditionalFormatting>
  <dataValidations count="5">
    <dataValidation type="whole" errorStyle="warning" allowBlank="1" showInputMessage="1" showErrorMessage="1" error="Maximum Deduction Rs. 25,00,000 U/S 10(10AA)" sqref="E22:E24 E28" xr:uid="{00000000-0002-0000-0400-000000000000}">
      <formula1>0</formula1>
      <formula2>2500000</formula2>
    </dataValidation>
    <dataValidation type="list" allowBlank="1" showInputMessage="1" showErrorMessage="1" sqref="D80" xr:uid="{00000000-0002-0000-0400-000001000000}">
      <formula1>"Parents are Senior Citizen, Otherwise"</formula1>
    </dataValidation>
    <dataValidation type="list" allowBlank="1" showInputMessage="1" showErrorMessage="1" sqref="D84" xr:uid="{00000000-0002-0000-0400-000002000000}">
      <formula1>"Senior Citizen Patient, Normal Case, Not Applicable"</formula1>
    </dataValidation>
    <dataValidation type="whole" allowBlank="1" showInputMessage="1" showErrorMessage="1" error="Minimum Investment Rs.6,000 p.a_x000a_Maximum Investment Rs.50,000 p.a" sqref="E76:E77" xr:uid="{00000000-0002-0000-0400-000003000000}">
      <formula1>0</formula1>
      <formula2>50000</formula2>
    </dataValidation>
    <dataValidation type="whole" errorStyle="warning" allowBlank="1" showInputMessage="1" showErrorMessage="1" errorTitle="Warning!" error="Minimum Deduction Rs.1_x000a_Maximum Deduction Rs.50,000" sqref="E80" xr:uid="{00000000-0002-0000-0400-000004000000}">
      <formula1>0</formula1>
      <formula2>50000</formula2>
    </dataValidation>
  </dataValidations>
  <pageMargins left="0.7" right="0.7" top="0.75" bottom="0.75" header="0.3" footer="0.3"/>
  <pageSetup paperSize="9" orientation="portrait" horizontalDpi="4294967292" verticalDpi="1200"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5000000}">
          <x14:formula1>
            <xm:f>Sheet2!$C$16:$C$18</xm:f>
          </x14:formula1>
          <xm:sqref>E83</xm:sqref>
        </x14:dataValidation>
        <x14:dataValidation type="list" allowBlank="1" showInputMessage="1" showErrorMessage="1" xr:uid="{00000000-0002-0000-0400-000006000000}">
          <x14:formula1>
            <xm:f>Sheet2!$G$8:$G$10</xm:f>
          </x14:formula1>
          <xm:sqref>E18</xm:sqref>
        </x14:dataValidation>
        <x14:dataValidation type="list" allowBlank="1" showInputMessage="1" showErrorMessage="1" xr:uid="{00000000-0002-0000-0400-000007000000}">
          <x14:formula1>
            <xm:f>Sheet2!$C$9:$C$11</xm:f>
          </x14:formula1>
          <xm:sqref>E87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P21"/>
  <sheetViews>
    <sheetView showGridLines="0" view="pageBreakPreview" zoomScale="98" zoomScaleNormal="130" zoomScaleSheetLayoutView="98" workbookViewId="0">
      <selection activeCell="K16" sqref="A16:XFD16"/>
    </sheetView>
  </sheetViews>
  <sheetFormatPr defaultRowHeight="14.45"/>
  <cols>
    <col min="1" max="1" width="17.5703125" customWidth="1"/>
    <col min="3" max="15" width="12.28515625" bestFit="1" customWidth="1"/>
  </cols>
  <sheetData>
    <row r="5" spans="1:16">
      <c r="A5" s="30" t="s">
        <v>37</v>
      </c>
      <c r="B5" s="401" t="s">
        <v>38</v>
      </c>
      <c r="C5" s="399">
        <v>100000</v>
      </c>
      <c r="D5" s="399">
        <v>150000</v>
      </c>
      <c r="E5" s="399">
        <v>138500</v>
      </c>
      <c r="F5" s="399">
        <v>187500</v>
      </c>
      <c r="G5" s="399">
        <v>212500</v>
      </c>
      <c r="H5" s="399">
        <f>G5+25000</f>
        <v>237500</v>
      </c>
      <c r="I5" s="399">
        <f>H5+12500</f>
        <v>250000</v>
      </c>
      <c r="J5" s="399">
        <f>H5+25000</f>
        <v>262500</v>
      </c>
      <c r="K5" s="399">
        <f t="shared" ref="K5:O5" si="0">J5+25000</f>
        <v>287500</v>
      </c>
      <c r="L5" s="399">
        <f t="shared" si="0"/>
        <v>312500</v>
      </c>
      <c r="M5" s="399">
        <f>L5+12500</f>
        <v>325000</v>
      </c>
      <c r="N5" s="399">
        <f t="shared" si="0"/>
        <v>350000</v>
      </c>
      <c r="O5" s="399">
        <f t="shared" si="0"/>
        <v>375000</v>
      </c>
      <c r="P5" s="400"/>
    </row>
    <row r="6" spans="1:16">
      <c r="A6" s="31" t="s">
        <v>39</v>
      </c>
      <c r="B6" s="401"/>
      <c r="C6" s="399"/>
      <c r="D6" s="399"/>
      <c r="E6" s="399"/>
      <c r="F6" s="399"/>
      <c r="G6" s="399"/>
      <c r="H6" s="399"/>
      <c r="I6" s="399"/>
      <c r="J6" s="399"/>
      <c r="K6" s="399"/>
      <c r="L6" s="399"/>
      <c r="M6" s="399"/>
      <c r="N6" s="399"/>
      <c r="O6" s="399"/>
      <c r="P6" s="400"/>
    </row>
    <row r="7" spans="1:16">
      <c r="A7" s="32">
        <v>550000</v>
      </c>
      <c r="B7" s="33" t="s">
        <v>40</v>
      </c>
      <c r="C7" s="27" t="s">
        <v>40</v>
      </c>
      <c r="D7" s="27" t="s">
        <v>40</v>
      </c>
      <c r="E7" s="27" t="s">
        <v>40</v>
      </c>
      <c r="F7" s="27" t="s">
        <v>40</v>
      </c>
      <c r="G7" s="27" t="s">
        <v>40</v>
      </c>
      <c r="H7" s="27" t="s">
        <v>40</v>
      </c>
      <c r="I7" s="27" t="s">
        <v>40</v>
      </c>
      <c r="J7" s="27" t="s">
        <v>40</v>
      </c>
      <c r="K7" s="27" t="s">
        <v>40</v>
      </c>
      <c r="L7" s="27" t="s">
        <v>40</v>
      </c>
      <c r="M7" s="27" t="s">
        <v>40</v>
      </c>
      <c r="N7" s="27" t="s">
        <v>40</v>
      </c>
      <c r="O7" s="27" t="s">
        <v>40</v>
      </c>
    </row>
    <row r="8" spans="1:16">
      <c r="A8" s="32">
        <f>A7+100000</f>
        <v>650000</v>
      </c>
      <c r="B8" s="28" t="s">
        <v>41</v>
      </c>
      <c r="C8" s="33" t="s">
        <v>40</v>
      </c>
      <c r="D8" s="27" t="s">
        <v>40</v>
      </c>
      <c r="E8" s="27" t="s">
        <v>40</v>
      </c>
      <c r="F8" s="27" t="s">
        <v>40</v>
      </c>
      <c r="G8" s="27" t="s">
        <v>40</v>
      </c>
      <c r="H8" s="27" t="s">
        <v>40</v>
      </c>
      <c r="I8" s="27" t="s">
        <v>40</v>
      </c>
      <c r="J8" s="27" t="s">
        <v>40</v>
      </c>
      <c r="K8" s="27" t="s">
        <v>40</v>
      </c>
      <c r="L8" s="27" t="s">
        <v>40</v>
      </c>
      <c r="M8" s="27" t="s">
        <v>40</v>
      </c>
      <c r="N8" s="27" t="s">
        <v>40</v>
      </c>
      <c r="O8" s="27" t="s">
        <v>40</v>
      </c>
    </row>
    <row r="9" spans="1:16">
      <c r="A9" s="32">
        <f t="shared" ref="A9:A15" si="1">A8+50000</f>
        <v>700000</v>
      </c>
      <c r="B9" s="28" t="s">
        <v>41</v>
      </c>
      <c r="C9" s="27" t="s">
        <v>40</v>
      </c>
      <c r="D9" s="33" t="s">
        <v>40</v>
      </c>
      <c r="E9" s="29" t="s">
        <v>42</v>
      </c>
      <c r="F9" s="29" t="s">
        <v>42</v>
      </c>
      <c r="G9" s="29" t="s">
        <v>42</v>
      </c>
      <c r="H9" s="29" t="s">
        <v>42</v>
      </c>
      <c r="I9" s="29" t="s">
        <v>42</v>
      </c>
      <c r="J9" s="29" t="s">
        <v>42</v>
      </c>
      <c r="K9" s="29" t="s">
        <v>42</v>
      </c>
      <c r="L9" s="29" t="s">
        <v>42</v>
      </c>
      <c r="M9" s="29" t="s">
        <v>42</v>
      </c>
      <c r="N9" s="29" t="s">
        <v>42</v>
      </c>
      <c r="O9" s="29" t="s">
        <v>42</v>
      </c>
    </row>
    <row r="10" spans="1:16">
      <c r="A10" s="32">
        <f>A9+100000</f>
        <v>800000</v>
      </c>
      <c r="B10" s="28" t="s">
        <v>41</v>
      </c>
      <c r="C10" s="28" t="s">
        <v>41</v>
      </c>
      <c r="D10" s="28" t="s">
        <v>41</v>
      </c>
      <c r="E10" s="33" t="s">
        <v>40</v>
      </c>
      <c r="F10" s="29" t="s">
        <v>42</v>
      </c>
      <c r="G10" s="29" t="s">
        <v>42</v>
      </c>
      <c r="H10" s="29" t="s">
        <v>42</v>
      </c>
      <c r="I10" s="29" t="s">
        <v>42</v>
      </c>
      <c r="J10" s="29" t="s">
        <v>42</v>
      </c>
      <c r="K10" s="29" t="s">
        <v>42</v>
      </c>
      <c r="L10" s="29" t="s">
        <v>42</v>
      </c>
      <c r="M10" s="29" t="s">
        <v>42</v>
      </c>
      <c r="N10" s="29" t="s">
        <v>42</v>
      </c>
      <c r="O10" s="29" t="s">
        <v>42</v>
      </c>
    </row>
    <row r="11" spans="1:16">
      <c r="A11" s="32">
        <f t="shared" si="1"/>
        <v>850000</v>
      </c>
      <c r="B11" s="28" t="s">
        <v>41</v>
      </c>
      <c r="C11" s="28" t="s">
        <v>41</v>
      </c>
      <c r="D11" s="28" t="s">
        <v>41</v>
      </c>
      <c r="E11" s="28" t="s">
        <v>41</v>
      </c>
      <c r="F11" s="33" t="s">
        <v>40</v>
      </c>
      <c r="G11" s="29" t="s">
        <v>42</v>
      </c>
      <c r="H11" s="29" t="s">
        <v>42</v>
      </c>
      <c r="I11" s="29" t="s">
        <v>42</v>
      </c>
      <c r="J11" s="29" t="s">
        <v>42</v>
      </c>
      <c r="K11" s="29" t="s">
        <v>42</v>
      </c>
      <c r="L11" s="29" t="s">
        <v>42</v>
      </c>
      <c r="M11" s="29" t="s">
        <v>42</v>
      </c>
      <c r="N11" s="29" t="s">
        <v>42</v>
      </c>
      <c r="O11" s="29" t="s">
        <v>42</v>
      </c>
    </row>
    <row r="12" spans="1:16">
      <c r="A12" s="32">
        <f t="shared" si="1"/>
        <v>900000</v>
      </c>
      <c r="B12" s="28" t="s">
        <v>41</v>
      </c>
      <c r="C12" s="28" t="s">
        <v>41</v>
      </c>
      <c r="D12" s="28" t="s">
        <v>41</v>
      </c>
      <c r="E12" s="28" t="s">
        <v>41</v>
      </c>
      <c r="F12" s="28" t="s">
        <v>41</v>
      </c>
      <c r="G12" s="33" t="s">
        <v>40</v>
      </c>
      <c r="H12" s="29" t="s">
        <v>42</v>
      </c>
      <c r="I12" s="29" t="s">
        <v>42</v>
      </c>
      <c r="J12" s="29" t="s">
        <v>42</v>
      </c>
      <c r="K12" s="29" t="s">
        <v>42</v>
      </c>
      <c r="L12" s="29" t="s">
        <v>42</v>
      </c>
      <c r="M12" s="29" t="s">
        <v>42</v>
      </c>
      <c r="N12" s="29" t="s">
        <v>42</v>
      </c>
      <c r="O12" s="29" t="s">
        <v>42</v>
      </c>
    </row>
    <row r="13" spans="1:16">
      <c r="A13" s="32">
        <f t="shared" si="1"/>
        <v>950000</v>
      </c>
      <c r="B13" s="28" t="s">
        <v>41</v>
      </c>
      <c r="C13" s="28" t="s">
        <v>41</v>
      </c>
      <c r="D13" s="28" t="s">
        <v>41</v>
      </c>
      <c r="E13" s="28" t="s">
        <v>41</v>
      </c>
      <c r="F13" s="28" t="s">
        <v>41</v>
      </c>
      <c r="G13" s="28" t="s">
        <v>41</v>
      </c>
      <c r="H13" s="33" t="s">
        <v>40</v>
      </c>
      <c r="I13" s="29" t="s">
        <v>42</v>
      </c>
      <c r="J13" s="29" t="s">
        <v>42</v>
      </c>
      <c r="K13" s="29" t="s">
        <v>42</v>
      </c>
      <c r="L13" s="29" t="s">
        <v>42</v>
      </c>
      <c r="M13" s="29" t="s">
        <v>42</v>
      </c>
      <c r="N13" s="29" t="s">
        <v>42</v>
      </c>
      <c r="O13" s="29" t="s">
        <v>42</v>
      </c>
    </row>
    <row r="14" spans="1:16">
      <c r="A14" s="32">
        <f t="shared" si="1"/>
        <v>1000000</v>
      </c>
      <c r="B14" s="28" t="s">
        <v>41</v>
      </c>
      <c r="C14" s="28" t="s">
        <v>41</v>
      </c>
      <c r="D14" s="28" t="s">
        <v>41</v>
      </c>
      <c r="E14" s="28" t="s">
        <v>41</v>
      </c>
      <c r="F14" s="28" t="s">
        <v>41</v>
      </c>
      <c r="G14" s="28" t="s">
        <v>41</v>
      </c>
      <c r="H14" s="28" t="s">
        <v>41</v>
      </c>
      <c r="I14" s="33" t="s">
        <v>40</v>
      </c>
      <c r="J14" s="29" t="s">
        <v>42</v>
      </c>
      <c r="K14" s="29" t="s">
        <v>42</v>
      </c>
      <c r="L14" s="29" t="s">
        <v>42</v>
      </c>
      <c r="M14" s="29" t="s">
        <v>42</v>
      </c>
      <c r="N14" s="29" t="s">
        <v>42</v>
      </c>
      <c r="O14" s="29" t="s">
        <v>42</v>
      </c>
    </row>
    <row r="15" spans="1:16">
      <c r="A15" s="32">
        <f t="shared" si="1"/>
        <v>1050000</v>
      </c>
      <c r="B15" s="28" t="s">
        <v>41</v>
      </c>
      <c r="C15" s="28" t="s">
        <v>41</v>
      </c>
      <c r="D15" s="28" t="s">
        <v>41</v>
      </c>
      <c r="E15" s="28" t="s">
        <v>41</v>
      </c>
      <c r="F15" s="28" t="s">
        <v>41</v>
      </c>
      <c r="G15" s="28" t="s">
        <v>41</v>
      </c>
      <c r="H15" s="28" t="s">
        <v>41</v>
      </c>
      <c r="I15" s="28" t="s">
        <v>41</v>
      </c>
      <c r="J15" s="33" t="s">
        <v>40</v>
      </c>
      <c r="K15" s="29" t="s">
        <v>42</v>
      </c>
      <c r="L15" s="29" t="s">
        <v>42</v>
      </c>
      <c r="M15" s="29" t="s">
        <v>42</v>
      </c>
      <c r="N15" s="29" t="s">
        <v>42</v>
      </c>
      <c r="O15" s="29" t="s">
        <v>42</v>
      </c>
    </row>
    <row r="16" spans="1:16">
      <c r="A16" s="32">
        <f>A15+100000</f>
        <v>1150000</v>
      </c>
      <c r="B16" s="28" t="s">
        <v>41</v>
      </c>
      <c r="C16" s="28" t="s">
        <v>41</v>
      </c>
      <c r="D16" s="28" t="s">
        <v>41</v>
      </c>
      <c r="E16" s="28" t="s">
        <v>41</v>
      </c>
      <c r="F16" s="28" t="s">
        <v>41</v>
      </c>
      <c r="G16" s="28" t="s">
        <v>41</v>
      </c>
      <c r="H16" s="28" t="s">
        <v>41</v>
      </c>
      <c r="I16" s="28" t="s">
        <v>41</v>
      </c>
      <c r="J16" s="28" t="s">
        <v>41</v>
      </c>
      <c r="K16" s="33" t="s">
        <v>40</v>
      </c>
      <c r="L16" s="29" t="s">
        <v>42</v>
      </c>
      <c r="M16" s="29" t="s">
        <v>42</v>
      </c>
      <c r="N16" s="29" t="s">
        <v>42</v>
      </c>
      <c r="O16" s="29" t="s">
        <v>42</v>
      </c>
    </row>
    <row r="17" spans="1:15">
      <c r="A17" s="32">
        <f t="shared" ref="A17" si="2">A16+100000</f>
        <v>1250000</v>
      </c>
      <c r="B17" s="28" t="s">
        <v>41</v>
      </c>
      <c r="C17" s="28" t="s">
        <v>41</v>
      </c>
      <c r="D17" s="28" t="s">
        <v>41</v>
      </c>
      <c r="E17" s="28" t="s">
        <v>41</v>
      </c>
      <c r="F17" s="28" t="s">
        <v>41</v>
      </c>
      <c r="G17" s="28" t="s">
        <v>41</v>
      </c>
      <c r="H17" s="28" t="s">
        <v>41</v>
      </c>
      <c r="I17" s="28" t="s">
        <v>41</v>
      </c>
      <c r="J17" s="28" t="s">
        <v>41</v>
      </c>
      <c r="K17" s="28" t="s">
        <v>41</v>
      </c>
      <c r="L17" s="33" t="s">
        <v>40</v>
      </c>
      <c r="M17" s="29" t="s">
        <v>42</v>
      </c>
      <c r="N17" s="29" t="s">
        <v>42</v>
      </c>
      <c r="O17" s="29" t="s">
        <v>42</v>
      </c>
    </row>
    <row r="18" spans="1:15">
      <c r="A18" s="32">
        <f>A17+150000</f>
        <v>1400000</v>
      </c>
      <c r="B18" s="28" t="s">
        <v>41</v>
      </c>
      <c r="C18" s="28" t="s">
        <v>41</v>
      </c>
      <c r="D18" s="28" t="s">
        <v>41</v>
      </c>
      <c r="E18" s="28" t="s">
        <v>41</v>
      </c>
      <c r="F18" s="28" t="s">
        <v>41</v>
      </c>
      <c r="G18" s="28" t="s">
        <v>41</v>
      </c>
      <c r="H18" s="28" t="s">
        <v>41</v>
      </c>
      <c r="I18" s="28" t="s">
        <v>41</v>
      </c>
      <c r="J18" s="28" t="s">
        <v>41</v>
      </c>
      <c r="K18" s="28" t="s">
        <v>41</v>
      </c>
      <c r="L18" s="28" t="s">
        <v>41</v>
      </c>
      <c r="M18" s="33" t="s">
        <v>40</v>
      </c>
      <c r="N18" s="29" t="s">
        <v>42</v>
      </c>
      <c r="O18" s="29" t="s">
        <v>42</v>
      </c>
    </row>
    <row r="19" spans="1:15">
      <c r="A19" s="32">
        <f>A18+50000</f>
        <v>1450000</v>
      </c>
      <c r="B19" s="28" t="s">
        <v>41</v>
      </c>
      <c r="C19" s="28" t="s">
        <v>41</v>
      </c>
      <c r="D19" s="28" t="s">
        <v>41</v>
      </c>
      <c r="E19" s="28" t="s">
        <v>41</v>
      </c>
      <c r="F19" s="28" t="s">
        <v>41</v>
      </c>
      <c r="G19" s="28" t="s">
        <v>41</v>
      </c>
      <c r="H19" s="28" t="s">
        <v>41</v>
      </c>
      <c r="I19" s="28" t="s">
        <v>41</v>
      </c>
      <c r="J19" s="28" t="s">
        <v>41</v>
      </c>
      <c r="K19" s="28" t="s">
        <v>41</v>
      </c>
      <c r="L19" s="28" t="s">
        <v>41</v>
      </c>
      <c r="M19" s="28" t="s">
        <v>41</v>
      </c>
      <c r="N19" s="33" t="s">
        <v>40</v>
      </c>
      <c r="O19" s="29" t="s">
        <v>42</v>
      </c>
    </row>
    <row r="20" spans="1:15">
      <c r="A20" s="32">
        <f>A19+100000</f>
        <v>1550000</v>
      </c>
      <c r="B20" s="28" t="s">
        <v>41</v>
      </c>
      <c r="C20" s="28" t="s">
        <v>41</v>
      </c>
      <c r="D20" s="28" t="s">
        <v>41</v>
      </c>
      <c r="E20" s="28" t="s">
        <v>41</v>
      </c>
      <c r="F20" s="28" t="s">
        <v>41</v>
      </c>
      <c r="G20" s="28" t="s">
        <v>41</v>
      </c>
      <c r="H20" s="28" t="s">
        <v>41</v>
      </c>
      <c r="I20" s="28" t="s">
        <v>41</v>
      </c>
      <c r="J20" s="28" t="s">
        <v>41</v>
      </c>
      <c r="K20" s="28" t="s">
        <v>41</v>
      </c>
      <c r="L20" s="28" t="s">
        <v>41</v>
      </c>
      <c r="M20" s="28" t="s">
        <v>41</v>
      </c>
      <c r="N20" s="28" t="s">
        <v>41</v>
      </c>
      <c r="O20" s="33" t="s">
        <v>40</v>
      </c>
    </row>
    <row r="21" spans="1:15">
      <c r="A21" s="32">
        <f>A20+50000</f>
        <v>1600000</v>
      </c>
      <c r="B21" s="28" t="s">
        <v>41</v>
      </c>
      <c r="C21" s="28" t="s">
        <v>41</v>
      </c>
      <c r="D21" s="28" t="s">
        <v>41</v>
      </c>
      <c r="E21" s="28" t="s">
        <v>41</v>
      </c>
      <c r="F21" s="28" t="s">
        <v>41</v>
      </c>
      <c r="G21" s="28" t="s">
        <v>41</v>
      </c>
      <c r="H21" s="28" t="s">
        <v>41</v>
      </c>
      <c r="I21" s="28" t="s">
        <v>41</v>
      </c>
      <c r="J21" s="28" t="s">
        <v>41</v>
      </c>
      <c r="K21" s="28" t="s">
        <v>41</v>
      </c>
      <c r="L21" s="28" t="s">
        <v>41</v>
      </c>
      <c r="M21" s="28" t="s">
        <v>41</v>
      </c>
      <c r="N21" s="28" t="s">
        <v>41</v>
      </c>
      <c r="O21" s="33" t="s">
        <v>40</v>
      </c>
    </row>
  </sheetData>
  <mergeCells count="15">
    <mergeCell ref="B5:B6"/>
    <mergeCell ref="C5:C6"/>
    <mergeCell ref="D5:D6"/>
    <mergeCell ref="E5:E6"/>
    <mergeCell ref="F5:F6"/>
    <mergeCell ref="N5:N6"/>
    <mergeCell ref="O5:O6"/>
    <mergeCell ref="P5:P6"/>
    <mergeCell ref="I5:I6"/>
    <mergeCell ref="G5:G6"/>
    <mergeCell ref="H5:H6"/>
    <mergeCell ref="J5:J6"/>
    <mergeCell ref="K5:K6"/>
    <mergeCell ref="L5:L6"/>
    <mergeCell ref="M5:M6"/>
  </mergeCells>
  <pageMargins left="0.7" right="0.7" top="0.75" bottom="0.75" header="0.3" footer="0.3"/>
  <pageSetup paperSize="9"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8:G24"/>
  <sheetViews>
    <sheetView showGridLines="0" workbookViewId="0">
      <selection activeCell="G17" sqref="G17"/>
    </sheetView>
  </sheetViews>
  <sheetFormatPr defaultRowHeight="14.45"/>
  <cols>
    <col min="3" max="3" width="25" bestFit="1" customWidth="1"/>
  </cols>
  <sheetData>
    <row r="8" spans="3:7" ht="16.5">
      <c r="C8" s="54" t="s">
        <v>43</v>
      </c>
      <c r="G8" s="36" t="s">
        <v>44</v>
      </c>
    </row>
    <row r="9" spans="3:7" ht="16.5">
      <c r="C9" t="s">
        <v>45</v>
      </c>
      <c r="D9" s="50"/>
      <c r="G9" s="36" t="s">
        <v>46</v>
      </c>
    </row>
    <row r="10" spans="3:7">
      <c r="C10" t="s">
        <v>47</v>
      </c>
      <c r="D10" s="50"/>
      <c r="G10" t="s">
        <v>48</v>
      </c>
    </row>
    <row r="11" spans="3:7">
      <c r="C11" t="s">
        <v>48</v>
      </c>
    </row>
    <row r="15" spans="3:7">
      <c r="C15" s="54" t="s">
        <v>49</v>
      </c>
      <c r="G15" t="s">
        <v>50</v>
      </c>
    </row>
    <row r="16" spans="3:7">
      <c r="C16" t="s">
        <v>45</v>
      </c>
      <c r="G16" t="s">
        <v>51</v>
      </c>
    </row>
    <row r="17" spans="3:7">
      <c r="C17" t="s">
        <v>47</v>
      </c>
      <c r="G17" t="s">
        <v>52</v>
      </c>
    </row>
    <row r="18" spans="3:7">
      <c r="C18" t="s">
        <v>48</v>
      </c>
    </row>
    <row r="21" spans="3:7">
      <c r="C21" s="54" t="s">
        <v>53</v>
      </c>
    </row>
    <row r="22" spans="3:7">
      <c r="C22" t="s">
        <v>54</v>
      </c>
    </row>
    <row r="23" spans="3:7">
      <c r="C23" t="s">
        <v>55</v>
      </c>
    </row>
    <row r="24" spans="3:7">
      <c r="C24" t="s">
        <v>48</v>
      </c>
    </row>
  </sheetData>
  <dataValidations count="1">
    <dataValidation type="list" allowBlank="1" showInputMessage="1" showErrorMessage="1" sqref="G8:G9" xr:uid="{00000000-0002-0000-0200-000000000000}">
      <formula1>$XFC$18:$XFC$19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151"/>
  <sheetViews>
    <sheetView showGridLines="0" zoomScale="67" zoomScaleNormal="100" zoomScaleSheetLayoutView="100" workbookViewId="0">
      <selection activeCell="G132" sqref="G132"/>
    </sheetView>
  </sheetViews>
  <sheetFormatPr defaultRowHeight="16.5"/>
  <cols>
    <col min="1" max="1" width="11.85546875" style="201" bestFit="1" customWidth="1"/>
    <col min="2" max="2" width="82.140625" style="201" customWidth="1"/>
    <col min="3" max="3" width="17.85546875" style="201" customWidth="1"/>
    <col min="4" max="4" width="18.7109375" style="201" bestFit="1" customWidth="1"/>
    <col min="5" max="5" width="29.7109375" style="201" customWidth="1"/>
    <col min="6" max="6" width="25.140625" style="201" bestFit="1" customWidth="1"/>
    <col min="7" max="7" width="17.85546875" style="201" bestFit="1" customWidth="1"/>
    <col min="8" max="8" width="18.42578125" style="201" customWidth="1"/>
    <col min="9" max="9" width="9.140625" style="201" customWidth="1"/>
    <col min="10" max="10" width="51.5703125" style="201" customWidth="1"/>
    <col min="11" max="11" width="14.28515625" style="201" customWidth="1"/>
    <col min="12" max="15" width="9.140625" style="201" customWidth="1"/>
    <col min="16" max="16378" width="9.140625" style="201"/>
    <col min="16379" max="16379" width="5.140625" style="201" bestFit="1" customWidth="1"/>
    <col min="16380" max="16380" width="10.28515625" style="201" bestFit="1" customWidth="1"/>
    <col min="16381" max="16381" width="19.5703125" style="201" bestFit="1" customWidth="1"/>
    <col min="16382" max="16382" width="10.28515625" style="201" bestFit="1" customWidth="1"/>
    <col min="16383" max="16384" width="10.28515625" style="201" customWidth="1"/>
  </cols>
  <sheetData>
    <row r="1" spans="1:8" ht="25.5" thickBot="1">
      <c r="A1" s="200">
        <v>45382</v>
      </c>
      <c r="B1" s="405" t="s">
        <v>56</v>
      </c>
      <c r="C1" s="406"/>
      <c r="D1" s="406"/>
      <c r="E1" s="406"/>
      <c r="F1" s="406"/>
      <c r="G1" s="406"/>
      <c r="H1" s="407"/>
    </row>
    <row r="2" spans="1:8" s="202" customFormat="1" ht="6" customHeight="1">
      <c r="B2" s="247"/>
      <c r="H2" s="248"/>
    </row>
    <row r="3" spans="1:8" s="203" customFormat="1" ht="21">
      <c r="B3" s="249"/>
      <c r="C3" s="204"/>
      <c r="D3" s="204"/>
      <c r="E3" s="201"/>
      <c r="F3" s="311"/>
      <c r="G3" s="201"/>
      <c r="H3" s="250"/>
    </row>
    <row r="4" spans="1:8" s="203" customFormat="1" ht="16.5" customHeight="1">
      <c r="B4" s="229"/>
      <c r="C4" s="209" t="s">
        <v>57</v>
      </c>
      <c r="D4" s="20" t="s">
        <v>58</v>
      </c>
      <c r="E4" s="205" t="s">
        <v>59</v>
      </c>
      <c r="F4" s="206" t="s">
        <v>60</v>
      </c>
      <c r="H4" s="250"/>
    </row>
    <row r="5" spans="1:8" s="203" customFormat="1" ht="20.25" customHeight="1">
      <c r="B5" s="270"/>
      <c r="C5" s="209" t="s">
        <v>61</v>
      </c>
      <c r="D5" s="10">
        <v>32874</v>
      </c>
      <c r="H5" s="250"/>
    </row>
    <row r="6" spans="1:8" s="203" customFormat="1" ht="20.25" customHeight="1">
      <c r="B6" s="270"/>
      <c r="C6" s="209" t="s">
        <v>62</v>
      </c>
      <c r="D6" s="100">
        <f>(A1-D5)/365</f>
        <v>34.268493150684932</v>
      </c>
      <c r="E6" s="207" t="str">
        <f>IF(D6&gt;80,"SUPER SENIOR CITIZEN",IF(D6&lt;60,"REGULAR TAX PAYER","SENIOR CITIZEN"))</f>
        <v>REGULAR TAX PAYER</v>
      </c>
      <c r="F6" s="208" t="s">
        <v>63</v>
      </c>
      <c r="H6" s="250"/>
    </row>
    <row r="7" spans="1:8" s="203" customFormat="1" ht="17.25" customHeight="1">
      <c r="B7" s="270"/>
      <c r="C7" s="312"/>
      <c r="D7" s="21"/>
      <c r="E7" s="201"/>
      <c r="H7" s="250"/>
    </row>
    <row r="8" spans="1:8" s="203" customFormat="1" ht="17.25" customHeight="1">
      <c r="B8" s="270"/>
      <c r="C8" s="408" t="s">
        <v>64</v>
      </c>
      <c r="D8" s="408"/>
      <c r="E8" s="201"/>
      <c r="H8" s="250"/>
    </row>
    <row r="9" spans="1:8" s="203" customFormat="1" ht="17.25" customHeight="1">
      <c r="B9" s="270"/>
      <c r="C9" s="209" t="s">
        <v>65</v>
      </c>
      <c r="D9" s="56" t="s">
        <v>66</v>
      </c>
      <c r="E9" s="201"/>
      <c r="F9" s="409" t="s">
        <v>67</v>
      </c>
      <c r="G9" s="409"/>
      <c r="H9" s="250"/>
    </row>
    <row r="10" spans="1:8" s="203" customFormat="1" ht="17.25" customHeight="1">
      <c r="B10" s="270"/>
      <c r="C10" s="210">
        <f>G133</f>
        <v>35709943.982113913</v>
      </c>
      <c r="D10" s="26">
        <f>H133</f>
        <v>35575392.438407153</v>
      </c>
      <c r="E10" s="201"/>
      <c r="H10" s="250"/>
    </row>
    <row r="11" spans="1:8" s="203" customFormat="1" ht="17.45">
      <c r="B11" s="251"/>
      <c r="E11" s="201"/>
      <c r="H11" s="250"/>
    </row>
    <row r="12" spans="1:8" s="203" customFormat="1" ht="17.45">
      <c r="B12" s="269"/>
      <c r="C12" s="63" t="s">
        <v>68</v>
      </c>
      <c r="D12" s="211" t="str">
        <f>IF(D10&gt;C10,"Old Regime", "New Regime")</f>
        <v>New Regime</v>
      </c>
      <c r="E12" s="201"/>
      <c r="H12" s="250"/>
    </row>
    <row r="13" spans="1:8" s="203" customFormat="1" ht="17.45">
      <c r="B13" s="251"/>
      <c r="C13" s="313"/>
      <c r="D13" s="314"/>
      <c r="E13" s="201"/>
      <c r="H13" s="250"/>
    </row>
    <row r="14" spans="1:8" s="253" customFormat="1" ht="33">
      <c r="B14" s="254"/>
      <c r="C14" s="63" t="s">
        <v>69</v>
      </c>
      <c r="D14" s="211" t="s">
        <v>65</v>
      </c>
      <c r="E14" s="63" t="s">
        <v>66</v>
      </c>
      <c r="H14" s="255"/>
    </row>
    <row r="15" spans="1:8" s="203" customFormat="1" ht="17.45">
      <c r="B15" s="251"/>
      <c r="C15" s="265" t="s">
        <v>39</v>
      </c>
      <c r="D15" s="256">
        <f>G22</f>
        <v>0</v>
      </c>
      <c r="E15" s="433">
        <f>H22</f>
        <v>0</v>
      </c>
      <c r="H15" s="250"/>
    </row>
    <row r="16" spans="1:8" s="203" customFormat="1" ht="17.45">
      <c r="B16" s="251"/>
      <c r="C16" s="265" t="s">
        <v>37</v>
      </c>
      <c r="D16" s="256">
        <f>SUM(G40:G41)+G56+G72+G86+G89+F87</f>
        <v>0</v>
      </c>
      <c r="E16" s="433">
        <f>SUM(H40:H41)+H56+H72+H86+H89+G87</f>
        <v>0</v>
      </c>
      <c r="H16" s="252"/>
    </row>
    <row r="17" spans="2:25" s="203" customFormat="1" ht="17.45">
      <c r="B17" s="251"/>
      <c r="C17" s="265" t="s">
        <v>70</v>
      </c>
      <c r="D17" s="256">
        <f>SUM(D15:D16)</f>
        <v>0</v>
      </c>
      <c r="E17" s="433">
        <f>SUM(E15:E16)</f>
        <v>0</v>
      </c>
      <c r="H17" s="252"/>
    </row>
    <row r="18" spans="2:25" s="203" customFormat="1" ht="17.45">
      <c r="B18" s="251"/>
      <c r="C18" s="63" t="s">
        <v>71</v>
      </c>
      <c r="D18" s="100">
        <f>G124</f>
        <v>29857811.800000001</v>
      </c>
      <c r="E18" s="257">
        <f>H124</f>
        <v>29745311</v>
      </c>
      <c r="H18" s="252"/>
    </row>
    <row r="19" spans="2:25" s="203" customFormat="1" ht="33">
      <c r="B19" s="251" t="s">
        <v>72</v>
      </c>
      <c r="C19" s="63" t="s">
        <v>73</v>
      </c>
      <c r="D19" s="266" t="e">
        <f>#REF!</f>
        <v>#REF!</v>
      </c>
      <c r="E19" s="267" t="e">
        <f>#REF!</f>
        <v>#REF!</v>
      </c>
      <c r="H19" s="252"/>
    </row>
    <row r="20" spans="2:25" s="203" customFormat="1" ht="18" thickBot="1">
      <c r="B20" s="251"/>
      <c r="C20" s="315"/>
      <c r="D20" s="315"/>
      <c r="E20" s="201"/>
      <c r="F20" s="201"/>
      <c r="G20" s="201"/>
      <c r="H20" s="250"/>
    </row>
    <row r="21" spans="2:25" s="203" customFormat="1" ht="21.6" thickBot="1">
      <c r="B21" s="412" t="s">
        <v>74</v>
      </c>
      <c r="C21" s="413"/>
      <c r="D21" s="414"/>
      <c r="E21" s="410" t="s">
        <v>75</v>
      </c>
      <c r="F21" s="411"/>
      <c r="G21" s="212" t="s">
        <v>76</v>
      </c>
      <c r="H21" s="298" t="s">
        <v>77</v>
      </c>
      <c r="I21" s="201"/>
      <c r="J21" s="278">
        <f>G37+250000</f>
        <v>250000</v>
      </c>
    </row>
    <row r="22" spans="2:25" s="203" customFormat="1" ht="18" thickBot="1">
      <c r="B22" s="213" t="s">
        <v>78</v>
      </c>
      <c r="C22" s="316"/>
      <c r="D22" s="284"/>
      <c r="E22" s="194">
        <v>0</v>
      </c>
      <c r="F22" s="214"/>
      <c r="G22" s="215">
        <f>E22</f>
        <v>0</v>
      </c>
      <c r="H22" s="333">
        <f>G22</f>
        <v>0</v>
      </c>
      <c r="I22" s="201"/>
    </row>
    <row r="23" spans="2:25" s="203" customFormat="1" ht="18" thickTop="1">
      <c r="B23" s="216" t="s">
        <v>79</v>
      </c>
      <c r="C23" s="317"/>
      <c r="D23" s="285"/>
      <c r="E23" s="217"/>
      <c r="F23" s="218"/>
      <c r="G23" s="215">
        <f>-(F24+SUM(F29:F35))</f>
        <v>0</v>
      </c>
      <c r="H23" s="218"/>
      <c r="I23" s="201"/>
    </row>
    <row r="24" spans="2:25" s="203" customFormat="1" ht="17.45">
      <c r="B24" s="219" t="s">
        <v>80</v>
      </c>
      <c r="C24" s="317"/>
      <c r="D24" s="285"/>
      <c r="E24" s="217"/>
      <c r="F24" s="138"/>
      <c r="G24" s="215"/>
      <c r="H24" s="334"/>
      <c r="I24" s="201"/>
    </row>
    <row r="25" spans="2:25" s="203" customFormat="1" ht="17.45">
      <c r="B25" s="220" t="s">
        <v>81</v>
      </c>
      <c r="C25" s="318"/>
      <c r="D25" s="286"/>
      <c r="E25" s="142" t="s">
        <v>44</v>
      </c>
      <c r="F25" s="221"/>
      <c r="G25" s="215"/>
      <c r="H25" s="250"/>
      <c r="I25" s="201"/>
    </row>
    <row r="26" spans="2:25" s="203" customFormat="1" ht="17.45">
      <c r="B26" s="220" t="s">
        <v>82</v>
      </c>
      <c r="C26" s="318"/>
      <c r="D26" s="286"/>
      <c r="E26" s="143">
        <v>0</v>
      </c>
      <c r="F26" s="138">
        <f>IF(E25="Metro",E26*50%,IF(E25="Non-metro",E26*40%,0))</f>
        <v>0</v>
      </c>
      <c r="G26" s="415">
        <f>-MIN(F26:F28)</f>
        <v>0</v>
      </c>
      <c r="H26" s="403">
        <v>0</v>
      </c>
      <c r="I26" s="201"/>
      <c r="J26" s="277">
        <f>E22-SUM(E26:E35)</f>
        <v>0</v>
      </c>
      <c r="Y26" s="201"/>
    </row>
    <row r="27" spans="2:25" ht="17.45">
      <c r="B27" s="222" t="s">
        <v>83</v>
      </c>
      <c r="C27" s="319"/>
      <c r="D27" s="287"/>
      <c r="E27" s="143">
        <v>0</v>
      </c>
      <c r="F27" s="138">
        <f>E27-(E26*10%)</f>
        <v>0</v>
      </c>
      <c r="G27" s="415"/>
      <c r="H27" s="403"/>
      <c r="L27" s="223"/>
      <c r="M27" s="223"/>
      <c r="N27" s="223"/>
      <c r="O27" s="223"/>
      <c r="P27" s="223"/>
    </row>
    <row r="28" spans="2:25" ht="18" thickBot="1">
      <c r="B28" s="222" t="s">
        <v>84</v>
      </c>
      <c r="C28" s="319"/>
      <c r="D28" s="287"/>
      <c r="E28" s="143">
        <v>0</v>
      </c>
      <c r="F28" s="138">
        <f>E28</f>
        <v>0</v>
      </c>
      <c r="G28" s="415"/>
      <c r="H28" s="404"/>
      <c r="L28" s="223"/>
      <c r="M28" s="223"/>
      <c r="N28" s="223"/>
      <c r="O28" s="223"/>
      <c r="P28" s="223"/>
    </row>
    <row r="29" spans="2:25" ht="18" thickTop="1">
      <c r="B29" s="219" t="s">
        <v>85</v>
      </c>
      <c r="C29" s="317"/>
      <c r="D29" s="285"/>
      <c r="E29" s="143">
        <v>0</v>
      </c>
      <c r="F29" s="138"/>
      <c r="G29" s="215">
        <f>-IF(E29&lt;=2500000,E29,2500000)</f>
        <v>0</v>
      </c>
      <c r="H29" s="335">
        <f>G29</f>
        <v>0</v>
      </c>
      <c r="L29" s="223"/>
      <c r="M29" s="223"/>
      <c r="N29" s="223"/>
      <c r="O29" s="223"/>
      <c r="P29" s="223"/>
    </row>
    <row r="30" spans="2:25" ht="17.45">
      <c r="B30" s="219" t="s">
        <v>86</v>
      </c>
      <c r="C30" s="317"/>
      <c r="D30" s="285"/>
      <c r="E30" s="143">
        <v>0</v>
      </c>
      <c r="F30" s="139"/>
      <c r="G30" s="215">
        <f>-MIN(E30,26400)</f>
        <v>0</v>
      </c>
      <c r="H30" s="336">
        <v>0</v>
      </c>
      <c r="L30" s="223"/>
      <c r="M30" s="223"/>
      <c r="N30" s="223"/>
      <c r="O30" s="223"/>
      <c r="P30" s="223"/>
    </row>
    <row r="31" spans="2:25" s="225" customFormat="1" ht="21" customHeight="1">
      <c r="B31" s="224" t="s">
        <v>87</v>
      </c>
      <c r="C31" s="320"/>
      <c r="D31" s="288"/>
      <c r="E31" s="143">
        <v>0</v>
      </c>
      <c r="F31" s="140"/>
      <c r="G31" s="215">
        <f>-MIN(E31,2400)</f>
        <v>0</v>
      </c>
      <c r="H31" s="337">
        <v>0</v>
      </c>
      <c r="L31" s="226"/>
      <c r="M31" s="226"/>
      <c r="N31" s="226"/>
      <c r="O31" s="226"/>
      <c r="P31" s="226"/>
    </row>
    <row r="32" spans="2:25" ht="17.45">
      <c r="B32" s="224" t="s">
        <v>88</v>
      </c>
      <c r="D32" s="231"/>
      <c r="E32" s="143">
        <v>0</v>
      </c>
      <c r="F32" s="227"/>
      <c r="G32" s="215">
        <f>-E32</f>
        <v>0</v>
      </c>
      <c r="H32" s="336">
        <v>0</v>
      </c>
      <c r="L32" s="223"/>
      <c r="M32" s="223"/>
      <c r="N32" s="223"/>
      <c r="O32" s="223"/>
      <c r="P32" s="223"/>
    </row>
    <row r="33" spans="2:16" ht="44.25" customHeight="1">
      <c r="B33" s="224" t="s">
        <v>89</v>
      </c>
      <c r="D33" s="231"/>
      <c r="E33" s="143">
        <v>0</v>
      </c>
      <c r="F33" s="227"/>
      <c r="G33" s="215">
        <f>-E33</f>
        <v>0</v>
      </c>
      <c r="H33" s="338">
        <f>G33</f>
        <v>0</v>
      </c>
      <c r="J33" s="264"/>
      <c r="K33" s="228"/>
      <c r="L33" s="228"/>
      <c r="M33" s="228"/>
      <c r="O33" s="223"/>
      <c r="P33" s="223"/>
    </row>
    <row r="34" spans="2:16" ht="17.45">
      <c r="B34" s="224" t="s">
        <v>90</v>
      </c>
      <c r="D34" s="231"/>
      <c r="E34" s="143">
        <v>0</v>
      </c>
      <c r="F34" s="227"/>
      <c r="G34" s="215">
        <f>-E34</f>
        <v>0</v>
      </c>
      <c r="H34" s="339">
        <v>0</v>
      </c>
      <c r="J34" s="228"/>
      <c r="K34" s="228"/>
      <c r="L34" s="228"/>
      <c r="M34" s="228"/>
      <c r="O34" s="223"/>
      <c r="P34" s="223"/>
    </row>
    <row r="35" spans="2:16" ht="17.45">
      <c r="B35" s="219" t="s">
        <v>91</v>
      </c>
      <c r="C35" s="317"/>
      <c r="D35" s="285"/>
      <c r="E35" s="143">
        <v>0</v>
      </c>
      <c r="F35" s="155"/>
      <c r="G35" s="215">
        <f>-E35</f>
        <v>0</v>
      </c>
      <c r="H35" s="339">
        <v>0</v>
      </c>
      <c r="J35" s="228"/>
      <c r="K35" s="228"/>
      <c r="L35" s="228"/>
      <c r="M35" s="228"/>
      <c r="O35" s="223"/>
      <c r="P35" s="223"/>
    </row>
    <row r="36" spans="2:16" ht="17.45">
      <c r="B36" s="229"/>
      <c r="D36" s="231"/>
      <c r="E36" s="230"/>
      <c r="F36" s="231"/>
      <c r="G36" s="215"/>
      <c r="H36" s="250"/>
      <c r="J36" s="228"/>
      <c r="K36" s="228"/>
      <c r="L36" s="228"/>
      <c r="M36" s="228"/>
      <c r="O36" s="223"/>
      <c r="P36" s="223"/>
    </row>
    <row r="37" spans="2:16" ht="17.45">
      <c r="B37" s="219" t="s">
        <v>92</v>
      </c>
      <c r="D37" s="231"/>
      <c r="E37" s="230"/>
      <c r="F37" s="231"/>
      <c r="G37" s="232">
        <f>SUM(G22:G36)</f>
        <v>0</v>
      </c>
      <c r="H37" s="299">
        <f>SUM(H22:H36)</f>
        <v>0</v>
      </c>
    </row>
    <row r="38" spans="2:16" ht="17.45">
      <c r="B38" s="219"/>
      <c r="D38" s="231"/>
      <c r="E38" s="230"/>
      <c r="F38" s="231"/>
      <c r="G38" s="233"/>
      <c r="H38" s="236"/>
    </row>
    <row r="39" spans="2:16" ht="17.45">
      <c r="B39" s="222" t="s">
        <v>93</v>
      </c>
      <c r="D39" s="231"/>
      <c r="E39" s="230"/>
      <c r="F39" s="231"/>
      <c r="G39" s="234"/>
      <c r="H39" s="250"/>
    </row>
    <row r="40" spans="2:16" ht="17.45">
      <c r="B40" s="219" t="s">
        <v>94</v>
      </c>
      <c r="C40" s="317"/>
      <c r="D40" s="285"/>
      <c r="E40" s="146">
        <f>IF(G37&gt;0,MIN(50000,G37),0)</f>
        <v>0</v>
      </c>
      <c r="F40" s="138"/>
      <c r="G40" s="233">
        <f>-E40</f>
        <v>0</v>
      </c>
      <c r="H40" s="338">
        <f>G40</f>
        <v>0</v>
      </c>
    </row>
    <row r="41" spans="2:16" ht="17.45">
      <c r="B41" s="219" t="s">
        <v>95</v>
      </c>
      <c r="C41" s="317"/>
      <c r="D41" s="285"/>
      <c r="E41" s="143">
        <v>0</v>
      </c>
      <c r="F41" s="138"/>
      <c r="G41" s="233">
        <f>-E41</f>
        <v>0</v>
      </c>
      <c r="H41" s="340">
        <v>0</v>
      </c>
    </row>
    <row r="42" spans="2:16" ht="17.45">
      <c r="B42" s="229"/>
      <c r="D42" s="231"/>
      <c r="E42" s="230"/>
      <c r="F42" s="231"/>
      <c r="G42" s="215"/>
      <c r="H42" s="250"/>
    </row>
    <row r="43" spans="2:16" ht="18" thickBot="1">
      <c r="B43" s="219" t="s">
        <v>96</v>
      </c>
      <c r="C43" s="317"/>
      <c r="D43" s="285"/>
      <c r="E43" s="217"/>
      <c r="F43" s="221"/>
      <c r="G43" s="38">
        <f>SUM(G37:G41)</f>
        <v>0</v>
      </c>
      <c r="H43" s="300">
        <f>SUM(H37:H42)</f>
        <v>0</v>
      </c>
    </row>
    <row r="44" spans="2:16" ht="18.600000000000001" thickTop="1" thickBot="1">
      <c r="B44" s="219"/>
      <c r="C44" s="317"/>
      <c r="D44" s="285"/>
      <c r="E44" s="217"/>
      <c r="F44" s="221"/>
      <c r="G44" s="39"/>
      <c r="H44" s="250"/>
    </row>
    <row r="45" spans="2:16" ht="18.600000000000001" thickTop="1" thickBot="1">
      <c r="B45" s="219" t="s">
        <v>97</v>
      </c>
      <c r="C45" s="317"/>
      <c r="D45" s="285"/>
      <c r="E45" s="217"/>
      <c r="F45" s="139"/>
      <c r="G45" s="40">
        <f>SUM(E47:E53)</f>
        <v>45345444</v>
      </c>
      <c r="H45" s="301">
        <f>G45</f>
        <v>45345444</v>
      </c>
    </row>
    <row r="46" spans="2:16" ht="18" thickTop="1">
      <c r="B46" s="224" t="s">
        <v>98</v>
      </c>
      <c r="C46" s="320"/>
      <c r="D46" s="288"/>
      <c r="E46" s="217"/>
      <c r="F46" s="221"/>
      <c r="G46" s="329"/>
      <c r="H46" s="250"/>
    </row>
    <row r="47" spans="2:16" ht="17.45">
      <c r="B47" s="222" t="s">
        <v>99</v>
      </c>
      <c r="C47" s="319"/>
      <c r="D47" s="287"/>
      <c r="E47" s="143">
        <v>0</v>
      </c>
      <c r="F47" s="221"/>
      <c r="G47" s="329"/>
      <c r="H47" s="250"/>
    </row>
    <row r="48" spans="2:16" ht="17.45">
      <c r="B48" s="222" t="s">
        <v>100</v>
      </c>
      <c r="C48" s="319"/>
      <c r="D48" s="287"/>
      <c r="E48" s="143">
        <v>0</v>
      </c>
      <c r="F48" s="221"/>
      <c r="G48" s="329"/>
      <c r="H48" s="250"/>
      <c r="J48" s="235"/>
    </row>
    <row r="49" spans="1:10" ht="17.45">
      <c r="B49" s="222" t="s">
        <v>101</v>
      </c>
      <c r="C49" s="319"/>
      <c r="D49" s="287"/>
      <c r="E49" s="143">
        <v>0</v>
      </c>
      <c r="F49" s="221"/>
      <c r="G49" s="329"/>
      <c r="H49" s="341"/>
      <c r="J49" s="235"/>
    </row>
    <row r="50" spans="1:10" ht="17.25" customHeight="1">
      <c r="B50" s="222" t="s">
        <v>102</v>
      </c>
      <c r="D50" s="231"/>
      <c r="E50" s="143">
        <v>0</v>
      </c>
      <c r="F50" s="236"/>
      <c r="G50" s="233"/>
      <c r="H50" s="341"/>
      <c r="J50" s="235"/>
    </row>
    <row r="51" spans="1:10" ht="18" customHeight="1">
      <c r="B51" s="222" t="s">
        <v>103</v>
      </c>
      <c r="D51" s="231"/>
      <c r="E51" s="237">
        <f>-MIN(15000,ROUND(E50/3,0))</f>
        <v>0</v>
      </c>
      <c r="F51" s="236"/>
      <c r="G51" s="233"/>
      <c r="H51" s="341"/>
      <c r="J51" s="235"/>
    </row>
    <row r="52" spans="1:10" ht="18" customHeight="1">
      <c r="B52" s="242" t="s">
        <v>104</v>
      </c>
      <c r="C52" s="320"/>
      <c r="D52" s="288"/>
      <c r="E52" s="143">
        <v>30000000</v>
      </c>
      <c r="F52" s="221"/>
      <c r="G52" s="329"/>
      <c r="H52" s="341"/>
      <c r="J52" s="235"/>
    </row>
    <row r="53" spans="1:10" ht="18" customHeight="1">
      <c r="B53" s="242" t="s">
        <v>105</v>
      </c>
      <c r="C53" s="320"/>
      <c r="D53" s="288"/>
      <c r="E53" s="143">
        <v>15345444</v>
      </c>
      <c r="F53" s="221"/>
      <c r="G53" s="329"/>
      <c r="H53" s="341"/>
    </row>
    <row r="54" spans="1:10" ht="18" customHeight="1">
      <c r="B54" s="224"/>
      <c r="C54" s="320"/>
      <c r="D54" s="288"/>
      <c r="E54" s="237"/>
      <c r="F54" s="221"/>
      <c r="G54" s="329"/>
      <c r="H54" s="341"/>
    </row>
    <row r="55" spans="1:10" ht="16.5" customHeight="1" thickBot="1">
      <c r="B55" s="219" t="s">
        <v>106</v>
      </c>
      <c r="C55" s="317"/>
      <c r="D55" s="285"/>
      <c r="E55" s="217"/>
      <c r="F55" s="221"/>
      <c r="G55" s="40"/>
      <c r="H55" s="341"/>
    </row>
    <row r="56" spans="1:10" ht="16.5" customHeight="1" thickTop="1">
      <c r="B56" s="222" t="s">
        <v>107</v>
      </c>
      <c r="C56" s="319"/>
      <c r="D56" s="287"/>
      <c r="E56" s="143">
        <v>0</v>
      </c>
      <c r="F56" s="139"/>
      <c r="G56" s="330">
        <f>IF(E56&gt;0,-MIN(E56,200000),0)</f>
        <v>0</v>
      </c>
      <c r="H56" s="342"/>
    </row>
    <row r="57" spans="1:10" ht="16.5" customHeight="1">
      <c r="B57" s="222"/>
      <c r="C57" s="319"/>
      <c r="D57" s="287"/>
      <c r="E57" s="237"/>
      <c r="F57" s="139"/>
      <c r="G57" s="329"/>
      <c r="H57" s="250"/>
    </row>
    <row r="58" spans="1:10" ht="16.5" customHeight="1">
      <c r="A58" s="402"/>
      <c r="B58" s="222" t="s">
        <v>108</v>
      </c>
      <c r="C58" s="319"/>
      <c r="D58" s="287"/>
      <c r="E58" s="143">
        <v>0</v>
      </c>
      <c r="F58" s="139"/>
      <c r="G58" s="329"/>
      <c r="H58" s="250"/>
    </row>
    <row r="59" spans="1:10" ht="16.5" customHeight="1">
      <c r="A59" s="402"/>
      <c r="B59" s="222" t="s">
        <v>109</v>
      </c>
      <c r="C59" s="319"/>
      <c r="D59" s="287"/>
      <c r="E59" s="143">
        <v>0</v>
      </c>
      <c r="F59" s="139"/>
      <c r="G59" s="329">
        <f>E59-E58</f>
        <v>0</v>
      </c>
      <c r="H59" s="338">
        <f>IF(G59&lt;0,0,G59)</f>
        <v>0</v>
      </c>
      <c r="J59" s="279"/>
    </row>
    <row r="60" spans="1:10" ht="16.5" customHeight="1">
      <c r="B60" s="222"/>
      <c r="C60" s="319"/>
      <c r="D60" s="287"/>
      <c r="E60" s="237"/>
      <c r="F60" s="139"/>
      <c r="G60" s="329"/>
      <c r="H60" s="250"/>
    </row>
    <row r="61" spans="1:10" ht="16.5" customHeight="1">
      <c r="B61" s="219" t="s">
        <v>110</v>
      </c>
      <c r="C61" s="319"/>
      <c r="D61" s="287"/>
      <c r="E61" s="238"/>
      <c r="F61" s="139"/>
      <c r="G61" s="329"/>
      <c r="H61" s="338"/>
    </row>
    <row r="62" spans="1:10" ht="16.5" customHeight="1">
      <c r="B62" s="222" t="s">
        <v>111</v>
      </c>
      <c r="C62" s="319"/>
      <c r="D62" s="287"/>
      <c r="E62" s="143">
        <v>0</v>
      </c>
      <c r="F62" s="139">
        <f>IF(E62&lt;=0,0,E62)</f>
        <v>0</v>
      </c>
      <c r="G62" s="329"/>
      <c r="H62" s="250"/>
    </row>
    <row r="63" spans="1:10" ht="16.5" customHeight="1">
      <c r="B63" s="222" t="s">
        <v>112</v>
      </c>
      <c r="C63" s="319"/>
      <c r="D63" s="287"/>
      <c r="E63" s="143">
        <v>25500000</v>
      </c>
      <c r="F63" s="139">
        <f>IF(E63&lt;=0,0,E63)</f>
        <v>25500000</v>
      </c>
      <c r="G63" s="329"/>
      <c r="H63" s="250"/>
      <c r="I63" s="275"/>
    </row>
    <row r="64" spans="1:10" ht="16.5" customHeight="1">
      <c r="B64" s="219" t="s">
        <v>113</v>
      </c>
      <c r="C64" s="319"/>
      <c r="D64" s="287"/>
      <c r="E64" s="143"/>
      <c r="F64" s="236"/>
      <c r="G64" s="331">
        <f>SUM(F62:F63)</f>
        <v>25500000</v>
      </c>
      <c r="H64" s="338">
        <f>G64</f>
        <v>25500000</v>
      </c>
    </row>
    <row r="65" spans="2:10" ht="16.5" customHeight="1">
      <c r="B65" s="222" t="s">
        <v>114</v>
      </c>
      <c r="D65" s="231"/>
      <c r="E65" s="143">
        <v>43112222</v>
      </c>
      <c r="F65" s="139">
        <f>IF(E65&lt;=0,0,E65)</f>
        <v>43112222</v>
      </c>
      <c r="G65" s="329"/>
      <c r="H65" s="250"/>
    </row>
    <row r="66" spans="2:10" ht="17.45">
      <c r="B66" s="222" t="s">
        <v>115</v>
      </c>
      <c r="D66" s="231"/>
      <c r="E66" s="143">
        <v>40042334</v>
      </c>
      <c r="F66" s="139">
        <f>IF(E66&lt;=0,0,E66)</f>
        <v>40042334</v>
      </c>
      <c r="G66" s="329"/>
      <c r="H66" s="250"/>
    </row>
    <row r="67" spans="2:10" ht="17.45">
      <c r="B67" s="219" t="s">
        <v>116</v>
      </c>
      <c r="D67" s="231"/>
      <c r="E67" s="238"/>
      <c r="F67" s="271"/>
      <c r="G67" s="331">
        <f>IF(F66+F65&gt;0,F66+F65,0)</f>
        <v>83154556</v>
      </c>
      <c r="H67" s="338">
        <f>G67</f>
        <v>83154556</v>
      </c>
      <c r="I67" s="275"/>
    </row>
    <row r="68" spans="2:10" ht="17.45">
      <c r="B68" s="229"/>
      <c r="D68" s="231"/>
      <c r="E68" s="238"/>
      <c r="F68" s="139"/>
      <c r="G68" s="329"/>
      <c r="H68" s="250"/>
      <c r="J68" s="201">
        <v>8145700</v>
      </c>
    </row>
    <row r="69" spans="2:10" ht="18" thickBot="1">
      <c r="B69" s="219" t="s">
        <v>117</v>
      </c>
      <c r="C69" s="317"/>
      <c r="D69" s="285"/>
      <c r="E69" s="237"/>
      <c r="F69" s="221"/>
      <c r="G69" s="38">
        <f>SUM(G43:G68)</f>
        <v>154000000</v>
      </c>
      <c r="H69" s="300">
        <f>SUM(H43:H68)</f>
        <v>154000000</v>
      </c>
      <c r="J69" s="275">
        <f>J68-G69</f>
        <v>-145854300</v>
      </c>
    </row>
    <row r="70" spans="2:10" ht="18" thickTop="1">
      <c r="B70" s="219"/>
      <c r="C70" s="317"/>
      <c r="D70" s="285"/>
      <c r="E70" s="237"/>
      <c r="F70" s="221"/>
      <c r="G70" s="43"/>
      <c r="H70" s="250"/>
    </row>
    <row r="71" spans="2:10" ht="17.45">
      <c r="B71" s="219" t="s">
        <v>118</v>
      </c>
      <c r="C71" s="317"/>
      <c r="D71" s="285"/>
      <c r="E71" s="217"/>
      <c r="F71" s="221"/>
      <c r="G71" s="329"/>
      <c r="H71" s="250"/>
    </row>
    <row r="72" spans="2:10" ht="18" thickBot="1">
      <c r="B72" s="222" t="s">
        <v>119</v>
      </c>
      <c r="C72" s="319"/>
      <c r="D72" s="287"/>
      <c r="E72" s="187">
        <v>0</v>
      </c>
      <c r="F72" s="139"/>
      <c r="G72" s="44">
        <f>-MIN(SUM(E72:E83)+ABS(F85),150000)</f>
        <v>0</v>
      </c>
      <c r="H72" s="340">
        <v>0</v>
      </c>
    </row>
    <row r="73" spans="2:10" ht="18" thickTop="1">
      <c r="B73" s="222" t="s">
        <v>120</v>
      </c>
      <c r="C73" s="319"/>
      <c r="D73" s="287"/>
      <c r="E73" s="187">
        <v>0</v>
      </c>
      <c r="F73" s="221"/>
      <c r="G73" s="329"/>
      <c r="H73" s="340">
        <v>0</v>
      </c>
    </row>
    <row r="74" spans="2:10" ht="17.45">
      <c r="B74" s="222" t="s">
        <v>121</v>
      </c>
      <c r="C74" s="319"/>
      <c r="D74" s="287"/>
      <c r="E74" s="187">
        <v>0</v>
      </c>
      <c r="F74" s="221"/>
      <c r="G74" s="329"/>
      <c r="H74" s="340">
        <v>0</v>
      </c>
    </row>
    <row r="75" spans="2:10" ht="17.45">
      <c r="B75" s="222" t="s">
        <v>122</v>
      </c>
      <c r="C75" s="319"/>
      <c r="D75" s="287"/>
      <c r="E75" s="187">
        <v>0</v>
      </c>
      <c r="F75" s="221"/>
      <c r="G75" s="329"/>
      <c r="H75" s="340">
        <v>0</v>
      </c>
    </row>
    <row r="76" spans="2:10" ht="17.45">
      <c r="B76" s="222" t="s">
        <v>123</v>
      </c>
      <c r="C76" s="319"/>
      <c r="D76" s="287"/>
      <c r="E76" s="187">
        <v>0</v>
      </c>
      <c r="F76" s="221"/>
      <c r="G76" s="329"/>
      <c r="H76" s="340">
        <v>0</v>
      </c>
    </row>
    <row r="77" spans="2:10" ht="17.45">
      <c r="B77" s="222" t="s">
        <v>124</v>
      </c>
      <c r="C77" s="319"/>
      <c r="D77" s="287"/>
      <c r="E77" s="187">
        <v>0</v>
      </c>
      <c r="F77" s="221"/>
      <c r="G77" s="329"/>
      <c r="H77" s="340">
        <v>0</v>
      </c>
    </row>
    <row r="78" spans="2:10" ht="17.45">
      <c r="B78" s="222" t="s">
        <v>125</v>
      </c>
      <c r="C78" s="319"/>
      <c r="D78" s="287"/>
      <c r="E78" s="187">
        <v>0</v>
      </c>
      <c r="F78" s="221"/>
      <c r="G78" s="329"/>
      <c r="H78" s="340">
        <v>0</v>
      </c>
    </row>
    <row r="79" spans="2:10" ht="17.25" customHeight="1">
      <c r="B79" s="222" t="s">
        <v>126</v>
      </c>
      <c r="C79" s="319"/>
      <c r="D79" s="287"/>
      <c r="E79" s="187">
        <v>0</v>
      </c>
      <c r="F79" s="221"/>
      <c r="G79" s="329"/>
      <c r="H79" s="340">
        <v>0</v>
      </c>
    </row>
    <row r="80" spans="2:10" ht="17.45">
      <c r="B80" s="222" t="s">
        <v>127</v>
      </c>
      <c r="C80" s="319"/>
      <c r="D80" s="287"/>
      <c r="E80" s="187">
        <v>0</v>
      </c>
      <c r="F80" s="221"/>
      <c r="G80" s="329"/>
      <c r="H80" s="343">
        <v>0</v>
      </c>
    </row>
    <row r="81" spans="2:18" ht="17.45">
      <c r="B81" s="222" t="s">
        <v>128</v>
      </c>
      <c r="C81" s="319"/>
      <c r="D81" s="287"/>
      <c r="E81" s="187">
        <v>0</v>
      </c>
      <c r="F81" s="221"/>
      <c r="G81" s="329"/>
      <c r="H81" s="340">
        <v>0</v>
      </c>
    </row>
    <row r="82" spans="2:18" ht="17.45">
      <c r="B82" s="222" t="s">
        <v>129</v>
      </c>
      <c r="C82" s="319"/>
      <c r="D82" s="287"/>
      <c r="E82" s="187">
        <v>0</v>
      </c>
      <c r="F82" s="221"/>
      <c r="G82" s="329"/>
      <c r="H82" s="340">
        <v>0</v>
      </c>
    </row>
    <row r="83" spans="2:18" ht="17.45">
      <c r="B83" s="222" t="s">
        <v>130</v>
      </c>
      <c r="C83" s="319"/>
      <c r="D83" s="287"/>
      <c r="E83" s="187">
        <v>0</v>
      </c>
      <c r="F83" s="221"/>
      <c r="G83" s="329"/>
      <c r="H83" s="340">
        <v>0</v>
      </c>
    </row>
    <row r="84" spans="2:18" s="225" customFormat="1" ht="17.45">
      <c r="B84" s="222"/>
      <c r="C84" s="319"/>
      <c r="D84" s="287"/>
      <c r="E84" s="237"/>
      <c r="F84" s="221"/>
      <c r="G84" s="329"/>
      <c r="H84" s="250"/>
      <c r="I84" s="201"/>
      <c r="J84" s="201"/>
      <c r="K84" s="201"/>
      <c r="L84" s="201"/>
      <c r="M84" s="201"/>
      <c r="N84" s="201"/>
      <c r="O84" s="201"/>
      <c r="P84" s="201"/>
      <c r="Q84" s="201"/>
      <c r="R84" s="201"/>
    </row>
    <row r="85" spans="2:18" s="225" customFormat="1" ht="17.45">
      <c r="B85" s="280" t="s">
        <v>131</v>
      </c>
      <c r="C85" s="201"/>
      <c r="D85" s="231"/>
      <c r="E85" s="187">
        <v>0</v>
      </c>
      <c r="F85" s="239">
        <f>-MIN((E85+F86),E26*10%)</f>
        <v>0</v>
      </c>
      <c r="G85" s="234"/>
      <c r="H85" s="344">
        <v>0</v>
      </c>
      <c r="I85" s="201"/>
      <c r="J85" s="201"/>
      <c r="K85" s="201"/>
      <c r="L85" s="201"/>
      <c r="M85" s="201"/>
      <c r="N85" s="201"/>
      <c r="O85" s="201"/>
      <c r="P85" s="201"/>
      <c r="Q85" s="201"/>
      <c r="R85" s="201"/>
    </row>
    <row r="86" spans="2:18" s="225" customFormat="1" ht="18" thickBot="1">
      <c r="B86" s="280" t="s">
        <v>132</v>
      </c>
      <c r="C86" s="321"/>
      <c r="D86" s="289"/>
      <c r="E86" s="368"/>
      <c r="F86" s="239">
        <f>-IF(E85&lt;=50000,E85,50000)</f>
        <v>0</v>
      </c>
      <c r="G86" s="189">
        <f>F86</f>
        <v>0</v>
      </c>
      <c r="H86" s="344">
        <v>0</v>
      </c>
      <c r="I86" s="201"/>
      <c r="J86" s="201"/>
      <c r="K86" s="201"/>
      <c r="L86" s="201"/>
      <c r="M86" s="201"/>
      <c r="N86" s="201"/>
      <c r="O86" s="201"/>
      <c r="P86" s="201"/>
      <c r="Q86" s="201"/>
      <c r="R86" s="201"/>
    </row>
    <row r="87" spans="2:18" s="225" customFormat="1" ht="18" thickTop="1">
      <c r="B87" s="240" t="s">
        <v>133</v>
      </c>
      <c r="C87" s="317"/>
      <c r="D87" s="285"/>
      <c r="E87" s="259">
        <v>0</v>
      </c>
      <c r="F87" s="258">
        <f>-MIN(E87,10%*E26)</f>
        <v>0</v>
      </c>
      <c r="G87" s="281">
        <f>F87</f>
        <v>0</v>
      </c>
      <c r="H87" s="345">
        <f>F87</f>
        <v>0</v>
      </c>
      <c r="I87" s="201"/>
      <c r="J87" s="201"/>
      <c r="K87" s="201"/>
      <c r="L87" s="201"/>
      <c r="M87" s="201"/>
      <c r="N87" s="201"/>
      <c r="O87" s="201"/>
      <c r="P87" s="201"/>
      <c r="Q87" s="201"/>
      <c r="R87" s="201"/>
    </row>
    <row r="88" spans="2:18" ht="18" thickBot="1">
      <c r="B88" s="240"/>
      <c r="C88" s="317"/>
      <c r="D88" s="285"/>
      <c r="E88" s="237"/>
      <c r="F88" s="221"/>
      <c r="G88" s="44"/>
      <c r="H88" s="250"/>
    </row>
    <row r="89" spans="2:18" ht="18.600000000000001" thickTop="1" thickBot="1">
      <c r="B89" s="240" t="s">
        <v>134</v>
      </c>
      <c r="C89" s="317"/>
      <c r="D89" s="285"/>
      <c r="E89" s="217"/>
      <c r="F89" s="221"/>
      <c r="G89" s="40">
        <f>SUM(F90:F100)</f>
        <v>0</v>
      </c>
      <c r="H89" s="346"/>
    </row>
    <row r="90" spans="2:18" ht="18" thickTop="1">
      <c r="B90" s="222" t="s">
        <v>135</v>
      </c>
      <c r="C90" s="319"/>
      <c r="D90" s="287"/>
      <c r="E90" s="259">
        <v>0</v>
      </c>
      <c r="F90" s="221">
        <f>-IF(D6&lt;60,MIN(E90,25000),MIN(E90,50000))</f>
        <v>0</v>
      </c>
      <c r="G90" s="234"/>
      <c r="H90" s="340">
        <v>0</v>
      </c>
      <c r="I90" s="225"/>
      <c r="J90" s="225"/>
      <c r="K90" s="225"/>
      <c r="L90" s="225"/>
      <c r="M90" s="225"/>
      <c r="N90" s="225"/>
      <c r="O90" s="225"/>
      <c r="P90" s="225"/>
      <c r="Q90" s="225"/>
      <c r="R90" s="225"/>
    </row>
    <row r="91" spans="2:18" ht="17.45">
      <c r="B91" s="222" t="s">
        <v>136</v>
      </c>
      <c r="C91" s="319"/>
      <c r="D91" s="291" t="s">
        <v>52</v>
      </c>
      <c r="E91" s="259">
        <v>0</v>
      </c>
      <c r="F91" s="221">
        <f>-IF(D91="Parents are Senior Citizen",MIN(E91,50000),MIN(E91,25000))</f>
        <v>0</v>
      </c>
      <c r="G91" s="234"/>
      <c r="H91" s="340">
        <v>0</v>
      </c>
    </row>
    <row r="92" spans="2:18" ht="17.45">
      <c r="B92" s="222" t="s">
        <v>137</v>
      </c>
      <c r="C92" s="319"/>
      <c r="D92" s="287"/>
      <c r="E92" s="259"/>
      <c r="F92" s="221">
        <f>-E92</f>
        <v>0</v>
      </c>
      <c r="G92" s="234"/>
      <c r="H92" s="340">
        <v>0</v>
      </c>
    </row>
    <row r="93" spans="2:18" ht="17.45">
      <c r="B93" s="241" t="s">
        <v>138</v>
      </c>
      <c r="C93" s="322"/>
      <c r="D93" s="292"/>
      <c r="E93" s="259"/>
      <c r="F93" s="221">
        <f>-E93</f>
        <v>0</v>
      </c>
      <c r="G93" s="234"/>
      <c r="H93" s="340">
        <v>0</v>
      </c>
    </row>
    <row r="94" spans="2:18" ht="17.45">
      <c r="B94" s="242" t="s">
        <v>139</v>
      </c>
      <c r="C94" s="323"/>
      <c r="D94" s="293"/>
      <c r="E94" s="260" t="s">
        <v>48</v>
      </c>
      <c r="F94" s="73">
        <f>-IF(E94="Disablility i.e. &gt;40% but &lt;80%",75000,IF(E94="Severe Disability i.e. &gt; 80%",125000,0))</f>
        <v>0</v>
      </c>
      <c r="G94" s="234"/>
      <c r="H94" s="347">
        <v>0</v>
      </c>
    </row>
    <row r="95" spans="2:18" ht="35.1">
      <c r="B95" s="243" t="s">
        <v>140</v>
      </c>
      <c r="C95" s="319"/>
      <c r="D95" s="294" t="s">
        <v>48</v>
      </c>
      <c r="E95" s="259">
        <v>0</v>
      </c>
      <c r="F95" s="221">
        <f>-MIN(IF(D95="Senior citizen patient",100000,IF(D95="Normal Case",40000,0)),E95)</f>
        <v>0</v>
      </c>
      <c r="G95" s="234"/>
      <c r="H95" s="348">
        <v>0</v>
      </c>
    </row>
    <row r="96" spans="2:18" ht="17.45">
      <c r="B96" s="222" t="s">
        <v>141</v>
      </c>
      <c r="C96" s="319"/>
      <c r="D96" s="287"/>
      <c r="E96" s="259">
        <v>0</v>
      </c>
      <c r="F96" s="221">
        <f>-E96</f>
        <v>0</v>
      </c>
      <c r="G96" s="234"/>
      <c r="H96" s="348">
        <v>0</v>
      </c>
    </row>
    <row r="97" spans="2:8" s="225" customFormat="1" ht="17.45">
      <c r="B97" s="222" t="s">
        <v>142</v>
      </c>
      <c r="C97" s="319"/>
      <c r="D97" s="287"/>
      <c r="E97" s="259">
        <v>0</v>
      </c>
      <c r="F97" s="221">
        <f>-E97</f>
        <v>0</v>
      </c>
      <c r="G97" s="350"/>
      <c r="H97" s="348">
        <v>0</v>
      </c>
    </row>
    <row r="98" spans="2:8" ht="17.45">
      <c r="B98" s="242" t="s">
        <v>143</v>
      </c>
      <c r="C98" s="225"/>
      <c r="D98" s="290"/>
      <c r="E98" s="260" t="s">
        <v>48</v>
      </c>
      <c r="F98" s="73">
        <f>-IF(E98="Disablility i.e. &gt;40% but &lt;80%",40000,IF(E98="Severe Disability i.e. &gt; 80%",125000,0))</f>
        <v>0</v>
      </c>
      <c r="G98" s="234"/>
      <c r="H98" s="348">
        <v>0</v>
      </c>
    </row>
    <row r="99" spans="2:8" ht="17.45">
      <c r="B99" s="222" t="s">
        <v>144</v>
      </c>
      <c r="C99" s="319"/>
      <c r="D99" s="287"/>
      <c r="E99" s="353">
        <v>0</v>
      </c>
      <c r="F99" s="354">
        <f>-IF(F100=0,MIN(E47,10000),0)</f>
        <v>0</v>
      </c>
      <c r="G99" s="234"/>
      <c r="H99" s="348">
        <v>0</v>
      </c>
    </row>
    <row r="100" spans="2:8" ht="17.45">
      <c r="B100" s="222" t="s">
        <v>145</v>
      </c>
      <c r="C100" s="319"/>
      <c r="D100" s="287"/>
      <c r="E100" s="353"/>
      <c r="F100" s="354">
        <f>-MIN(IF(E6="SUPER SENIOR CITIZEN",50000,IF(E6="SENIOR CITIZEN",50000,0)),E47+E48)</f>
        <v>0</v>
      </c>
      <c r="G100" s="234"/>
      <c r="H100" s="348">
        <v>0</v>
      </c>
    </row>
    <row r="101" spans="2:8" ht="17.45">
      <c r="B101" s="240"/>
      <c r="C101" s="317"/>
      <c r="D101" s="285"/>
      <c r="E101" s="353"/>
      <c r="F101" s="356"/>
      <c r="G101" s="46"/>
      <c r="H101" s="231"/>
    </row>
    <row r="102" spans="2:8" ht="18" thickBot="1">
      <c r="B102" s="219" t="s">
        <v>146</v>
      </c>
      <c r="C102" s="317"/>
      <c r="D102" s="285"/>
      <c r="E102" s="304"/>
      <c r="F102" s="355"/>
      <c r="G102" s="47">
        <f>SUM(G69:G101)</f>
        <v>154000000</v>
      </c>
      <c r="H102" s="302">
        <f>SUM(H69:H101)</f>
        <v>154000000</v>
      </c>
    </row>
    <row r="103" spans="2:8" ht="18" thickTop="1">
      <c r="B103" s="222"/>
      <c r="D103" s="231"/>
      <c r="E103" s="229"/>
      <c r="F103" s="357"/>
      <c r="G103" s="261">
        <f>G69+G72+G86+G89+F87</f>
        <v>154000000</v>
      </c>
      <c r="H103" s="303">
        <f>H69+H72+H86+H89+H87</f>
        <v>154000000</v>
      </c>
    </row>
    <row r="104" spans="2:8" ht="17.45">
      <c r="B104" s="307" t="s">
        <v>147</v>
      </c>
      <c r="D104" s="231"/>
      <c r="E104" s="229"/>
      <c r="F104" s="357"/>
      <c r="G104" s="261">
        <f>G64+G67</f>
        <v>108654556</v>
      </c>
      <c r="H104" s="303">
        <f>G104</f>
        <v>108654556</v>
      </c>
    </row>
    <row r="105" spans="2:8" ht="17.45">
      <c r="B105" s="307"/>
      <c r="D105" s="231"/>
      <c r="F105" s="357"/>
      <c r="G105" s="261"/>
      <c r="H105" s="303"/>
    </row>
    <row r="106" spans="2:8" ht="17.45">
      <c r="B106" s="222" t="s">
        <v>112</v>
      </c>
      <c r="D106" s="231"/>
      <c r="F106" s="357"/>
      <c r="G106" s="233">
        <f>E63</f>
        <v>25500000</v>
      </c>
      <c r="H106" s="236">
        <f>G106</f>
        <v>25500000</v>
      </c>
    </row>
    <row r="107" spans="2:8" ht="17.45">
      <c r="B107" s="222" t="s">
        <v>114</v>
      </c>
      <c r="D107" s="231"/>
      <c r="F107" s="357"/>
      <c r="G107" s="233">
        <f>E65</f>
        <v>43112222</v>
      </c>
      <c r="H107" s="236">
        <f>G107</f>
        <v>43112222</v>
      </c>
    </row>
    <row r="108" spans="2:8" ht="17.45">
      <c r="B108" s="222" t="s">
        <v>115</v>
      </c>
      <c r="D108" s="231"/>
      <c r="F108" s="357"/>
      <c r="G108" s="233">
        <f>E66</f>
        <v>40042334</v>
      </c>
      <c r="H108" s="236">
        <f>G108</f>
        <v>40042334</v>
      </c>
    </row>
    <row r="109" spans="2:8" ht="17.45">
      <c r="B109" s="222"/>
      <c r="D109" s="231"/>
      <c r="E109" s="229"/>
      <c r="F109" s="357"/>
      <c r="G109" s="261"/>
      <c r="H109" s="303"/>
    </row>
    <row r="110" spans="2:8" ht="17.45">
      <c r="B110" s="222" t="s">
        <v>148</v>
      </c>
      <c r="D110" s="231"/>
      <c r="E110" s="229"/>
      <c r="F110" s="357"/>
      <c r="G110" s="261">
        <f>G111-$E$52</f>
        <v>15345444</v>
      </c>
      <c r="H110" s="303">
        <f>H111-$E$52</f>
        <v>15345444</v>
      </c>
    </row>
    <row r="111" spans="2:8" ht="17.45">
      <c r="B111" s="222" t="s">
        <v>149</v>
      </c>
      <c r="D111" s="231"/>
      <c r="E111" s="229"/>
      <c r="F111" s="357"/>
      <c r="G111" s="261">
        <f>G103-G104</f>
        <v>45345444</v>
      </c>
      <c r="H111" s="303">
        <f>H103-H104</f>
        <v>45345444</v>
      </c>
    </row>
    <row r="112" spans="2:8" ht="17.45">
      <c r="B112" s="222"/>
      <c r="D112" s="231"/>
      <c r="E112" s="229"/>
      <c r="F112" s="357"/>
      <c r="G112" s="261"/>
      <c r="H112" s="303"/>
    </row>
    <row r="113" spans="2:8" ht="17.45">
      <c r="B113" s="307" t="s">
        <v>150</v>
      </c>
      <c r="D113" s="231"/>
      <c r="E113" s="229"/>
      <c r="F113" s="357"/>
      <c r="G113" s="360"/>
      <c r="H113" s="361"/>
    </row>
    <row r="114" spans="2:8" ht="17.45">
      <c r="B114" s="222" t="s">
        <v>151</v>
      </c>
      <c r="D114" s="231"/>
      <c r="E114" s="369"/>
      <c r="F114" s="357"/>
      <c r="G114" s="360">
        <f>IF(G111&gt;=250000,F63*15%,IF((250000-G111)&lt;=F65,F63*15%,IF((250000-G111-F65)&lt;=F63,(F63-(250000-G111-F65))*15%,0)))</f>
        <v>3825000</v>
      </c>
      <c r="H114" s="361">
        <f>IF(H111&gt;=300000,F63*15%,IF((300000-H111)&lt;=F65,F63*15%,IF((300000-H111-F65)&lt;=F63,(F63-(300000-H111-F65))*15%,0)))</f>
        <v>3825000</v>
      </c>
    </row>
    <row r="115" spans="2:8" ht="17.45">
      <c r="B115" s="222" t="s">
        <v>152</v>
      </c>
      <c r="D115" s="231"/>
      <c r="E115" s="369"/>
      <c r="F115" s="357"/>
      <c r="G115" s="360">
        <f>IF(G111&gt;=250000,F65*20%,IF((250000-G111)&lt;=F65,(F65-(250000-G111))*20%,0))</f>
        <v>8622444.4000000004</v>
      </c>
      <c r="H115" s="361">
        <f>IF(H111&gt;=300000,F65*20%,IF((300000-H111)&lt;=F65,(F65-(300000-H111))*20%,0))</f>
        <v>8622444.4000000004</v>
      </c>
    </row>
    <row r="116" spans="2:8" ht="17.45">
      <c r="B116" s="222" t="s">
        <v>153</v>
      </c>
      <c r="D116" s="231"/>
      <c r="E116" s="369"/>
      <c r="F116" s="357"/>
      <c r="G116" s="360">
        <f>IF(G102&gt;=250000,G136*10%,IF((250000-G102)&lt;=G107,G136*10%,IF((250000-G102-G107)&lt;=G106,G136*10%,IF(AND((250000-G102-G107-G106)&lt;=G108,(G108-(250000-G102-G107-G106)&gt;100000)),(G136-(250000-G102--G106))*10%,0))))</f>
        <v>3994233.4000000004</v>
      </c>
      <c r="H116" s="360">
        <f>IF(H102&gt;=300000,H136*10%,IF((300000-H102)&lt;=H107,H136*10%,IF((300000-H102-H107)&lt;=H106,H136*10%,IF(AND((300000-H102-H107-H106)&lt;=H108,(H108-(300000-H102-H107-H106)&gt;100000)),(H136-(300000-H102-H106-H107))*10%,0))))</f>
        <v>3994233.4000000004</v>
      </c>
    </row>
    <row r="117" spans="2:8" ht="17.45">
      <c r="B117" s="222"/>
      <c r="D117" s="231"/>
      <c r="E117" s="229"/>
      <c r="F117" s="357"/>
      <c r="G117" s="261"/>
      <c r="H117" s="303"/>
    </row>
    <row r="118" spans="2:8" ht="17.45">
      <c r="B118" s="244" t="s">
        <v>154</v>
      </c>
      <c r="C118" s="316"/>
      <c r="D118" s="284"/>
      <c r="E118" s="304"/>
      <c r="F118" s="358"/>
      <c r="G118" s="261">
        <f>ROUNDUP(IF(D6&lt;60,IF(G111&lt;=250000,0,IF(G111&lt;500000,(G111-250000)*5%,IF(G111&lt;1000000,(G111-500000)*20%+12500,(G111-1000000)*30%+112500))),IF(D6&lt;80,IF(G111&lt;=300000,0,IF(G111&lt;500000,(G111-300000)*5%,IF(G111&lt;1000000,(G111-500000)*20%+10000,(G111-1000000)*30%+110000))),IF(G111&lt;=500000,0,IF(G111&lt;1000000,(G111-500000)*20%,(G111-1000000)*30%+100000)))),0)</f>
        <v>13416134</v>
      </c>
      <c r="H118" s="303">
        <f>IF(H111&lt;=300000,0,IF(H111&lt;=600000,(H111-300000)*5%,IF(H111&lt;=900000,(H111-600000)*10%+15000,IF(H111&lt;=1200000,(H111-900000)*15%+45000,IF(H111&lt;=1500000,(H111-1200000)*20%+90000,(H111-1500000)*30%+150000)))))</f>
        <v>13303633.199999999</v>
      </c>
    </row>
    <row r="119" spans="2:8" ht="17.45">
      <c r="B119" s="244"/>
      <c r="C119" s="316"/>
      <c r="D119" s="284"/>
      <c r="E119" s="304"/>
      <c r="F119" s="358"/>
      <c r="G119" s="261"/>
      <c r="H119" s="303"/>
    </row>
    <row r="120" spans="2:8" ht="17.45">
      <c r="B120" s="244"/>
      <c r="C120" s="316"/>
      <c r="D120" s="284"/>
      <c r="E120" s="304"/>
      <c r="F120" s="358"/>
      <c r="G120" s="261"/>
      <c r="H120" s="303"/>
    </row>
    <row r="121" spans="2:8" ht="18" thickBot="1">
      <c r="B121" s="295"/>
      <c r="C121" s="296"/>
      <c r="D121" s="297"/>
      <c r="E121" s="305"/>
      <c r="F121" s="359"/>
      <c r="G121" s="332"/>
      <c r="H121" s="349"/>
    </row>
    <row r="122" spans="2:8" ht="18" thickBot="1">
      <c r="B122" s="282" t="s">
        <v>155</v>
      </c>
      <c r="C122" s="283"/>
      <c r="D122" s="283"/>
      <c r="E122" s="283"/>
      <c r="F122" s="283"/>
      <c r="G122" s="351">
        <f>SUM(G113:G118)</f>
        <v>29857811.800000001</v>
      </c>
      <c r="H122" s="363">
        <f>SUM(H113:H118)</f>
        <v>29745311</v>
      </c>
    </row>
    <row r="123" spans="2:8" ht="17.45">
      <c r="B123" s="245" t="s">
        <v>156</v>
      </c>
      <c r="C123" s="324"/>
      <c r="D123" s="324"/>
      <c r="E123" s="324"/>
      <c r="F123" s="324"/>
      <c r="G123" s="362">
        <f>-IF(G102&lt;=500000,MIN(G122,12500),0)</f>
        <v>0</v>
      </c>
      <c r="H123" s="364">
        <f>-IF(H102&lt;=700000,MIN(H122,25000),0)</f>
        <v>0</v>
      </c>
    </row>
    <row r="124" spans="2:8" ht="17.45">
      <c r="B124" s="246" t="s">
        <v>157</v>
      </c>
      <c r="C124" s="325"/>
      <c r="D124" s="325"/>
      <c r="E124" s="325"/>
      <c r="F124" s="325"/>
      <c r="G124" s="263">
        <f>SUM(G122:G123)</f>
        <v>29857811.800000001</v>
      </c>
      <c r="H124" s="263">
        <f>SUM(H122:H123)</f>
        <v>29745311</v>
      </c>
    </row>
    <row r="125" spans="2:8" ht="17.45">
      <c r="B125" s="308" t="s">
        <v>158</v>
      </c>
      <c r="C125" s="324"/>
      <c r="D125" s="324"/>
      <c r="E125" s="324"/>
      <c r="F125" s="324"/>
      <c r="G125" s="370">
        <f>ROUND((IF(G102&lt;5000000,0,IF(G102&lt;=10000000,G122*10%,IF(G102&lt;=20000000,G122*15%,0)))),0)</f>
        <v>0</v>
      </c>
      <c r="H125" s="370">
        <f>ROUND((IF(H102&lt;5000000,0,IF(H102&lt;=10000000,H122*10%,IF(H102&lt;=20000000,H122*15%,0)))),0)</f>
        <v>0</v>
      </c>
    </row>
    <row r="126" spans="2:8" ht="17.45">
      <c r="B126" s="308" t="s">
        <v>159</v>
      </c>
      <c r="C126" s="324"/>
      <c r="D126" s="324"/>
      <c r="E126" s="324"/>
      <c r="F126" s="324"/>
      <c r="G126" s="370">
        <f>IF(AND(G102&gt;20000000,G110&gt;0,G110&lt;=20000000),(G118-G138)*15%,IF(AND(G102&gt;20000000,G110&gt;0,G110&lt;=50000000),(G118-G138)*25%,0))</f>
        <v>681027.18211391638</v>
      </c>
      <c r="H126" s="370">
        <f>IF(AND(H102&gt;20000000,H110&gt;0,H110&lt;=20000000),(H118-H138)*15%,IF(AND(H102&gt;20000000,H110&gt;0,H110&lt;=50000000),(H118-H138)*25%,0))</f>
        <v>675316.43840715557</v>
      </c>
    </row>
    <row r="127" spans="2:8" ht="17.45">
      <c r="B127" s="308" t="s">
        <v>160</v>
      </c>
      <c r="C127" s="324"/>
      <c r="D127" s="324"/>
      <c r="E127" s="324"/>
      <c r="F127" s="324"/>
      <c r="G127" s="370">
        <f>ROUND(IF(G102&gt;20000000,((SUM(G114:G116)+G138)*15%),0),0)</f>
        <v>3797645</v>
      </c>
      <c r="H127" s="370">
        <f>ROUND(IF(H102&gt;20000000,(H139*15%),0),0)</f>
        <v>3786480</v>
      </c>
    </row>
    <row r="128" spans="2:8" ht="17.45">
      <c r="B128" s="308" t="s">
        <v>161</v>
      </c>
      <c r="C128" s="324"/>
      <c r="D128" s="324"/>
      <c r="E128" s="324"/>
      <c r="F128" s="324"/>
      <c r="G128" s="371">
        <f>IF(G110&gt;50000000,G110*37%,0)</f>
        <v>0</v>
      </c>
      <c r="H128" s="372"/>
    </row>
    <row r="129" spans="1:9" ht="17.45">
      <c r="B129" s="245"/>
      <c r="C129" s="324"/>
      <c r="D129" s="324"/>
      <c r="E129" s="324"/>
      <c r="F129" s="324"/>
      <c r="G129" s="262"/>
      <c r="H129" s="261"/>
    </row>
    <row r="130" spans="1:9" ht="17.45">
      <c r="B130" s="308" t="s">
        <v>162</v>
      </c>
      <c r="C130" s="324"/>
      <c r="D130" s="324"/>
      <c r="E130" s="324"/>
      <c r="F130" s="324"/>
      <c r="G130" s="262">
        <f>ROUNDUP((G124+G125+G126+G127+G128)*4%,0)</f>
        <v>1373460</v>
      </c>
      <c r="H130" s="262">
        <f>ROUNDUP((H124+H125+H126+H127+H128)*4%,0)</f>
        <v>1368285</v>
      </c>
    </row>
    <row r="131" spans="1:9">
      <c r="B131" s="229" t="s">
        <v>163</v>
      </c>
      <c r="G131" s="352">
        <f>SUM(G124:G130)</f>
        <v>35709943.982113913</v>
      </c>
      <c r="H131" s="352">
        <f>SUM(H124:H130)</f>
        <v>35575392.438407153</v>
      </c>
    </row>
    <row r="132" spans="1:9" ht="17.45">
      <c r="B132" s="245" t="s">
        <v>164</v>
      </c>
      <c r="C132" s="324"/>
      <c r="D132" s="324"/>
      <c r="E132" s="324"/>
      <c r="F132" s="324"/>
      <c r="G132" s="268">
        <v>0</v>
      </c>
      <c r="H132" s="365">
        <f>G132</f>
        <v>0</v>
      </c>
    </row>
    <row r="133" spans="1:9" ht="18" thickBot="1">
      <c r="B133" s="326" t="s">
        <v>165</v>
      </c>
      <c r="C133" s="327"/>
      <c r="D133" s="327"/>
      <c r="E133" s="327"/>
      <c r="F133" s="327"/>
      <c r="G133" s="328">
        <f>G131-G132</f>
        <v>35709943.982113913</v>
      </c>
      <c r="H133" s="328">
        <f>H131-H132</f>
        <v>35575392.438407153</v>
      </c>
    </row>
    <row r="135" spans="1:9">
      <c r="A135" s="373" t="s">
        <v>166</v>
      </c>
      <c r="B135" s="373"/>
      <c r="C135" s="373"/>
      <c r="D135" s="373"/>
      <c r="E135" s="373"/>
      <c r="F135" s="374"/>
      <c r="G135" s="374"/>
      <c r="H135" s="374"/>
      <c r="I135" s="374"/>
    </row>
    <row r="136" spans="1:9" ht="17.45">
      <c r="A136" s="375"/>
      <c r="B136" s="376" t="s">
        <v>167</v>
      </c>
      <c r="C136" s="376"/>
      <c r="D136" s="377"/>
      <c r="E136" s="378"/>
      <c r="F136" s="379"/>
      <c r="G136" s="380">
        <f>IF(F66&lt;100000,0,F66-100000)</f>
        <v>39942334</v>
      </c>
      <c r="H136" s="380">
        <f>G136</f>
        <v>39942334</v>
      </c>
    </row>
    <row r="137" spans="1:9" ht="17.45">
      <c r="A137" s="381"/>
      <c r="B137" s="382" t="s">
        <v>168</v>
      </c>
      <c r="C137" s="383"/>
      <c r="D137" s="383"/>
      <c r="E137" s="383"/>
      <c r="F137" s="379"/>
      <c r="G137" s="384">
        <f>G118/G111%</f>
        <v>29.586509286357412</v>
      </c>
      <c r="H137" s="384">
        <f>H118/H111%</f>
        <v>29.338412035396541</v>
      </c>
    </row>
    <row r="138" spans="1:9" ht="17.45">
      <c r="A138" s="385"/>
      <c r="B138" s="386" t="s">
        <v>169</v>
      </c>
      <c r="C138" s="387"/>
      <c r="D138" s="387"/>
      <c r="E138" s="387"/>
      <c r="F138" s="388"/>
      <c r="G138" s="380">
        <f>$E$52*G137%</f>
        <v>8875952.7859072238</v>
      </c>
      <c r="H138" s="380">
        <f>$E$52*H137%</f>
        <v>8801523.610618962</v>
      </c>
    </row>
    <row r="139" spans="1:9" ht="17.45">
      <c r="A139" s="385"/>
      <c r="B139" s="386" t="s">
        <v>170</v>
      </c>
      <c r="C139" s="387"/>
      <c r="D139" s="387"/>
      <c r="E139" s="387"/>
      <c r="F139" s="388"/>
      <c r="G139" s="389">
        <f>G114+G115+G116+G138</f>
        <v>25317630.585907225</v>
      </c>
      <c r="H139" s="389">
        <f>H114+H115+H116+H138</f>
        <v>25243201.410618961</v>
      </c>
    </row>
    <row r="142" spans="1:9">
      <c r="B142" s="272"/>
    </row>
    <row r="143" spans="1:9">
      <c r="A143" s="272"/>
      <c r="B143" s="272"/>
    </row>
    <row r="144" spans="1:9" ht="21" customHeight="1">
      <c r="A144" s="273"/>
      <c r="B144" s="274"/>
    </row>
    <row r="145" spans="1:2" ht="22.5" customHeight="1"/>
    <row r="146" spans="1:2" ht="21.75" customHeight="1"/>
    <row r="147" spans="1:2" ht="18.75" customHeight="1">
      <c r="B147" s="272"/>
    </row>
    <row r="148" spans="1:2">
      <c r="A148" s="272"/>
      <c r="B148" s="272"/>
    </row>
    <row r="149" spans="1:2">
      <c r="A149" s="272"/>
      <c r="B149" s="276"/>
    </row>
    <row r="150" spans="1:2">
      <c r="A150" s="272"/>
    </row>
    <row r="151" spans="1:2">
      <c r="A151" s="272"/>
    </row>
  </sheetData>
  <sheetProtection algorithmName="SHA-512" hashValue="J35aT+3tT5TPTkGQRwmVlEJl6FnSXfjU+aDfPSUg4oZXSlXaJcCXLrvYtpX0A5KC4HmZoAEL3wT34iFapTrAeQ==" saltValue="S+fJERd556oPHTjhsOAGpg==" spinCount="100000" sheet="1" selectLockedCells="1"/>
  <mergeCells count="8">
    <mergeCell ref="A58:A59"/>
    <mergeCell ref="H26:H28"/>
    <mergeCell ref="B1:H1"/>
    <mergeCell ref="C8:D8"/>
    <mergeCell ref="F9:G9"/>
    <mergeCell ref="E21:F21"/>
    <mergeCell ref="B21:D21"/>
    <mergeCell ref="G26:G28"/>
  </mergeCells>
  <conditionalFormatting sqref="C10">
    <cfRule type="cellIs" dxfId="3" priority="2" operator="lessThan">
      <formula>$D$10</formula>
    </cfRule>
  </conditionalFormatting>
  <conditionalFormatting sqref="D10">
    <cfRule type="cellIs" dxfId="2" priority="1" operator="lessThan">
      <formula>$C$10</formula>
    </cfRule>
  </conditionalFormatting>
  <dataValidations count="9">
    <dataValidation type="whole" allowBlank="1" showInputMessage="1" showErrorMessage="1" error="Minimum Investment Rs.6,000 p.a_x000a_Maximum Investment Rs.50,000 p.a" sqref="E88" xr:uid="{00000000-0002-0000-0300-000001000000}">
      <formula1>0</formula1>
      <formula2>50000</formula2>
    </dataValidation>
    <dataValidation type="list" allowBlank="1" showInputMessage="1" showErrorMessage="1" sqref="D95" xr:uid="{00000000-0002-0000-0300-000002000000}">
      <formula1>"Senior Citizen Patient, Normal Case, Not Applicable"</formula1>
    </dataValidation>
    <dataValidation type="list" allowBlank="1" showInputMessage="1" showErrorMessage="1" sqref="D91" xr:uid="{00000000-0002-0000-0300-000003000000}">
      <formula1>"Parents are Senior Citizen, Otherwise"</formula1>
    </dataValidation>
    <dataValidation type="whole" errorStyle="warning" allowBlank="1" showInputMessage="1" showErrorMessage="1" error="Maximum Deduction Rs. 25,00,000 U/S 10(10AA)" sqref="E29:E35" xr:uid="{00000000-0002-0000-0300-000004000000}">
      <formula1>0</formula1>
      <formula2>2500000</formula2>
    </dataValidation>
    <dataValidation type="whole" allowBlank="1" showInputMessage="1" showErrorMessage="1" errorTitle="Max value 2500" promptTitle="Profession Tax" prompt="Max Value Rs. 2,500. Do not put negative sign" sqref="E41" xr:uid="{F5426E19-2B53-4B32-A549-B515F6783FD4}">
      <formula1>0</formula1>
      <formula2>2500</formula2>
    </dataValidation>
    <dataValidation allowBlank="1" showInputMessage="1" showErrorMessage="1" prompt="Do nut put negative sign" sqref="E72:E83" xr:uid="{9861F47D-5CD3-43F9-B598-8C7880D65930}"/>
    <dataValidation allowBlank="1" showInputMessage="1" showErrorMessage="1" prompt="Do not put negative sign" sqref="E58 E56 E95:E96 E91:E93 E86:E87" xr:uid="{20625027-A836-492E-B5DB-E56753D57552}"/>
    <dataValidation type="whole" allowBlank="1" showInputMessage="1" showErrorMessage="1" prompt="Do not put negative sign" sqref="E90" xr:uid="{EFB35F9E-56A4-41C4-BD5B-EB3CCF1862FE}">
      <formula1>0</formula1>
      <formula2>9.99999999999999E+24</formula2>
    </dataValidation>
    <dataValidation allowBlank="1" showInputMessage="1" showErrorMessage="1" prompt="input the amount after setting off capital loss of current year/previous year as per income tax rules. do not enter data if it is loss" sqref="E62:E66" xr:uid="{AF663BC6-278B-421F-8F82-D13F4A1F0BB7}"/>
  </dataValidations>
  <pageMargins left="0.7" right="0.7" top="0.75" bottom="0.75" header="0.3" footer="0.3"/>
  <pageSetup paperSize="9" scale="31" fitToHeight="0" orientation="portrait" horizontalDpi="4294967292" verticalDpi="1200"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5000000}">
          <x14:formula1>
            <xm:f>Sheet2!$C$9:$C$11</xm:f>
          </x14:formula1>
          <xm:sqref>E98</xm:sqref>
        </x14:dataValidation>
        <x14:dataValidation type="list" allowBlank="1" showInputMessage="1" showErrorMessage="1" xr:uid="{00000000-0002-0000-0300-000006000000}">
          <x14:formula1>
            <xm:f>Sheet2!$G$8:$G$10</xm:f>
          </x14:formula1>
          <xm:sqref>E25</xm:sqref>
        </x14:dataValidation>
        <x14:dataValidation type="list" allowBlank="1" showInputMessage="1" showErrorMessage="1" xr:uid="{00000000-0002-0000-0300-000007000000}">
          <x14:formula1>
            <xm:f>Sheet2!$C$16:$C$18</xm:f>
          </x14:formula1>
          <xm:sqref>E94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204A1-4CED-4AF0-9BBE-43784FF61D1A}">
  <dimension ref="A1:C11"/>
  <sheetViews>
    <sheetView workbookViewId="0">
      <selection activeCell="B3" sqref="B3"/>
    </sheetView>
  </sheetViews>
  <sheetFormatPr defaultRowHeight="14.45"/>
  <cols>
    <col min="1" max="1" width="39.28515625" customWidth="1"/>
    <col min="2" max="2" width="45.5703125" customWidth="1"/>
  </cols>
  <sheetData>
    <row r="1" spans="1:3" ht="17.45">
      <c r="A1" s="222" t="s">
        <v>151</v>
      </c>
      <c r="B1" t="s">
        <v>171</v>
      </c>
      <c r="C1" t="s">
        <v>172</v>
      </c>
    </row>
    <row r="2" spans="1:3" ht="17.45">
      <c r="A2" s="222" t="s">
        <v>152</v>
      </c>
      <c r="B2" t="s">
        <v>173</v>
      </c>
      <c r="C2" t="s">
        <v>174</v>
      </c>
    </row>
    <row r="3" spans="1:3" ht="17.45">
      <c r="A3" s="222" t="s">
        <v>153</v>
      </c>
    </row>
    <row r="9" spans="1:3">
      <c r="A9" s="309"/>
      <c r="B9" s="306"/>
      <c r="C9" s="306"/>
    </row>
    <row r="10" spans="1:3">
      <c r="A10" s="309"/>
      <c r="B10" s="310"/>
      <c r="C10" s="306"/>
    </row>
    <row r="11" spans="1:3">
      <c r="A11" s="309"/>
      <c r="B11" s="306"/>
      <c r="C11" s="30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3D866-BF75-42E5-ABA7-4CB287D8E52F}">
  <dimension ref="A1:B1"/>
  <sheetViews>
    <sheetView workbookViewId="0">
      <selection activeCell="B3" sqref="B3"/>
    </sheetView>
  </sheetViews>
  <sheetFormatPr defaultRowHeight="14.45"/>
  <sheetData>
    <row r="1" spans="1:2">
      <c r="A1" t="s">
        <v>175</v>
      </c>
      <c r="B1" t="s">
        <v>176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0394E-574C-4239-9D2C-9C4B76523F01}">
  <dimension ref="A1:A4"/>
  <sheetViews>
    <sheetView workbookViewId="0">
      <selection activeCell="B3" sqref="B3"/>
    </sheetView>
  </sheetViews>
  <sheetFormatPr defaultRowHeight="14.45"/>
  <sheetData>
    <row r="1" spans="1:1">
      <c r="A1" t="s">
        <v>177</v>
      </c>
    </row>
    <row r="2" spans="1:1">
      <c r="A2" t="s">
        <v>178</v>
      </c>
    </row>
    <row r="3" spans="1:1">
      <c r="A3" t="s">
        <v>179</v>
      </c>
    </row>
    <row r="4" spans="1:1">
      <c r="A4" s="309" t="s">
        <v>180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A806D-3AE4-4118-A975-8503C3965BBE}">
  <dimension ref="A1:A3"/>
  <sheetViews>
    <sheetView workbookViewId="0">
      <selection activeCell="B3" sqref="B3"/>
    </sheetView>
  </sheetViews>
  <sheetFormatPr defaultRowHeight="14.45"/>
  <sheetData>
    <row r="1" spans="1:1">
      <c r="A1" t="s">
        <v>181</v>
      </c>
    </row>
    <row r="2" spans="1:1">
      <c r="A2" t="s">
        <v>182</v>
      </c>
    </row>
    <row r="3" spans="1:1">
      <c r="A3" t="s">
        <v>183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75766-C34C-4B5A-9367-316964B6137C}">
  <dimension ref="A1"/>
  <sheetViews>
    <sheetView workbookViewId="0">
      <selection activeCell="B3" sqref="B3"/>
    </sheetView>
  </sheetViews>
  <sheetFormatPr defaultRowHeight="14.45"/>
  <sheetData>
    <row r="1" spans="1:1">
      <c r="A1"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shweta tiwari</dc:creator>
  <cp:keywords/>
  <dc:description/>
  <cp:lastModifiedBy>Shweta Jain</cp:lastModifiedBy>
  <cp:revision/>
  <dcterms:created xsi:type="dcterms:W3CDTF">2023-02-12T09:02:12Z</dcterms:created>
  <dcterms:modified xsi:type="dcterms:W3CDTF">2024-05-24T13:38:10Z</dcterms:modified>
  <cp:category/>
  <cp:contentStatus/>
</cp:coreProperties>
</file>