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ku\Desktop\"/>
    </mc:Choice>
  </mc:AlternateContent>
  <xr:revisionPtr revIDLastSave="0" documentId="13_ncr:1_{0B2F0798-EC96-428E-83B8-E698005F7D32}" xr6:coauthVersionLast="45" xr6:coauthVersionMax="45" xr10:uidLastSave="{00000000-0000-0000-0000-000000000000}"/>
  <bookViews>
    <workbookView xWindow="-120" yWindow="-120" windowWidth="20730" windowHeight="11160" xr2:uid="{75E9E2BB-F8B9-4ACA-86E0-B95C4E0581C0}"/>
  </bookViews>
  <sheets>
    <sheet name="Existing Scheme " sheetId="1" r:id="rId1"/>
    <sheet name="New Scheme 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1" l="1"/>
  <c r="F25" i="1"/>
  <c r="F24" i="1"/>
  <c r="M8" i="2"/>
  <c r="M7" i="2"/>
  <c r="M6" i="2"/>
  <c r="F19" i="2"/>
  <c r="F18" i="2"/>
  <c r="G15" i="2"/>
  <c r="G14" i="2"/>
  <c r="F15" i="2"/>
  <c r="F14" i="2"/>
  <c r="H10" i="2"/>
  <c r="H9" i="2"/>
  <c r="H8" i="2"/>
  <c r="H7" i="2"/>
  <c r="H6" i="2"/>
  <c r="H5" i="2"/>
  <c r="H4" i="2"/>
  <c r="H3" i="2"/>
  <c r="H2" i="2"/>
  <c r="C7" i="2"/>
  <c r="C6" i="2"/>
  <c r="C5" i="2"/>
  <c r="C4" i="2"/>
  <c r="C3" i="2"/>
  <c r="C2" i="2"/>
  <c r="C1" i="2"/>
  <c r="F18" i="1"/>
  <c r="C5" i="1"/>
  <c r="C17" i="2" l="1"/>
  <c r="C9" i="2" l="1"/>
  <c r="H15" i="2"/>
  <c r="H14" i="2"/>
  <c r="H11" i="2"/>
  <c r="F21" i="1"/>
  <c r="F21" i="2" s="1"/>
  <c r="F20" i="1"/>
  <c r="F20" i="2" s="1"/>
  <c r="F19" i="1"/>
  <c r="H15" i="1"/>
  <c r="H14" i="1"/>
  <c r="B3" i="1" l="1"/>
  <c r="C3" i="1" s="1"/>
  <c r="C13" i="2"/>
  <c r="B16" i="1"/>
  <c r="C10" i="1" l="1"/>
  <c r="C14" i="1" s="1"/>
  <c r="C18" i="2"/>
  <c r="C19" i="2" s="1"/>
  <c r="K7" i="2" s="1"/>
  <c r="K3" i="2" l="1"/>
  <c r="M3" i="2" s="1"/>
  <c r="M13" i="2" s="1"/>
  <c r="C21" i="2" s="1"/>
  <c r="K5" i="2"/>
  <c r="K2" i="2"/>
  <c r="M2" i="2" s="1"/>
  <c r="K4" i="2"/>
  <c r="M4" i="2" s="1"/>
  <c r="M11" i="2"/>
  <c r="K8" i="2"/>
  <c r="K6" i="2"/>
  <c r="H11" i="1" l="1"/>
  <c r="B15" i="1" s="1"/>
  <c r="C18" i="1" s="1"/>
  <c r="C19" i="1" s="1"/>
  <c r="C20" i="1" s="1"/>
  <c r="K2" i="1" l="1"/>
  <c r="M2" i="1" s="1"/>
  <c r="K5" i="1"/>
  <c r="M5" i="1" s="1"/>
  <c r="K4" i="1"/>
  <c r="M4" i="1" s="1"/>
  <c r="K3" i="1"/>
  <c r="M3" i="1" s="1"/>
  <c r="M10" i="1" s="1"/>
  <c r="C22" i="1" s="1"/>
  <c r="M6" i="1" l="1"/>
  <c r="M8" i="1" s="1"/>
  <c r="M7" i="1"/>
  <c r="C23" i="1" l="1"/>
  <c r="C21" i="1"/>
  <c r="M9" i="1"/>
  <c r="M5" i="2"/>
  <c r="M9" i="2" s="1"/>
  <c r="C20" i="2" s="1"/>
  <c r="C24" i="1" l="1"/>
  <c r="C25" i="1" s="1"/>
  <c r="C27" i="1" s="1"/>
  <c r="C29" i="1" s="1"/>
  <c r="M10" i="2"/>
  <c r="C22" i="2" s="1"/>
  <c r="M12" i="2" l="1"/>
  <c r="C23" i="2"/>
  <c r="C24" i="2" s="1"/>
  <c r="C26" i="2" s="1"/>
  <c r="C28" i="2" s="1"/>
</calcChain>
</file>

<file path=xl/sharedStrings.xml><?xml version="1.0" encoding="utf-8"?>
<sst xmlns="http://schemas.openxmlformats.org/spreadsheetml/2006/main" count="136" uniqueCount="69">
  <si>
    <t>1. BASIC SALARY</t>
  </si>
  <si>
    <t>2. HRA RECEIVED</t>
  </si>
  <si>
    <t>LESS: EXEMPT</t>
  </si>
  <si>
    <t>3. CONVEYANCE ALLOWANCE</t>
  </si>
  <si>
    <t>4. SPL ALLOWANCE</t>
  </si>
  <si>
    <t>5. BONUS &amp; EXGRATIA &amp; INCENTIVE</t>
  </si>
  <si>
    <t>6. ARREAR OF SALARY/ LEAVE SALARY (IF ANY)</t>
  </si>
  <si>
    <t>7. MEDICAL REIMBURSEMENT</t>
  </si>
  <si>
    <t>8. STANDARD DEDUCTION</t>
  </si>
  <si>
    <t>SALARY INCOME</t>
  </si>
  <si>
    <t>8.INCOME FROM HOUSE PROPERTY</t>
  </si>
  <si>
    <t>Interest paid on Home Loan</t>
  </si>
  <si>
    <t>9. OTHER INCOME RECD.</t>
  </si>
  <si>
    <t>GROSS  TOTAL INCOME</t>
  </si>
  <si>
    <t xml:space="preserve">DEDUCTION U/S 80 C </t>
  </si>
  <si>
    <t>PROVIDENT FUND</t>
  </si>
  <si>
    <t>LIC PAID / Other Life Insurance Premium</t>
  </si>
  <si>
    <t>CHILDREN'S TUTION FEES</t>
  </si>
  <si>
    <t>NSC PURCHASED</t>
  </si>
  <si>
    <t>PPF DEPOSIT</t>
  </si>
  <si>
    <t>STAMP DUTY on Home</t>
  </si>
  <si>
    <t>REPAYMENT OF HOME LOAN</t>
  </si>
  <si>
    <t>ELSS</t>
  </si>
  <si>
    <t>OTHERS (SPECIFY)</t>
  </si>
  <si>
    <t>TOTAL</t>
  </si>
  <si>
    <t>DEDUCTION U/S 80 D - MEDICLAIM INSURANCE</t>
  </si>
  <si>
    <t>AGE</t>
  </si>
  <si>
    <t>AMOUNT PAID</t>
  </si>
  <si>
    <t>FOR SELF OR FAMILY</t>
  </si>
  <si>
    <t>FOR PARENTS</t>
  </si>
  <si>
    <t>DEDUCTION U/S 80 D</t>
  </si>
  <si>
    <t>TOTAL DEDUCTIONS</t>
  </si>
  <si>
    <t>NET  INCOME</t>
  </si>
  <si>
    <t>NET  INCOME (SALARIED/ NON SALARIED)</t>
  </si>
  <si>
    <t xml:space="preserve">TAX PAYBLE </t>
  </si>
  <si>
    <t>LESS: REBATE U/S 87A</t>
  </si>
  <si>
    <t>ADD: SURCHARGE</t>
  </si>
  <si>
    <t>ADD: EDUCATION + HEALTH CESS 4%</t>
  </si>
  <si>
    <t xml:space="preserve">TOTAL TAX PAYBLE </t>
  </si>
  <si>
    <t>TDS DEDUCTED / ADVANCE TAX</t>
  </si>
  <si>
    <t>BALANCE TAX PAYABLE</t>
  </si>
  <si>
    <t>NO. OF MONTHS REMAIN IN THIS F.Y.</t>
  </si>
  <si>
    <t>AVERAGE MONTHLY TDS</t>
  </si>
  <si>
    <t>Excemption</t>
  </si>
  <si>
    <t>DEDUCTION U/S 80CCD(1B)/80G/Etc</t>
  </si>
  <si>
    <t>Tax Slab</t>
  </si>
  <si>
    <t>Surcharge</t>
  </si>
  <si>
    <t xml:space="preserve">Slab Income </t>
  </si>
  <si>
    <t>10% on Tax if Income &gt; Rs 50 lakhs &lt;Rs 1 Crore</t>
  </si>
  <si>
    <t>15% on Tax if Income &gt; Rs 1 Crore</t>
  </si>
  <si>
    <t>Upto Rs. 12500 if Taxable Income &lt; Rs. 5 lakhs</t>
  </si>
  <si>
    <t>10,00,000 +</t>
  </si>
  <si>
    <t xml:space="preserve">Tax Rate </t>
  </si>
  <si>
    <t xml:space="preserve">Tax Amount </t>
  </si>
  <si>
    <t xml:space="preserve">Total Tax on Income </t>
  </si>
  <si>
    <t>Tax Credit (Sec 87A)</t>
  </si>
  <si>
    <t>DEDUCTION U/S 10(13A)  - HRA</t>
  </si>
  <si>
    <t xml:space="preserve">1. Rent Paid </t>
  </si>
  <si>
    <t xml:space="preserve">2. Actual HRA Received </t>
  </si>
  <si>
    <t xml:space="preserve">3. 50% of the Basic Salary </t>
  </si>
  <si>
    <t xml:space="preserve">4. Rent Paid - 10%  of Basic Salary </t>
  </si>
  <si>
    <t>15,00,000+</t>
  </si>
  <si>
    <t xml:space="preserve">Tax Payable </t>
  </si>
  <si>
    <t>Under Existing</t>
  </si>
  <si>
    <t>Under New Scheme</t>
  </si>
  <si>
    <t>Difference</t>
  </si>
  <si>
    <t xml:space="preserve">Amount </t>
  </si>
  <si>
    <t>www.cadhruvaks.com</t>
  </si>
  <si>
    <t>dhruvakalamanji@gmail.com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</si>
</sst>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indexed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0">
    <xf numFmtId="0" fontId="0" fillId="0" borderId="0" xfId="0"/>
    <xf numFmtId="0" fontId="3" fillId="2" borderId="1" xfId="0" applyFont="1" applyFill="1" applyBorder="1" applyProtection="1">
      <protection locked="0" hidden="1"/>
    </xf>
    <xf numFmtId="0" fontId="3" fillId="2" borderId="0" xfId="0" applyFont="1" applyFill="1" applyProtection="1">
      <protection locked="0" hidden="1"/>
    </xf>
    <xf numFmtId="165" fontId="3" fillId="2" borderId="0" xfId="2" applyNumberFormat="1" applyFont="1" applyFill="1" applyBorder="1" applyProtection="1">
      <protection locked="0" hidden="1"/>
    </xf>
    <xf numFmtId="165" fontId="3" fillId="2" borderId="2" xfId="2" applyNumberFormat="1" applyFont="1" applyFill="1" applyBorder="1" applyAlignment="1" applyProtection="1">
      <alignment horizontal="right" shrinkToFit="1"/>
      <protection locked="0" hidden="1"/>
    </xf>
    <xf numFmtId="0" fontId="3" fillId="2" borderId="1" xfId="0" applyFont="1" applyFill="1" applyBorder="1" applyAlignment="1" applyProtection="1">
      <alignment horizontal="left" indent="2"/>
      <protection locked="0" hidden="1"/>
    </xf>
    <xf numFmtId="165" fontId="3" fillId="2" borderId="3" xfId="2" applyNumberFormat="1" applyFont="1" applyFill="1" applyBorder="1" applyProtection="1">
      <protection locked="0" hidden="1"/>
    </xf>
    <xf numFmtId="165" fontId="3" fillId="2" borderId="4" xfId="2" applyNumberFormat="1" applyFont="1" applyFill="1" applyBorder="1" applyAlignment="1" applyProtection="1">
      <alignment horizontal="right" shrinkToFit="1"/>
      <protection locked="0" hidden="1"/>
    </xf>
    <xf numFmtId="0" fontId="5" fillId="2" borderId="1" xfId="0" applyFont="1" applyFill="1" applyBorder="1" applyProtection="1">
      <protection locked="0" hidden="1"/>
    </xf>
    <xf numFmtId="165" fontId="3" fillId="3" borderId="0" xfId="2" applyNumberFormat="1" applyFont="1" applyFill="1" applyBorder="1" applyAlignment="1" applyProtection="1">
      <alignment horizontal="right"/>
      <protection locked="0" hidden="1"/>
    </xf>
    <xf numFmtId="165" fontId="3" fillId="2" borderId="2" xfId="2" applyNumberFormat="1" applyFont="1" applyFill="1" applyBorder="1" applyAlignment="1" applyProtection="1">
      <alignment horizontal="right"/>
      <protection locked="0" hidden="1"/>
    </xf>
    <xf numFmtId="165" fontId="3" fillId="3" borderId="3" xfId="2" applyNumberFormat="1" applyFont="1" applyFill="1" applyBorder="1" applyAlignment="1" applyProtection="1">
      <alignment horizontal="right"/>
      <protection locked="0" hidden="1"/>
    </xf>
    <xf numFmtId="165" fontId="3" fillId="2" borderId="4" xfId="2" applyNumberFormat="1" applyFont="1" applyFill="1" applyBorder="1" applyAlignment="1" applyProtection="1">
      <alignment horizontal="right"/>
      <protection locked="0" hidden="1"/>
    </xf>
    <xf numFmtId="165" fontId="3" fillId="3" borderId="2" xfId="2" applyNumberFormat="1" applyFont="1" applyFill="1" applyBorder="1" applyAlignment="1" applyProtection="1">
      <alignment horizontal="right" shrinkToFit="1"/>
      <protection locked="0" hidden="1"/>
    </xf>
    <xf numFmtId="0" fontId="6" fillId="2" borderId="5" xfId="0" applyFont="1" applyFill="1" applyBorder="1" applyAlignment="1" applyProtection="1">
      <alignment horizontal="left"/>
      <protection locked="0" hidden="1"/>
    </xf>
    <xf numFmtId="165" fontId="3" fillId="2" borderId="5" xfId="2" applyNumberFormat="1" applyFont="1" applyFill="1" applyBorder="1" applyProtection="1">
      <protection locked="0" hidden="1"/>
    </xf>
    <xf numFmtId="165" fontId="3" fillId="2" borderId="6" xfId="2" applyNumberFormat="1" applyFont="1" applyFill="1" applyBorder="1" applyAlignment="1" applyProtection="1">
      <alignment horizontal="right"/>
      <protection locked="0" hidden="1"/>
    </xf>
    <xf numFmtId="0" fontId="7" fillId="2" borderId="1" xfId="0" applyFont="1" applyFill="1" applyBorder="1" applyProtection="1">
      <protection locked="0" hidden="1"/>
    </xf>
    <xf numFmtId="0" fontId="7" fillId="2" borderId="0" xfId="0" applyFont="1" applyFill="1" applyProtection="1">
      <protection locked="0" hidden="1"/>
    </xf>
    <xf numFmtId="0" fontId="3" fillId="2" borderId="2" xfId="0" applyFont="1" applyFill="1" applyBorder="1" applyProtection="1">
      <protection locked="0" hidden="1"/>
    </xf>
    <xf numFmtId="0" fontId="3" fillId="2" borderId="1" xfId="0" applyFont="1" applyFill="1" applyBorder="1" applyAlignment="1" applyProtection="1">
      <alignment horizontal="left"/>
      <protection locked="0" hidden="1"/>
    </xf>
    <xf numFmtId="165" fontId="3" fillId="3" borderId="2" xfId="2" applyNumberFormat="1" applyFont="1" applyFill="1" applyBorder="1" applyAlignment="1" applyProtection="1">
      <alignment horizontal="right"/>
      <protection locked="0" hidden="1"/>
    </xf>
    <xf numFmtId="165" fontId="5" fillId="2" borderId="7" xfId="2" applyNumberFormat="1" applyFont="1" applyFill="1" applyBorder="1" applyAlignment="1" applyProtection="1">
      <alignment horizontal="right"/>
      <protection locked="0" hidden="1"/>
    </xf>
    <xf numFmtId="0" fontId="5" fillId="2" borderId="8" xfId="0" applyFont="1" applyFill="1" applyBorder="1" applyAlignment="1" applyProtection="1">
      <alignment horizontal="center"/>
      <protection locked="0" hidden="1"/>
    </xf>
    <xf numFmtId="0" fontId="5" fillId="2" borderId="9" xfId="0" applyFont="1" applyFill="1" applyBorder="1" applyAlignment="1" applyProtection="1">
      <alignment horizontal="right"/>
      <protection locked="0" hidden="1"/>
    </xf>
    <xf numFmtId="0" fontId="3" fillId="3" borderId="10" xfId="0" applyFont="1" applyFill="1" applyBorder="1" applyProtection="1">
      <protection locked="0" hidden="1"/>
    </xf>
    <xf numFmtId="0" fontId="3" fillId="2" borderId="12" xfId="0" applyFont="1" applyFill="1" applyBorder="1" applyProtection="1">
      <protection locked="0" hidden="1"/>
    </xf>
    <xf numFmtId="0" fontId="3" fillId="3" borderId="13" xfId="0" applyFont="1" applyFill="1" applyBorder="1" applyProtection="1">
      <protection locked="0" hidden="1"/>
    </xf>
    <xf numFmtId="9" fontId="3" fillId="2" borderId="0" xfId="0" applyNumberFormat="1" applyFont="1" applyFill="1" applyAlignment="1" applyProtection="1">
      <alignment horizontal="left" indent="1"/>
      <protection locked="0" hidden="1"/>
    </xf>
    <xf numFmtId="0" fontId="3" fillId="2" borderId="15" xfId="0" applyFont="1" applyFill="1" applyBorder="1" applyAlignment="1" applyProtection="1">
      <alignment horizontal="left"/>
      <protection locked="0" hidden="1"/>
    </xf>
    <xf numFmtId="165" fontId="3" fillId="2" borderId="2" xfId="2" applyNumberFormat="1" applyFont="1" applyFill="1" applyBorder="1" applyProtection="1">
      <protection locked="0" hidden="1"/>
    </xf>
    <xf numFmtId="165" fontId="5" fillId="2" borderId="2" xfId="2" applyNumberFormat="1" applyFont="1" applyFill="1" applyBorder="1" applyAlignment="1" applyProtection="1">
      <alignment horizontal="right"/>
      <protection locked="0" hidden="1"/>
    </xf>
    <xf numFmtId="165" fontId="3" fillId="3" borderId="3" xfId="2" applyNumberFormat="1" applyFont="1" applyFill="1" applyBorder="1" applyProtection="1">
      <protection locked="0" hidden="1"/>
    </xf>
    <xf numFmtId="165" fontId="3" fillId="2" borderId="4" xfId="2" applyNumberFormat="1" applyFont="1" applyFill="1" applyBorder="1" applyProtection="1">
      <protection locked="0" hidden="1"/>
    </xf>
    <xf numFmtId="165" fontId="5" fillId="2" borderId="0" xfId="2" applyNumberFormat="1" applyFont="1" applyFill="1" applyBorder="1" applyProtection="1">
      <protection locked="0" hidden="1"/>
    </xf>
    <xf numFmtId="0" fontId="5" fillId="2" borderId="1" xfId="0" applyFont="1" applyFill="1" applyBorder="1" applyAlignment="1" applyProtection="1">
      <alignment horizontal="left"/>
      <protection locked="0" hidden="1"/>
    </xf>
    <xf numFmtId="165" fontId="5" fillId="2" borderId="2" xfId="2" applyNumberFormat="1" applyFont="1" applyFill="1" applyBorder="1" applyProtection="1">
      <protection locked="0" hidden="1"/>
    </xf>
    <xf numFmtId="165" fontId="5" fillId="3" borderId="2" xfId="2" applyNumberFormat="1" applyFont="1" applyFill="1" applyBorder="1" applyAlignment="1" applyProtection="1">
      <alignment horizontal="right"/>
      <protection locked="0" hidden="1"/>
    </xf>
    <xf numFmtId="165" fontId="9" fillId="2" borderId="6" xfId="2" applyNumberFormat="1" applyFont="1" applyFill="1" applyBorder="1" applyAlignment="1" applyProtection="1">
      <alignment horizontal="right"/>
      <protection locked="0" hidden="1"/>
    </xf>
    <xf numFmtId="165" fontId="3" fillId="2" borderId="0" xfId="0" applyNumberFormat="1" applyFont="1" applyFill="1" applyProtection="1">
      <protection locked="0" hidden="1"/>
    </xf>
    <xf numFmtId="0" fontId="5" fillId="2" borderId="16" xfId="0" applyFont="1" applyFill="1" applyBorder="1" applyAlignment="1" applyProtection="1">
      <alignment horizontal="right"/>
      <protection locked="0" hidden="1"/>
    </xf>
    <xf numFmtId="166" fontId="0" fillId="0" borderId="0" xfId="1" applyNumberFormat="1" applyFont="1"/>
    <xf numFmtId="166" fontId="0" fillId="0" borderId="0" xfId="1" applyNumberFormat="1" applyFont="1" applyAlignment="1">
      <alignment horizontal="right"/>
    </xf>
    <xf numFmtId="0" fontId="2" fillId="0" borderId="0" xfId="0" applyFont="1"/>
    <xf numFmtId="9" fontId="0" fillId="0" borderId="0" xfId="0" applyNumberFormat="1"/>
    <xf numFmtId="166" fontId="2" fillId="0" borderId="0" xfId="0" applyNumberFormat="1" applyFont="1"/>
    <xf numFmtId="0" fontId="0" fillId="0" borderId="0" xfId="0" applyAlignment="1">
      <alignment horizontal="left"/>
    </xf>
    <xf numFmtId="166" fontId="3" fillId="3" borderId="17" xfId="1" applyNumberFormat="1" applyFont="1" applyFill="1" applyBorder="1" applyProtection="1">
      <protection locked="0" hidden="1"/>
    </xf>
    <xf numFmtId="166" fontId="3" fillId="3" borderId="18" xfId="1" applyNumberFormat="1" applyFont="1" applyFill="1" applyBorder="1" applyProtection="1">
      <protection locked="0" hidden="1"/>
    </xf>
    <xf numFmtId="166" fontId="3" fillId="2" borderId="11" xfId="1" applyNumberFormat="1" applyFont="1" applyFill="1" applyBorder="1" applyProtection="1">
      <protection locked="0" hidden="1"/>
    </xf>
    <xf numFmtId="166" fontId="3" fillId="2" borderId="14" xfId="1" applyNumberFormat="1" applyFont="1" applyFill="1" applyBorder="1" applyProtection="1">
      <protection locked="0" hidden="1"/>
    </xf>
    <xf numFmtId="166" fontId="0" fillId="0" borderId="0" xfId="0" applyNumberFormat="1"/>
    <xf numFmtId="0" fontId="8" fillId="4" borderId="1" xfId="0" applyFont="1" applyFill="1" applyBorder="1" applyAlignment="1" applyProtection="1">
      <alignment horizontal="left"/>
      <protection locked="0" hidden="1"/>
    </xf>
    <xf numFmtId="165" fontId="3" fillId="4" borderId="0" xfId="2" applyNumberFormat="1" applyFont="1" applyFill="1" applyBorder="1" applyProtection="1">
      <protection locked="0" hidden="1"/>
    </xf>
    <xf numFmtId="165" fontId="5" fillId="4" borderId="2" xfId="2" applyNumberFormat="1" applyFont="1" applyFill="1" applyBorder="1" applyAlignment="1" applyProtection="1">
      <alignment horizontal="right"/>
      <protection locked="0" hidden="1"/>
    </xf>
    <xf numFmtId="165" fontId="3" fillId="3" borderId="0" xfId="2" applyNumberFormat="1" applyFont="1" applyFill="1" applyBorder="1" applyProtection="1">
      <protection locked="0" hidden="1"/>
    </xf>
    <xf numFmtId="0" fontId="3" fillId="2" borderId="19" xfId="0" applyFont="1" applyFill="1" applyBorder="1" applyProtection="1">
      <protection locked="0" hidden="1"/>
    </xf>
    <xf numFmtId="166" fontId="0" fillId="3" borderId="2" xfId="1" applyNumberFormat="1" applyFont="1" applyFill="1" applyBorder="1" applyProtection="1">
      <protection locked="0" hidden="1"/>
    </xf>
    <xf numFmtId="166" fontId="3" fillId="2" borderId="2" xfId="1" applyNumberFormat="1" applyFont="1" applyFill="1" applyBorder="1" applyProtection="1">
      <protection locked="0" hidden="1"/>
    </xf>
    <xf numFmtId="166" fontId="3" fillId="2" borderId="6" xfId="1" applyNumberFormat="1" applyFont="1" applyFill="1" applyBorder="1" applyProtection="1">
      <protection locked="0" hidden="1"/>
    </xf>
    <xf numFmtId="166" fontId="0" fillId="0" borderId="0" xfId="1" quotePrefix="1" applyNumberFormat="1" applyFont="1" applyAlignment="1">
      <alignment horizontal="right"/>
    </xf>
    <xf numFmtId="43" fontId="3" fillId="5" borderId="0" xfId="1" applyFont="1" applyFill="1" applyProtection="1">
      <protection locked="0" hidden="1"/>
    </xf>
    <xf numFmtId="43" fontId="3" fillId="5" borderId="3" xfId="1" applyFont="1" applyFill="1" applyBorder="1" applyProtection="1">
      <protection locked="0" hidden="1"/>
    </xf>
    <xf numFmtId="165" fontId="3" fillId="5" borderId="4" xfId="2" applyNumberFormat="1" applyFont="1" applyFill="1" applyBorder="1" applyProtection="1">
      <protection locked="0" hidden="1"/>
    </xf>
    <xf numFmtId="166" fontId="3" fillId="2" borderId="0" xfId="1" applyNumberFormat="1" applyFont="1" applyFill="1" applyProtection="1">
      <protection locked="0" hidden="1"/>
    </xf>
    <xf numFmtId="166" fontId="0" fillId="6" borderId="20" xfId="1" applyNumberFormat="1" applyFont="1" applyFill="1" applyBorder="1"/>
    <xf numFmtId="0" fontId="5" fillId="6" borderId="20" xfId="0" applyFont="1" applyFill="1" applyBorder="1" applyAlignment="1" applyProtection="1">
      <alignment horizontal="left"/>
      <protection locked="0" hidden="1"/>
    </xf>
    <xf numFmtId="0" fontId="5" fillId="6" borderId="20" xfId="0" applyFont="1" applyFill="1" applyBorder="1" applyAlignment="1" applyProtection="1">
      <alignment horizontal="center"/>
      <protection locked="0" hidden="1"/>
    </xf>
    <xf numFmtId="0" fontId="2" fillId="6" borderId="20" xfId="0" applyFont="1" applyFill="1" applyBorder="1" applyAlignment="1">
      <alignment horizontal="center"/>
    </xf>
    <xf numFmtId="0" fontId="10" fillId="0" borderId="0" xfId="3"/>
  </cellXfs>
  <cellStyles count="4">
    <cellStyle name="Comma" xfId="1" builtinId="3"/>
    <cellStyle name="Comma 2" xfId="2" xr:uid="{E3A41EF8-C45E-4456-89FA-C624D0424EE4}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hruvakalamanji@gmail.com" TargetMode="External"/><Relationship Id="rId1" Type="http://schemas.openxmlformats.org/officeDocument/2006/relationships/hyperlink" Target="http://www.cadhruvaks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dhruvakalamanji@gmail.com" TargetMode="External"/><Relationship Id="rId1" Type="http://schemas.openxmlformats.org/officeDocument/2006/relationships/hyperlink" Target="http://www.cadhruvak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C555-463C-4406-926B-1A616C2C3C4B}">
  <dimension ref="A1:M36"/>
  <sheetViews>
    <sheetView tabSelected="1" topLeftCell="A22" workbookViewId="0">
      <selection activeCell="A35" sqref="A35"/>
    </sheetView>
  </sheetViews>
  <sheetFormatPr defaultRowHeight="15" x14ac:dyDescent="0.25"/>
  <cols>
    <col min="1" max="1" width="42.28515625" bestFit="1" customWidth="1"/>
    <col min="2" max="2" width="10" bestFit="1" customWidth="1"/>
    <col min="3" max="3" width="12.140625" bestFit="1" customWidth="1"/>
    <col min="4" max="4" width="11.5703125" bestFit="1" customWidth="1"/>
    <col min="5" max="5" width="43.42578125" bestFit="1" customWidth="1"/>
    <col min="6" max="6" width="12.140625" bestFit="1" customWidth="1"/>
    <col min="7" max="8" width="14.28515625" bestFit="1" customWidth="1"/>
    <col min="10" max="10" width="19.28515625" bestFit="1" customWidth="1"/>
    <col min="11" max="11" width="50.28515625" bestFit="1" customWidth="1"/>
    <col min="12" max="12" width="8.85546875" bestFit="1" customWidth="1"/>
    <col min="13" max="13" width="12" bestFit="1" customWidth="1"/>
  </cols>
  <sheetData>
    <row r="1" spans="1:13" x14ac:dyDescent="0.25">
      <c r="A1" s="1" t="s">
        <v>0</v>
      </c>
      <c r="B1" s="3"/>
      <c r="C1" s="13">
        <v>1250000</v>
      </c>
      <c r="E1" s="17" t="s">
        <v>14</v>
      </c>
      <c r="F1" s="18"/>
      <c r="G1" s="18"/>
      <c r="H1" s="19"/>
      <c r="J1" s="43" t="s">
        <v>45</v>
      </c>
      <c r="K1" s="46" t="s">
        <v>47</v>
      </c>
      <c r="L1" t="s">
        <v>52</v>
      </c>
      <c r="M1" t="s">
        <v>53</v>
      </c>
    </row>
    <row r="2" spans="1:13" x14ac:dyDescent="0.25">
      <c r="A2" s="1" t="s">
        <v>1</v>
      </c>
      <c r="B2" s="55">
        <v>165870</v>
      </c>
      <c r="C2" s="4"/>
      <c r="E2" s="20" t="s">
        <v>15</v>
      </c>
      <c r="F2" s="2"/>
      <c r="G2" s="2"/>
      <c r="H2" s="21">
        <v>0</v>
      </c>
      <c r="J2" s="41">
        <v>250000</v>
      </c>
      <c r="K2" s="41">
        <f>IF(C20&lt;=J2,C20-0,J2)</f>
        <v>250000</v>
      </c>
      <c r="L2" s="44">
        <v>0</v>
      </c>
      <c r="M2" s="41">
        <f>+K2*L2</f>
        <v>0</v>
      </c>
    </row>
    <row r="3" spans="1:13" x14ac:dyDescent="0.25">
      <c r="A3" s="5" t="s">
        <v>2</v>
      </c>
      <c r="B3" s="6">
        <f>+MIN(F19,F20,F21)</f>
        <v>109000</v>
      </c>
      <c r="C3" s="4">
        <f>+B2-B3</f>
        <v>56870</v>
      </c>
      <c r="E3" s="20" t="s">
        <v>16</v>
      </c>
      <c r="F3" s="2"/>
      <c r="G3" s="2"/>
      <c r="H3" s="21">
        <v>0</v>
      </c>
      <c r="J3" s="41">
        <v>500000</v>
      </c>
      <c r="K3" s="41">
        <f>+MAX(IF(C20&lt;=J3,C20-J2,J3-J2),IF(C20&gt;J2,,0))</f>
        <v>250000</v>
      </c>
      <c r="L3" s="44">
        <v>0.05</v>
      </c>
      <c r="M3" s="41">
        <f>+K3*L3</f>
        <v>12500</v>
      </c>
    </row>
    <row r="4" spans="1:13" x14ac:dyDescent="0.25">
      <c r="A4" s="1" t="s">
        <v>3</v>
      </c>
      <c r="B4" s="3"/>
      <c r="C4" s="13">
        <v>30000</v>
      </c>
      <c r="E4" s="20" t="s">
        <v>17</v>
      </c>
      <c r="F4" s="2"/>
      <c r="G4" s="2"/>
      <c r="H4" s="21">
        <v>0</v>
      </c>
      <c r="J4" s="41">
        <v>1000000</v>
      </c>
      <c r="K4" s="41">
        <f>+MAX(IF(C20&lt;=J4,C20-J3,J4-J3),IF(C20&gt;J3,,0))</f>
        <v>500000</v>
      </c>
      <c r="L4" s="44">
        <v>0.2</v>
      </c>
      <c r="M4" s="41">
        <f>+K4*L4</f>
        <v>100000</v>
      </c>
    </row>
    <row r="5" spans="1:13" x14ac:dyDescent="0.25">
      <c r="A5" s="1" t="s">
        <v>4</v>
      </c>
      <c r="B5" s="3"/>
      <c r="C5" s="13">
        <f>50202+42000</f>
        <v>92202</v>
      </c>
      <c r="E5" s="20" t="s">
        <v>18</v>
      </c>
      <c r="F5" s="2"/>
      <c r="G5" s="2"/>
      <c r="H5" s="21">
        <v>0</v>
      </c>
      <c r="J5" s="42" t="s">
        <v>51</v>
      </c>
      <c r="K5" s="41">
        <f>+MAX(C20&gt;J4,C20-J4,0)</f>
        <v>379072</v>
      </c>
      <c r="L5" s="44">
        <v>0.3</v>
      </c>
      <c r="M5" s="41">
        <f>+K5*L5</f>
        <v>113721.59999999999</v>
      </c>
    </row>
    <row r="6" spans="1:13" x14ac:dyDescent="0.25">
      <c r="A6" s="1" t="s">
        <v>5</v>
      </c>
      <c r="B6" s="3"/>
      <c r="C6" s="13">
        <v>0</v>
      </c>
      <c r="E6" s="20" t="s">
        <v>19</v>
      </c>
      <c r="F6" s="2"/>
      <c r="G6" s="2"/>
      <c r="H6" s="21">
        <v>0</v>
      </c>
      <c r="J6" s="43" t="s">
        <v>54</v>
      </c>
      <c r="M6" s="45">
        <f>SUM(M2:M5)</f>
        <v>226221.59999999998</v>
      </c>
    </row>
    <row r="7" spans="1:13" x14ac:dyDescent="0.25">
      <c r="A7" s="1" t="s">
        <v>6</v>
      </c>
      <c r="B7" s="3"/>
      <c r="C7" s="13">
        <v>0</v>
      </c>
      <c r="E7" s="20" t="s">
        <v>20</v>
      </c>
      <c r="F7" s="2"/>
      <c r="G7" s="2"/>
      <c r="H7" s="21"/>
      <c r="J7" s="46" t="s">
        <v>46</v>
      </c>
      <c r="K7" s="46" t="s">
        <v>48</v>
      </c>
      <c r="L7" s="44">
        <v>0.1</v>
      </c>
      <c r="M7" s="41">
        <f>+IF(AND(C20&gt;5000000,C20&lt;10000000),M6*L7,0)</f>
        <v>0</v>
      </c>
    </row>
    <row r="8" spans="1:13" x14ac:dyDescent="0.25">
      <c r="A8" s="1" t="s">
        <v>7</v>
      </c>
      <c r="B8" s="3"/>
      <c r="C8" s="13">
        <v>0</v>
      </c>
      <c r="E8" s="20" t="s">
        <v>21</v>
      </c>
      <c r="F8" s="2"/>
      <c r="G8" s="2"/>
      <c r="H8" s="21"/>
      <c r="J8" s="46" t="s">
        <v>46</v>
      </c>
      <c r="K8" s="46" t="s">
        <v>49</v>
      </c>
      <c r="L8" s="44">
        <v>0.15</v>
      </c>
      <c r="M8" s="41">
        <f>+IF(C20&gt;10000000,M6*L8,0)</f>
        <v>0</v>
      </c>
    </row>
    <row r="9" spans="1:13" x14ac:dyDescent="0.25">
      <c r="A9" s="1" t="s">
        <v>8</v>
      </c>
      <c r="B9" s="3"/>
      <c r="C9" s="7">
        <v>-50000</v>
      </c>
      <c r="E9" s="20" t="s">
        <v>22</v>
      </c>
      <c r="F9" s="2"/>
      <c r="G9" s="2"/>
      <c r="H9" s="21"/>
      <c r="J9" s="43" t="s">
        <v>54</v>
      </c>
      <c r="M9" s="51">
        <f>+M6+M7+M8</f>
        <v>226221.59999999998</v>
      </c>
    </row>
    <row r="10" spans="1:13" x14ac:dyDescent="0.25">
      <c r="A10" s="8" t="s">
        <v>9</v>
      </c>
      <c r="B10" s="3"/>
      <c r="C10" s="4">
        <f>SUM(C1:C9)</f>
        <v>1379072</v>
      </c>
      <c r="E10" s="20" t="s">
        <v>23</v>
      </c>
      <c r="F10" s="2"/>
      <c r="G10" s="2"/>
      <c r="H10" s="21">
        <v>0</v>
      </c>
      <c r="J10" t="s">
        <v>55</v>
      </c>
      <c r="K10" s="46" t="s">
        <v>50</v>
      </c>
      <c r="M10" s="41">
        <f>+IF(AND(C20&gt;=J2,C20&lt;=500000),MIN(M3,12500),0)</f>
        <v>0</v>
      </c>
    </row>
    <row r="11" spans="1:13" x14ac:dyDescent="0.25">
      <c r="A11" s="1" t="s">
        <v>10</v>
      </c>
      <c r="B11" s="9"/>
      <c r="C11" s="10"/>
      <c r="E11" s="1" t="s">
        <v>24</v>
      </c>
      <c r="F11" s="2"/>
      <c r="G11" s="2"/>
      <c r="H11" s="22">
        <f>SUM(H2:H10)</f>
        <v>0</v>
      </c>
    </row>
    <row r="12" spans="1:13" ht="15.75" thickBot="1" x14ac:dyDescent="0.3">
      <c r="A12" s="28" t="s">
        <v>11</v>
      </c>
      <c r="B12" s="11"/>
      <c r="C12" s="12">
        <v>0</v>
      </c>
      <c r="E12" s="17" t="s">
        <v>25</v>
      </c>
      <c r="F12" s="18"/>
      <c r="G12" s="18"/>
      <c r="H12" s="19"/>
    </row>
    <row r="13" spans="1:13" x14ac:dyDescent="0.25">
      <c r="A13" s="2" t="s">
        <v>12</v>
      </c>
      <c r="B13" s="3"/>
      <c r="C13" s="13">
        <v>0</v>
      </c>
      <c r="E13" s="8"/>
      <c r="F13" s="23" t="s">
        <v>26</v>
      </c>
      <c r="G13" s="40" t="s">
        <v>27</v>
      </c>
      <c r="H13" s="24" t="s">
        <v>43</v>
      </c>
    </row>
    <row r="14" spans="1:13" ht="15.75" thickBot="1" x14ac:dyDescent="0.3">
      <c r="A14" s="14" t="s">
        <v>13</v>
      </c>
      <c r="B14" s="15"/>
      <c r="C14" s="16">
        <f>+C10+C12+C13</f>
        <v>1379072</v>
      </c>
      <c r="E14" s="1" t="s">
        <v>28</v>
      </c>
      <c r="F14" s="25">
        <v>25</v>
      </c>
      <c r="G14" s="47">
        <v>0</v>
      </c>
      <c r="H14" s="49">
        <f>+IF(F14&gt;60,MIN(G14,50000),MIN(G14,25000))</f>
        <v>0</v>
      </c>
    </row>
    <row r="15" spans="1:13" ht="15.75" thickBot="1" x14ac:dyDescent="0.3">
      <c r="A15" s="29" t="s">
        <v>14</v>
      </c>
      <c r="B15" s="39">
        <f>+MIN(H11,150000)</f>
        <v>0</v>
      </c>
      <c r="C15" s="30"/>
      <c r="E15" s="26" t="s">
        <v>29</v>
      </c>
      <c r="F15" s="27">
        <v>25</v>
      </c>
      <c r="G15" s="48">
        <v>0</v>
      </c>
      <c r="H15" s="50">
        <f>+IF(F15&gt;60,MIN(G15,50000),MIN(G15,25000))</f>
        <v>0</v>
      </c>
    </row>
    <row r="16" spans="1:13" x14ac:dyDescent="0.25">
      <c r="A16" s="1" t="s">
        <v>30</v>
      </c>
      <c r="B16" s="64">
        <f>+H14+H15</f>
        <v>0</v>
      </c>
      <c r="C16" s="31"/>
      <c r="E16" s="35" t="s">
        <v>56</v>
      </c>
      <c r="F16" s="56"/>
    </row>
    <row r="17" spans="1:6" x14ac:dyDescent="0.25">
      <c r="A17" s="1" t="s">
        <v>44</v>
      </c>
      <c r="B17" s="32">
        <v>0</v>
      </c>
      <c r="C17" s="31"/>
      <c r="E17" s="20"/>
      <c r="F17" s="19"/>
    </row>
    <row r="18" spans="1:6" x14ac:dyDescent="0.25">
      <c r="A18" s="20" t="s">
        <v>31</v>
      </c>
      <c r="B18" s="3"/>
      <c r="C18" s="33">
        <f>+B15+B16+B17</f>
        <v>0</v>
      </c>
      <c r="E18" s="20" t="s">
        <v>57</v>
      </c>
      <c r="F18" s="57">
        <f>19500*12</f>
        <v>234000</v>
      </c>
    </row>
    <row r="19" spans="1:6" x14ac:dyDescent="0.25">
      <c r="A19" s="20" t="s">
        <v>32</v>
      </c>
      <c r="B19" s="34"/>
      <c r="C19" s="31">
        <f>+C14-C18</f>
        <v>1379072</v>
      </c>
      <c r="E19" s="20" t="s">
        <v>58</v>
      </c>
      <c r="F19" s="58">
        <f>+B2</f>
        <v>165870</v>
      </c>
    </row>
    <row r="20" spans="1:6" x14ac:dyDescent="0.25">
      <c r="A20" s="20" t="s">
        <v>33</v>
      </c>
      <c r="B20" s="2"/>
      <c r="C20" s="12">
        <f>+C19</f>
        <v>1379072</v>
      </c>
      <c r="E20" s="20" t="s">
        <v>59</v>
      </c>
      <c r="F20" s="58">
        <f>+C1*50%</f>
        <v>625000</v>
      </c>
    </row>
    <row r="21" spans="1:6" ht="15.75" thickBot="1" x14ac:dyDescent="0.3">
      <c r="A21" s="35" t="s">
        <v>34</v>
      </c>
      <c r="B21" s="3"/>
      <c r="C21" s="36">
        <f>+M6</f>
        <v>226221.59999999998</v>
      </c>
      <c r="E21" s="26" t="s">
        <v>60</v>
      </c>
      <c r="F21" s="59">
        <f>+F18-(C1*10%)</f>
        <v>109000</v>
      </c>
    </row>
    <row r="22" spans="1:6" x14ac:dyDescent="0.25">
      <c r="A22" s="1" t="s">
        <v>35</v>
      </c>
      <c r="B22" s="3"/>
      <c r="C22" s="36">
        <f>-M10</f>
        <v>0</v>
      </c>
    </row>
    <row r="23" spans="1:6" x14ac:dyDescent="0.25">
      <c r="A23" s="1" t="s">
        <v>36</v>
      </c>
      <c r="B23" s="3"/>
      <c r="C23" s="36">
        <f>+M7+M8</f>
        <v>0</v>
      </c>
      <c r="E23" s="67" t="s">
        <v>62</v>
      </c>
      <c r="F23" s="68" t="s">
        <v>66</v>
      </c>
    </row>
    <row r="24" spans="1:6" x14ac:dyDescent="0.25">
      <c r="A24" s="1" t="s">
        <v>37</v>
      </c>
      <c r="B24" s="3"/>
      <c r="C24" s="10">
        <f>+(C21+C22+C23)*4%</f>
        <v>9048.8639999999996</v>
      </c>
      <c r="E24" s="66" t="s">
        <v>63</v>
      </c>
      <c r="F24" s="65">
        <f>+C25</f>
        <v>235270.46399999998</v>
      </c>
    </row>
    <row r="25" spans="1:6" ht="21" x14ac:dyDescent="0.35">
      <c r="A25" s="52" t="s">
        <v>38</v>
      </c>
      <c r="B25" s="53"/>
      <c r="C25" s="54">
        <f>+C21+C22+C23+C24</f>
        <v>235270.46399999998</v>
      </c>
      <c r="D25" s="41"/>
      <c r="E25" s="66" t="s">
        <v>64</v>
      </c>
      <c r="F25" s="65">
        <f>+'New Scheme '!C24</f>
        <v>191898.72</v>
      </c>
    </row>
    <row r="26" spans="1:6" x14ac:dyDescent="0.25">
      <c r="A26" s="1" t="s">
        <v>39</v>
      </c>
      <c r="B26" s="3"/>
      <c r="C26" s="21">
        <v>0</v>
      </c>
      <c r="E26" s="66" t="s">
        <v>65</v>
      </c>
      <c r="F26" s="65">
        <f>+F24-F25</f>
        <v>43371.743999999977</v>
      </c>
    </row>
    <row r="27" spans="1:6" x14ac:dyDescent="0.25">
      <c r="A27" s="1" t="s">
        <v>40</v>
      </c>
      <c r="B27" s="3"/>
      <c r="C27" s="31">
        <f>+C25-C26</f>
        <v>235270.46399999998</v>
      </c>
    </row>
    <row r="28" spans="1:6" x14ac:dyDescent="0.25">
      <c r="A28" s="1" t="s">
        <v>41</v>
      </c>
      <c r="B28" s="3"/>
      <c r="C28" s="37">
        <v>12</v>
      </c>
    </row>
    <row r="29" spans="1:6" ht="15.75" thickBot="1" x14ac:dyDescent="0.3">
      <c r="A29" s="26" t="s">
        <v>42</v>
      </c>
      <c r="B29" s="15"/>
      <c r="C29" s="38">
        <f>+C27/C28</f>
        <v>19605.871999999999</v>
      </c>
    </row>
    <row r="35" spans="1:1" x14ac:dyDescent="0.25">
      <c r="A35" s="69" t="s">
        <v>67</v>
      </c>
    </row>
    <row r="36" spans="1:1" x14ac:dyDescent="0.25">
      <c r="A36" s="69" t="s">
        <v>68</v>
      </c>
    </row>
  </sheetData>
  <hyperlinks>
    <hyperlink ref="A35" r:id="rId1" xr:uid="{DAAD7F98-6435-4AD0-A259-332D792579A4}"/>
    <hyperlink ref="A36" r:id="rId2" xr:uid="{F7473FC3-AC6C-4FBD-8A6A-F621F9653D3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3766-FE70-4393-8C45-302332141DBF}">
  <dimension ref="A1:M32"/>
  <sheetViews>
    <sheetView topLeftCell="A19" workbookViewId="0">
      <selection activeCell="A31" sqref="A31:A32"/>
    </sheetView>
  </sheetViews>
  <sheetFormatPr defaultRowHeight="15" x14ac:dyDescent="0.25"/>
  <cols>
    <col min="1" max="1" width="42.28515625" bestFit="1" customWidth="1"/>
    <col min="2" max="2" width="9.5703125" bestFit="1" customWidth="1"/>
    <col min="3" max="3" width="12.140625" bestFit="1" customWidth="1"/>
    <col min="5" max="5" width="43.42578125" customWidth="1"/>
    <col min="6" max="6" width="12.140625" customWidth="1"/>
    <col min="7" max="8" width="14.28515625" customWidth="1"/>
    <col min="9" max="9" width="9.140625" customWidth="1"/>
    <col min="10" max="10" width="19.28515625" bestFit="1" customWidth="1"/>
    <col min="11" max="11" width="50.28515625" bestFit="1" customWidth="1"/>
    <col min="12" max="12" width="8.85546875" bestFit="1" customWidth="1"/>
    <col min="13" max="13" width="12" bestFit="1" customWidth="1"/>
  </cols>
  <sheetData>
    <row r="1" spans="1:13" x14ac:dyDescent="0.25">
      <c r="A1" s="1" t="s">
        <v>0</v>
      </c>
      <c r="B1" s="3"/>
      <c r="C1" s="13">
        <f>+'Existing Scheme '!C1</f>
        <v>1250000</v>
      </c>
      <c r="E1" s="17" t="s">
        <v>14</v>
      </c>
      <c r="F1" s="18"/>
      <c r="G1" s="18"/>
      <c r="H1" s="19"/>
      <c r="J1" s="43" t="s">
        <v>45</v>
      </c>
      <c r="K1" s="46" t="s">
        <v>47</v>
      </c>
      <c r="L1" t="s">
        <v>52</v>
      </c>
      <c r="M1" t="s">
        <v>53</v>
      </c>
    </row>
    <row r="2" spans="1:13" x14ac:dyDescent="0.25">
      <c r="A2" s="1" t="s">
        <v>1</v>
      </c>
      <c r="B2" s="3"/>
      <c r="C2" s="13">
        <f>+'Existing Scheme '!B2</f>
        <v>165870</v>
      </c>
      <c r="E2" s="20" t="s">
        <v>15</v>
      </c>
      <c r="F2" s="2"/>
      <c r="G2" s="2"/>
      <c r="H2" s="21">
        <f>+'Existing Scheme '!H2</f>
        <v>0</v>
      </c>
      <c r="J2" s="41">
        <v>250000</v>
      </c>
      <c r="K2" s="41">
        <f>IF(C19&lt;=J2,C19-0,J2)</f>
        <v>250000</v>
      </c>
      <c r="L2" s="44">
        <v>0</v>
      </c>
      <c r="M2" s="41">
        <f t="shared" ref="M2:M8" si="0">+K2*L2</f>
        <v>0</v>
      </c>
    </row>
    <row r="3" spans="1:13" x14ac:dyDescent="0.25">
      <c r="A3" s="1" t="s">
        <v>3</v>
      </c>
      <c r="B3" s="3"/>
      <c r="C3" s="13">
        <f>+'Existing Scheme '!C4</f>
        <v>30000</v>
      </c>
      <c r="E3" s="20" t="s">
        <v>16</v>
      </c>
      <c r="F3" s="2"/>
      <c r="G3" s="2"/>
      <c r="H3" s="21">
        <f>+'Existing Scheme '!H3</f>
        <v>0</v>
      </c>
      <c r="J3" s="41">
        <v>500000</v>
      </c>
      <c r="K3" s="41">
        <f>+MAX(IF(C19&lt;=J3,C19-J2,J3-J2),IF(C19&gt;J2,,0))</f>
        <v>250000</v>
      </c>
      <c r="L3" s="44">
        <v>0.05</v>
      </c>
      <c r="M3" s="41">
        <f t="shared" si="0"/>
        <v>12500</v>
      </c>
    </row>
    <row r="4" spans="1:13" x14ac:dyDescent="0.25">
      <c r="A4" s="1" t="s">
        <v>4</v>
      </c>
      <c r="B4" s="3"/>
      <c r="C4" s="13">
        <f>+'Existing Scheme '!C5</f>
        <v>92202</v>
      </c>
      <c r="E4" s="20" t="s">
        <v>17</v>
      </c>
      <c r="F4" s="2"/>
      <c r="G4" s="2"/>
      <c r="H4" s="21">
        <f>+'Existing Scheme '!H4</f>
        <v>0</v>
      </c>
      <c r="J4" s="41">
        <v>750000</v>
      </c>
      <c r="K4" s="41">
        <f>+MAX(IF(C19&lt;=J4,C19-J3,J4-J3),IF(C19&gt;J3,,0))</f>
        <v>250000</v>
      </c>
      <c r="L4" s="44">
        <v>0.1</v>
      </c>
      <c r="M4" s="41">
        <f t="shared" si="0"/>
        <v>25000</v>
      </c>
    </row>
    <row r="5" spans="1:13" x14ac:dyDescent="0.25">
      <c r="A5" s="1" t="s">
        <v>5</v>
      </c>
      <c r="B5" s="3"/>
      <c r="C5" s="13">
        <f>+'Existing Scheme '!C6</f>
        <v>0</v>
      </c>
      <c r="E5" s="20" t="s">
        <v>18</v>
      </c>
      <c r="F5" s="2"/>
      <c r="G5" s="2"/>
      <c r="H5" s="21">
        <f>+'Existing Scheme '!H5</f>
        <v>0</v>
      </c>
      <c r="J5" s="42">
        <v>1000000</v>
      </c>
      <c r="K5" s="41">
        <f>+MAX(IF(C19&lt;=J5,C19-J4,J5-J4),IF(C19&gt;J4,,0))</f>
        <v>250000</v>
      </c>
      <c r="L5" s="44">
        <v>0.15</v>
      </c>
      <c r="M5" s="41">
        <f t="shared" si="0"/>
        <v>37500</v>
      </c>
    </row>
    <row r="6" spans="1:13" x14ac:dyDescent="0.25">
      <c r="A6" s="1" t="s">
        <v>6</v>
      </c>
      <c r="B6" s="3"/>
      <c r="C6" s="13">
        <f>+'Existing Scheme '!C7</f>
        <v>0</v>
      </c>
      <c r="E6" s="20" t="s">
        <v>19</v>
      </c>
      <c r="F6" s="2"/>
      <c r="G6" s="2"/>
      <c r="H6" s="21">
        <f>+'Existing Scheme '!H6</f>
        <v>0</v>
      </c>
      <c r="J6" s="42">
        <v>1250000</v>
      </c>
      <c r="K6" s="41">
        <f>+MAX(IF(C19&lt;=J6,C19-J5,J6-J5),IF(C19&gt;J5,,0))</f>
        <v>250000</v>
      </c>
      <c r="L6" s="44">
        <v>0.2</v>
      </c>
      <c r="M6" s="41">
        <f t="shared" si="0"/>
        <v>50000</v>
      </c>
    </row>
    <row r="7" spans="1:13" x14ac:dyDescent="0.25">
      <c r="A7" s="1" t="s">
        <v>7</v>
      </c>
      <c r="B7" s="3"/>
      <c r="C7" s="13">
        <f>+'Existing Scheme '!C8</f>
        <v>0</v>
      </c>
      <c r="E7" s="20" t="s">
        <v>20</v>
      </c>
      <c r="F7" s="2"/>
      <c r="G7" s="2"/>
      <c r="H7" s="21">
        <f>+'Existing Scheme '!H7</f>
        <v>0</v>
      </c>
      <c r="J7" s="42">
        <v>1500000</v>
      </c>
      <c r="K7" s="41">
        <f>+MAX(IF(C19&lt;=J7,C19-J6,J7-J6),IF(C19&gt;J6,,0))</f>
        <v>238072</v>
      </c>
      <c r="L7" s="44">
        <v>0.25</v>
      </c>
      <c r="M7" s="41">
        <f t="shared" si="0"/>
        <v>59518</v>
      </c>
    </row>
    <row r="8" spans="1:13" x14ac:dyDescent="0.25">
      <c r="A8" s="1" t="s">
        <v>8</v>
      </c>
      <c r="B8" s="3"/>
      <c r="C8" s="7">
        <v>-50000</v>
      </c>
      <c r="E8" s="20" t="s">
        <v>21</v>
      </c>
      <c r="F8" s="2"/>
      <c r="G8" s="2"/>
      <c r="H8" s="21">
        <f>+'Existing Scheme '!H8</f>
        <v>0</v>
      </c>
      <c r="J8" s="60" t="s">
        <v>61</v>
      </c>
      <c r="K8" s="41">
        <f>+MAX(C19&gt;J7,C19-J7,0)</f>
        <v>0</v>
      </c>
      <c r="L8" s="44">
        <v>0.3</v>
      </c>
      <c r="M8" s="41">
        <f t="shared" si="0"/>
        <v>0</v>
      </c>
    </row>
    <row r="9" spans="1:13" x14ac:dyDescent="0.25">
      <c r="A9" s="8" t="s">
        <v>9</v>
      </c>
      <c r="B9" s="3"/>
      <c r="C9" s="4">
        <f>SUM(C1:C8)</f>
        <v>1488072</v>
      </c>
      <c r="E9" s="20" t="s">
        <v>22</v>
      </c>
      <c r="F9" s="2"/>
      <c r="G9" s="2"/>
      <c r="H9" s="21">
        <f>+'Existing Scheme '!H9</f>
        <v>0</v>
      </c>
      <c r="J9" s="43" t="s">
        <v>54</v>
      </c>
      <c r="M9" s="45">
        <f>SUM(M2:M8)</f>
        <v>184518</v>
      </c>
    </row>
    <row r="10" spans="1:13" x14ac:dyDescent="0.25">
      <c r="A10" s="1" t="s">
        <v>10</v>
      </c>
      <c r="B10" s="9"/>
      <c r="C10" s="10"/>
      <c r="E10" s="20" t="s">
        <v>23</v>
      </c>
      <c r="F10" s="2"/>
      <c r="G10" s="2"/>
      <c r="H10" s="21">
        <f>+'Existing Scheme '!H10</f>
        <v>0</v>
      </c>
      <c r="J10" s="46" t="s">
        <v>46</v>
      </c>
      <c r="K10" s="46" t="s">
        <v>48</v>
      </c>
      <c r="L10" s="44">
        <v>0.1</v>
      </c>
      <c r="M10" s="41">
        <f>+IF(AND(C19&gt;5000000,C19&lt;10000000),M9*L10,0)</f>
        <v>0</v>
      </c>
    </row>
    <row r="11" spans="1:13" x14ac:dyDescent="0.25">
      <c r="A11" s="28" t="s">
        <v>11</v>
      </c>
      <c r="B11" s="11"/>
      <c r="C11" s="12">
        <v>0</v>
      </c>
      <c r="E11" s="1" t="s">
        <v>24</v>
      </c>
      <c r="F11" s="2"/>
      <c r="G11" s="2"/>
      <c r="H11" s="22">
        <f>SUM(H2:H10)</f>
        <v>0</v>
      </c>
      <c r="J11" s="46" t="s">
        <v>46</v>
      </c>
      <c r="K11" s="46" t="s">
        <v>49</v>
      </c>
      <c r="L11" s="44">
        <v>0.15</v>
      </c>
      <c r="M11" s="41">
        <f>+IF(C19&gt;10000000,M9*L11,0)</f>
        <v>0</v>
      </c>
    </row>
    <row r="12" spans="1:13" ht="15.75" thickBot="1" x14ac:dyDescent="0.3">
      <c r="A12" s="2" t="s">
        <v>12</v>
      </c>
      <c r="B12" s="3"/>
      <c r="C12" s="13">
        <v>0</v>
      </c>
      <c r="E12" s="17" t="s">
        <v>25</v>
      </c>
      <c r="F12" s="18"/>
      <c r="G12" s="18"/>
      <c r="H12" s="19"/>
      <c r="J12" s="43" t="s">
        <v>54</v>
      </c>
      <c r="M12" s="51">
        <f>+M9+M10+M11</f>
        <v>184518</v>
      </c>
    </row>
    <row r="13" spans="1:13" ht="15.75" thickBot="1" x14ac:dyDescent="0.3">
      <c r="A13" s="14" t="s">
        <v>13</v>
      </c>
      <c r="B13" s="15"/>
      <c r="C13" s="16">
        <f>+C9+C11+C12</f>
        <v>1488072</v>
      </c>
      <c r="E13" s="8"/>
      <c r="F13" s="23" t="s">
        <v>26</v>
      </c>
      <c r="G13" s="40" t="s">
        <v>27</v>
      </c>
      <c r="H13" s="24" t="s">
        <v>43</v>
      </c>
      <c r="J13" t="s">
        <v>55</v>
      </c>
      <c r="K13" s="46" t="s">
        <v>50</v>
      </c>
      <c r="M13" s="41">
        <f>+IF(AND(C19&gt;=J2,C19&lt;=500000),MIN(M3,12500),0)</f>
        <v>0</v>
      </c>
    </row>
    <row r="14" spans="1:13" x14ac:dyDescent="0.25">
      <c r="A14" s="29" t="s">
        <v>14</v>
      </c>
      <c r="B14" s="61">
        <v>0</v>
      </c>
      <c r="C14" s="30"/>
      <c r="E14" s="1" t="s">
        <v>28</v>
      </c>
      <c r="F14" s="25">
        <f>+'Existing Scheme '!F14</f>
        <v>25</v>
      </c>
      <c r="G14" s="47">
        <f>+'Existing Scheme '!G14</f>
        <v>0</v>
      </c>
      <c r="H14" s="49">
        <f>+IF(F14&gt;60,MIN(G14,50000),MIN(G14,25000))</f>
        <v>0</v>
      </c>
    </row>
    <row r="15" spans="1:13" ht="15.75" thickBot="1" x14ac:dyDescent="0.3">
      <c r="A15" s="1" t="s">
        <v>30</v>
      </c>
      <c r="B15" s="61">
        <v>0</v>
      </c>
      <c r="C15" s="31"/>
      <c r="E15" s="26" t="s">
        <v>29</v>
      </c>
      <c r="F15" s="25">
        <f>+'Existing Scheme '!F15</f>
        <v>25</v>
      </c>
      <c r="G15" s="47">
        <f>+'Existing Scheme '!G15</f>
        <v>0</v>
      </c>
      <c r="H15" s="50">
        <f>+IF(F15&gt;60,MIN(G15,50000),MIN(G15,25000))</f>
        <v>0</v>
      </c>
    </row>
    <row r="16" spans="1:13" x14ac:dyDescent="0.25">
      <c r="A16" s="1" t="s">
        <v>44</v>
      </c>
      <c r="B16" s="62">
        <v>0</v>
      </c>
      <c r="C16" s="31"/>
      <c r="E16" s="35" t="s">
        <v>56</v>
      </c>
      <c r="F16" s="56"/>
    </row>
    <row r="17" spans="1:6" x14ac:dyDescent="0.25">
      <c r="A17" s="20" t="s">
        <v>31</v>
      </c>
      <c r="B17" s="3"/>
      <c r="C17" s="63">
        <f>+B14+B15+B16</f>
        <v>0</v>
      </c>
      <c r="E17" s="20"/>
      <c r="F17" s="19"/>
    </row>
    <row r="18" spans="1:6" x14ac:dyDescent="0.25">
      <c r="A18" s="20" t="s">
        <v>32</v>
      </c>
      <c r="B18" s="34"/>
      <c r="C18" s="31">
        <f>+C13-C17</f>
        <v>1488072</v>
      </c>
      <c r="E18" s="20" t="s">
        <v>57</v>
      </c>
      <c r="F18" s="58">
        <f>+'Existing Scheme '!F18</f>
        <v>234000</v>
      </c>
    </row>
    <row r="19" spans="1:6" x14ac:dyDescent="0.25">
      <c r="A19" s="20" t="s">
        <v>33</v>
      </c>
      <c r="B19" s="2"/>
      <c r="C19" s="12">
        <f>+C18</f>
        <v>1488072</v>
      </c>
      <c r="E19" s="20" t="s">
        <v>58</v>
      </c>
      <c r="F19" s="58">
        <f>+'Existing Scheme '!F19</f>
        <v>165870</v>
      </c>
    </row>
    <row r="20" spans="1:6" x14ac:dyDescent="0.25">
      <c r="A20" s="35" t="s">
        <v>34</v>
      </c>
      <c r="B20" s="3"/>
      <c r="C20" s="36">
        <f>+M9</f>
        <v>184518</v>
      </c>
      <c r="E20" s="20" t="s">
        <v>59</v>
      </c>
      <c r="F20" s="58">
        <f>+'Existing Scheme '!F20</f>
        <v>625000</v>
      </c>
    </row>
    <row r="21" spans="1:6" ht="15.75" thickBot="1" x14ac:dyDescent="0.3">
      <c r="A21" s="1" t="s">
        <v>35</v>
      </c>
      <c r="B21" s="3"/>
      <c r="C21" s="36">
        <f>-M13</f>
        <v>0</v>
      </c>
      <c r="E21" s="26" t="s">
        <v>60</v>
      </c>
      <c r="F21" s="59">
        <f>+'Existing Scheme '!F21</f>
        <v>109000</v>
      </c>
    </row>
    <row r="22" spans="1:6" x14ac:dyDescent="0.25">
      <c r="A22" s="1" t="s">
        <v>36</v>
      </c>
      <c r="B22" s="3"/>
      <c r="C22" s="36">
        <f>+M10+M11</f>
        <v>0</v>
      </c>
    </row>
    <row r="23" spans="1:6" x14ac:dyDescent="0.25">
      <c r="A23" s="1" t="s">
        <v>37</v>
      </c>
      <c r="B23" s="3"/>
      <c r="C23" s="10">
        <f>+(C20+C21+C22)*4%</f>
        <v>7380.72</v>
      </c>
    </row>
    <row r="24" spans="1:6" ht="21" x14ac:dyDescent="0.35">
      <c r="A24" s="52" t="s">
        <v>38</v>
      </c>
      <c r="B24" s="53"/>
      <c r="C24" s="54">
        <f>+C20+C21+C22+C23</f>
        <v>191898.72</v>
      </c>
    </row>
    <row r="25" spans="1:6" x14ac:dyDescent="0.25">
      <c r="A25" s="1" t="s">
        <v>39</v>
      </c>
      <c r="B25" s="3"/>
      <c r="C25" s="21">
        <v>0</v>
      </c>
    </row>
    <row r="26" spans="1:6" x14ac:dyDescent="0.25">
      <c r="A26" s="1" t="s">
        <v>40</v>
      </c>
      <c r="B26" s="3"/>
      <c r="C26" s="31">
        <f>+C24-C25</f>
        <v>191898.72</v>
      </c>
    </row>
    <row r="27" spans="1:6" x14ac:dyDescent="0.25">
      <c r="A27" s="1" t="s">
        <v>41</v>
      </c>
      <c r="B27" s="3"/>
      <c r="C27" s="37">
        <v>12</v>
      </c>
    </row>
    <row r="28" spans="1:6" ht="15.75" thickBot="1" x14ac:dyDescent="0.3">
      <c r="A28" s="26" t="s">
        <v>42</v>
      </c>
      <c r="B28" s="15"/>
      <c r="C28" s="38">
        <f>+C26/C27</f>
        <v>15991.56</v>
      </c>
    </row>
    <row r="31" spans="1:6" x14ac:dyDescent="0.25">
      <c r="A31" s="69" t="s">
        <v>67</v>
      </c>
    </row>
    <row r="32" spans="1:6" x14ac:dyDescent="0.25">
      <c r="A32" s="69" t="s">
        <v>68</v>
      </c>
    </row>
  </sheetData>
  <hyperlinks>
    <hyperlink ref="A31" r:id="rId1" xr:uid="{1ABE35DB-4479-4B15-AFD3-70416745E9C8}"/>
    <hyperlink ref="A32" r:id="rId2" xr:uid="{04A6DA5E-77A5-479B-88C4-78D31E6792A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Existing Scheme </vt:lpstr>
      <vt:lpstr>New Scheme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kalku</dc:creator>
  <cp:lastModifiedBy>kalku</cp:lastModifiedBy>
  <dcterms:created xsi:type="dcterms:W3CDTF">2020-04-28T10:14:36Z</dcterms:created>
  <dcterms:modified xsi:type="dcterms:W3CDTF">2020-04-28T12:19:09Z</dcterms:modified>
</cp:coreProperties>
</file>