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64011"/>
  <mc:AlternateContent xmlns:mc="http://schemas.openxmlformats.org/markup-compatibility/2006">
    <mc:Choice Requires="x15">
      <x15ac:absPath xmlns:x15ac="http://schemas.microsoft.com/office/spreadsheetml/2010/11/ac" url="C:\Users\pdangwal\Desktop\"/>
    </mc:Choice>
  </mc:AlternateContent>
  <bookViews>
    <workbookView xWindow="0" yWindow="0" windowWidth="20490" windowHeight="7620" activeTab="1"/>
  </bookViews>
  <sheets>
    <sheet name=" Salary and Investments" sheetId="1" r:id="rId1"/>
    <sheet name="Tax Current Vs New Method" sheetId="2" r:id="rId2"/>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7" i="1" l="1"/>
  <c r="K15" i="1" l="1"/>
  <c r="K14" i="1"/>
  <c r="K13" i="1"/>
  <c r="K12" i="1"/>
  <c r="K11" i="1"/>
  <c r="K10" i="1"/>
  <c r="K9" i="1"/>
  <c r="K8" i="1"/>
  <c r="K7" i="1"/>
  <c r="K6" i="1"/>
  <c r="K5" i="1"/>
  <c r="K4" i="1"/>
  <c r="C4" i="1" l="1"/>
  <c r="B12" i="1" l="1"/>
  <c r="C5" i="1"/>
  <c r="D20" i="2" l="1"/>
  <c r="D19" i="2"/>
  <c r="I19" i="2"/>
  <c r="I20" i="2" s="1"/>
  <c r="I21" i="2" s="1"/>
  <c r="I22" i="2" s="1"/>
  <c r="I23" i="2" s="1"/>
  <c r="G29" i="1"/>
  <c r="G23" i="1"/>
  <c r="G20" i="1"/>
  <c r="G19" i="1"/>
  <c r="G18" i="1"/>
  <c r="D19" i="1"/>
  <c r="D6" i="1"/>
  <c r="D7" i="1" s="1"/>
  <c r="D8" i="1" s="1"/>
  <c r="D9" i="1" s="1"/>
  <c r="D10" i="1" s="1"/>
  <c r="D11" i="1" s="1"/>
  <c r="D12" i="1" s="1"/>
  <c r="D13" i="1" s="1"/>
  <c r="D5" i="1"/>
  <c r="J16" i="1"/>
  <c r="L15" i="1"/>
  <c r="L14" i="1"/>
  <c r="L13" i="1"/>
  <c r="L12" i="1"/>
  <c r="L11" i="1"/>
  <c r="L10" i="1"/>
  <c r="N10" i="1" s="1"/>
  <c r="L9" i="1"/>
  <c r="L8" i="1"/>
  <c r="L7" i="1"/>
  <c r="L6" i="1"/>
  <c r="N6" i="1" s="1"/>
  <c r="L5" i="1"/>
  <c r="L4" i="1"/>
  <c r="M4" i="1"/>
  <c r="M5" i="1" s="1"/>
  <c r="M6" i="1" s="1"/>
  <c r="M7" i="1" s="1"/>
  <c r="M8" i="1" s="1"/>
  <c r="M9" i="1" s="1"/>
  <c r="M10" i="1" s="1"/>
  <c r="M11" i="1" s="1"/>
  <c r="M12" i="1" s="1"/>
  <c r="M13" i="1" s="1"/>
  <c r="M14" i="1" s="1"/>
  <c r="M15" i="1" s="1"/>
  <c r="I5" i="1"/>
  <c r="I6" i="1" s="1"/>
  <c r="I7" i="1" s="1"/>
  <c r="I8" i="1" s="1"/>
  <c r="I9" i="1" s="1"/>
  <c r="I10" i="1" s="1"/>
  <c r="I11" i="1" s="1"/>
  <c r="I12" i="1" s="1"/>
  <c r="I13" i="1" s="1"/>
  <c r="I14" i="1" s="1"/>
  <c r="I15" i="1" s="1"/>
  <c r="C11" i="1"/>
  <c r="C10" i="1"/>
  <c r="G37" i="1" s="1"/>
  <c r="C9" i="1"/>
  <c r="G36" i="1" s="1"/>
  <c r="C8" i="1"/>
  <c r="G35" i="1" s="1"/>
  <c r="C7" i="1"/>
  <c r="G32" i="1" s="1"/>
  <c r="C6" i="1"/>
  <c r="F4" i="1"/>
  <c r="N14" i="1" l="1"/>
  <c r="N7" i="1"/>
  <c r="N11" i="1"/>
  <c r="N15" i="1"/>
  <c r="N4" i="1"/>
  <c r="N8" i="1"/>
  <c r="N12" i="1"/>
  <c r="N5" i="1"/>
  <c r="N9" i="1"/>
  <c r="N13" i="1"/>
  <c r="F14" i="1"/>
  <c r="G15" i="1" s="1"/>
  <c r="C12" i="1"/>
  <c r="C16" i="1" s="1"/>
  <c r="C22" i="1" s="1"/>
  <c r="K16" i="1"/>
  <c r="L16" i="1"/>
  <c r="M16" i="1"/>
  <c r="G7" i="2" l="1"/>
  <c r="N16" i="1"/>
  <c r="G31" i="1" s="1"/>
  <c r="G38" i="1" s="1"/>
  <c r="C18" i="1" s="1"/>
  <c r="C20" i="1" s="1"/>
  <c r="G9" i="2" l="1"/>
  <c r="G12" i="2"/>
  <c r="C7" i="2"/>
  <c r="C9" i="2"/>
  <c r="G10" i="2" l="1"/>
  <c r="G11" i="2" s="1"/>
  <c r="G13" i="2" s="1"/>
  <c r="G14" i="2" s="1"/>
  <c r="G15" i="2" s="1"/>
  <c r="C10" i="2"/>
  <c r="C11" i="2" s="1"/>
  <c r="C12" i="2" l="1"/>
  <c r="C13" i="2" s="1"/>
  <c r="C14" i="2" s="1"/>
  <c r="C15" i="2" s="1"/>
</calcChain>
</file>

<file path=xl/sharedStrings.xml><?xml version="1.0" encoding="utf-8"?>
<sst xmlns="http://schemas.openxmlformats.org/spreadsheetml/2006/main" count="96" uniqueCount="84">
  <si>
    <t>Basic</t>
  </si>
  <si>
    <t>House Rent Allowance</t>
  </si>
  <si>
    <t>General Allowance</t>
  </si>
  <si>
    <t>Books Reimbursement</t>
  </si>
  <si>
    <t>Telephone Reimbursement</t>
  </si>
  <si>
    <t>Leave Travel Allowance</t>
  </si>
  <si>
    <t>Per annum</t>
  </si>
  <si>
    <t>Total</t>
  </si>
  <si>
    <t>Month</t>
  </si>
  <si>
    <t>50% of basic</t>
  </si>
  <si>
    <t>Per month House rent Allowance</t>
  </si>
  <si>
    <t xml:space="preserve">Exempt </t>
  </si>
  <si>
    <t>Rent paid -10% of basic</t>
  </si>
  <si>
    <t>a</t>
  </si>
  <si>
    <t>b</t>
  </si>
  <si>
    <t>c</t>
  </si>
  <si>
    <t>=min(a,b,c)</t>
  </si>
  <si>
    <t>National Saving Certificate</t>
  </si>
  <si>
    <t xml:space="preserve">Life Insurance Corporation </t>
  </si>
  <si>
    <t>Child Tuition Fee</t>
  </si>
  <si>
    <t>Sukanya Samridhi Scheme</t>
  </si>
  <si>
    <t>Home Loan repayment( Principal)</t>
  </si>
  <si>
    <t xml:space="preserve">Total </t>
  </si>
  <si>
    <t>Eligible amount</t>
  </si>
  <si>
    <t>Self, Spouse and kids</t>
  </si>
  <si>
    <t>Parents below 60 Years</t>
  </si>
  <si>
    <t>Health Policy Premium for</t>
  </si>
  <si>
    <t>Parents  60 years and above</t>
  </si>
  <si>
    <t>Repayment of Housing Loan</t>
  </si>
  <si>
    <t>Repayment of Education Loan</t>
  </si>
  <si>
    <t>National Pension Scheme</t>
  </si>
  <si>
    <t>Your contribution under section 80CCD 1b</t>
  </si>
  <si>
    <t xml:space="preserve">Total exemption and deduction </t>
  </si>
  <si>
    <t>Exemption on House Rent Allowance</t>
  </si>
  <si>
    <t xml:space="preserve">Standard Deduction </t>
  </si>
  <si>
    <t>Exemption and Deduction</t>
  </si>
  <si>
    <t xml:space="preserve">Tax </t>
  </si>
  <si>
    <t>0-250000</t>
  </si>
  <si>
    <t>NIL</t>
  </si>
  <si>
    <t>250001 - 500000</t>
  </si>
  <si>
    <t>500001-1000000</t>
  </si>
  <si>
    <t>Above 1000000</t>
  </si>
  <si>
    <t>Tax Payable</t>
  </si>
  <si>
    <t>Cess</t>
  </si>
  <si>
    <t>Total Tax payable</t>
  </si>
  <si>
    <t>Per month Tax</t>
  </si>
  <si>
    <t>Taxable Income</t>
  </si>
  <si>
    <t>250001-500000</t>
  </si>
  <si>
    <t>500001-750000</t>
  </si>
  <si>
    <t>750001-1000000</t>
  </si>
  <si>
    <t>1000001-1250000</t>
  </si>
  <si>
    <t>1250001-1500000</t>
  </si>
  <si>
    <t>1500001 &amp; above</t>
  </si>
  <si>
    <t>Benefit under 87A</t>
  </si>
  <si>
    <t xml:space="preserve">If you pay rent for your accomodation, provide per month rent </t>
  </si>
  <si>
    <t xml:space="preserve">Annual interest payable  on housing loan </t>
  </si>
  <si>
    <t>Annual interest payable  on Education Loan</t>
  </si>
  <si>
    <t>Public Provident Fund (  Bank/Post office)</t>
  </si>
  <si>
    <t>Gross Taxable Income</t>
  </si>
  <si>
    <t>Taxable Income  under New  Tax System</t>
  </si>
  <si>
    <t>Taxable Income  under existing Tax System</t>
  </si>
  <si>
    <t>Option - 1</t>
  </si>
  <si>
    <t>Option - 2</t>
  </si>
  <si>
    <t>Salary Components</t>
  </si>
  <si>
    <t>Tax slabs in existing  Tax System</t>
  </si>
  <si>
    <t>Tax slabs in New Tax System</t>
  </si>
  <si>
    <t>Investment under section 80C (Annual amount)</t>
  </si>
  <si>
    <r>
      <t xml:space="preserve">House Rent Exemption for </t>
    </r>
    <r>
      <rPr>
        <b/>
        <sz val="11"/>
        <color rgb="FFFF0000"/>
        <rFont val="Calibri"/>
        <family val="2"/>
        <scheme val="minor"/>
      </rPr>
      <t>metro city( Delhi)</t>
    </r>
  </si>
  <si>
    <t>Books and Periodicals Reimbursement</t>
  </si>
  <si>
    <r>
      <t>Employer Share  of Provident Fund,</t>
    </r>
    <r>
      <rPr>
        <b/>
        <sz val="11"/>
        <color rgb="FFFF0000"/>
        <rFont val="Calibri"/>
        <family val="2"/>
        <scheme val="minor"/>
      </rPr>
      <t xml:space="preserve"> ( Make it zero if you are not PF member)</t>
    </r>
    <r>
      <rPr>
        <sz val="11"/>
        <color theme="1"/>
        <rFont val="Calibri"/>
        <family val="2"/>
        <scheme val="minor"/>
      </rPr>
      <t xml:space="preserve"> </t>
    </r>
  </si>
  <si>
    <t>Your Annual investment( Refer to tax computation part in salary slip)</t>
  </si>
  <si>
    <t xml:space="preserve">Surcharge </t>
  </si>
  <si>
    <t>Tax Saver Fixed Deposit /Mutual Fund/ULIP/ELSS</t>
  </si>
  <si>
    <t>Voluntary Provident Fund ( Deduction from Salary)</t>
  </si>
  <si>
    <t>Employee Provident Fund ( Deduction from Salary)</t>
  </si>
  <si>
    <t xml:space="preserve">The Union Budget 2020-2021  has provided all taxpayers the option of choosing between two types of tax computation methods. These have different Income Tax slabs  and Tax rates.Please choose Tax Computation Method for you, accordingly your tax will be computed wef 1st April 2020
</t>
  </si>
  <si>
    <t>Current Tax Computation Method</t>
  </si>
  <si>
    <r>
      <t xml:space="preserve">New Tax Computation Method </t>
    </r>
    <r>
      <rPr>
        <b/>
        <sz val="12"/>
        <color rgb="FFFF0000"/>
        <rFont val="Calibri"/>
        <family val="2"/>
        <scheme val="minor"/>
      </rPr>
      <t>(Optional)</t>
    </r>
  </si>
  <si>
    <t>Other income and perqs 2 ( Annual)</t>
  </si>
  <si>
    <t>Other income and perqs 1 (Annual)</t>
  </si>
  <si>
    <t xml:space="preserve">Mis Regular Component </t>
  </si>
  <si>
    <t>Leave Travel Allowance Reim</t>
  </si>
  <si>
    <t>Your per month salary (Refer your to  CTS sheet)</t>
  </si>
  <si>
    <t>Employer share of provident Fund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</si>
</sst>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0_-;\-* #,##0_-;_-* &quot;-&quot;_-;_-@_-"/>
    <numFmt numFmtId="43" formatCode="_-* #,##0.00_-;\-* #,##0.00_-;_-* &quot;-&quot;??_-;_-@_-"/>
    <numFmt numFmtId="164" formatCode="_-* #,##0_-;\-* #,##0_-;_-* &quot;-&quot;??_-;_-@_-"/>
  </numFmts>
  <fonts count="14" x14ac:knownFonts="1">
    <font>
      <sz val="11"/>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b/>
      <sz val="12"/>
      <color rgb="FFFF0000"/>
      <name val="Calibri"/>
      <family val="2"/>
      <scheme val="minor"/>
    </font>
    <font>
      <sz val="12"/>
      <color rgb="FFFF0000"/>
      <name val="Calibri"/>
      <family val="2"/>
      <scheme val="minor"/>
    </font>
    <font>
      <sz val="12"/>
      <color theme="0" tint="-4.9989318521683403E-2"/>
      <name val="Calibri"/>
      <family val="2"/>
      <scheme val="minor"/>
    </font>
    <font>
      <b/>
      <sz val="16"/>
      <color rgb="FFFF0000"/>
      <name val="Calibri"/>
      <family val="2"/>
      <scheme val="minor"/>
    </font>
    <font>
      <b/>
      <sz val="9"/>
      <color theme="1"/>
      <name val="Calibri"/>
      <family val="2"/>
      <scheme val="minor"/>
    </font>
    <font>
      <sz val="11"/>
      <color theme="0"/>
      <name val="Calibri"/>
      <family val="2"/>
      <scheme val="minor"/>
    </font>
    <font>
      <b/>
      <sz val="11"/>
      <color rgb="FFFF0000"/>
      <name val="Calibri"/>
      <family val="2"/>
      <scheme val="minor"/>
    </font>
    <font>
      <b/>
      <sz val="10"/>
      <name val="Calibri"/>
      <family val="2"/>
      <scheme val="minor"/>
    </font>
    <font>
      <sz val="11"/>
      <name val="Calibri"/>
      <family val="2"/>
      <scheme val="minor"/>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43" fontId="1" fillId="0" borderId="0" applyFont="0" applyFill="0" applyBorder="0" applyAlignment="0" applyProtection="0"/>
  </cellStyleXfs>
  <cellXfs count="95">
    <xf numFmtId="0" fontId="0" fillId="0" borderId="0" xfId="0"/>
    <xf numFmtId="164" fontId="0" fillId="0" borderId="0" xfId="0" applyNumberFormat="1"/>
    <xf numFmtId="0" fontId="4" fillId="0" borderId="1" xfId="0" applyFont="1" applyBorder="1"/>
    <xf numFmtId="164" fontId="4" fillId="0" borderId="1" xfId="1" applyNumberFormat="1" applyFont="1" applyBorder="1"/>
    <xf numFmtId="0" fontId="4" fillId="0" borderId="1" xfId="0" applyFont="1" applyBorder="1" applyAlignment="1">
      <alignment horizontal="center"/>
    </xf>
    <xf numFmtId="9" fontId="4" fillId="0" borderId="1" xfId="0" applyNumberFormat="1" applyFont="1" applyBorder="1" applyAlignment="1">
      <alignment horizontal="center"/>
    </xf>
    <xf numFmtId="164" fontId="4" fillId="0" borderId="1" xfId="0" applyNumberFormat="1" applyFont="1" applyBorder="1"/>
    <xf numFmtId="0" fontId="4" fillId="0" borderId="1" xfId="0" applyFont="1" applyBorder="1" applyAlignment="1">
      <alignment vertical="center"/>
    </xf>
    <xf numFmtId="0" fontId="4" fillId="0" borderId="1" xfId="0" applyFont="1" applyBorder="1" applyAlignment="1">
      <alignment horizontal="center" vertical="center"/>
    </xf>
    <xf numFmtId="164" fontId="4" fillId="0" borderId="1" xfId="1" applyNumberFormat="1" applyFont="1" applyBorder="1" applyAlignment="1">
      <alignment vertical="center"/>
    </xf>
    <xf numFmtId="0" fontId="4" fillId="0" borderId="1" xfId="0" applyFont="1" applyBorder="1" applyAlignment="1">
      <alignment horizontal="right" vertical="center"/>
    </xf>
    <xf numFmtId="164" fontId="4" fillId="0" borderId="1" xfId="1" applyNumberFormat="1" applyFont="1" applyBorder="1" applyAlignment="1">
      <alignment horizontal="right" vertical="center"/>
    </xf>
    <xf numFmtId="0" fontId="4" fillId="0" borderId="1" xfId="0" applyFont="1" applyFill="1" applyBorder="1" applyAlignment="1">
      <alignment vertical="center"/>
    </xf>
    <xf numFmtId="0" fontId="6" fillId="0" borderId="1" xfId="0" applyFont="1" applyFill="1" applyBorder="1" applyAlignment="1">
      <alignment vertical="center"/>
    </xf>
    <xf numFmtId="164" fontId="0" fillId="0" borderId="1" xfId="1" applyNumberFormat="1" applyFont="1" applyBorder="1" applyProtection="1"/>
    <xf numFmtId="0" fontId="3" fillId="2" borderId="1" xfId="0" applyFont="1" applyFill="1" applyBorder="1"/>
    <xf numFmtId="164" fontId="3" fillId="2" borderId="1" xfId="1" applyNumberFormat="1" applyFont="1" applyFill="1" applyBorder="1"/>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1" xfId="0" applyFont="1" applyBorder="1" applyAlignment="1">
      <alignment horizontal="center" vertical="center" wrapText="1"/>
    </xf>
    <xf numFmtId="9" fontId="4" fillId="0" borderId="1" xfId="0" applyNumberFormat="1" applyFont="1" applyBorder="1" applyAlignment="1">
      <alignment horizontal="center" vertical="center"/>
    </xf>
    <xf numFmtId="0" fontId="4" fillId="0" borderId="2" xfId="0" applyFont="1" applyBorder="1"/>
    <xf numFmtId="0" fontId="4" fillId="0" borderId="1" xfId="0" applyFont="1" applyFill="1" applyBorder="1"/>
    <xf numFmtId="0" fontId="3" fillId="0" borderId="1" xfId="0" applyFont="1" applyFill="1" applyBorder="1"/>
    <xf numFmtId="164" fontId="7" fillId="0" borderId="1" xfId="0" applyNumberFormat="1" applyFont="1" applyBorder="1"/>
    <xf numFmtId="164" fontId="4" fillId="0" borderId="1" xfId="1" applyNumberFormat="1" applyFont="1" applyFill="1" applyBorder="1"/>
    <xf numFmtId="164" fontId="0" fillId="0" borderId="1" xfId="1" applyNumberFormat="1" applyFont="1" applyBorder="1" applyAlignment="1" applyProtection="1">
      <alignment vertical="center"/>
    </xf>
    <xf numFmtId="41" fontId="2" fillId="2" borderId="0" xfId="0" applyNumberFormat="1" applyFont="1" applyFill="1" applyProtection="1">
      <protection locked="0"/>
    </xf>
    <xf numFmtId="41" fontId="2" fillId="2" borderId="0" xfId="0" applyNumberFormat="1" applyFont="1" applyFill="1" applyAlignment="1" applyProtection="1">
      <alignment vertical="center"/>
    </xf>
    <xf numFmtId="164" fontId="0" fillId="2" borderId="1" xfId="1" applyNumberFormat="1" applyFont="1" applyFill="1" applyBorder="1" applyProtection="1">
      <protection locked="0"/>
    </xf>
    <xf numFmtId="164" fontId="0" fillId="2" borderId="1" xfId="1" applyNumberFormat="1" applyFont="1" applyFill="1" applyBorder="1" applyAlignment="1" applyProtection="1">
      <alignment vertical="center"/>
      <protection locked="0"/>
    </xf>
    <xf numFmtId="0" fontId="2" fillId="0" borderId="1" xfId="0" applyFont="1" applyBorder="1" applyAlignment="1" applyProtection="1">
      <alignment vertical="center"/>
    </xf>
    <xf numFmtId="0" fontId="0" fillId="0" borderId="1" xfId="0" applyBorder="1" applyProtection="1"/>
    <xf numFmtId="0" fontId="0" fillId="0" borderId="1" xfId="0" applyBorder="1" applyAlignment="1" applyProtection="1">
      <alignment vertical="center" wrapText="1"/>
    </xf>
    <xf numFmtId="0" fontId="2" fillId="0" borderId="1" xfId="0" applyFont="1" applyBorder="1" applyProtection="1"/>
    <xf numFmtId="164" fontId="2" fillId="0" borderId="1" xfId="1" applyNumberFormat="1" applyFont="1" applyBorder="1" applyProtection="1"/>
    <xf numFmtId="0" fontId="0" fillId="0" borderId="0" xfId="0" applyProtection="1"/>
    <xf numFmtId="0" fontId="0" fillId="0" borderId="0" xfId="0" applyAlignment="1" applyProtection="1">
      <alignment horizontal="center"/>
    </xf>
    <xf numFmtId="0" fontId="0" fillId="0" borderId="0" xfId="0" applyAlignment="1" applyProtection="1">
      <alignment vertical="center"/>
    </xf>
    <xf numFmtId="0" fontId="2" fillId="0" borderId="0" xfId="0" applyFont="1" applyFill="1" applyBorder="1" applyAlignment="1" applyProtection="1">
      <alignment horizontal="center" vertical="center"/>
    </xf>
    <xf numFmtId="164" fontId="2" fillId="0" borderId="0" xfId="1" applyNumberFormat="1" applyFont="1" applyFill="1" applyBorder="1" applyAlignment="1" applyProtection="1">
      <alignment horizontal="center" vertical="center"/>
    </xf>
    <xf numFmtId="164" fontId="0" fillId="0" borderId="0" xfId="1" applyNumberFormat="1" applyFont="1" applyAlignment="1" applyProtection="1">
      <alignment horizontal="center" vertical="center"/>
    </xf>
    <xf numFmtId="164" fontId="2" fillId="0" borderId="0" xfId="1" applyNumberFormat="1" applyFont="1" applyProtection="1"/>
    <xf numFmtId="17" fontId="0" fillId="0" borderId="0" xfId="0" applyNumberFormat="1" applyAlignment="1" applyProtection="1">
      <alignment horizontal="center"/>
    </xf>
    <xf numFmtId="17" fontId="0" fillId="0" borderId="0" xfId="0" applyNumberFormat="1" applyAlignment="1" applyProtection="1">
      <alignment horizontal="center" vertical="center"/>
    </xf>
    <xf numFmtId="164" fontId="0" fillId="0" borderId="0" xfId="1" applyNumberFormat="1" applyFont="1" applyAlignment="1" applyProtection="1">
      <alignment horizontal="right"/>
    </xf>
    <xf numFmtId="41" fontId="2" fillId="0" borderId="0" xfId="0" applyNumberFormat="1" applyFont="1" applyProtection="1"/>
    <xf numFmtId="0" fontId="2" fillId="0" borderId="0" xfId="0" applyFont="1" applyProtection="1"/>
    <xf numFmtId="0" fontId="0" fillId="0" borderId="0" xfId="0" applyFill="1" applyProtection="1"/>
    <xf numFmtId="164" fontId="2" fillId="0" borderId="0" xfId="0" applyNumberFormat="1" applyFont="1" applyProtection="1"/>
    <xf numFmtId="0" fontId="2" fillId="0" borderId="0" xfId="0" applyFont="1" applyFill="1" applyProtection="1"/>
    <xf numFmtId="164" fontId="0" fillId="0" borderId="0" xfId="1" applyNumberFormat="1" applyFont="1" applyFill="1" applyProtection="1"/>
    <xf numFmtId="164" fontId="0" fillId="0" borderId="0" xfId="1" applyNumberFormat="1" applyFont="1" applyProtection="1"/>
    <xf numFmtId="164" fontId="2" fillId="0" borderId="0" xfId="1" applyNumberFormat="1" applyFont="1" applyFill="1" applyProtection="1"/>
    <xf numFmtId="164" fontId="0" fillId="0" borderId="0" xfId="0" applyNumberFormat="1" applyProtection="1"/>
    <xf numFmtId="41" fontId="0" fillId="0" borderId="0" xfId="0" applyNumberFormat="1" applyProtection="1"/>
    <xf numFmtId="0" fontId="0" fillId="0" borderId="0" xfId="0" applyAlignment="1" applyProtection="1">
      <alignment vertical="center" wrapText="1"/>
    </xf>
    <xf numFmtId="164" fontId="0" fillId="0" borderId="0" xfId="1" applyNumberFormat="1" applyFont="1" applyAlignment="1" applyProtection="1">
      <alignment horizontal="right" vertical="center"/>
    </xf>
    <xf numFmtId="41" fontId="2" fillId="0" borderId="0" xfId="1" applyNumberFormat="1" applyFont="1" applyFill="1" applyProtection="1"/>
    <xf numFmtId="0" fontId="2" fillId="0" borderId="0" xfId="0" applyFont="1" applyFill="1" applyBorder="1" applyAlignment="1" applyProtection="1">
      <alignment vertical="center" wrapText="1"/>
    </xf>
    <xf numFmtId="164" fontId="0" fillId="0" borderId="0" xfId="1" applyNumberFormat="1" applyFont="1" applyAlignment="1" applyProtection="1">
      <alignment vertical="center"/>
    </xf>
    <xf numFmtId="0" fontId="2" fillId="0" borderId="0" xfId="0" applyFont="1" applyFill="1" applyAlignment="1" applyProtection="1">
      <alignment horizontal="center"/>
    </xf>
    <xf numFmtId="0" fontId="0" fillId="0" borderId="0" xfId="0" quotePrefix="1" applyAlignment="1" applyProtection="1">
      <alignment horizontal="center"/>
    </xf>
    <xf numFmtId="164" fontId="0" fillId="0" borderId="0" xfId="0" applyNumberFormat="1" applyAlignment="1" applyProtection="1">
      <alignment vertical="center"/>
    </xf>
    <xf numFmtId="164" fontId="2" fillId="2" borderId="1" xfId="1" applyNumberFormat="1" applyFont="1" applyFill="1" applyBorder="1" applyProtection="1"/>
    <xf numFmtId="17" fontId="0" fillId="0" borderId="0" xfId="0" applyNumberFormat="1" applyProtection="1"/>
    <xf numFmtId="164" fontId="2" fillId="0" borderId="0" xfId="1" applyNumberFormat="1" applyFont="1" applyFill="1" applyAlignment="1" applyProtection="1">
      <alignment horizontal="right"/>
    </xf>
    <xf numFmtId="41" fontId="2" fillId="2" borderId="0" xfId="0" applyNumberFormat="1" applyFont="1" applyFill="1" applyAlignment="1" applyProtection="1">
      <alignment vertical="center"/>
      <protection locked="0"/>
    </xf>
    <xf numFmtId="41" fontId="0" fillId="2" borderId="0" xfId="1" applyNumberFormat="1" applyFont="1" applyFill="1" applyAlignment="1" applyProtection="1">
      <alignment vertical="center"/>
      <protection locked="0"/>
    </xf>
    <xf numFmtId="41" fontId="0" fillId="2" borderId="0" xfId="0" applyNumberFormat="1" applyFill="1" applyProtection="1">
      <protection locked="0"/>
    </xf>
    <xf numFmtId="0" fontId="0" fillId="2" borderId="0" xfId="0" applyFill="1" applyProtection="1">
      <protection locked="0"/>
    </xf>
    <xf numFmtId="41" fontId="0" fillId="2" borderId="0" xfId="0" applyNumberFormat="1" applyFill="1" applyAlignment="1" applyProtection="1">
      <alignment vertical="center"/>
      <protection locked="0"/>
    </xf>
    <xf numFmtId="0" fontId="10" fillId="0" borderId="0" xfId="0" applyFont="1" applyProtection="1"/>
    <xf numFmtId="0" fontId="10" fillId="0" borderId="0" xfId="0" applyFont="1" applyAlignment="1" applyProtection="1">
      <alignment vertical="center"/>
    </xf>
    <xf numFmtId="0" fontId="0" fillId="0" borderId="1" xfId="0" applyBorder="1" applyAlignment="1" applyProtection="1">
      <alignment vertical="center"/>
    </xf>
    <xf numFmtId="0" fontId="0" fillId="0" borderId="0" xfId="0" applyAlignment="1" applyProtection="1">
      <alignment horizontal="left"/>
    </xf>
    <xf numFmtId="0" fontId="9" fillId="0" borderId="1" xfId="0" applyFont="1" applyFill="1" applyBorder="1" applyAlignment="1" applyProtection="1">
      <alignment vertical="center" wrapText="1"/>
    </xf>
    <xf numFmtId="0" fontId="9" fillId="0" borderId="0" xfId="0" applyFont="1" applyFill="1" applyAlignment="1" applyProtection="1">
      <alignment vertical="top" wrapText="1"/>
    </xf>
    <xf numFmtId="0" fontId="11" fillId="0" borderId="0" xfId="0" applyFont="1" applyFill="1" applyAlignment="1" applyProtection="1">
      <alignment vertical="center" wrapText="1"/>
    </xf>
    <xf numFmtId="0" fontId="12" fillId="0" borderId="0" xfId="0" applyFont="1" applyFill="1" applyBorder="1" applyAlignment="1" applyProtection="1">
      <alignment vertical="center" wrapText="1"/>
    </xf>
    <xf numFmtId="0" fontId="11" fillId="0" borderId="0" xfId="0" applyFont="1" applyFill="1" applyProtection="1"/>
    <xf numFmtId="41" fontId="2" fillId="0" borderId="0" xfId="0" applyNumberFormat="1" applyFont="1" applyFill="1" applyProtection="1"/>
    <xf numFmtId="9" fontId="0" fillId="0" borderId="0" xfId="0" applyNumberFormat="1"/>
    <xf numFmtId="0" fontId="13" fillId="0" borderId="0" xfId="0" applyFont="1" applyAlignment="1" applyProtection="1">
      <alignment vertical="center" wrapText="1"/>
    </xf>
    <xf numFmtId="0" fontId="13" fillId="0" borderId="0" xfId="0" applyFont="1" applyAlignment="1" applyProtection="1">
      <alignment horizontal="left"/>
    </xf>
    <xf numFmtId="0" fontId="8" fillId="0" borderId="5" xfId="0" applyFont="1" applyBorder="1" applyAlignment="1">
      <alignment horizontal="center" vertical="center" wrapText="1"/>
    </xf>
    <xf numFmtId="0" fontId="8" fillId="0" borderId="5" xfId="0" applyFont="1" applyBorder="1" applyAlignment="1">
      <alignment horizontal="center" wrapText="1"/>
    </xf>
    <xf numFmtId="0" fontId="2" fillId="0" borderId="0" xfId="0" applyFont="1" applyFill="1" applyAlignment="1" applyProtection="1">
      <alignment horizontal="center" vertical="top" wrapText="1"/>
    </xf>
    <xf numFmtId="0" fontId="11" fillId="2" borderId="0" xfId="0" applyFont="1" applyFill="1" applyAlignment="1">
      <alignment horizontal="center" vertical="center" wrapText="1"/>
    </xf>
    <xf numFmtId="0" fontId="3" fillId="2" borderId="2" xfId="0" applyFont="1" applyFill="1" applyBorder="1" applyAlignment="1">
      <alignment horizontal="center" wrapText="1"/>
    </xf>
    <xf numFmtId="0" fontId="3" fillId="2" borderId="4" xfId="0" applyFont="1" applyFill="1" applyBorder="1" applyAlignment="1">
      <alignment horizontal="center" wrapText="1"/>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8"/>
  <sheetViews>
    <sheetView zoomScale="80" zoomScaleNormal="80" workbookViewId="0">
      <pane xSplit="3" ySplit="3" topLeftCell="D4" activePane="bottomRight" state="frozen"/>
      <selection pane="topRight" activeCell="D1" sqref="D1"/>
      <selection pane="bottomLeft" activeCell="A4" sqref="A4"/>
      <selection pane="bottomRight" activeCell="B6" sqref="B6"/>
    </sheetView>
  </sheetViews>
  <sheetFormatPr defaultRowHeight="15" x14ac:dyDescent="0.25"/>
  <cols>
    <col min="1" max="1" width="40" style="37" customWidth="1"/>
    <col min="2" max="2" width="18.42578125" style="37" customWidth="1"/>
    <col min="3" max="3" width="13.28515625" style="37" bestFit="1" customWidth="1"/>
    <col min="4" max="4" width="4" style="73" customWidth="1"/>
    <col min="5" max="5" width="51" style="37" customWidth="1"/>
    <col min="6" max="6" width="13.85546875" style="37" bestFit="1" customWidth="1"/>
    <col min="7" max="7" width="11.5703125" style="37" bestFit="1" customWidth="1"/>
    <col min="8" max="8" width="4.7109375" style="37" customWidth="1"/>
    <col min="9" max="9" width="9.85546875" style="37" customWidth="1"/>
    <col min="10" max="10" width="11.5703125" style="37" bestFit="1" customWidth="1"/>
    <col min="11" max="11" width="9.5703125" style="37" customWidth="1"/>
    <col min="12" max="12" width="10.85546875" style="37" customWidth="1"/>
    <col min="13" max="13" width="12.5703125" style="37" customWidth="1"/>
    <col min="14" max="14" width="12" style="37" customWidth="1"/>
    <col min="15" max="16384" width="9.140625" style="37"/>
  </cols>
  <sheetData>
    <row r="1" spans="1:14" ht="21" customHeight="1" x14ac:dyDescent="0.25">
      <c r="I1" s="88" t="s">
        <v>67</v>
      </c>
      <c r="J1" s="88"/>
      <c r="K1" s="88"/>
      <c r="L1" s="88"/>
      <c r="M1" s="88"/>
    </row>
    <row r="2" spans="1:14" hidden="1" x14ac:dyDescent="0.25">
      <c r="B2" s="62"/>
      <c r="K2" s="38" t="s">
        <v>13</v>
      </c>
      <c r="L2" s="38" t="s">
        <v>14</v>
      </c>
      <c r="M2" s="38" t="s">
        <v>15</v>
      </c>
      <c r="N2" s="63" t="s">
        <v>16</v>
      </c>
    </row>
    <row r="3" spans="1:14" s="39" customFormat="1" ht="76.5" x14ac:dyDescent="0.25">
      <c r="A3" s="32" t="s">
        <v>63</v>
      </c>
      <c r="B3" s="77" t="s">
        <v>82</v>
      </c>
      <c r="C3" s="32" t="s">
        <v>6</v>
      </c>
      <c r="D3" s="74"/>
      <c r="E3" s="79" t="s">
        <v>66</v>
      </c>
      <c r="F3" s="78" t="s">
        <v>70</v>
      </c>
      <c r="I3" s="40" t="s">
        <v>8</v>
      </c>
      <c r="J3" s="80" t="s">
        <v>54</v>
      </c>
      <c r="K3" s="60" t="s">
        <v>12</v>
      </c>
      <c r="L3" s="60" t="s">
        <v>9</v>
      </c>
      <c r="M3" s="60" t="s">
        <v>10</v>
      </c>
      <c r="N3" s="41" t="s">
        <v>11</v>
      </c>
    </row>
    <row r="4" spans="1:14" s="39" customFormat="1" x14ac:dyDescent="0.25">
      <c r="A4" s="75" t="s">
        <v>0</v>
      </c>
      <c r="B4" s="31">
        <v>25000</v>
      </c>
      <c r="C4" s="27">
        <f>ROUND(B4*12,0)</f>
        <v>300000</v>
      </c>
      <c r="D4" s="74">
        <v>1</v>
      </c>
      <c r="E4" s="84" t="s">
        <v>74</v>
      </c>
      <c r="F4" s="29">
        <f>IF(B7&gt;0,ROUND(C4*12%,0),0)</f>
        <v>36000</v>
      </c>
      <c r="G4" s="64"/>
      <c r="I4" s="45">
        <v>43922</v>
      </c>
      <c r="J4" s="69">
        <v>0</v>
      </c>
      <c r="K4" s="61">
        <f>IF(J4&lt;=0,0,+J4-10%*$B$4)</f>
        <v>0</v>
      </c>
      <c r="L4" s="61">
        <f>ROUND($B$4*50%,0)</f>
        <v>12500</v>
      </c>
      <c r="M4" s="61">
        <f>+B5</f>
        <v>12500</v>
      </c>
      <c r="N4" s="42">
        <f>IF(MIN(K4,L4,M4)&lt;=0,0,MIN(K4,L4,M4))</f>
        <v>0</v>
      </c>
    </row>
    <row r="5" spans="1:14" x14ac:dyDescent="0.25">
      <c r="A5" s="33" t="s">
        <v>1</v>
      </c>
      <c r="B5" s="30">
        <v>12500</v>
      </c>
      <c r="C5" s="14">
        <f t="shared" ref="C5:C11" si="0">ROUND(B5*12,0)</f>
        <v>150000</v>
      </c>
      <c r="D5" s="73">
        <f>+D4+1</f>
        <v>2</v>
      </c>
      <c r="E5" s="85" t="s">
        <v>73</v>
      </c>
      <c r="F5" s="28">
        <v>0</v>
      </c>
      <c r="G5" s="55"/>
      <c r="I5" s="44">
        <f>+I4+31</f>
        <v>43953</v>
      </c>
      <c r="J5" s="69">
        <v>0</v>
      </c>
      <c r="K5" s="61">
        <f t="shared" ref="K5:K15" si="1">IF(J5&lt;=0,0,+J5-10%*$B$4)</f>
        <v>0</v>
      </c>
      <c r="L5" s="53">
        <f t="shared" ref="L5:L15" si="2">ROUND($B$4*50%,0)</f>
        <v>12500</v>
      </c>
      <c r="M5" s="53">
        <f>+M4</f>
        <v>12500</v>
      </c>
      <c r="N5" s="42">
        <f t="shared" ref="N5:N15" si="3">IF(MIN(K5,L5,M5)&lt;=0,0,MIN(K5,L5,M5))</f>
        <v>0</v>
      </c>
    </row>
    <row r="6" spans="1:14" x14ac:dyDescent="0.25">
      <c r="A6" s="33" t="s">
        <v>2</v>
      </c>
      <c r="B6" s="30">
        <v>9500</v>
      </c>
      <c r="C6" s="14">
        <f t="shared" si="0"/>
        <v>114000</v>
      </c>
      <c r="D6" s="73">
        <f t="shared" ref="D6:D13" si="4">+D5+1</f>
        <v>3</v>
      </c>
      <c r="E6" s="76" t="s">
        <v>57</v>
      </c>
      <c r="F6" s="28"/>
      <c r="G6" s="55"/>
      <c r="I6" s="44">
        <f t="shared" ref="I6:I15" si="5">+I5+31</f>
        <v>43984</v>
      </c>
      <c r="J6" s="69">
        <v>0</v>
      </c>
      <c r="K6" s="61">
        <f t="shared" si="1"/>
        <v>0</v>
      </c>
      <c r="L6" s="53">
        <f t="shared" si="2"/>
        <v>12500</v>
      </c>
      <c r="M6" s="53">
        <f t="shared" ref="M6:M15" si="6">+M5</f>
        <v>12500</v>
      </c>
      <c r="N6" s="42">
        <f t="shared" si="3"/>
        <v>0</v>
      </c>
    </row>
    <row r="7" spans="1:14" s="39" customFormat="1" ht="30" x14ac:dyDescent="0.25">
      <c r="A7" s="34" t="s">
        <v>69</v>
      </c>
      <c r="B7" s="31">
        <f>+B4*0.12</f>
        <v>3000</v>
      </c>
      <c r="C7" s="27">
        <f t="shared" si="0"/>
        <v>36000</v>
      </c>
      <c r="D7" s="74">
        <f t="shared" si="4"/>
        <v>4</v>
      </c>
      <c r="E7" s="39" t="s">
        <v>18</v>
      </c>
      <c r="F7" s="68"/>
      <c r="G7" s="64"/>
      <c r="I7" s="45">
        <f t="shared" si="5"/>
        <v>44015</v>
      </c>
      <c r="J7" s="69">
        <v>0</v>
      </c>
      <c r="K7" s="61">
        <f t="shared" si="1"/>
        <v>0</v>
      </c>
      <c r="L7" s="61">
        <f t="shared" si="2"/>
        <v>12500</v>
      </c>
      <c r="M7" s="61">
        <f t="shared" si="6"/>
        <v>12500</v>
      </c>
      <c r="N7" s="42">
        <f t="shared" si="3"/>
        <v>0</v>
      </c>
    </row>
    <row r="8" spans="1:14" x14ac:dyDescent="0.25">
      <c r="A8" s="33" t="s">
        <v>68</v>
      </c>
      <c r="B8" s="30">
        <v>0</v>
      </c>
      <c r="C8" s="14">
        <f t="shared" si="0"/>
        <v>0</v>
      </c>
      <c r="D8" s="73">
        <f t="shared" si="4"/>
        <v>5</v>
      </c>
      <c r="E8" s="37" t="s">
        <v>72</v>
      </c>
      <c r="F8" s="28"/>
      <c r="G8" s="55"/>
      <c r="I8" s="44">
        <f t="shared" si="5"/>
        <v>44046</v>
      </c>
      <c r="J8" s="69">
        <v>0</v>
      </c>
      <c r="K8" s="61">
        <f t="shared" si="1"/>
        <v>0</v>
      </c>
      <c r="L8" s="53">
        <f t="shared" si="2"/>
        <v>12500</v>
      </c>
      <c r="M8" s="53">
        <f t="shared" si="6"/>
        <v>12500</v>
      </c>
      <c r="N8" s="42">
        <f t="shared" si="3"/>
        <v>0</v>
      </c>
    </row>
    <row r="9" spans="1:14" x14ac:dyDescent="0.25">
      <c r="A9" s="33" t="s">
        <v>4</v>
      </c>
      <c r="B9" s="30">
        <v>0</v>
      </c>
      <c r="C9" s="14">
        <f t="shared" si="0"/>
        <v>0</v>
      </c>
      <c r="D9" s="73">
        <f t="shared" si="4"/>
        <v>6</v>
      </c>
      <c r="E9" s="37" t="s">
        <v>20</v>
      </c>
      <c r="F9" s="28"/>
      <c r="G9" s="55"/>
      <c r="I9" s="44">
        <f t="shared" si="5"/>
        <v>44077</v>
      </c>
      <c r="J9" s="69">
        <v>0</v>
      </c>
      <c r="K9" s="61">
        <f t="shared" si="1"/>
        <v>0</v>
      </c>
      <c r="L9" s="53">
        <f t="shared" si="2"/>
        <v>12500</v>
      </c>
      <c r="M9" s="53">
        <f t="shared" si="6"/>
        <v>12500</v>
      </c>
      <c r="N9" s="42">
        <f t="shared" si="3"/>
        <v>0</v>
      </c>
    </row>
    <row r="10" spans="1:14" x14ac:dyDescent="0.25">
      <c r="A10" s="33" t="s">
        <v>81</v>
      </c>
      <c r="B10" s="30">
        <v>0</v>
      </c>
      <c r="C10" s="14">
        <f t="shared" si="0"/>
        <v>0</v>
      </c>
      <c r="D10" s="73">
        <f t="shared" si="4"/>
        <v>7</v>
      </c>
      <c r="E10" s="37" t="s">
        <v>17</v>
      </c>
      <c r="F10" s="28"/>
      <c r="G10" s="55"/>
      <c r="I10" s="44">
        <f t="shared" si="5"/>
        <v>44108</v>
      </c>
      <c r="J10" s="69">
        <v>0</v>
      </c>
      <c r="K10" s="61">
        <f t="shared" si="1"/>
        <v>0</v>
      </c>
      <c r="L10" s="53">
        <f t="shared" si="2"/>
        <v>12500</v>
      </c>
      <c r="M10" s="53">
        <f t="shared" si="6"/>
        <v>12500</v>
      </c>
      <c r="N10" s="42">
        <f t="shared" si="3"/>
        <v>0</v>
      </c>
    </row>
    <row r="11" spans="1:14" x14ac:dyDescent="0.25">
      <c r="A11" s="33" t="s">
        <v>80</v>
      </c>
      <c r="B11" s="30">
        <v>0</v>
      </c>
      <c r="C11" s="14">
        <f t="shared" si="0"/>
        <v>0</v>
      </c>
      <c r="D11" s="73">
        <f t="shared" si="4"/>
        <v>8</v>
      </c>
      <c r="E11" s="37" t="s">
        <v>20</v>
      </c>
      <c r="F11" s="28"/>
      <c r="G11" s="55"/>
      <c r="I11" s="44">
        <f t="shared" si="5"/>
        <v>44139</v>
      </c>
      <c r="J11" s="69">
        <v>0</v>
      </c>
      <c r="K11" s="61">
        <f t="shared" si="1"/>
        <v>0</v>
      </c>
      <c r="L11" s="53">
        <f t="shared" si="2"/>
        <v>12500</v>
      </c>
      <c r="M11" s="53">
        <f t="shared" si="6"/>
        <v>12500</v>
      </c>
      <c r="N11" s="42">
        <f t="shared" si="3"/>
        <v>0</v>
      </c>
    </row>
    <row r="12" spans="1:14" x14ac:dyDescent="0.25">
      <c r="A12" s="35" t="s">
        <v>7</v>
      </c>
      <c r="B12" s="65">
        <f>SUM(B4:B11)</f>
        <v>50000</v>
      </c>
      <c r="C12" s="36">
        <f>SUM(C4:C11)</f>
        <v>600000</v>
      </c>
      <c r="D12" s="73">
        <f t="shared" si="4"/>
        <v>9</v>
      </c>
      <c r="E12" s="37" t="s">
        <v>19</v>
      </c>
      <c r="F12" s="28">
        <v>0</v>
      </c>
      <c r="G12" s="55"/>
      <c r="I12" s="44">
        <f t="shared" si="5"/>
        <v>44170</v>
      </c>
      <c r="J12" s="69">
        <v>0</v>
      </c>
      <c r="K12" s="61">
        <f t="shared" si="1"/>
        <v>0</v>
      </c>
      <c r="L12" s="53">
        <f t="shared" si="2"/>
        <v>12500</v>
      </c>
      <c r="M12" s="53">
        <f t="shared" si="6"/>
        <v>12500</v>
      </c>
      <c r="N12" s="42">
        <f t="shared" si="3"/>
        <v>0</v>
      </c>
    </row>
    <row r="13" spans="1:14" x14ac:dyDescent="0.25">
      <c r="D13" s="73">
        <f t="shared" si="4"/>
        <v>10</v>
      </c>
      <c r="E13" s="37" t="s">
        <v>21</v>
      </c>
      <c r="F13" s="28">
        <v>0</v>
      </c>
      <c r="G13" s="55"/>
      <c r="I13" s="44">
        <f t="shared" si="5"/>
        <v>44201</v>
      </c>
      <c r="J13" s="69">
        <v>0</v>
      </c>
      <c r="K13" s="61">
        <f t="shared" si="1"/>
        <v>0</v>
      </c>
      <c r="L13" s="53">
        <f t="shared" si="2"/>
        <v>12500</v>
      </c>
      <c r="M13" s="53">
        <f t="shared" si="6"/>
        <v>12500</v>
      </c>
      <c r="N13" s="42">
        <f t="shared" si="3"/>
        <v>0</v>
      </c>
    </row>
    <row r="14" spans="1:14" x14ac:dyDescent="0.25">
      <c r="A14" s="37" t="s">
        <v>79</v>
      </c>
      <c r="B14" s="49"/>
      <c r="C14" s="71">
        <v>0</v>
      </c>
      <c r="E14" s="48" t="s">
        <v>22</v>
      </c>
      <c r="F14" s="47">
        <f>SUM(F4:F13)</f>
        <v>36000</v>
      </c>
      <c r="G14" s="50"/>
      <c r="H14" s="48"/>
      <c r="I14" s="44">
        <f t="shared" si="5"/>
        <v>44232</v>
      </c>
      <c r="J14" s="69">
        <v>0</v>
      </c>
      <c r="K14" s="61">
        <f t="shared" si="1"/>
        <v>0</v>
      </c>
      <c r="L14" s="53">
        <f t="shared" si="2"/>
        <v>12500</v>
      </c>
      <c r="M14" s="53">
        <f t="shared" si="6"/>
        <v>12500</v>
      </c>
      <c r="N14" s="42">
        <f t="shared" si="3"/>
        <v>0</v>
      </c>
    </row>
    <row r="15" spans="1:14" x14ac:dyDescent="0.25">
      <c r="A15" s="37" t="s">
        <v>78</v>
      </c>
      <c r="C15" s="71">
        <v>0</v>
      </c>
      <c r="E15" s="37" t="s">
        <v>23</v>
      </c>
      <c r="F15" s="56"/>
      <c r="G15" s="46">
        <f>MIN(F14,150000)</f>
        <v>36000</v>
      </c>
      <c r="H15" s="46"/>
      <c r="I15" s="44">
        <f t="shared" si="5"/>
        <v>44263</v>
      </c>
      <c r="J15" s="69">
        <v>0</v>
      </c>
      <c r="K15" s="61">
        <f t="shared" si="1"/>
        <v>0</v>
      </c>
      <c r="L15" s="53">
        <f t="shared" si="2"/>
        <v>12500</v>
      </c>
      <c r="M15" s="53">
        <f t="shared" si="6"/>
        <v>12500</v>
      </c>
      <c r="N15" s="42">
        <f t="shared" si="3"/>
        <v>0</v>
      </c>
    </row>
    <row r="16" spans="1:14" x14ac:dyDescent="0.25">
      <c r="A16" s="48" t="s">
        <v>58</v>
      </c>
      <c r="B16" s="48"/>
      <c r="C16" s="50">
        <f>+C14+C12+C15</f>
        <v>600000</v>
      </c>
      <c r="F16" s="56"/>
      <c r="G16" s="46"/>
      <c r="H16" s="46"/>
      <c r="I16" s="66"/>
      <c r="J16" s="59">
        <f>SUM(J4:J15)</f>
        <v>0</v>
      </c>
      <c r="K16" s="43">
        <f t="shared" ref="K16:N16" si="7">SUM(K4:K15)</f>
        <v>0</v>
      </c>
      <c r="L16" s="43">
        <f t="shared" si="7"/>
        <v>150000</v>
      </c>
      <c r="M16" s="43">
        <f t="shared" si="7"/>
        <v>150000</v>
      </c>
      <c r="N16" s="43">
        <f t="shared" si="7"/>
        <v>0</v>
      </c>
    </row>
    <row r="17" spans="1:9" x14ac:dyDescent="0.25">
      <c r="E17" s="81" t="s">
        <v>26</v>
      </c>
      <c r="F17" s="56"/>
      <c r="G17" s="46"/>
      <c r="H17" s="46"/>
      <c r="I17" s="66"/>
    </row>
    <row r="18" spans="1:9" x14ac:dyDescent="0.25">
      <c r="A18" s="37" t="s">
        <v>35</v>
      </c>
      <c r="C18" s="55">
        <f>+G38</f>
        <v>122000</v>
      </c>
      <c r="D18" s="73">
        <v>1</v>
      </c>
      <c r="E18" s="37" t="s">
        <v>24</v>
      </c>
      <c r="F18" s="70">
        <v>0</v>
      </c>
      <c r="G18" s="46">
        <f>MIN(25000,F18)</f>
        <v>0</v>
      </c>
      <c r="H18" s="46"/>
    </row>
    <row r="19" spans="1:9" x14ac:dyDescent="0.25">
      <c r="D19" s="73">
        <f>+D18+1</f>
        <v>2</v>
      </c>
      <c r="E19" s="37" t="s">
        <v>25</v>
      </c>
      <c r="F19" s="70">
        <v>0</v>
      </c>
      <c r="G19" s="46">
        <f>MIN(25000,F19)</f>
        <v>0</v>
      </c>
      <c r="H19" s="46"/>
    </row>
    <row r="20" spans="1:9" x14ac:dyDescent="0.25">
      <c r="A20" s="51" t="s">
        <v>60</v>
      </c>
      <c r="B20" s="51"/>
      <c r="C20" s="54">
        <f>+C16-C18</f>
        <v>478000</v>
      </c>
      <c r="D20" s="73">
        <v>3</v>
      </c>
      <c r="E20" s="37" t="s">
        <v>27</v>
      </c>
      <c r="F20" s="70">
        <v>0</v>
      </c>
      <c r="G20" s="46">
        <f>MIN(50000,F20)</f>
        <v>0</v>
      </c>
      <c r="H20" s="46"/>
    </row>
    <row r="21" spans="1:9" x14ac:dyDescent="0.25">
      <c r="C21" s="53"/>
      <c r="F21" s="56"/>
      <c r="G21" s="46"/>
      <c r="H21" s="46"/>
    </row>
    <row r="22" spans="1:9" x14ac:dyDescent="0.25">
      <c r="A22" s="51" t="s">
        <v>59</v>
      </c>
      <c r="B22" s="49"/>
      <c r="C22" s="52">
        <f>+C16-G32-G36</f>
        <v>564000</v>
      </c>
      <c r="E22" s="81" t="s">
        <v>28</v>
      </c>
      <c r="F22" s="56"/>
      <c r="G22" s="46"/>
      <c r="H22" s="46"/>
    </row>
    <row r="23" spans="1:9" x14ac:dyDescent="0.25">
      <c r="E23" s="57" t="s">
        <v>55</v>
      </c>
      <c r="F23" s="72">
        <v>0</v>
      </c>
      <c r="G23" s="58">
        <f>MIN(F23,200000)</f>
        <v>0</v>
      </c>
      <c r="H23" s="46"/>
    </row>
    <row r="24" spans="1:9" x14ac:dyDescent="0.25">
      <c r="F24" s="56"/>
      <c r="G24" s="46"/>
      <c r="H24" s="46"/>
    </row>
    <row r="25" spans="1:9" x14ac:dyDescent="0.25">
      <c r="E25" s="81" t="s">
        <v>29</v>
      </c>
      <c r="F25" s="56"/>
      <c r="G25" s="46"/>
      <c r="H25" s="46"/>
    </row>
    <row r="26" spans="1:9" x14ac:dyDescent="0.25">
      <c r="E26" s="57" t="s">
        <v>56</v>
      </c>
      <c r="F26" s="70">
        <v>0</v>
      </c>
      <c r="G26" s="46"/>
      <c r="H26" s="46"/>
    </row>
    <row r="27" spans="1:9" x14ac:dyDescent="0.25">
      <c r="F27" s="56"/>
      <c r="G27" s="46"/>
      <c r="H27" s="46"/>
    </row>
    <row r="28" spans="1:9" x14ac:dyDescent="0.25">
      <c r="E28" s="81" t="s">
        <v>30</v>
      </c>
      <c r="F28" s="56"/>
      <c r="G28" s="46"/>
      <c r="H28" s="46"/>
    </row>
    <row r="29" spans="1:9" x14ac:dyDescent="0.25">
      <c r="E29" s="37" t="s">
        <v>31</v>
      </c>
      <c r="F29" s="70">
        <v>0</v>
      </c>
      <c r="G29" s="46">
        <f>MIN(F29,50000)</f>
        <v>0</v>
      </c>
      <c r="H29" s="46"/>
    </row>
    <row r="30" spans="1:9" x14ac:dyDescent="0.25">
      <c r="F30" s="56"/>
      <c r="G30" s="46"/>
      <c r="H30" s="46"/>
    </row>
    <row r="31" spans="1:9" x14ac:dyDescent="0.25">
      <c r="E31" s="37" t="s">
        <v>33</v>
      </c>
      <c r="F31" s="56"/>
      <c r="G31" s="46">
        <f>+N16</f>
        <v>0</v>
      </c>
      <c r="H31" s="46"/>
    </row>
    <row r="32" spans="1:9" x14ac:dyDescent="0.25">
      <c r="E32" s="37" t="s">
        <v>83</v>
      </c>
      <c r="F32" s="56"/>
      <c r="G32" s="46">
        <f>+C7</f>
        <v>36000</v>
      </c>
      <c r="H32" s="46"/>
    </row>
    <row r="33" spans="5:8" x14ac:dyDescent="0.25">
      <c r="E33" s="37" t="s">
        <v>34</v>
      </c>
      <c r="F33" s="56"/>
      <c r="G33" s="46">
        <v>50000</v>
      </c>
      <c r="H33" s="46"/>
    </row>
    <row r="34" spans="5:8" x14ac:dyDescent="0.25">
      <c r="F34" s="56"/>
      <c r="G34" s="46"/>
      <c r="H34" s="46"/>
    </row>
    <row r="35" spans="5:8" x14ac:dyDescent="0.25">
      <c r="E35" s="37" t="s">
        <v>3</v>
      </c>
      <c r="F35" s="56"/>
      <c r="G35" s="46">
        <f>+C8</f>
        <v>0</v>
      </c>
      <c r="H35" s="46"/>
    </row>
    <row r="36" spans="5:8" x14ac:dyDescent="0.25">
      <c r="E36" s="37" t="s">
        <v>4</v>
      </c>
      <c r="F36" s="56"/>
      <c r="G36" s="46">
        <f t="shared" ref="G36:G37" si="8">+C9</f>
        <v>0</v>
      </c>
      <c r="H36" s="46"/>
    </row>
    <row r="37" spans="5:8" x14ac:dyDescent="0.25">
      <c r="E37" s="37" t="s">
        <v>5</v>
      </c>
      <c r="F37" s="56"/>
      <c r="G37" s="46">
        <f t="shared" si="8"/>
        <v>0</v>
      </c>
      <c r="H37" s="46"/>
    </row>
    <row r="38" spans="5:8" x14ac:dyDescent="0.25">
      <c r="E38" s="51" t="s">
        <v>32</v>
      </c>
      <c r="F38" s="82"/>
      <c r="G38" s="67">
        <f>SUM(G15:G37)</f>
        <v>122000</v>
      </c>
      <c r="H38" s="67"/>
    </row>
  </sheetData>
  <sheetProtection password="E633" sheet="1" formatCells="0" selectLockedCells="1"/>
  <mergeCells count="1">
    <mergeCell ref="I1:M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24"/>
  <sheetViews>
    <sheetView tabSelected="1" zoomScale="85" zoomScaleNormal="85" workbookViewId="0">
      <pane xSplit="3" ySplit="6" topLeftCell="D7" activePane="bottomRight" state="frozen"/>
      <selection pane="topRight" activeCell="D1" sqref="D1"/>
      <selection pane="bottomLeft" activeCell="A7" sqref="A7"/>
      <selection pane="bottomRight" activeCell="C7" sqref="C7"/>
    </sheetView>
  </sheetViews>
  <sheetFormatPr defaultRowHeight="15" x14ac:dyDescent="0.25"/>
  <cols>
    <col min="1" max="1" width="4.5703125" customWidth="1"/>
    <col min="2" max="2" width="32.7109375" customWidth="1"/>
    <col min="3" max="3" width="18.5703125" bestFit="1" customWidth="1"/>
    <col min="4" max="4" width="4.85546875" customWidth="1"/>
    <col min="5" max="5" width="4.28515625" customWidth="1"/>
    <col min="6" max="6" width="29" customWidth="1"/>
    <col min="7" max="7" width="26" customWidth="1"/>
    <col min="8" max="9" width="11.7109375" customWidth="1"/>
  </cols>
  <sheetData>
    <row r="1" spans="2:12" ht="15" customHeight="1" x14ac:dyDescent="0.25">
      <c r="B1" s="89" t="s">
        <v>75</v>
      </c>
      <c r="C1" s="89"/>
      <c r="D1" s="89"/>
      <c r="E1" s="89"/>
      <c r="F1" s="89"/>
      <c r="G1" s="89"/>
      <c r="H1" s="89"/>
    </row>
    <row r="2" spans="2:12" x14ac:dyDescent="0.25">
      <c r="B2" s="89"/>
      <c r="C2" s="89"/>
      <c r="D2" s="89"/>
      <c r="E2" s="89"/>
      <c r="F2" s="89"/>
      <c r="G2" s="89"/>
      <c r="H2" s="89"/>
    </row>
    <row r="3" spans="2:12" ht="21.75" customHeight="1" x14ac:dyDescent="0.25">
      <c r="B3" s="89"/>
      <c r="C3" s="89"/>
      <c r="D3" s="89"/>
      <c r="E3" s="89"/>
      <c r="F3" s="89"/>
      <c r="G3" s="89"/>
      <c r="H3" s="89"/>
    </row>
    <row r="4" spans="2:12" x14ac:dyDescent="0.25">
      <c r="B4" s="89"/>
      <c r="C4" s="89"/>
      <c r="D4" s="89"/>
      <c r="E4" s="89"/>
      <c r="F4" s="89"/>
      <c r="G4" s="89"/>
      <c r="H4" s="89"/>
    </row>
    <row r="5" spans="2:12" ht="21" x14ac:dyDescent="0.35">
      <c r="B5" s="86" t="s">
        <v>61</v>
      </c>
      <c r="C5" s="86"/>
      <c r="F5" s="87" t="s">
        <v>62</v>
      </c>
      <c r="G5" s="87"/>
    </row>
    <row r="6" spans="2:12" ht="15.75" x14ac:dyDescent="0.25">
      <c r="B6" s="90" t="s">
        <v>76</v>
      </c>
      <c r="C6" s="91"/>
      <c r="D6" s="2"/>
      <c r="E6" s="22"/>
      <c r="F6" s="92" t="s">
        <v>77</v>
      </c>
      <c r="G6" s="93"/>
      <c r="H6" s="93"/>
      <c r="I6" s="94"/>
    </row>
    <row r="7" spans="2:12" ht="15.75" x14ac:dyDescent="0.25">
      <c r="B7" s="2" t="s">
        <v>46</v>
      </c>
      <c r="C7" s="3">
        <f>+' Salary and Investments'!C20</f>
        <v>478000</v>
      </c>
      <c r="D7" s="2"/>
      <c r="E7" s="2"/>
      <c r="F7" s="7" t="s">
        <v>46</v>
      </c>
      <c r="G7" s="9">
        <f>+' Salary and Investments'!C22</f>
        <v>564000</v>
      </c>
      <c r="H7" s="7"/>
      <c r="I7" s="7"/>
      <c r="L7" s="83"/>
    </row>
    <row r="8" spans="2:12" ht="15.75" x14ac:dyDescent="0.25">
      <c r="B8" s="2"/>
      <c r="C8" s="3"/>
      <c r="D8" s="2"/>
      <c r="E8" s="2"/>
      <c r="F8" s="7"/>
      <c r="G8" s="9"/>
      <c r="H8" s="7"/>
      <c r="I8" s="7"/>
      <c r="L8" s="83"/>
    </row>
    <row r="9" spans="2:12" ht="15.75" x14ac:dyDescent="0.25">
      <c r="B9" s="2" t="s">
        <v>36</v>
      </c>
      <c r="C9" s="3">
        <f>IF(' Salary and Investments'!C20&lt;250001,0,IF(' Salary and Investments'!C20&lt;500000,5%*(' Salary and Investments'!C20-250000),IF(' Salary and Investments'!C20&lt;1000000,20%*(' Salary and Investments'!C20-500000)+12500,IF(' Salary and Investments'!C20&gt;1000000,30%*(' Salary and Investments'!C20-1000000)+112500))))</f>
        <v>11400</v>
      </c>
      <c r="D9" s="2"/>
      <c r="E9" s="2"/>
      <c r="F9" s="2" t="s">
        <v>36</v>
      </c>
      <c r="G9" s="3">
        <f>IF(G7&lt;250001,0,IF(G7&lt;500000,5%*(G7-250000),IF(G7&lt;750000,10%*(G7-500000)+12500,IF(G7&lt;1000000,15%*(G7-750000)+37500,IF(G7&lt;1250000,20%*(G7-1000000)+75000,IF(G7&lt;1500000,25%*(G7-1250000)+125000,IF(G7&gt;1500000,30%*(G7-1500000)+187500)))))))</f>
        <v>18900</v>
      </c>
      <c r="H9" s="7"/>
      <c r="I9" s="7"/>
      <c r="L9" s="83"/>
    </row>
    <row r="10" spans="2:12" ht="15.75" x14ac:dyDescent="0.25">
      <c r="B10" s="2" t="s">
        <v>53</v>
      </c>
      <c r="C10" s="3">
        <f>IF(C7&lt;500000,MIN(C9,12500),0)</f>
        <v>11400</v>
      </c>
      <c r="D10" s="2"/>
      <c r="E10" s="2"/>
      <c r="F10" s="2" t="s">
        <v>53</v>
      </c>
      <c r="G10" s="3">
        <f>IF(G7&lt;500000,MIN(G9,12500),0)</f>
        <v>0</v>
      </c>
      <c r="H10" s="7"/>
      <c r="I10" s="7"/>
      <c r="L10" s="83"/>
    </row>
    <row r="11" spans="2:12" ht="15.75" x14ac:dyDescent="0.25">
      <c r="B11" s="2" t="s">
        <v>42</v>
      </c>
      <c r="C11" s="3">
        <f>+C9-C10</f>
        <v>0</v>
      </c>
      <c r="D11" s="2"/>
      <c r="E11" s="2"/>
      <c r="F11" s="2" t="s">
        <v>42</v>
      </c>
      <c r="G11" s="3">
        <f>+G9-G10</f>
        <v>18900</v>
      </c>
      <c r="H11" s="7"/>
      <c r="I11" s="7"/>
      <c r="L11" s="83"/>
    </row>
    <row r="12" spans="2:12" ht="15.75" x14ac:dyDescent="0.25">
      <c r="B12" s="2" t="s">
        <v>71</v>
      </c>
      <c r="C12" s="3">
        <f>IF(C7&gt;5000000,C11*0.1,IF(C7&gt;10000000,0.15*C7,0))</f>
        <v>0</v>
      </c>
      <c r="D12" s="2"/>
      <c r="E12" s="2"/>
      <c r="F12" s="2" t="s">
        <v>71</v>
      </c>
      <c r="G12" s="3">
        <f>IF(G7&gt;5000000,G11*0.1,IF(G7&gt;10000000,0.15*G7,0))</f>
        <v>0</v>
      </c>
      <c r="H12" s="7"/>
      <c r="I12" s="7"/>
    </row>
    <row r="13" spans="2:12" ht="15.75" x14ac:dyDescent="0.25">
      <c r="B13" s="2" t="s">
        <v>43</v>
      </c>
      <c r="C13" s="3">
        <f>(+C11+C12)*4%</f>
        <v>0</v>
      </c>
      <c r="D13" s="2"/>
      <c r="E13" s="2"/>
      <c r="F13" s="2" t="s">
        <v>43</v>
      </c>
      <c r="G13" s="3">
        <f>(+G11+G12)*4%</f>
        <v>756</v>
      </c>
      <c r="H13" s="7"/>
      <c r="I13" s="7"/>
    </row>
    <row r="14" spans="2:12" ht="15.75" x14ac:dyDescent="0.25">
      <c r="B14" s="23" t="s">
        <v>44</v>
      </c>
      <c r="C14" s="26">
        <f>+C11+C13</f>
        <v>0</v>
      </c>
      <c r="D14" s="23"/>
      <c r="E14" s="23"/>
      <c r="F14" s="23" t="s">
        <v>44</v>
      </c>
      <c r="G14" s="26">
        <f>+G11+G13</f>
        <v>19656</v>
      </c>
      <c r="H14" s="7"/>
      <c r="I14" s="7"/>
    </row>
    <row r="15" spans="2:12" ht="15.75" x14ac:dyDescent="0.25">
      <c r="B15" s="15" t="s">
        <v>45</v>
      </c>
      <c r="C15" s="16">
        <f>+C14/12</f>
        <v>0</v>
      </c>
      <c r="D15" s="24"/>
      <c r="E15" s="24"/>
      <c r="F15" s="15" t="s">
        <v>45</v>
      </c>
      <c r="G15" s="16">
        <f>+G14/12</f>
        <v>1638</v>
      </c>
      <c r="H15" s="7"/>
      <c r="I15" s="7"/>
    </row>
    <row r="16" spans="2:12" ht="15.75" x14ac:dyDescent="0.25">
      <c r="B16" s="2"/>
      <c r="C16" s="2"/>
      <c r="D16" s="2"/>
      <c r="E16" s="2"/>
      <c r="F16" s="7"/>
      <c r="G16" s="7"/>
      <c r="H16" s="7"/>
      <c r="I16" s="7"/>
    </row>
    <row r="17" spans="2:11" ht="15.75" x14ac:dyDescent="0.25">
      <c r="B17" s="17" t="s">
        <v>64</v>
      </c>
      <c r="C17" s="18"/>
      <c r="D17" s="13"/>
      <c r="E17" s="13"/>
      <c r="F17" s="17" t="s">
        <v>65</v>
      </c>
      <c r="G17" s="19"/>
      <c r="H17" s="12"/>
      <c r="I17" s="12"/>
    </row>
    <row r="18" spans="2:11" ht="15.75" x14ac:dyDescent="0.25">
      <c r="B18" s="4" t="s">
        <v>37</v>
      </c>
      <c r="C18" s="4" t="s">
        <v>38</v>
      </c>
      <c r="D18" s="2"/>
      <c r="E18" s="2"/>
      <c r="F18" s="8" t="s">
        <v>37</v>
      </c>
      <c r="G18" s="8" t="s">
        <v>38</v>
      </c>
      <c r="H18" s="10"/>
      <c r="I18" s="10"/>
    </row>
    <row r="19" spans="2:11" ht="15.75" x14ac:dyDescent="0.25">
      <c r="B19" s="4" t="s">
        <v>39</v>
      </c>
      <c r="C19" s="5">
        <v>0.05</v>
      </c>
      <c r="D19" s="25">
        <f>+C19*H19</f>
        <v>12500</v>
      </c>
      <c r="E19" s="6"/>
      <c r="F19" s="20" t="s">
        <v>47</v>
      </c>
      <c r="G19" s="21">
        <v>0.05</v>
      </c>
      <c r="H19" s="11">
        <v>250000</v>
      </c>
      <c r="I19" s="11">
        <f>H19*G19+I18</f>
        <v>12500</v>
      </c>
    </row>
    <row r="20" spans="2:11" ht="15.75" x14ac:dyDescent="0.25">
      <c r="B20" s="4" t="s">
        <v>40</v>
      </c>
      <c r="C20" s="5">
        <v>0.2</v>
      </c>
      <c r="D20" s="25">
        <f>+C20*(1000000-500000)+D19</f>
        <v>112500</v>
      </c>
      <c r="E20" s="6"/>
      <c r="F20" s="20" t="s">
        <v>48</v>
      </c>
      <c r="G20" s="21">
        <v>0.1</v>
      </c>
      <c r="H20" s="11">
        <v>250000</v>
      </c>
      <c r="I20" s="11">
        <f>H20*G20+I19</f>
        <v>37500</v>
      </c>
      <c r="J20" s="1"/>
      <c r="K20" s="1"/>
    </row>
    <row r="21" spans="2:11" ht="15.75" x14ac:dyDescent="0.25">
      <c r="B21" s="4" t="s">
        <v>41</v>
      </c>
      <c r="C21" s="5">
        <v>0.3</v>
      </c>
      <c r="D21" s="2"/>
      <c r="E21" s="2"/>
      <c r="F21" s="20" t="s">
        <v>49</v>
      </c>
      <c r="G21" s="21">
        <v>0.15</v>
      </c>
      <c r="H21" s="11">
        <v>250000</v>
      </c>
      <c r="I21" s="11">
        <f>H21*G21+I20</f>
        <v>75000</v>
      </c>
    </row>
    <row r="22" spans="2:11" ht="15.75" x14ac:dyDescent="0.25">
      <c r="B22" s="2"/>
      <c r="C22" s="2"/>
      <c r="D22" s="2"/>
      <c r="E22" s="2"/>
      <c r="F22" s="20" t="s">
        <v>50</v>
      </c>
      <c r="G22" s="21">
        <v>0.2</v>
      </c>
      <c r="H22" s="11">
        <v>250000</v>
      </c>
      <c r="I22" s="11">
        <f>H22*G22+I21</f>
        <v>125000</v>
      </c>
      <c r="J22" s="1"/>
      <c r="K22" s="1"/>
    </row>
    <row r="23" spans="2:11" ht="15.75" x14ac:dyDescent="0.25">
      <c r="B23" s="2"/>
      <c r="C23" s="2"/>
      <c r="D23" s="2"/>
      <c r="E23" s="2"/>
      <c r="F23" s="20" t="s">
        <v>51</v>
      </c>
      <c r="G23" s="21">
        <v>0.25</v>
      </c>
      <c r="H23" s="11">
        <v>250000</v>
      </c>
      <c r="I23" s="11">
        <f>H23*G23+I22</f>
        <v>187500</v>
      </c>
    </row>
    <row r="24" spans="2:11" ht="15.75" x14ac:dyDescent="0.25">
      <c r="B24" s="2"/>
      <c r="C24" s="2"/>
      <c r="D24" s="2"/>
      <c r="E24" s="2"/>
      <c r="F24" s="20" t="s">
        <v>52</v>
      </c>
      <c r="G24" s="21">
        <v>0.3</v>
      </c>
      <c r="H24" s="11">
        <v>0</v>
      </c>
      <c r="I24" s="11"/>
    </row>
  </sheetData>
  <sheetProtection password="E633" sheet="1" objects="1" scenarios="1"/>
  <mergeCells count="5">
    <mergeCell ref="B1:H4"/>
    <mergeCell ref="F6:I6"/>
    <mergeCell ref="B6:C6"/>
    <mergeCell ref="B5:C5"/>
    <mergeCell ref="F5:G5"/>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 Salary and Investments</vt:lpstr>
      <vt:lpstr>Tax Current Vs New Method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Puran Singh Dangwal</dc:creator>
  <cp:lastModifiedBy>Puran Singh Dangwal</cp:lastModifiedBy>
  <cp:lastPrinted>2020-03-16T11:07:09Z</cp:lastPrinted>
  <dcterms:created xsi:type="dcterms:W3CDTF">2020-03-07T14:47:06Z</dcterms:created>
  <dcterms:modified xsi:type="dcterms:W3CDTF">2020-03-18T08:41:46Z</dcterms:modified>
</cp:coreProperties>
</file>