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91BD" lockStructure="1"/>
  <bookViews>
    <workbookView xWindow="240" yWindow="75" windowWidth="20115" windowHeight="7995"/>
  </bookViews>
  <sheets>
    <sheet name="Tax Calculator" sheetId="1" r:id="rId1"/>
  </sheets>
  <calcPr calcId="144525"/>
</workbook>
</file>

<file path=xl/calcChain.xml><?xml version="1.0" encoding="utf-8"?>
<calcChain xmlns="http://schemas.openxmlformats.org/spreadsheetml/2006/main">
  <c r="D7" i="1" l="1"/>
  <c r="D60" i="1"/>
  <c r="AE162" i="1" l="1"/>
  <c r="AE161" i="1"/>
  <c r="AE160" i="1"/>
  <c r="AE159" i="1"/>
  <c r="AE158" i="1"/>
  <c r="AF157" i="1"/>
  <c r="AC157" i="1" s="1"/>
  <c r="AE152" i="1"/>
  <c r="AE151" i="1"/>
  <c r="AE150" i="1"/>
  <c r="AE149" i="1"/>
  <c r="AE148" i="1"/>
  <c r="AF147" i="1"/>
  <c r="AC147" i="1"/>
  <c r="AE142" i="1"/>
  <c r="AE141" i="1"/>
  <c r="AE140" i="1"/>
  <c r="AE139" i="1"/>
  <c r="AE138" i="1"/>
  <c r="AF137" i="1"/>
  <c r="AC137" i="1"/>
  <c r="AE129" i="1"/>
  <c r="AF128" i="1"/>
  <c r="AC128" i="1"/>
  <c r="AE123" i="1"/>
  <c r="AE122" i="1"/>
  <c r="AF121" i="1"/>
  <c r="AC121" i="1"/>
  <c r="AE116" i="1"/>
  <c r="AE115" i="1"/>
  <c r="AF114" i="1"/>
  <c r="AC114" i="1"/>
  <c r="D62" i="1"/>
  <c r="E62" i="1" s="1"/>
  <c r="D61" i="1"/>
  <c r="E61" i="1" s="1"/>
  <c r="E60" i="1"/>
  <c r="E76" i="1" s="1"/>
  <c r="D58" i="1"/>
  <c r="D57" i="1"/>
  <c r="D56" i="1"/>
  <c r="D55" i="1"/>
  <c r="D54" i="1"/>
  <c r="D53" i="1"/>
  <c r="D52" i="1"/>
  <c r="E49" i="1"/>
  <c r="E48" i="1"/>
  <c r="D32" i="1"/>
  <c r="E32" i="1" s="1"/>
  <c r="D30" i="1"/>
  <c r="D29" i="1"/>
  <c r="D28" i="1"/>
  <c r="E27" i="1" s="1"/>
  <c r="E19" i="1"/>
  <c r="D19" i="1"/>
  <c r="D17" i="1"/>
  <c r="D16" i="1"/>
  <c r="D15" i="1"/>
  <c r="D14" i="1"/>
  <c r="C13" i="1"/>
  <c r="D13" i="1" s="1"/>
  <c r="D12" i="1"/>
  <c r="D10" i="1" s="1"/>
  <c r="E9" i="1" s="1"/>
  <c r="E8" i="1"/>
  <c r="E75" i="1" s="1"/>
  <c r="D59" i="1" l="1"/>
  <c r="D51" i="1"/>
  <c r="E50" i="1"/>
  <c r="E77" i="1"/>
  <c r="E18" i="1"/>
  <c r="E31" i="1" s="1"/>
  <c r="E63" i="1" s="1"/>
  <c r="AE130" i="1" l="1"/>
  <c r="AF122" i="1"/>
  <c r="AE124" i="1"/>
  <c r="AE117" i="1"/>
  <c r="AF129" i="1"/>
  <c r="E64" i="1"/>
  <c r="AF115" i="1"/>
  <c r="AE163" i="1"/>
  <c r="AF158" i="1"/>
  <c r="AE143" i="1"/>
  <c r="AF138" i="1"/>
  <c r="E78" i="1"/>
  <c r="AE153" i="1"/>
  <c r="AF148" i="1"/>
  <c r="AF130" i="1" l="1"/>
  <c r="AC130" i="1" s="1"/>
  <c r="AC129" i="1"/>
  <c r="AF123" i="1"/>
  <c r="AC122" i="1"/>
  <c r="AF149" i="1"/>
  <c r="AC148" i="1"/>
  <c r="AC138" i="1"/>
  <c r="AF139" i="1"/>
  <c r="AC158" i="1"/>
  <c r="AF159" i="1"/>
  <c r="AF116" i="1"/>
  <c r="AC115" i="1"/>
  <c r="AC123" i="1" l="1"/>
  <c r="AF124" i="1"/>
  <c r="AC124" i="1" s="1"/>
  <c r="AC131" i="1"/>
  <c r="AC116" i="1"/>
  <c r="AF117" i="1"/>
  <c r="AC117" i="1" s="1"/>
  <c r="AC149" i="1"/>
  <c r="AF150" i="1"/>
  <c r="AF160" i="1"/>
  <c r="AC159" i="1"/>
  <c r="AF140" i="1"/>
  <c r="AC139" i="1"/>
  <c r="AC125" i="1" l="1"/>
  <c r="AC118" i="1"/>
  <c r="E65" i="1" s="1"/>
  <c r="AC140" i="1"/>
  <c r="AF141" i="1"/>
  <c r="AC160" i="1"/>
  <c r="AF161" i="1"/>
  <c r="AF151" i="1"/>
  <c r="AC150" i="1"/>
  <c r="E66" i="1" l="1"/>
  <c r="E67" i="1" s="1"/>
  <c r="E68" i="1" s="1"/>
  <c r="AF162" i="1"/>
  <c r="AC161" i="1"/>
  <c r="AF142" i="1"/>
  <c r="AC141" i="1"/>
  <c r="AC151" i="1"/>
  <c r="AF152" i="1"/>
  <c r="E70" i="1" l="1"/>
  <c r="E71" i="1"/>
  <c r="AC142" i="1"/>
  <c r="AF143" i="1"/>
  <c r="AC143" i="1" s="1"/>
  <c r="AC162" i="1"/>
  <c r="AF163" i="1"/>
  <c r="AC163" i="1" s="1"/>
  <c r="AF153" i="1"/>
  <c r="AC153" i="1" s="1"/>
  <c r="AC152" i="1"/>
  <c r="AC154" i="1" l="1"/>
  <c r="AC164" i="1"/>
  <c r="AC144" i="1"/>
  <c r="E79" i="1" s="1"/>
  <c r="E80" i="1" l="1"/>
  <c r="E81" i="1" s="1"/>
  <c r="E82" i="1" s="1"/>
</calcChain>
</file>

<file path=xl/comments1.xml><?xml version="1.0" encoding="utf-8"?>
<comments xmlns="http://schemas.openxmlformats.org/spreadsheetml/2006/main">
  <authors>
    <author>akuma68</author>
    <author>Amit Kumar</author>
  </authors>
  <commentList>
    <comment ref="D6" authorId="0">
      <text>
        <r>
          <rPr>
            <b/>
            <sz val="8"/>
            <color rgb="FF000000"/>
            <rFont val="Tahoma"/>
            <family val="2"/>
          </rPr>
          <t>Aashish:
Enter DOB in Day-MON-YY format. For e.g 07-OCT-81</t>
        </r>
      </text>
    </comment>
    <comment ref="C8" authorId="0">
      <text>
        <r>
          <rPr>
            <b/>
            <sz val="8"/>
            <color rgb="FF000000"/>
            <rFont val="Tahoma"/>
            <family val="2"/>
          </rPr>
          <t>Aashish:</t>
        </r>
        <r>
          <rPr>
            <sz val="8"/>
            <color rgb="FF000000"/>
            <rFont val="Tahoma"/>
            <family val="2"/>
          </rPr>
          <t xml:space="preserve">
Total Annual Income</t>
        </r>
      </text>
    </comment>
    <comment ref="D10" authorId="0">
      <text>
        <r>
          <rPr>
            <sz val="11"/>
            <color rgb="FF000000"/>
            <rFont val="Calibri"/>
            <family val="2"/>
          </rPr>
          <t>Aashish:</t>
        </r>
        <r>
          <rPr>
            <b/>
            <sz val="8"/>
            <color rgb="FF000000"/>
            <rFont val="Tahoma"/>
            <family val="2"/>
          </rPr>
          <t xml:space="preserve">
Least of Below 3 criteria</t>
        </r>
      </text>
    </comment>
    <comment ref="C12" authorId="0">
      <text>
        <r>
          <rPr>
            <b/>
            <sz val="8"/>
            <color rgb="FF000000"/>
            <rFont val="Tahoma"/>
            <family val="2"/>
          </rPr>
          <t>Aashish:</t>
        </r>
        <r>
          <rPr>
            <sz val="8"/>
            <color rgb="FF000000"/>
            <rFont val="Tahoma"/>
            <family val="2"/>
          </rPr>
          <t xml:space="preserve">
Annual Basic Salary</t>
        </r>
      </text>
    </comment>
    <comment ref="D12" authorId="0">
      <text>
        <r>
          <rPr>
            <sz val="11"/>
            <color rgb="FF000000"/>
            <rFont val="Calibri"/>
            <family val="2"/>
          </rPr>
          <t>Aashish:</t>
        </r>
        <r>
          <rPr>
            <b/>
            <sz val="8"/>
            <color rgb="FF000000"/>
            <rFont val="Tahoma"/>
            <family val="2"/>
          </rPr>
          <t xml:space="preserve">
40% of (basic+DA) for Non Metro &amp; 50% for Metro</t>
        </r>
      </text>
    </comment>
    <comment ref="C13" authorId="0">
      <text>
        <r>
          <rPr>
            <b/>
            <sz val="8"/>
            <color rgb="FF000000"/>
            <rFont val="Tahoma"/>
            <family val="2"/>
          </rPr>
          <t>Aashish:</t>
        </r>
        <r>
          <rPr>
            <sz val="8"/>
            <color rgb="FF000000"/>
            <rFont val="Tahoma"/>
            <family val="2"/>
          </rPr>
          <t xml:space="preserve">
Annual Rent Paid</t>
        </r>
      </text>
    </comment>
    <comment ref="D13" authorId="0">
      <text>
        <r>
          <rPr>
            <sz val="11"/>
            <color rgb="FF000000"/>
            <rFont val="Calibri"/>
            <family val="2"/>
          </rPr>
          <t>Aashish:</t>
        </r>
        <r>
          <rPr>
            <b/>
            <sz val="8"/>
            <color rgb="FF000000"/>
            <rFont val="Tahoma"/>
            <family val="2"/>
          </rPr>
          <t xml:space="preserve">
Rent Paid - 10% of Basic</t>
        </r>
      </text>
    </comment>
    <comment ref="C14" authorId="0">
      <text>
        <r>
          <rPr>
            <b/>
            <sz val="8"/>
            <color rgb="FF000000"/>
            <rFont val="Tahoma"/>
            <family val="2"/>
          </rPr>
          <t>Aashish:</t>
        </r>
        <r>
          <rPr>
            <sz val="8"/>
            <color rgb="FF000000"/>
            <rFont val="Tahoma"/>
            <family val="2"/>
          </rPr>
          <t xml:space="preserve">
 Annual HRA received</t>
        </r>
      </text>
    </comment>
    <comment ref="C28" authorId="0">
      <text>
        <r>
          <rPr>
            <sz val="11"/>
            <color rgb="FF000000"/>
            <rFont val="Calibri"/>
            <family val="2"/>
          </rPr>
          <t>Aashish:</t>
        </r>
        <r>
          <rPr>
            <b/>
            <sz val="8"/>
            <color rgb="FF000000"/>
            <rFont val="Tahoma"/>
            <family val="2"/>
          </rPr>
          <t xml:space="preserve">
Budget 2017 has capped interest exemption to Rs 2 lakh irrespctive of its rented or self occupied</t>
        </r>
      </text>
    </comment>
    <comment ref="C30" authorId="0">
      <text>
        <r>
          <rPr>
            <b/>
            <sz val="8"/>
            <color rgb="FF000000"/>
            <rFont val="Tahoma"/>
            <family val="2"/>
          </rPr>
          <t>Aashish:</t>
        </r>
        <r>
          <rPr>
            <sz val="8"/>
            <color rgb="FF000000"/>
            <rFont val="Tahoma"/>
            <family val="2"/>
          </rPr>
          <t xml:space="preserve">
Deduction up to Rs 30,000 is allowed on the interest payment for loan taken for Home Improvement</t>
        </r>
      </text>
    </comment>
    <comment ref="C44" authorId="0">
      <text>
        <r>
          <rPr>
            <b/>
            <sz val="8"/>
            <color rgb="FF000000"/>
            <rFont val="Tahoma"/>
            <family val="2"/>
          </rPr>
          <t>Aashish:</t>
        </r>
        <r>
          <rPr>
            <sz val="8"/>
            <color rgb="FF000000"/>
            <rFont val="Tahoma"/>
            <family val="2"/>
          </rPr>
          <t xml:space="preserve">
50% of invested amount is eligible for Tax Deduction</t>
        </r>
      </text>
    </comment>
    <comment ref="C49" authorId="0">
      <text>
        <r>
          <rPr>
            <b/>
            <sz val="8"/>
            <color rgb="FF000000"/>
            <rFont val="Tahoma"/>
            <family val="2"/>
          </rPr>
          <t>Aashish:</t>
        </r>
        <r>
          <rPr>
            <sz val="8"/>
            <color rgb="FF000000"/>
            <rFont val="Tahoma"/>
            <family val="2"/>
          </rPr>
          <t xml:space="preserve">
50% of invested amount is eligible for Tax Deduction</t>
        </r>
      </text>
    </comment>
    <comment ref="C51" authorId="0">
      <text>
        <r>
          <rPr>
            <sz val="11"/>
            <color rgb="FF000000"/>
            <rFont val="Calibri"/>
            <family val="2"/>
          </rPr>
          <t>Aashish:</t>
        </r>
        <r>
          <rPr>
            <b/>
            <sz val="8"/>
            <color rgb="FF000000"/>
            <rFont val="Tahoma"/>
            <family val="2"/>
          </rPr>
          <t xml:space="preserve">
Self here includes spouse &amp; children</t>
        </r>
      </text>
    </comment>
    <comment ref="C54" authorId="0">
      <text>
        <r>
          <rPr>
            <sz val="8"/>
            <color rgb="FF000000"/>
            <rFont val="Tahoma"/>
            <family val="2"/>
          </rPr>
          <t>Aashish:
Deduction in respect of maintenance including medical treatment of dependent who is a person with disability. Maximum deduction Rs. 125,000/- in case of severe disability (more than 80%) and Rs. 75,000/- in other cases.</t>
        </r>
      </text>
    </comment>
    <comment ref="C55" authorId="0">
      <text>
        <r>
          <rPr>
            <sz val="8"/>
            <color rgb="FF000000"/>
            <rFont val="Tahoma"/>
            <family val="2"/>
          </rPr>
          <t xml:space="preserve">Aashish:
For senior citizens the deduction amount is up to Rs 1,00,000;  while for all others its Rs 40,000
</t>
        </r>
      </text>
    </comment>
    <comment ref="C57" authorId="0">
      <text>
        <r>
          <rPr>
            <b/>
            <sz val="8"/>
            <color rgb="FF000000"/>
            <rFont val="Tahoma"/>
            <family val="2"/>
          </rPr>
          <t>Aashish:</t>
        </r>
        <r>
          <rPr>
            <sz val="8"/>
            <color rgb="FF000000"/>
            <rFont val="Tahoma"/>
            <family val="2"/>
          </rPr>
          <t xml:space="preserve">
For paying rent in case you do not receive HRA</t>
        </r>
      </text>
    </comment>
    <comment ref="C58" authorId="0">
      <text>
        <r>
          <rPr>
            <b/>
            <sz val="8"/>
            <color rgb="FF000000"/>
            <rFont val="Tahoma"/>
            <family val="2"/>
          </rPr>
          <t>Aashish:</t>
        </r>
        <r>
          <rPr>
            <sz val="8"/>
            <color rgb="FF000000"/>
            <rFont val="Tahoma"/>
            <family val="2"/>
          </rPr>
          <t xml:space="preserve">
Deduction of Rs. 75,000 (Rs 1,25,000 in case of severe disability) to an individual who suffers from physical disability.</t>
        </r>
      </text>
    </comment>
    <comment ref="D60" authorId="1">
      <text>
        <r>
          <rPr>
            <b/>
            <sz val="9"/>
            <color rgb="FF000000"/>
            <rFont val="Tahoma"/>
            <family val="2"/>
          </rPr>
          <t>Aashish:</t>
        </r>
        <r>
          <rPr>
            <sz val="9"/>
            <color rgb="FF000000"/>
            <rFont val="Tahoma"/>
            <family val="2"/>
          </rPr>
          <t xml:space="preserve">
10% of Basic + DA is exempted from income tax</t>
        </r>
      </text>
    </comment>
  </commentList>
</comments>
</file>

<file path=xl/sharedStrings.xml><?xml version="1.0" encoding="utf-8"?>
<sst xmlns="http://schemas.openxmlformats.org/spreadsheetml/2006/main" count="186" uniqueCount="118">
  <si>
    <t>Income Tax Calculator for FY 2020-21 (AY 2021-22) Under Old &amp; New Tax Regime</t>
  </si>
  <si>
    <t>Name</t>
  </si>
  <si>
    <t>XXXXXXXXX</t>
  </si>
  <si>
    <t>PAN Number</t>
  </si>
  <si>
    <t>AXXXXXXXX</t>
  </si>
  <si>
    <t>Birth date</t>
  </si>
  <si>
    <t>Age</t>
  </si>
  <si>
    <t>Gross Annual Income/Salary (with all allowances)</t>
  </si>
  <si>
    <t>Metro</t>
  </si>
  <si>
    <t>Less: Allowances exempt u/s 10(for Service Period)</t>
  </si>
  <si>
    <t>Non-Metro</t>
  </si>
  <si>
    <t>(I) H.R.A. exemption</t>
  </si>
  <si>
    <t>City of Residence</t>
  </si>
  <si>
    <t>Basic Salary (Basic+DA)</t>
  </si>
  <si>
    <t>Rent Paid</t>
  </si>
  <si>
    <t>H.R.A received</t>
  </si>
  <si>
    <t>(iii) Any Other Exempted Receipts/ allowances</t>
  </si>
  <si>
    <t>(iv) Professional Tax</t>
  </si>
  <si>
    <t>Income under the head salaries</t>
  </si>
  <si>
    <t>Add: Any other income from other sources</t>
  </si>
  <si>
    <t>1. Interest received from following Investments</t>
  </si>
  <si>
    <t>a. Bank ( Saving /FD /Rec )</t>
  </si>
  <si>
    <t>b. N.S.C.(accrued/ Recd )</t>
  </si>
  <si>
    <t>c. Post Ofice M.I.S (6 yrs.)</t>
  </si>
  <si>
    <t>d. Post Office Recring Deposit (5 yrs.)</t>
  </si>
  <si>
    <t>2. Any Other Income</t>
  </si>
  <si>
    <t>3. Any Other Income</t>
  </si>
  <si>
    <t>Less: Exemption on Home Loan Interest (Sec 24)</t>
  </si>
  <si>
    <t>Loss from house property (Section 24)</t>
  </si>
  <si>
    <t>Interest paid on Home Improvement Loan (max 30,000)</t>
  </si>
  <si>
    <t>Gross Total Income</t>
  </si>
  <si>
    <t>Less: Deduction under Sec 80C (Max Rs.1,50,000/-)</t>
  </si>
  <si>
    <t>A. EPF &amp; VPF Contribution</t>
  </si>
  <si>
    <t>B. Public Provident Fund (PPF)</t>
  </si>
  <si>
    <t>C. Senior Citizen’s Saving Scheme (SCSS)</t>
  </si>
  <si>
    <t>D. N.S.C (Investment + accrued Interest before Maturity Year)</t>
  </si>
  <si>
    <t>E. Tax Saving Fixed Deposit (5 Years and above)</t>
  </si>
  <si>
    <t>F. Tax Savings Bonds</t>
  </si>
  <si>
    <t>G. E.L.S.S (Tax Saving Mutual Fund)</t>
  </si>
  <si>
    <t>H. Life Insurance Premiums</t>
  </si>
  <si>
    <t>I. New Pension Scheme (NPS) (u/s 80CCC)</t>
  </si>
  <si>
    <t>J. Pension Plan from Insurance Companies/Mutual Funds (u/s 80CCC)</t>
  </si>
  <si>
    <t>K. 80 CCD Central Govt. Employees Pension Plan (u/s 80CCD)</t>
  </si>
  <si>
    <t>L. Housing. Loan (Principal Repayment)</t>
  </si>
  <si>
    <t xml:space="preserve">M. Sukanya Samriddhi Account </t>
  </si>
  <si>
    <t>N. Stamp Duty &amp; Registration Charges</t>
  </si>
  <si>
    <t>O. Tuition fees for 2 children</t>
  </si>
  <si>
    <t>Less: Deduction under RGESS Sec 80CCG (Max Rs. 50,000/-)</t>
  </si>
  <si>
    <t>Less: Deduction under chapter VI A</t>
  </si>
  <si>
    <t>A. 80 D Medical Insurance premiums (for Self )</t>
  </si>
  <si>
    <t>B. 80 D Medical Insurance premiums (for Parents)</t>
  </si>
  <si>
    <t>C. 80 E Int Paid on Education Loan</t>
  </si>
  <si>
    <t>D. 80 DD Medical Treatment of handicapped Dependent</t>
  </si>
  <si>
    <t>E. 80DDB Expenditure on Selected Medical Treatment for self/ dependent</t>
  </si>
  <si>
    <t>F. 80G, 80GGA, 80GGC Donation to approved funds</t>
  </si>
  <si>
    <t>H. 80U For Physically Disable Assesse</t>
  </si>
  <si>
    <t>Less: Deduction under Sec 80CCD(2) NPS (Employer Contribution)</t>
  </si>
  <si>
    <t>Less: Deduction under Sec 80EEA (Interest on Home Loan for Affordable Home) (Budget 2019)</t>
  </si>
  <si>
    <t>Less: Deduction under Sec 80EEB (Interest on Auto Loan for Electronic Vehicle) (Budget 2019)</t>
  </si>
  <si>
    <t>Total Income</t>
  </si>
  <si>
    <t>Total Tax Payable</t>
  </si>
  <si>
    <t>Add; Edn Cess + Health Cess @ 4%</t>
  </si>
  <si>
    <t>Net Tax Payable</t>
  </si>
  <si>
    <t>Advance Tax Paid</t>
  </si>
  <si>
    <t>Tax Remianing to be Paid</t>
  </si>
  <si>
    <t>Tax to Total Income Ratio</t>
  </si>
  <si>
    <t>Calculating Income Tax with  Lower Tax Slab under new Regime</t>
  </si>
  <si>
    <t>Income Tax for General</t>
  </si>
  <si>
    <t>Tax</t>
  </si>
  <si>
    <t>Tax Slabs</t>
  </si>
  <si>
    <t>Incremental</t>
  </si>
  <si>
    <t>Taxable Inc</t>
  </si>
  <si>
    <t>Tax Bracket</t>
  </si>
  <si>
    <t>0 -250000</t>
  </si>
  <si>
    <t>250001 - 500000</t>
  </si>
  <si>
    <t>500001 - 1000000</t>
  </si>
  <si>
    <t>500001 +</t>
  </si>
  <si>
    <t>Total Tax</t>
  </si>
  <si>
    <t>Income Tax for Senior Citizen</t>
  </si>
  <si>
    <t>0 -300000</t>
  </si>
  <si>
    <t>300001 - 500000</t>
  </si>
  <si>
    <t>Income Tax for very Senior Citizen</t>
  </si>
  <si>
    <t>0 - 500000</t>
  </si>
  <si>
    <t>1000001 +</t>
  </si>
  <si>
    <t>0 - 2.5</t>
  </si>
  <si>
    <t>2.5 - 5</t>
  </si>
  <si>
    <t>5 - 7.5</t>
  </si>
  <si>
    <t>7.5 - 10</t>
  </si>
  <si>
    <t>10 - 12.5</t>
  </si>
  <si>
    <t>12.5 - 15</t>
  </si>
  <si>
    <t>15+</t>
  </si>
  <si>
    <t>Income Tax for Senior Citizens</t>
  </si>
  <si>
    <t>0 - 3</t>
  </si>
  <si>
    <t>3 - 5</t>
  </si>
  <si>
    <t>Income Tax for Super Senior Citizens</t>
  </si>
  <si>
    <r>
      <t xml:space="preserve">(II) Standard Deduction for Salaried &amp; Pensioner (Rs 50,000) </t>
    </r>
    <r>
      <rPr>
        <sz val="10"/>
        <color rgb="FFFF0000"/>
        <rFont val="Arial"/>
        <family val="2"/>
      </rPr>
      <t>Budget 2019</t>
    </r>
  </si>
  <si>
    <r>
      <t xml:space="preserve">Additional tax exemption for First Time Home Buyers </t>
    </r>
    <r>
      <rPr>
        <b/>
        <i/>
        <sz val="8"/>
        <rFont val="Arial"/>
        <family val="2"/>
      </rPr>
      <t>(Budget 2016)</t>
    </r>
  </si>
  <si>
    <r>
      <t xml:space="preserve">G. 80GG For Rent in case of NO HRA Component </t>
    </r>
    <r>
      <rPr>
        <i/>
        <sz val="8"/>
        <rFont val="Arial"/>
        <family val="2"/>
      </rPr>
      <t>(Budget 2016)</t>
    </r>
  </si>
  <si>
    <r>
      <t xml:space="preserve">I. 80TTA/80TTB (Interest on Saving Account/Interest on all deposits) </t>
    </r>
    <r>
      <rPr>
        <b/>
        <sz val="8"/>
        <rFont val="Arial"/>
        <family val="2"/>
      </rPr>
      <t>(Budget 2018)</t>
    </r>
  </si>
  <si>
    <r>
      <t xml:space="preserve">Tax Rebate of Rs. 12,500 (For Income of less than 5 lakhs) </t>
    </r>
    <r>
      <rPr>
        <b/>
        <i/>
        <sz val="8"/>
        <rFont val="Arial"/>
        <family val="2"/>
      </rPr>
      <t>(Budget 2019)</t>
    </r>
  </si>
  <si>
    <r>
      <t xml:space="preserve">Tax Surcharge @ 10%/15%/25%/37% (Income more than 50 Lakhs/1 cr/2 cr/5 cr respectively) </t>
    </r>
    <r>
      <rPr>
        <b/>
        <i/>
        <sz val="8"/>
        <rFont val="Arial"/>
        <family val="2"/>
      </rPr>
      <t>(Budget 2019)</t>
    </r>
  </si>
  <si>
    <r>
      <rPr>
        <b/>
        <sz val="10"/>
        <rFont val="Arial"/>
        <family val="2"/>
      </rPr>
      <t>Disclaimer:</t>
    </r>
    <r>
      <rPr>
        <sz val="11"/>
        <color theme="1"/>
        <rFont val="Calibri"/>
        <family val="2"/>
        <scheme val="minor"/>
      </rPr>
      <t xml:space="preserve"> All care has been taken to keep the information upto date and correct and is for educational purpose only. You are encouraged to consult your Tax Advisor before taking any decision based on this calculator.</t>
    </r>
  </si>
  <si>
    <t>NOTES</t>
  </si>
  <si>
    <t>Enter your Birth Date for correct calculation of tax</t>
  </si>
  <si>
    <t>For Income Tax purpose - only Delhi, Mumbai, Chennai &amp; Kolkata are considered as metro cities. Noida, Gurgaon etc are Non-metro cities.</t>
  </si>
  <si>
    <t xml:space="preserve">You can take Tax Benefit on both HRA &amp; Home Loan in some cases
</t>
  </si>
  <si>
    <t>The maximum exemption on Home Loan interest is Rs. 2 lakhs irrespective of it being Letout or Self-Occupied [in Budget 2017]</t>
  </si>
  <si>
    <t>If paid for senior citizen then 50000, otherwise 25000</t>
  </si>
  <si>
    <t>If parents are senior citizen then 50000, otherwise 25000</t>
  </si>
  <si>
    <t>Upto 10% of Basic Salary + DA. If employer contribution exceeds 7.5 L, then the excess amount have to be included in salary as perquisites.</t>
  </si>
  <si>
    <t>Tax Exemption on Home Loan for Purchase of Affordable House</t>
  </si>
  <si>
    <t>Tax Exemption on Auto Loan for Purchase of Electric Vehicles</t>
  </si>
  <si>
    <t>For assessee below 60 years, deduction of upto Rs 10000 for interest on savings A/c only, while for senior citizens deduction upto Rs 50000 for interest on all deposits</t>
  </si>
  <si>
    <t>Less: Additional Deduction under Sec 80CCD(1B) NPS (Max Rs 50,000/-)</t>
  </si>
  <si>
    <t>Annual salary or Rs 50000, Whichever is less</t>
  </si>
  <si>
    <t>Like Leave Travel Allowance(LTA) etc.</t>
  </si>
  <si>
    <t>Deduction available u/s 80TTA/80TTB</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</si>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</sst>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0\ ;&quot; (&quot;#,##0\);&quot; -&quot;#\ ;@\ "/>
  </numFmts>
  <fonts count="29" x14ac:knownFonts="1">
    <font>
      <sz val="11"/>
      <color theme="1"/>
      <name val="Calibri"/>
      <family val="2"/>
      <scheme val="minor"/>
    </font>
    <font>
      <sz val="11"/>
      <color theme="1"/>
      <name val="Calibri"/>
      <family val="2"/>
      <scheme val="minor"/>
    </font>
    <font>
      <sz val="10"/>
      <name val="Arial"/>
      <family val="2"/>
    </font>
    <font>
      <b/>
      <u/>
      <sz val="16"/>
      <name val="Arial"/>
      <family val="2"/>
    </font>
    <font>
      <sz val="16"/>
      <name val="Arial"/>
      <family val="2"/>
    </font>
    <font>
      <u/>
      <sz val="14"/>
      <color rgb="FF0000FF"/>
      <name val="Arial"/>
      <family val="2"/>
    </font>
    <font>
      <b/>
      <sz val="11"/>
      <name val="Arial"/>
      <family val="2"/>
    </font>
    <font>
      <b/>
      <sz val="11"/>
      <color rgb="FF333399"/>
      <name val="Calibri"/>
      <family val="2"/>
    </font>
    <font>
      <sz val="10"/>
      <name val="Calibri"/>
      <family val="2"/>
    </font>
    <font>
      <sz val="14"/>
      <color rgb="FFFFFFFF"/>
      <name val="Gill Sans MT"/>
      <family val="2"/>
    </font>
    <font>
      <b/>
      <sz val="10"/>
      <name val="Arial"/>
      <family val="2"/>
    </font>
    <font>
      <sz val="11"/>
      <color rgb="FF333399"/>
      <name val="Calibri"/>
      <family val="2"/>
    </font>
    <font>
      <sz val="10"/>
      <color rgb="FFFFFFFF"/>
      <name val="Calibri"/>
      <family val="2"/>
    </font>
    <font>
      <b/>
      <sz val="11"/>
      <color rgb="FF333333"/>
      <name val="Calibri"/>
      <family val="2"/>
    </font>
    <font>
      <sz val="10"/>
      <color rgb="FFFF0000"/>
      <name val="Arial"/>
      <family val="2"/>
    </font>
    <font>
      <b/>
      <i/>
      <sz val="8"/>
      <name val="Arial"/>
      <family val="2"/>
    </font>
    <font>
      <i/>
      <sz val="8"/>
      <name val="Arial"/>
      <family val="2"/>
    </font>
    <font>
      <b/>
      <sz val="8"/>
      <name val="Arial"/>
      <family val="2"/>
    </font>
    <font>
      <b/>
      <sz val="14"/>
      <color rgb="FF800080"/>
      <name val="Calibri"/>
      <family val="2"/>
    </font>
    <font>
      <b/>
      <sz val="14"/>
      <color rgb="FF974706"/>
      <name val="Calibri"/>
      <family val="2"/>
    </font>
    <font>
      <sz val="11"/>
      <color rgb="FF000000"/>
      <name val="Calibri"/>
      <family val="2"/>
    </font>
    <font>
      <b/>
      <sz val="12"/>
      <color rgb="FF008000"/>
      <name val="Calibri"/>
      <family val="2"/>
    </font>
    <font>
      <b/>
      <sz val="12"/>
      <color rgb="FF006600"/>
      <name val="Calibri"/>
      <family val="2"/>
    </font>
    <font>
      <b/>
      <sz val="12"/>
      <name val="Arial"/>
      <family val="2"/>
    </font>
    <font>
      <b/>
      <sz val="8"/>
      <color rgb="FF000000"/>
      <name val="Tahoma"/>
      <family val="2"/>
    </font>
    <font>
      <sz val="8"/>
      <color rgb="FF000000"/>
      <name val="Tahoma"/>
      <family val="2"/>
    </font>
    <font>
      <b/>
      <sz val="9"/>
      <color rgb="FF000000"/>
      <name val="Tahoma"/>
      <family val="2"/>
    </font>
    <font>
      <sz val="9"/>
      <color rgb="FF000000"/>
      <name val="Tahoma"/>
      <family val="2"/>
    </font>
    <font>
      <sz val="11"/>
      <color rgb="FF000000"/>
      <name val="Calibri"/>
      <family val="2"/>
      <scheme val="minor"/>
    </font>
  </fonts>
  <fills count="16">
    <fill>
      <patternFill patternType="none"/>
    </fill>
    <fill>
      <patternFill patternType="gray125"/>
    </fill>
    <fill>
      <patternFill patternType="solid">
        <fgColor theme="9" tint="0.59999389629810485"/>
        <bgColor indexed="65"/>
      </patternFill>
    </fill>
    <fill>
      <patternFill patternType="solid">
        <fgColor rgb="FFFFFFFF"/>
        <bgColor rgb="FF000000"/>
      </patternFill>
    </fill>
    <fill>
      <patternFill patternType="solid">
        <fgColor rgb="FFFFCC99"/>
        <bgColor rgb="FF000000"/>
      </patternFill>
    </fill>
    <fill>
      <patternFill patternType="solid">
        <fgColor rgb="FFFCD5B4"/>
        <bgColor rgb="FF000000"/>
      </patternFill>
    </fill>
    <fill>
      <patternFill patternType="solid">
        <fgColor rgb="FFCCCCCC"/>
        <bgColor rgb="FF000000"/>
      </patternFill>
    </fill>
    <fill>
      <patternFill patternType="solid">
        <fgColor rgb="FF666666"/>
        <bgColor rgb="FF000000"/>
      </patternFill>
    </fill>
    <fill>
      <patternFill patternType="solid">
        <fgColor rgb="FFC0C0C0"/>
        <bgColor rgb="FF000000"/>
      </patternFill>
    </fill>
    <fill>
      <patternFill patternType="solid">
        <fgColor rgb="FFDAEEF3"/>
        <bgColor rgb="FF000000"/>
      </patternFill>
    </fill>
    <fill>
      <patternFill patternType="solid">
        <fgColor rgb="FFFFC000"/>
        <bgColor rgb="FF000000"/>
      </patternFill>
    </fill>
    <fill>
      <patternFill patternType="solid">
        <fgColor rgb="FFFFCCCC"/>
        <bgColor rgb="FF000000"/>
      </patternFill>
    </fill>
    <fill>
      <patternFill patternType="solid">
        <fgColor rgb="FFFCD5B4"/>
        <bgColor rgb="FFFFFFFF"/>
      </patternFill>
    </fill>
    <fill>
      <patternFill patternType="solid">
        <fgColor rgb="FFCCFFFF"/>
        <bgColor rgb="FF000000"/>
      </patternFill>
    </fill>
    <fill>
      <patternFill patternType="solid">
        <fgColor rgb="FFEBF1DE"/>
        <bgColor rgb="FF000000"/>
      </patternFill>
    </fill>
    <fill>
      <patternFill patternType="solid">
        <fgColor rgb="FF99CCFF"/>
        <bgColor rgb="FF000000"/>
      </patternFill>
    </fill>
  </fills>
  <borders count="33">
    <border>
      <left/>
      <right/>
      <top/>
      <bottom/>
      <diagonal/>
    </border>
    <border>
      <left style="medium">
        <color indexed="64"/>
      </left>
      <right/>
      <top style="medium">
        <color indexed="64"/>
      </top>
      <bottom/>
      <diagonal/>
    </border>
    <border>
      <left style="thin">
        <color rgb="FF808080"/>
      </left>
      <right/>
      <top style="medium">
        <color indexed="64"/>
      </top>
      <bottom style="thin">
        <color rgb="FF003366"/>
      </bottom>
      <diagonal/>
    </border>
    <border>
      <left/>
      <right/>
      <top style="medium">
        <color indexed="64"/>
      </top>
      <bottom style="thin">
        <color rgb="FF003366"/>
      </bottom>
      <diagonal/>
    </border>
    <border>
      <left style="medium">
        <color indexed="64"/>
      </left>
      <right/>
      <top/>
      <bottom/>
      <diagonal/>
    </border>
    <border>
      <left style="thin">
        <color rgb="FF808080"/>
      </left>
      <right/>
      <top style="thin">
        <color rgb="FF003366"/>
      </top>
      <bottom style="thin">
        <color rgb="FF808080"/>
      </bottom>
      <diagonal/>
    </border>
    <border>
      <left/>
      <right/>
      <top style="thin">
        <color rgb="FF003366"/>
      </top>
      <bottom style="thin">
        <color rgb="FF808080"/>
      </bottom>
      <diagonal/>
    </border>
    <border>
      <left/>
      <right/>
      <top/>
      <bottom style="thin">
        <color rgb="FF808080"/>
      </bottom>
      <diagonal/>
    </border>
    <border>
      <left style="thin">
        <color rgb="FF003366"/>
      </left>
      <right style="thin">
        <color rgb="FF808080"/>
      </right>
      <top style="thin">
        <color rgb="FF808080"/>
      </top>
      <bottom style="thin">
        <color rgb="FF808080"/>
      </bottom>
      <diagonal/>
    </border>
    <border>
      <left style="thin">
        <color rgb="FF003366"/>
      </left>
      <right style="thin">
        <color rgb="FF333333"/>
      </right>
      <top style="thin">
        <color rgb="FF333333"/>
      </top>
      <bottom style="thin">
        <color rgb="FF333333"/>
      </bottom>
      <diagonal/>
    </border>
    <border>
      <left style="thin">
        <color rgb="FF808080"/>
      </left>
      <right style="thin">
        <color rgb="FF808080"/>
      </right>
      <top style="thin">
        <color rgb="FF003366"/>
      </top>
      <bottom style="thin">
        <color rgb="FF808080"/>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style="medium">
        <color indexed="64"/>
      </left>
      <right/>
      <top/>
      <bottom style="thin">
        <color rgb="FF003366"/>
      </bottom>
      <diagonal/>
    </border>
    <border>
      <left/>
      <right/>
      <top/>
      <bottom style="thin">
        <color rgb="FF003366"/>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33333"/>
      </left>
      <right/>
      <top style="double">
        <color rgb="FF333333"/>
      </top>
      <bottom style="double">
        <color rgb="FF333333"/>
      </bottom>
      <diagonal/>
    </border>
    <border>
      <left style="double">
        <color rgb="FF333333"/>
      </left>
      <right/>
      <top/>
      <bottom style="double">
        <color rgb="FF333333"/>
      </bottom>
      <diagonal/>
    </border>
    <border>
      <left style="thin">
        <color rgb="FF333333"/>
      </left>
      <right/>
      <top style="thin">
        <color rgb="FF333333"/>
      </top>
      <bottom style="thin">
        <color rgb="FF333333"/>
      </bottom>
      <diagonal/>
    </border>
    <border>
      <left style="double">
        <color rgb="FF333333"/>
      </left>
      <right/>
      <top style="double">
        <color rgb="FF333333"/>
      </top>
      <bottom style="thin">
        <color rgb="FF003366"/>
      </bottom>
      <diagonal/>
    </border>
    <border>
      <left style="double">
        <color rgb="FF333333"/>
      </left>
      <right/>
      <top style="double">
        <color rgb="FF333333"/>
      </top>
      <bottom/>
      <diagonal/>
    </border>
    <border>
      <left style="double">
        <color rgb="FF333333"/>
      </left>
      <right/>
      <top style="double">
        <color rgb="FF333333"/>
      </top>
      <bottom style="medium">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43" fontId="1" fillId="0" borderId="0" applyFont="0" applyFill="0" applyBorder="0" applyAlignment="0" applyProtection="0"/>
    <xf numFmtId="0" fontId="1" fillId="2" borderId="0" applyNumberFormat="0" applyBorder="0" applyAlignment="0" applyProtection="0"/>
  </cellStyleXfs>
  <cellXfs count="87">
    <xf numFmtId="0" fontId="0" fillId="0" borderId="0" xfId="0"/>
    <xf numFmtId="0" fontId="2" fillId="0" borderId="0" xfId="0" applyFont="1" applyFill="1" applyBorder="1" applyProtection="1">
      <protection hidden="1"/>
    </xf>
    <xf numFmtId="0" fontId="4"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6" fillId="3" borderId="1" xfId="0" applyFont="1" applyFill="1" applyBorder="1" applyAlignment="1" applyProtection="1">
      <alignment horizontal="right" vertical="center"/>
      <protection hidden="1"/>
    </xf>
    <xf numFmtId="0" fontId="6" fillId="3" borderId="4" xfId="0" applyFont="1" applyFill="1" applyBorder="1" applyAlignment="1" applyProtection="1">
      <alignment horizontal="right" vertical="center"/>
      <protection hidden="1"/>
    </xf>
    <xf numFmtId="0" fontId="2" fillId="3" borderId="4" xfId="0" applyFont="1" applyFill="1" applyBorder="1" applyAlignment="1" applyProtection="1">
      <alignment vertical="center"/>
      <protection hidden="1"/>
    </xf>
    <xf numFmtId="0" fontId="2" fillId="3" borderId="0" xfId="0" applyFont="1" applyFill="1" applyBorder="1" applyAlignment="1" applyProtection="1">
      <alignment vertical="center"/>
      <protection hidden="1"/>
    </xf>
    <xf numFmtId="0" fontId="2" fillId="3" borderId="7" xfId="0" applyFont="1" applyFill="1" applyBorder="1" applyAlignment="1" applyProtection="1">
      <alignment vertical="center"/>
      <protection hidden="1"/>
    </xf>
    <xf numFmtId="0" fontId="6" fillId="3" borderId="0" xfId="0" applyFont="1" applyFill="1" applyBorder="1" applyAlignment="1" applyProtection="1">
      <alignment vertical="center"/>
      <protection hidden="1"/>
    </xf>
    <xf numFmtId="15" fontId="2" fillId="5" borderId="8" xfId="0" applyNumberFormat="1" applyFont="1" applyFill="1" applyBorder="1" applyAlignment="1" applyProtection="1">
      <alignment horizontal="center" vertical="center"/>
      <protection locked="0"/>
    </xf>
    <xf numFmtId="15" fontId="2" fillId="0" borderId="0" xfId="0" applyNumberFormat="1" applyFont="1" applyFill="1" applyBorder="1" applyProtection="1">
      <protection hidden="1"/>
    </xf>
    <xf numFmtId="0" fontId="9" fillId="0" borderId="0" xfId="0" applyFont="1" applyFill="1" applyBorder="1" applyAlignment="1">
      <alignment horizontal="center" readingOrder="1"/>
    </xf>
    <xf numFmtId="0" fontId="10" fillId="3" borderId="0" xfId="0" applyFont="1" applyFill="1" applyBorder="1" applyAlignment="1" applyProtection="1">
      <alignment vertical="center"/>
      <protection hidden="1"/>
    </xf>
    <xf numFmtId="1" fontId="2" fillId="6" borderId="9" xfId="0" applyNumberFormat="1" applyFont="1" applyFill="1" applyBorder="1" applyAlignment="1" applyProtection="1">
      <alignment horizontal="center" vertical="center"/>
      <protection hidden="1"/>
    </xf>
    <xf numFmtId="0" fontId="6" fillId="3" borderId="4" xfId="0" applyFont="1" applyFill="1" applyBorder="1" applyAlignment="1" applyProtection="1">
      <alignment vertical="center"/>
      <protection hidden="1"/>
    </xf>
    <xf numFmtId="3" fontId="11" fillId="4" borderId="10" xfId="0" applyNumberFormat="1" applyFont="1" applyFill="1" applyBorder="1" applyAlignment="1" applyProtection="1">
      <alignment vertical="center"/>
      <protection locked="0" hidden="1"/>
    </xf>
    <xf numFmtId="3" fontId="2" fillId="3" borderId="0" xfId="0" applyNumberFormat="1" applyFont="1" applyFill="1" applyBorder="1" applyAlignment="1" applyProtection="1">
      <alignment vertical="center"/>
      <protection hidden="1"/>
    </xf>
    <xf numFmtId="0" fontId="10" fillId="3" borderId="4" xfId="0" applyFont="1" applyFill="1" applyBorder="1" applyAlignment="1" applyProtection="1">
      <alignment vertical="center"/>
      <protection hidden="1"/>
    </xf>
    <xf numFmtId="3" fontId="13" fillId="8" borderId="11" xfId="0" applyNumberFormat="1" applyFont="1" applyFill="1" applyBorder="1" applyAlignment="1" applyProtection="1">
      <alignment vertical="center"/>
      <protection hidden="1"/>
    </xf>
    <xf numFmtId="0" fontId="2" fillId="3" borderId="4" xfId="0" applyFont="1" applyFill="1" applyBorder="1" applyAlignment="1" applyProtection="1">
      <alignment horizontal="left" vertical="center" indent="2"/>
      <protection hidden="1"/>
    </xf>
    <xf numFmtId="3" fontId="11" fillId="4" borderId="12" xfId="0" applyNumberFormat="1" applyFont="1" applyFill="1" applyBorder="1" applyAlignment="1" applyProtection="1">
      <alignment horizontal="right" vertical="center"/>
      <protection locked="0"/>
    </xf>
    <xf numFmtId="3" fontId="11" fillId="4" borderId="12" xfId="0" applyNumberFormat="1" applyFont="1" applyFill="1" applyBorder="1" applyAlignment="1" applyProtection="1">
      <alignment vertical="center"/>
      <protection locked="0" hidden="1"/>
    </xf>
    <xf numFmtId="3" fontId="11" fillId="4" borderId="12" xfId="0" applyNumberFormat="1" applyFont="1" applyFill="1" applyBorder="1" applyAlignment="1" applyProtection="1">
      <alignment vertical="center"/>
      <protection locked="0"/>
    </xf>
    <xf numFmtId="0" fontId="2" fillId="0" borderId="0" xfId="0" applyFont="1" applyFill="1" applyBorder="1"/>
    <xf numFmtId="0" fontId="10" fillId="3" borderId="4" xfId="0" applyFont="1" applyFill="1" applyBorder="1" applyAlignment="1" applyProtection="1">
      <alignment horizontal="left" vertical="center" indent="2"/>
      <protection hidden="1"/>
    </xf>
    <xf numFmtId="0" fontId="10" fillId="0" borderId="4" xfId="0" applyFont="1" applyFill="1" applyBorder="1" applyAlignment="1" applyProtection="1">
      <alignment horizontal="left" vertical="center" indent="2"/>
      <protection hidden="1"/>
    </xf>
    <xf numFmtId="0" fontId="2" fillId="3" borderId="4" xfId="0" applyFont="1" applyFill="1" applyBorder="1" applyAlignment="1" applyProtection="1">
      <alignment horizontal="left" vertical="center" wrapText="1" indent="2"/>
      <protection hidden="1"/>
    </xf>
    <xf numFmtId="3" fontId="2" fillId="3" borderId="0" xfId="0" applyNumberFormat="1" applyFont="1" applyFill="1" applyBorder="1" applyAlignment="1" applyProtection="1">
      <alignment vertical="center"/>
      <protection locked="0"/>
    </xf>
    <xf numFmtId="0" fontId="2" fillId="0" borderId="4" xfId="0" applyFont="1" applyFill="1" applyBorder="1" applyAlignment="1" applyProtection="1">
      <alignment horizontal="left" vertical="center" indent="2"/>
      <protection hidden="1"/>
    </xf>
    <xf numFmtId="0" fontId="10" fillId="9" borderId="4" xfId="0" applyFont="1" applyFill="1" applyBorder="1" applyAlignment="1" applyProtection="1">
      <alignment vertical="center"/>
      <protection hidden="1"/>
    </xf>
    <xf numFmtId="0" fontId="6" fillId="10" borderId="4" xfId="0" applyFont="1" applyFill="1" applyBorder="1" applyAlignment="1" applyProtection="1">
      <alignment vertical="center"/>
      <protection hidden="1"/>
    </xf>
    <xf numFmtId="0" fontId="6" fillId="0" borderId="4" xfId="0" applyFont="1" applyFill="1" applyBorder="1" applyAlignment="1" applyProtection="1">
      <alignment vertical="center"/>
      <protection hidden="1"/>
    </xf>
    <xf numFmtId="0" fontId="18" fillId="0" borderId="13" xfId="0" applyFont="1" applyFill="1" applyBorder="1" applyAlignment="1" applyProtection="1">
      <alignment vertical="center"/>
      <protection hidden="1"/>
    </xf>
    <xf numFmtId="3" fontId="18" fillId="0" borderId="14" xfId="0" applyNumberFormat="1" applyFont="1" applyFill="1" applyBorder="1" applyAlignment="1" applyProtection="1">
      <alignment vertical="center"/>
      <protection hidden="1"/>
    </xf>
    <xf numFmtId="0" fontId="19" fillId="0" borderId="4" xfId="0" applyFont="1" applyFill="1" applyBorder="1" applyAlignment="1" applyProtection="1">
      <alignment vertical="center"/>
      <protection hidden="1"/>
    </xf>
    <xf numFmtId="3" fontId="19" fillId="0" borderId="0" xfId="0" applyNumberFormat="1" applyFont="1" applyFill="1" applyBorder="1" applyAlignment="1" applyProtection="1">
      <alignment vertical="center"/>
      <protection hidden="1"/>
    </xf>
    <xf numFmtId="0" fontId="21" fillId="0" borderId="15" xfId="0" applyFont="1" applyFill="1" applyBorder="1" applyAlignment="1" applyProtection="1">
      <alignment vertical="center"/>
      <protection hidden="1"/>
    </xf>
    <xf numFmtId="3" fontId="21" fillId="0" borderId="16" xfId="0" applyNumberFormat="1" applyFont="1" applyFill="1" applyBorder="1" applyAlignment="1" applyProtection="1">
      <alignment vertical="center"/>
      <protection hidden="1"/>
    </xf>
    <xf numFmtId="164" fontId="2" fillId="0" borderId="0" xfId="1" applyNumberFormat="1" applyFont="1" applyFill="1" applyBorder="1" applyAlignment="1" applyProtection="1">
      <alignment vertical="center"/>
      <protection hidden="1"/>
    </xf>
    <xf numFmtId="9" fontId="2" fillId="0" borderId="0" xfId="0" applyNumberFormat="1" applyFont="1" applyFill="1" applyBorder="1" applyAlignment="1" applyProtection="1">
      <alignment vertical="center"/>
      <protection hidden="1"/>
    </xf>
    <xf numFmtId="0" fontId="10" fillId="15" borderId="0" xfId="0" applyFont="1" applyFill="1" applyBorder="1" applyAlignment="1" applyProtection="1">
      <alignment vertical="center"/>
      <protection hidden="1"/>
    </xf>
    <xf numFmtId="0" fontId="10" fillId="0" borderId="0" xfId="0" applyFont="1" applyFill="1" applyBorder="1" applyAlignment="1" applyProtection="1">
      <alignment vertical="center"/>
      <protection hidden="1"/>
    </xf>
    <xf numFmtId="165" fontId="2" fillId="0" borderId="0" xfId="0" applyNumberFormat="1" applyFont="1" applyFill="1" applyBorder="1" applyAlignment="1" applyProtection="1">
      <alignment vertical="center"/>
      <protection hidden="1"/>
    </xf>
    <xf numFmtId="1" fontId="2" fillId="0" borderId="0" xfId="0" applyNumberFormat="1" applyFont="1" applyFill="1" applyBorder="1" applyAlignment="1" applyProtection="1">
      <alignment vertical="center"/>
      <protection hidden="1"/>
    </xf>
    <xf numFmtId="3" fontId="2" fillId="0" borderId="0" xfId="0" applyNumberFormat="1" applyFont="1" applyFill="1" applyBorder="1" applyAlignment="1" applyProtection="1">
      <alignment vertical="center"/>
      <protection hidden="1"/>
    </xf>
    <xf numFmtId="49" fontId="2" fillId="0" borderId="0" xfId="0" applyNumberFormat="1" applyFont="1" applyFill="1" applyBorder="1" applyAlignment="1" applyProtection="1">
      <alignment vertical="center"/>
      <protection hidden="1"/>
    </xf>
    <xf numFmtId="165" fontId="10" fillId="0" borderId="0" xfId="0" applyNumberFormat="1" applyFont="1" applyFill="1" applyBorder="1" applyAlignment="1" applyProtection="1">
      <alignment vertical="center"/>
      <protection hidden="1"/>
    </xf>
    <xf numFmtId="164" fontId="2" fillId="10" borderId="0" xfId="1" applyNumberFormat="1" applyFont="1" applyFill="1" applyBorder="1" applyAlignment="1" applyProtection="1">
      <alignment vertical="center"/>
      <protection hidden="1"/>
    </xf>
    <xf numFmtId="49" fontId="10" fillId="15" borderId="0" xfId="0" applyNumberFormat="1" applyFont="1" applyFill="1" applyBorder="1" applyAlignment="1" applyProtection="1">
      <alignment vertical="center"/>
      <protection hidden="1"/>
    </xf>
    <xf numFmtId="0" fontId="2" fillId="0" borderId="18" xfId="0" applyFont="1" applyFill="1" applyBorder="1" applyAlignment="1" applyProtection="1">
      <alignment horizontal="left" vertical="center" wrapText="1"/>
      <protection hidden="1"/>
    </xf>
    <xf numFmtId="0" fontId="2" fillId="0" borderId="19" xfId="0" applyFont="1" applyFill="1" applyBorder="1" applyAlignment="1" applyProtection="1">
      <alignment horizontal="left" vertical="center" wrapText="1"/>
      <protection hidden="1"/>
    </xf>
    <xf numFmtId="0" fontId="2" fillId="0" borderId="20" xfId="0" applyFont="1" applyFill="1" applyBorder="1" applyAlignment="1" applyProtection="1">
      <alignment horizontal="left" vertical="center" wrapText="1"/>
      <protection hidden="1"/>
    </xf>
    <xf numFmtId="0" fontId="3" fillId="0" borderId="0" xfId="0" applyFont="1" applyFill="1" applyBorder="1" applyAlignment="1" applyProtection="1">
      <alignment horizontal="center" vertical="center"/>
      <protection hidden="1"/>
    </xf>
    <xf numFmtId="0" fontId="5" fillId="0" borderId="0" xfId="0" applyFont="1" applyFill="1" applyBorder="1" applyAlignment="1" applyProtection="1">
      <alignment horizontal="center" vertical="center"/>
      <protection hidden="1"/>
    </xf>
    <xf numFmtId="3" fontId="7" fillId="4" borderId="2" xfId="0" applyNumberFormat="1" applyFont="1" applyFill="1" applyBorder="1" applyAlignment="1" applyProtection="1">
      <alignment horizontal="center" vertical="center"/>
      <protection locked="0"/>
    </xf>
    <xf numFmtId="3" fontId="7" fillId="4" borderId="3" xfId="0" applyNumberFormat="1" applyFont="1" applyFill="1" applyBorder="1" applyAlignment="1" applyProtection="1">
      <alignment horizontal="center" vertical="center"/>
      <protection locked="0"/>
    </xf>
    <xf numFmtId="3" fontId="7" fillId="4" borderId="5" xfId="0" applyNumberFormat="1" applyFont="1" applyFill="1" applyBorder="1" applyAlignment="1" applyProtection="1">
      <alignment horizontal="center" vertical="center"/>
      <protection locked="0"/>
    </xf>
    <xf numFmtId="3" fontId="7" fillId="4" borderId="6" xfId="0" applyNumberFormat="1" applyFont="1" applyFill="1" applyBorder="1" applyAlignment="1" applyProtection="1">
      <alignment horizontal="center" vertical="center"/>
      <protection locked="0"/>
    </xf>
    <xf numFmtId="0" fontId="23" fillId="14" borderId="17" xfId="0" applyFont="1" applyFill="1" applyBorder="1" applyAlignment="1" applyProtection="1">
      <alignment horizontal="center" vertical="center"/>
      <protection hidden="1"/>
    </xf>
    <xf numFmtId="0" fontId="2" fillId="0" borderId="0" xfId="0" applyFont="1" applyFill="1" applyBorder="1" applyAlignment="1" applyProtection="1">
      <protection hidden="1"/>
    </xf>
    <xf numFmtId="0" fontId="8" fillId="3" borderId="0" xfId="0" applyFont="1" applyFill="1" applyBorder="1" applyAlignment="1" applyProtection="1">
      <alignment vertical="center"/>
      <protection hidden="1"/>
    </xf>
    <xf numFmtId="3" fontId="12" fillId="7" borderId="21" xfId="0" applyNumberFormat="1" applyFont="1" applyFill="1" applyBorder="1" applyAlignment="1" applyProtection="1">
      <alignment vertical="center"/>
      <protection hidden="1"/>
    </xf>
    <xf numFmtId="3" fontId="8" fillId="3" borderId="0" xfId="0" applyNumberFormat="1" applyFont="1" applyFill="1" applyBorder="1" applyAlignment="1" applyProtection="1">
      <alignment vertical="center"/>
      <protection hidden="1"/>
    </xf>
    <xf numFmtId="3" fontId="12" fillId="7" borderId="22" xfId="0" applyNumberFormat="1" applyFont="1" applyFill="1" applyBorder="1" applyAlignment="1" applyProtection="1">
      <alignment vertical="center"/>
      <protection hidden="1"/>
    </xf>
    <xf numFmtId="3" fontId="13" fillId="8" borderId="23" xfId="0" applyNumberFormat="1" applyFont="1" applyFill="1" applyBorder="1" applyAlignment="1" applyProtection="1">
      <alignment vertical="center"/>
      <protection hidden="1"/>
    </xf>
    <xf numFmtId="3" fontId="18" fillId="11" borderId="24" xfId="0" applyNumberFormat="1" applyFont="1" applyFill="1" applyBorder="1" applyAlignment="1" applyProtection="1">
      <alignment vertical="center"/>
      <protection hidden="1"/>
    </xf>
    <xf numFmtId="3" fontId="20" fillId="12" borderId="25" xfId="2" applyNumberFormat="1" applyFont="1" applyFill="1" applyBorder="1" applyAlignment="1" applyProtection="1">
      <alignment vertical="center"/>
      <protection locked="0" hidden="1"/>
    </xf>
    <xf numFmtId="3" fontId="19" fillId="11" borderId="25" xfId="0" applyNumberFormat="1" applyFont="1" applyFill="1" applyBorder="1" applyAlignment="1" applyProtection="1">
      <alignment vertical="center"/>
      <protection hidden="1"/>
    </xf>
    <xf numFmtId="9" fontId="22" fillId="13" borderId="26" xfId="0" applyNumberFormat="1" applyFont="1" applyFill="1" applyBorder="1" applyAlignment="1" applyProtection="1">
      <alignment vertical="center"/>
      <protection hidden="1"/>
    </xf>
    <xf numFmtId="0" fontId="23" fillId="14" borderId="18" xfId="0" applyFont="1" applyFill="1" applyBorder="1" applyAlignment="1" applyProtection="1">
      <alignment horizontal="center" vertical="center"/>
      <protection hidden="1"/>
    </xf>
    <xf numFmtId="0" fontId="2" fillId="0" borderId="29" xfId="0" applyFont="1" applyFill="1" applyBorder="1" applyProtection="1">
      <protection hidden="1"/>
    </xf>
    <xf numFmtId="0" fontId="2" fillId="0" borderId="29" xfId="0" applyFont="1" applyFill="1" applyBorder="1" applyAlignment="1" applyProtection="1">
      <protection hidden="1"/>
    </xf>
    <xf numFmtId="0" fontId="2" fillId="0" borderId="29" xfId="0" applyFont="1" applyFill="1" applyBorder="1" applyAlignment="1" applyProtection="1">
      <alignment vertical="center"/>
      <protection hidden="1"/>
    </xf>
    <xf numFmtId="0" fontId="2" fillId="0" borderId="30" xfId="0" applyFont="1" applyFill="1" applyBorder="1" applyProtection="1">
      <protection hidden="1"/>
    </xf>
    <xf numFmtId="0" fontId="2" fillId="0" borderId="31" xfId="0" applyFont="1" applyFill="1" applyBorder="1" applyProtection="1">
      <protection hidden="1"/>
    </xf>
    <xf numFmtId="0" fontId="6" fillId="0" borderId="18" xfId="0" applyFont="1" applyFill="1" applyBorder="1" applyAlignment="1" applyProtection="1">
      <alignment horizontal="center" vertical="center"/>
      <protection hidden="1"/>
    </xf>
    <xf numFmtId="0" fontId="6" fillId="0" borderId="19" xfId="0" applyFont="1" applyFill="1" applyBorder="1" applyAlignment="1" applyProtection="1">
      <alignment horizontal="center" vertical="center"/>
      <protection hidden="1"/>
    </xf>
    <xf numFmtId="0" fontId="6" fillId="0" borderId="20" xfId="0" applyFont="1" applyFill="1" applyBorder="1" applyAlignment="1" applyProtection="1">
      <alignment horizontal="center" vertical="center"/>
      <protection hidden="1"/>
    </xf>
    <xf numFmtId="0" fontId="2" fillId="0" borderId="27" xfId="0" applyFont="1" applyFill="1" applyBorder="1" applyProtection="1">
      <protection hidden="1"/>
    </xf>
    <xf numFmtId="0" fontId="2" fillId="0" borderId="27" xfId="0" applyFont="1" applyFill="1" applyBorder="1" applyAlignment="1" applyProtection="1">
      <protection hidden="1"/>
    </xf>
    <xf numFmtId="0" fontId="2" fillId="0" borderId="28" xfId="0" applyFont="1" applyFill="1" applyBorder="1" applyProtection="1">
      <protection hidden="1"/>
    </xf>
    <xf numFmtId="0" fontId="28" fillId="0" borderId="27" xfId="0" applyFont="1" applyBorder="1" applyAlignment="1">
      <alignment horizontal="left" vertical="center"/>
    </xf>
    <xf numFmtId="0" fontId="2" fillId="0" borderId="27" xfId="0" applyFont="1" applyFill="1" applyBorder="1" applyAlignment="1" applyProtection="1">
      <alignment vertical="center"/>
      <protection hidden="1"/>
    </xf>
    <xf numFmtId="0" fontId="10" fillId="0" borderId="27" xfId="0" applyFont="1" applyFill="1" applyBorder="1" applyProtection="1">
      <protection hidden="1"/>
    </xf>
    <xf numFmtId="0" fontId="28" fillId="0" borderId="27" xfId="0" applyFont="1" applyBorder="1"/>
    <xf numFmtId="0" fontId="2" fillId="0" borderId="32" xfId="0" applyFont="1" applyFill="1" applyBorder="1" applyProtection="1">
      <protection hidden="1"/>
    </xf>
  </cellXfs>
  <cellStyles count="3">
    <cellStyle name="40% - Accent6" xfId="2" builtinId="51"/>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38100</xdr:colOff>
      <xdr:row>0</xdr:row>
      <xdr:rowOff>47625</xdr:rowOff>
    </xdr:from>
    <xdr:to>
      <xdr:col>7</xdr:col>
      <xdr:colOff>295275</xdr:colOff>
      <xdr:row>1</xdr:row>
      <xdr:rowOff>38100</xdr:rowOff>
    </xdr:to>
    <xdr:sp macro="" textlink="">
      <xdr:nvSpPr>
        <xdr:cNvPr id="10" name="Rectangle 9"/>
        <xdr:cNvSpPr/>
      </xdr:nvSpPr>
      <xdr:spPr>
        <a:xfrm>
          <a:off x="8115300" y="47625"/>
          <a:ext cx="1543050" cy="247650"/>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r>
            <a:rPr lang="en-US" sz="1100" b="1" i="1" u="sng">
              <a:solidFill>
                <a:schemeClr val="tx1"/>
              </a:solidFill>
            </a:rPr>
            <a:t>Fill up orange cells only</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174"/>
  <sheetViews>
    <sheetView tabSelected="1" workbookViewId="0">
      <selection activeCell="K78" sqref="K78"/>
    </sheetView>
  </sheetViews>
  <sheetFormatPr defaultColWidth="9.140625" defaultRowHeight="12.75" x14ac:dyDescent="0.2"/>
  <cols>
    <col min="1" max="1" width="1.140625" style="1" bestFit="1" customWidth="1"/>
    <col min="2" max="2" width="85.85546875" style="3" customWidth="1"/>
    <col min="3" max="3" width="11.28515625" style="3" bestFit="1" customWidth="1"/>
    <col min="4" max="4" width="10" style="3" customWidth="1"/>
    <col min="5" max="5" width="12.85546875" style="3" bestFit="1" customWidth="1"/>
    <col min="6" max="6" width="9.140625" style="1" customWidth="1"/>
    <col min="7" max="7" width="10.140625" style="1" bestFit="1" customWidth="1"/>
    <col min="8" max="10" width="6.7109375" style="1" bestFit="1" customWidth="1"/>
    <col min="11" max="11" width="9.28515625" style="1" bestFit="1" customWidth="1"/>
    <col min="12" max="12" width="2.140625" style="1" customWidth="1"/>
    <col min="13" max="13" width="72.7109375" style="1" bestFit="1" customWidth="1"/>
    <col min="14" max="25" width="6.7109375" style="1" bestFit="1" customWidth="1"/>
    <col min="26" max="26" width="6.7109375" style="3" bestFit="1" customWidth="1"/>
    <col min="27" max="27" width="6.7109375" style="3" customWidth="1"/>
    <col min="28" max="28" width="28.7109375" style="3" customWidth="1"/>
    <col min="29" max="29" width="10.140625" style="3" bestFit="1" customWidth="1"/>
    <col min="30" max="30" width="10" style="3" customWidth="1"/>
    <col min="31" max="31" width="11.85546875" style="3" customWidth="1"/>
    <col min="32" max="32" width="11.7109375" style="3" customWidth="1"/>
    <col min="33" max="33" width="11.85546875" style="3" customWidth="1"/>
    <col min="34" max="35" width="11" style="3" customWidth="1"/>
    <col min="36" max="57" width="9.140625" style="3" customWidth="1"/>
    <col min="58" max="16384" width="9.140625" style="3"/>
  </cols>
  <sheetData>
    <row r="1" spans="1:41" s="2" customFormat="1" ht="20.25" x14ac:dyDescent="0.2">
      <c r="A1" s="1"/>
      <c r="B1" s="53" t="s">
        <v>0</v>
      </c>
      <c r="C1" s="53"/>
      <c r="D1" s="53"/>
      <c r="E1" s="53"/>
      <c r="F1" s="1"/>
      <c r="G1" s="1"/>
      <c r="H1" s="1"/>
      <c r="I1" s="1"/>
      <c r="J1" s="1"/>
      <c r="K1" s="1"/>
      <c r="L1" s="1"/>
      <c r="M1" s="1"/>
      <c r="N1" s="1"/>
      <c r="O1" s="1"/>
      <c r="P1" s="1"/>
      <c r="Q1" s="1"/>
      <c r="R1" s="1"/>
      <c r="S1" s="1"/>
      <c r="T1" s="1"/>
      <c r="U1" s="1"/>
      <c r="V1" s="1"/>
      <c r="W1" s="1"/>
      <c r="X1" s="1"/>
      <c r="Y1" s="1"/>
    </row>
    <row r="2" spans="1:41" s="2" customFormat="1" ht="21" thickBot="1" x14ac:dyDescent="0.25">
      <c r="A2" s="1"/>
      <c r="B2" s="54"/>
      <c r="C2" s="54"/>
      <c r="D2" s="54"/>
      <c r="E2" s="54"/>
      <c r="G2" s="3"/>
      <c r="H2" s="3"/>
      <c r="I2" s="3"/>
      <c r="J2" s="3"/>
      <c r="K2" s="1"/>
      <c r="L2" s="1"/>
      <c r="M2" s="1"/>
      <c r="N2" s="1"/>
      <c r="O2" s="1"/>
      <c r="P2" s="1"/>
      <c r="Q2" s="1"/>
      <c r="R2" s="1"/>
      <c r="S2" s="1"/>
      <c r="T2" s="1"/>
      <c r="U2" s="1"/>
      <c r="V2" s="1"/>
      <c r="W2" s="1"/>
      <c r="X2" s="1"/>
      <c r="Y2" s="1"/>
    </row>
    <row r="3" spans="1:41" ht="15" x14ac:dyDescent="0.2">
      <c r="B3" s="4" t="s">
        <v>1</v>
      </c>
      <c r="C3" s="55" t="s">
        <v>2</v>
      </c>
      <c r="D3" s="56"/>
      <c r="E3" s="56"/>
      <c r="F3" s="76" t="s">
        <v>102</v>
      </c>
      <c r="G3" s="77"/>
      <c r="H3" s="77"/>
      <c r="I3" s="77"/>
      <c r="J3" s="78"/>
    </row>
    <row r="4" spans="1:41" ht="15" x14ac:dyDescent="0.2">
      <c r="B4" s="5" t="s">
        <v>3</v>
      </c>
      <c r="C4" s="57" t="s">
        <v>4</v>
      </c>
      <c r="D4" s="58"/>
      <c r="E4" s="58"/>
      <c r="F4" s="79"/>
      <c r="G4" s="81"/>
      <c r="J4" s="71"/>
    </row>
    <row r="5" spans="1:41" x14ac:dyDescent="0.2">
      <c r="B5" s="6"/>
      <c r="C5" s="7"/>
      <c r="D5" s="8"/>
      <c r="E5" s="61"/>
      <c r="F5" s="79"/>
      <c r="J5" s="71"/>
    </row>
    <row r="6" spans="1:41" ht="21.75" x14ac:dyDescent="0.45">
      <c r="B6" s="6"/>
      <c r="C6" s="9" t="s">
        <v>5</v>
      </c>
      <c r="D6" s="10">
        <v>34424</v>
      </c>
      <c r="E6" s="61"/>
      <c r="F6" s="79" t="s">
        <v>103</v>
      </c>
      <c r="J6" s="71"/>
      <c r="K6" s="11" t="s">
        <v>117</v>
      </c>
      <c r="R6" s="12"/>
      <c r="AC6" s="11">
        <v>43922</v>
      </c>
    </row>
    <row r="7" spans="1:41" ht="13.5" thickBot="1" x14ac:dyDescent="0.25">
      <c r="B7" s="6"/>
      <c r="C7" s="13" t="s">
        <v>6</v>
      </c>
      <c r="D7" s="14">
        <f>DATEDIF(D6,AC6,"Y")</f>
        <v>26</v>
      </c>
      <c r="E7" s="61"/>
      <c r="F7" s="79"/>
      <c r="J7" s="71"/>
      <c r="K7" s="1" t="s">
        <v>117</v>
      </c>
    </row>
    <row r="8" spans="1:41" ht="16.5" thickTop="1" thickBot="1" x14ac:dyDescent="0.25">
      <c r="B8" s="15" t="s">
        <v>7</v>
      </c>
      <c r="C8" s="16">
        <v>9500000</v>
      </c>
      <c r="D8" s="17"/>
      <c r="E8" s="62">
        <f>C8</f>
        <v>9500000</v>
      </c>
      <c r="F8" s="79"/>
      <c r="J8" s="71"/>
      <c r="K8" s="1" t="s">
        <v>117</v>
      </c>
      <c r="AO8" s="1" t="s">
        <v>8</v>
      </c>
    </row>
    <row r="9" spans="1:41" ht="16.5" thickTop="1" thickBot="1" x14ac:dyDescent="0.25">
      <c r="B9" s="15" t="s">
        <v>9</v>
      </c>
      <c r="C9" s="17"/>
      <c r="D9" s="17"/>
      <c r="E9" s="62">
        <f>-SUM(D10,D15,D16,D17)</f>
        <v>-75000</v>
      </c>
      <c r="F9" s="79"/>
      <c r="J9" s="71"/>
      <c r="AO9" s="1" t="s">
        <v>10</v>
      </c>
    </row>
    <row r="10" spans="1:41" ht="15.75" thickTop="1" x14ac:dyDescent="0.2">
      <c r="B10" s="18" t="s">
        <v>11</v>
      </c>
      <c r="C10" s="17"/>
      <c r="D10" s="19">
        <f>MAX(MIN(D12:D14),0)</f>
        <v>0</v>
      </c>
      <c r="E10" s="63"/>
      <c r="F10" s="80" t="s">
        <v>105</v>
      </c>
      <c r="G10" s="60"/>
      <c r="H10" s="60"/>
      <c r="I10" s="60"/>
      <c r="J10" s="72"/>
      <c r="K10" s="60" t="s">
        <v>117</v>
      </c>
      <c r="L10" s="60"/>
      <c r="M10" s="60"/>
      <c r="N10" s="60"/>
      <c r="O10" s="60"/>
      <c r="P10" s="60"/>
      <c r="Q10" s="60"/>
      <c r="R10" s="60"/>
      <c r="S10" s="60"/>
    </row>
    <row r="11" spans="1:41" ht="15" x14ac:dyDescent="0.2">
      <c r="B11" s="20" t="s">
        <v>12</v>
      </c>
      <c r="C11" s="21" t="s">
        <v>8</v>
      </c>
      <c r="D11" s="17"/>
      <c r="E11" s="63"/>
      <c r="F11" s="79" t="s">
        <v>104</v>
      </c>
      <c r="J11" s="71"/>
      <c r="K11" s="1" t="s">
        <v>117</v>
      </c>
    </row>
    <row r="12" spans="1:41" ht="15" x14ac:dyDescent="0.2">
      <c r="B12" s="20" t="s">
        <v>13</v>
      </c>
      <c r="C12" s="22">
        <v>300000</v>
      </c>
      <c r="D12" s="19">
        <f>IF(UPPER(C11)=AO8,C12*0.5,C12*0.4)</f>
        <v>150000</v>
      </c>
      <c r="E12" s="63"/>
      <c r="F12" s="79"/>
      <c r="J12" s="71"/>
    </row>
    <row r="13" spans="1:41" ht="15" x14ac:dyDescent="0.2">
      <c r="B13" s="20" t="s">
        <v>14</v>
      </c>
      <c r="C13" s="22">
        <f>25000*12</f>
        <v>300000</v>
      </c>
      <c r="D13" s="19">
        <f>C13-0.1*C12</f>
        <v>270000</v>
      </c>
      <c r="E13" s="63"/>
      <c r="F13" s="79"/>
      <c r="J13" s="71"/>
    </row>
    <row r="14" spans="1:41" ht="15" x14ac:dyDescent="0.2">
      <c r="B14" s="20" t="s">
        <v>15</v>
      </c>
      <c r="C14" s="22">
        <v>0</v>
      </c>
      <c r="D14" s="19">
        <f>C14</f>
        <v>0</v>
      </c>
      <c r="E14" s="63"/>
      <c r="F14" s="79"/>
      <c r="J14" s="71"/>
    </row>
    <row r="15" spans="1:41" ht="15" x14ac:dyDescent="0.2">
      <c r="B15" s="18" t="s">
        <v>95</v>
      </c>
      <c r="C15" s="23">
        <v>50000</v>
      </c>
      <c r="D15" s="19">
        <f>MAX(MIN(C15,50000),0)</f>
        <v>50000</v>
      </c>
      <c r="E15" s="63"/>
      <c r="F15" s="79" t="s">
        <v>114</v>
      </c>
      <c r="J15" s="71"/>
    </row>
    <row r="16" spans="1:41" ht="15" x14ac:dyDescent="0.2">
      <c r="B16" s="18" t="s">
        <v>16</v>
      </c>
      <c r="C16" s="23">
        <v>25000</v>
      </c>
      <c r="D16" s="19">
        <f>C16</f>
        <v>25000</v>
      </c>
      <c r="E16" s="63"/>
      <c r="F16" s="79" t="s">
        <v>115</v>
      </c>
      <c r="J16" s="71"/>
    </row>
    <row r="17" spans="2:13" s="3" customFormat="1" ht="15.75" thickBot="1" x14ac:dyDescent="0.25">
      <c r="B17" s="18" t="s">
        <v>17</v>
      </c>
      <c r="C17" s="23">
        <v>0</v>
      </c>
      <c r="D17" s="19">
        <f>C17</f>
        <v>0</v>
      </c>
      <c r="E17" s="63"/>
      <c r="F17" s="79"/>
      <c r="G17" s="1"/>
      <c r="H17" s="1"/>
      <c r="I17" s="1"/>
      <c r="J17" s="71"/>
      <c r="K17" s="1"/>
      <c r="L17" s="1"/>
      <c r="M17" s="1"/>
    </row>
    <row r="18" spans="2:13" s="3" customFormat="1" ht="16.5" thickTop="1" thickBot="1" x14ac:dyDescent="0.25">
      <c r="B18" s="15" t="s">
        <v>18</v>
      </c>
      <c r="C18" s="17"/>
      <c r="D18" s="17"/>
      <c r="E18" s="62">
        <f>SUM(E8:E9)</f>
        <v>9425000</v>
      </c>
      <c r="F18" s="79"/>
      <c r="G18" s="1"/>
      <c r="H18" s="1"/>
      <c r="I18" s="1"/>
      <c r="J18" s="71"/>
      <c r="K18" s="1"/>
      <c r="L18" s="1"/>
      <c r="M18" s="1"/>
    </row>
    <row r="19" spans="2:13" s="3" customFormat="1" ht="16.5" thickTop="1" thickBot="1" x14ac:dyDescent="0.25">
      <c r="B19" s="15" t="s">
        <v>19</v>
      </c>
      <c r="C19" s="17"/>
      <c r="D19" s="19">
        <f>SUM(C21:C26)</f>
        <v>0</v>
      </c>
      <c r="E19" s="62">
        <f>D19</f>
        <v>0</v>
      </c>
      <c r="F19" s="79"/>
      <c r="G19" s="1"/>
      <c r="H19" s="1"/>
      <c r="I19" s="1"/>
      <c r="J19" s="71"/>
      <c r="K19" s="1"/>
      <c r="L19" s="1"/>
      <c r="M19" s="1"/>
    </row>
    <row r="20" spans="2:13" s="3" customFormat="1" ht="13.5" thickTop="1" x14ac:dyDescent="0.2">
      <c r="B20" s="18" t="s">
        <v>20</v>
      </c>
      <c r="C20" s="17"/>
      <c r="D20" s="17"/>
      <c r="E20" s="63"/>
      <c r="F20" s="79"/>
      <c r="G20" s="1"/>
      <c r="H20" s="1"/>
      <c r="I20" s="1"/>
      <c r="J20" s="71"/>
      <c r="K20" s="1"/>
      <c r="L20" s="1"/>
      <c r="M20" s="1"/>
    </row>
    <row r="21" spans="2:13" s="3" customFormat="1" ht="15" x14ac:dyDescent="0.2">
      <c r="B21" s="20" t="s">
        <v>21</v>
      </c>
      <c r="C21" s="23">
        <v>0</v>
      </c>
      <c r="D21" s="17"/>
      <c r="E21" s="63"/>
      <c r="F21" s="79" t="s">
        <v>116</v>
      </c>
      <c r="G21" s="1"/>
      <c r="H21" s="1"/>
      <c r="I21" s="1"/>
      <c r="J21" s="71"/>
      <c r="K21" s="1"/>
      <c r="L21" s="1"/>
      <c r="M21" s="1"/>
    </row>
    <row r="22" spans="2:13" s="3" customFormat="1" ht="15" x14ac:dyDescent="0.2">
      <c r="B22" s="20" t="s">
        <v>22</v>
      </c>
      <c r="C22" s="23">
        <v>0</v>
      </c>
      <c r="D22" s="17"/>
      <c r="E22" s="63"/>
      <c r="F22" s="79"/>
      <c r="G22" s="1"/>
      <c r="H22" s="1"/>
      <c r="I22" s="1"/>
      <c r="J22" s="71"/>
      <c r="K22" s="1"/>
      <c r="L22" s="1"/>
      <c r="M22" s="1"/>
    </row>
    <row r="23" spans="2:13" s="3" customFormat="1" ht="15" x14ac:dyDescent="0.2">
      <c r="B23" s="20" t="s">
        <v>23</v>
      </c>
      <c r="C23" s="23">
        <v>0</v>
      </c>
      <c r="D23" s="17"/>
      <c r="E23" s="63"/>
      <c r="F23" s="79"/>
      <c r="G23" s="1"/>
      <c r="H23" s="1"/>
      <c r="I23" s="1"/>
      <c r="J23" s="71"/>
      <c r="K23" s="1"/>
      <c r="L23" s="1"/>
      <c r="M23" s="24"/>
    </row>
    <row r="24" spans="2:13" s="3" customFormat="1" ht="15" x14ac:dyDescent="0.2">
      <c r="B24" s="20" t="s">
        <v>24</v>
      </c>
      <c r="C24" s="23">
        <v>0</v>
      </c>
      <c r="D24" s="17"/>
      <c r="E24" s="63"/>
      <c r="F24" s="79"/>
      <c r="G24" s="1"/>
      <c r="H24" s="1"/>
      <c r="I24" s="1"/>
      <c r="J24" s="71"/>
      <c r="K24" s="1"/>
      <c r="L24" s="1"/>
      <c r="M24" s="1"/>
    </row>
    <row r="25" spans="2:13" s="3" customFormat="1" ht="15" x14ac:dyDescent="0.2">
      <c r="B25" s="18" t="s">
        <v>25</v>
      </c>
      <c r="C25" s="23">
        <v>0</v>
      </c>
      <c r="D25" s="17"/>
      <c r="E25" s="63"/>
      <c r="F25" s="79"/>
      <c r="G25" s="1"/>
      <c r="H25" s="1"/>
      <c r="I25" s="1"/>
      <c r="J25" s="71"/>
      <c r="K25" s="1"/>
      <c r="L25" s="1"/>
      <c r="M25" s="1"/>
    </row>
    <row r="26" spans="2:13" s="3" customFormat="1" ht="15.75" thickBot="1" x14ac:dyDescent="0.25">
      <c r="B26" s="18" t="s">
        <v>26</v>
      </c>
      <c r="C26" s="23">
        <v>0</v>
      </c>
      <c r="D26" s="17"/>
      <c r="E26" s="63"/>
      <c r="F26" s="79"/>
      <c r="G26" s="1"/>
      <c r="H26" s="1"/>
      <c r="I26" s="1"/>
      <c r="J26" s="71"/>
      <c r="K26" s="1"/>
      <c r="L26" s="1"/>
      <c r="M26" s="1"/>
    </row>
    <row r="27" spans="2:13" s="3" customFormat="1" ht="16.5" thickTop="1" thickBot="1" x14ac:dyDescent="0.25">
      <c r="B27" s="15" t="s">
        <v>27</v>
      </c>
      <c r="C27" s="17"/>
      <c r="D27" s="17"/>
      <c r="E27" s="62">
        <f>SUM(D28:D30)</f>
        <v>0</v>
      </c>
      <c r="F27" s="79"/>
      <c r="G27" s="1"/>
      <c r="H27" s="1"/>
      <c r="I27" s="1"/>
      <c r="J27" s="71"/>
      <c r="K27" s="1"/>
      <c r="L27" s="1"/>
      <c r="M27" s="1"/>
    </row>
    <row r="28" spans="2:13" s="3" customFormat="1" ht="15.75" thickTop="1" x14ac:dyDescent="0.2">
      <c r="B28" s="25" t="s">
        <v>28</v>
      </c>
      <c r="C28" s="23">
        <v>0</v>
      </c>
      <c r="D28" s="19">
        <f>-IF(C28&gt;200000,200000,C28)</f>
        <v>0</v>
      </c>
      <c r="E28" s="63"/>
      <c r="F28" s="82" t="s">
        <v>106</v>
      </c>
      <c r="G28" s="1"/>
      <c r="H28" s="1"/>
      <c r="I28" s="1"/>
      <c r="J28" s="71"/>
      <c r="K28" s="1" t="s">
        <v>117</v>
      </c>
      <c r="L28" s="1"/>
      <c r="M28" s="1"/>
    </row>
    <row r="29" spans="2:13" s="3" customFormat="1" ht="15" x14ac:dyDescent="0.2">
      <c r="B29" s="26" t="s">
        <v>96</v>
      </c>
      <c r="C29" s="23">
        <v>0</v>
      </c>
      <c r="D29" s="19">
        <f>-IF(C29&gt;50000,50000,C29)</f>
        <v>0</v>
      </c>
      <c r="E29" s="63"/>
      <c r="F29" s="79"/>
      <c r="G29" s="1"/>
      <c r="H29" s="1"/>
      <c r="I29" s="1"/>
      <c r="J29" s="71"/>
      <c r="K29" s="1"/>
      <c r="L29" s="1"/>
      <c r="M29" s="1"/>
    </row>
    <row r="30" spans="2:13" s="3" customFormat="1" ht="15" x14ac:dyDescent="0.2">
      <c r="B30" s="25" t="s">
        <v>29</v>
      </c>
      <c r="C30" s="23">
        <v>0</v>
      </c>
      <c r="D30" s="19">
        <f>-IF(C30&gt;30000,30000,C30)</f>
        <v>0</v>
      </c>
      <c r="E30" s="63"/>
      <c r="F30" s="79"/>
      <c r="G30" s="1"/>
      <c r="H30" s="1"/>
      <c r="I30" s="1"/>
      <c r="J30" s="71"/>
      <c r="K30" s="1"/>
      <c r="L30" s="1"/>
      <c r="M30" s="1"/>
    </row>
    <row r="31" spans="2:13" s="3" customFormat="1" ht="15.75" thickBot="1" x14ac:dyDescent="0.25">
      <c r="B31" s="15" t="s">
        <v>30</v>
      </c>
      <c r="C31" s="17"/>
      <c r="D31" s="17"/>
      <c r="E31" s="64">
        <f>SUM(E27,E18,E19)</f>
        <v>9425000</v>
      </c>
      <c r="F31" s="79"/>
      <c r="G31" s="1"/>
      <c r="H31" s="1"/>
      <c r="I31" s="1"/>
      <c r="J31" s="71"/>
      <c r="K31" s="1"/>
      <c r="L31" s="1"/>
      <c r="M31" s="1"/>
    </row>
    <row r="32" spans="2:13" s="3" customFormat="1" ht="16.5" thickTop="1" thickBot="1" x14ac:dyDescent="0.25">
      <c r="B32" s="15" t="s">
        <v>31</v>
      </c>
      <c r="C32" s="17"/>
      <c r="D32" s="19">
        <f>IF(SUM(C33:C47)&gt;150001,150000,SUM(C33:C47))</f>
        <v>150000</v>
      </c>
      <c r="E32" s="62">
        <f>-D32</f>
        <v>-150000</v>
      </c>
      <c r="F32" s="79"/>
      <c r="G32" s="1"/>
      <c r="H32" s="1"/>
      <c r="I32" s="1"/>
      <c r="J32" s="71"/>
      <c r="K32" s="1"/>
      <c r="L32" s="1"/>
      <c r="M32" s="1"/>
    </row>
    <row r="33" spans="2:10" s="3" customFormat="1" ht="15.75" thickTop="1" x14ac:dyDescent="0.25">
      <c r="B33" s="20" t="s">
        <v>32</v>
      </c>
      <c r="C33" s="22">
        <v>72080</v>
      </c>
      <c r="D33" s="17"/>
      <c r="E33" s="63"/>
      <c r="F33" s="83"/>
      <c r="J33" s="73"/>
    </row>
    <row r="34" spans="2:10" s="3" customFormat="1" ht="15" x14ac:dyDescent="0.25">
      <c r="B34" s="20" t="s">
        <v>33</v>
      </c>
      <c r="C34" s="22">
        <v>0</v>
      </c>
      <c r="D34" s="17"/>
      <c r="E34" s="63"/>
      <c r="F34" s="83"/>
      <c r="J34" s="73"/>
    </row>
    <row r="35" spans="2:10" s="3" customFormat="1" ht="15" x14ac:dyDescent="0.25">
      <c r="B35" s="20" t="s">
        <v>34</v>
      </c>
      <c r="C35" s="22">
        <v>0</v>
      </c>
      <c r="D35" s="17"/>
      <c r="E35" s="63"/>
      <c r="F35" s="83"/>
      <c r="J35" s="73"/>
    </row>
    <row r="36" spans="2:10" s="3" customFormat="1" ht="15" x14ac:dyDescent="0.25">
      <c r="B36" s="20" t="s">
        <v>35</v>
      </c>
      <c r="C36" s="22">
        <v>0</v>
      </c>
      <c r="D36" s="17"/>
      <c r="E36" s="63"/>
      <c r="F36" s="83"/>
      <c r="J36" s="73"/>
    </row>
    <row r="37" spans="2:10" s="3" customFormat="1" ht="15" x14ac:dyDescent="0.25">
      <c r="B37" s="20" t="s">
        <v>36</v>
      </c>
      <c r="C37" s="22">
        <v>61336</v>
      </c>
      <c r="D37" s="17"/>
      <c r="E37" s="63"/>
      <c r="F37" s="83"/>
      <c r="J37" s="73"/>
    </row>
    <row r="38" spans="2:10" s="3" customFormat="1" ht="15" x14ac:dyDescent="0.25">
      <c r="B38" s="20" t="s">
        <v>37</v>
      </c>
      <c r="C38" s="22">
        <v>0</v>
      </c>
      <c r="D38" s="17"/>
      <c r="E38" s="63"/>
      <c r="F38" s="83"/>
      <c r="J38" s="73"/>
    </row>
    <row r="39" spans="2:10" s="3" customFormat="1" ht="15" x14ac:dyDescent="0.25">
      <c r="B39" s="20" t="s">
        <v>38</v>
      </c>
      <c r="C39" s="22">
        <v>0</v>
      </c>
      <c r="D39" s="17"/>
      <c r="E39" s="63"/>
      <c r="F39" s="83"/>
      <c r="J39" s="73"/>
    </row>
    <row r="40" spans="2:10" s="3" customFormat="1" ht="15" x14ac:dyDescent="0.25">
      <c r="B40" s="20" t="s">
        <v>39</v>
      </c>
      <c r="C40" s="22">
        <v>100000</v>
      </c>
      <c r="D40" s="17"/>
      <c r="E40" s="63"/>
      <c r="F40" s="83"/>
      <c r="J40" s="73"/>
    </row>
    <row r="41" spans="2:10" s="3" customFormat="1" ht="15" x14ac:dyDescent="0.25">
      <c r="B41" s="20" t="s">
        <v>40</v>
      </c>
      <c r="C41" s="22">
        <v>0</v>
      </c>
      <c r="D41" s="17"/>
      <c r="E41" s="63"/>
      <c r="F41" s="83"/>
      <c r="J41" s="73"/>
    </row>
    <row r="42" spans="2:10" s="3" customFormat="1" ht="15" x14ac:dyDescent="0.25">
      <c r="B42" s="20" t="s">
        <v>41</v>
      </c>
      <c r="C42" s="22">
        <v>0</v>
      </c>
      <c r="D42" s="17"/>
      <c r="E42" s="63"/>
      <c r="F42" s="83"/>
      <c r="J42" s="73"/>
    </row>
    <row r="43" spans="2:10" s="3" customFormat="1" ht="15" x14ac:dyDescent="0.25">
      <c r="B43" s="20" t="s">
        <v>42</v>
      </c>
      <c r="C43" s="22">
        <v>800000</v>
      </c>
      <c r="D43" s="17"/>
      <c r="E43" s="63"/>
      <c r="F43" s="83"/>
      <c r="J43" s="73"/>
    </row>
    <row r="44" spans="2:10" s="3" customFormat="1" ht="15" x14ac:dyDescent="0.25">
      <c r="B44" s="27" t="s">
        <v>43</v>
      </c>
      <c r="C44" s="22">
        <v>0</v>
      </c>
      <c r="D44" s="17"/>
      <c r="E44" s="63"/>
      <c r="F44" s="83"/>
      <c r="J44" s="73"/>
    </row>
    <row r="45" spans="2:10" s="3" customFormat="1" ht="15" x14ac:dyDescent="0.25">
      <c r="B45" s="27" t="s">
        <v>44</v>
      </c>
      <c r="C45" s="22"/>
      <c r="D45" s="17"/>
      <c r="E45" s="63"/>
      <c r="F45" s="83"/>
      <c r="J45" s="73"/>
    </row>
    <row r="46" spans="2:10" s="3" customFormat="1" ht="15" x14ac:dyDescent="0.25">
      <c r="B46" s="27" t="s">
        <v>45</v>
      </c>
      <c r="C46" s="23">
        <v>0</v>
      </c>
      <c r="D46" s="17"/>
      <c r="E46" s="63"/>
      <c r="F46" s="83"/>
      <c r="J46" s="73"/>
    </row>
    <row r="47" spans="2:10" s="3" customFormat="1" ht="15.75" thickBot="1" x14ac:dyDescent="0.3">
      <c r="B47" s="20" t="s">
        <v>46</v>
      </c>
      <c r="C47" s="23">
        <v>0</v>
      </c>
      <c r="D47" s="17"/>
      <c r="E47" s="63"/>
      <c r="F47" s="83"/>
      <c r="J47" s="73"/>
    </row>
    <row r="48" spans="2:10" s="3" customFormat="1" ht="16.5" thickTop="1" thickBot="1" x14ac:dyDescent="0.3">
      <c r="B48" s="15" t="s">
        <v>113</v>
      </c>
      <c r="C48" s="23">
        <v>0</v>
      </c>
      <c r="D48" s="17"/>
      <c r="E48" s="62">
        <f>-MIN(C48,50000)</f>
        <v>0</v>
      </c>
      <c r="F48" s="83"/>
      <c r="J48" s="73"/>
    </row>
    <row r="49" spans="1:25" ht="16.5" thickTop="1" thickBot="1" x14ac:dyDescent="0.25">
      <c r="B49" s="15" t="s">
        <v>47</v>
      </c>
      <c r="C49" s="23">
        <v>0</v>
      </c>
      <c r="D49" s="17"/>
      <c r="E49" s="62">
        <f>-MIN(C49,50000)/2</f>
        <v>0</v>
      </c>
      <c r="F49" s="79"/>
      <c r="J49" s="71"/>
    </row>
    <row r="50" spans="1:25" ht="16.5" thickTop="1" thickBot="1" x14ac:dyDescent="0.25">
      <c r="B50" s="15" t="s">
        <v>48</v>
      </c>
      <c r="C50" s="28"/>
      <c r="E50" s="62">
        <f>-SUM(D51:D59)</f>
        <v>-25000</v>
      </c>
      <c r="F50" s="79"/>
      <c r="J50" s="71"/>
    </row>
    <row r="51" spans="1:25" ht="15.75" thickTop="1" x14ac:dyDescent="0.2">
      <c r="B51" s="20" t="s">
        <v>49</v>
      </c>
      <c r="C51" s="23">
        <v>30000</v>
      </c>
      <c r="D51" s="19">
        <f>IF(D7&gt;60,MIN(C51,50000),MIN(C51,25000))</f>
        <v>25000</v>
      </c>
      <c r="E51" s="63"/>
      <c r="F51" s="79" t="s">
        <v>107</v>
      </c>
      <c r="J51" s="71"/>
      <c r="K51" s="1" t="s">
        <v>117</v>
      </c>
    </row>
    <row r="52" spans="1:25" ht="15" x14ac:dyDescent="0.2">
      <c r="B52" s="20" t="s">
        <v>50</v>
      </c>
      <c r="C52" s="22">
        <v>0</v>
      </c>
      <c r="D52" s="19">
        <f>IF(C52&gt;50001,50000,C52)</f>
        <v>0</v>
      </c>
      <c r="E52" s="63"/>
      <c r="F52" s="79" t="s">
        <v>108</v>
      </c>
      <c r="J52" s="71"/>
      <c r="K52" s="1" t="s">
        <v>117</v>
      </c>
    </row>
    <row r="53" spans="1:25" ht="15" x14ac:dyDescent="0.2">
      <c r="B53" s="20" t="s">
        <v>51</v>
      </c>
      <c r="C53" s="23">
        <v>0</v>
      </c>
      <c r="D53" s="19">
        <f>C53</f>
        <v>0</v>
      </c>
      <c r="E53" s="63"/>
      <c r="F53" s="79"/>
      <c r="J53" s="71"/>
    </row>
    <row r="54" spans="1:25" ht="15" x14ac:dyDescent="0.2">
      <c r="B54" s="20" t="s">
        <v>52</v>
      </c>
      <c r="C54" s="23">
        <v>0</v>
      </c>
      <c r="D54" s="19">
        <f>IF(C54&gt;125001,125000,C54)</f>
        <v>0</v>
      </c>
      <c r="E54" s="63"/>
      <c r="F54" s="79"/>
      <c r="J54" s="71"/>
    </row>
    <row r="55" spans="1:25" ht="15" x14ac:dyDescent="0.2">
      <c r="B55" s="20" t="s">
        <v>53</v>
      </c>
      <c r="C55" s="23">
        <v>0</v>
      </c>
      <c r="D55" s="19">
        <f>IF(C55&gt;100001,100000,C55)</f>
        <v>0</v>
      </c>
      <c r="E55" s="63"/>
      <c r="F55" s="79"/>
      <c r="J55" s="71"/>
    </row>
    <row r="56" spans="1:25" ht="15" x14ac:dyDescent="0.2">
      <c r="B56" s="20" t="s">
        <v>54</v>
      </c>
      <c r="C56" s="23">
        <v>0</v>
      </c>
      <c r="D56" s="19">
        <f>C56</f>
        <v>0</v>
      </c>
      <c r="E56" s="63"/>
      <c r="F56" s="79"/>
      <c r="J56" s="71"/>
    </row>
    <row r="57" spans="1:25" ht="15" x14ac:dyDescent="0.2">
      <c r="B57" s="29" t="s">
        <v>97</v>
      </c>
      <c r="C57" s="23">
        <v>0</v>
      </c>
      <c r="D57" s="19">
        <f>IF(C57&gt;60001,60000,C57)</f>
        <v>0</v>
      </c>
      <c r="E57" s="63"/>
      <c r="F57" s="79"/>
      <c r="J57" s="71"/>
    </row>
    <row r="58" spans="1:25" ht="15" x14ac:dyDescent="0.2">
      <c r="B58" s="20" t="s">
        <v>55</v>
      </c>
      <c r="C58" s="23">
        <v>0</v>
      </c>
      <c r="D58" s="19">
        <f>IF(C58&gt;125001,125000,C58)</f>
        <v>0</v>
      </c>
      <c r="E58" s="63"/>
      <c r="F58" s="79"/>
      <c r="J58" s="71"/>
    </row>
    <row r="59" spans="1:25" ht="15.75" thickBot="1" x14ac:dyDescent="0.25">
      <c r="B59" s="20" t="s">
        <v>98</v>
      </c>
      <c r="C59" s="22">
        <v>0</v>
      </c>
      <c r="D59" s="19">
        <f>IF(D7&gt;60,MIN(C59,50000),MIN(C59,10000))</f>
        <v>0</v>
      </c>
      <c r="E59" s="63"/>
      <c r="F59" s="84" t="s">
        <v>112</v>
      </c>
      <c r="J59" s="71"/>
      <c r="K59" s="1" t="s">
        <v>117</v>
      </c>
    </row>
    <row r="60" spans="1:25" ht="16.5" thickTop="1" thickBot="1" x14ac:dyDescent="0.25">
      <c r="B60" s="18" t="s">
        <v>56</v>
      </c>
      <c r="C60" s="22">
        <v>800000</v>
      </c>
      <c r="D60" s="19">
        <f>C60</f>
        <v>800000</v>
      </c>
      <c r="E60" s="62">
        <f>-D60</f>
        <v>-800000</v>
      </c>
      <c r="F60" s="84" t="s">
        <v>109</v>
      </c>
      <c r="J60" s="71"/>
      <c r="K60" s="1" t="s">
        <v>117</v>
      </c>
    </row>
    <row r="61" spans="1:25" ht="16.5" thickTop="1" thickBot="1" x14ac:dyDescent="0.3">
      <c r="B61" s="30" t="s">
        <v>57</v>
      </c>
      <c r="C61" s="22">
        <v>0</v>
      </c>
      <c r="D61" s="19">
        <f t="shared" ref="D61:D62" si="0">C61</f>
        <v>0</v>
      </c>
      <c r="E61" s="62">
        <f>-MIN(D61,150000)</f>
        <v>0</v>
      </c>
      <c r="F61" s="85" t="s">
        <v>110</v>
      </c>
      <c r="J61" s="71"/>
      <c r="K61" s="1" t="s">
        <v>117</v>
      </c>
    </row>
    <row r="62" spans="1:25" ht="16.5" thickTop="1" thickBot="1" x14ac:dyDescent="0.25">
      <c r="B62" s="30" t="s">
        <v>58</v>
      </c>
      <c r="C62" s="22">
        <v>0</v>
      </c>
      <c r="D62" s="19">
        <f t="shared" si="0"/>
        <v>0</v>
      </c>
      <c r="E62" s="62">
        <f>-MIN(D62,150000)</f>
        <v>0</v>
      </c>
      <c r="F62" s="82" t="s">
        <v>111</v>
      </c>
      <c r="J62" s="71"/>
      <c r="K62" s="1" t="s">
        <v>117</v>
      </c>
    </row>
    <row r="63" spans="1:25" ht="15.75" thickTop="1" x14ac:dyDescent="0.2">
      <c r="B63" s="15" t="s">
        <v>59</v>
      </c>
      <c r="C63" s="17"/>
      <c r="D63" s="17"/>
      <c r="E63" s="65">
        <f>SUM(E31,E32,E48,E49,E50,E60,E61,E62)</f>
        <v>8450000</v>
      </c>
      <c r="F63" s="79"/>
      <c r="J63" s="71"/>
    </row>
    <row r="64" spans="1:25" ht="15" x14ac:dyDescent="0.25">
      <c r="A64" s="3"/>
      <c r="B64" s="31" t="s">
        <v>99</v>
      </c>
      <c r="C64" s="17"/>
      <c r="D64" s="17"/>
      <c r="E64" s="65">
        <f>-IF(E63&lt;=500000,12500,0)</f>
        <v>0</v>
      </c>
      <c r="F64" s="83"/>
      <c r="G64" s="3"/>
      <c r="H64" s="3"/>
      <c r="I64" s="3"/>
      <c r="J64" s="73"/>
      <c r="K64" s="3"/>
      <c r="L64" s="3"/>
      <c r="M64" s="3"/>
      <c r="N64" s="3"/>
      <c r="O64" s="3"/>
      <c r="P64" s="3"/>
      <c r="Q64" s="3"/>
      <c r="R64" s="3"/>
      <c r="S64" s="3"/>
      <c r="T64" s="3"/>
      <c r="U64" s="3"/>
      <c r="V64" s="3"/>
      <c r="W64" s="3"/>
      <c r="X64" s="3"/>
      <c r="Y64" s="3"/>
    </row>
    <row r="65" spans="2:11" s="3" customFormat="1" ht="15" x14ac:dyDescent="0.25">
      <c r="B65" s="18" t="s">
        <v>60</v>
      </c>
      <c r="C65" s="17"/>
      <c r="D65" s="17"/>
      <c r="E65" s="65">
        <f>MAX(SUM(IF(D7&gt;80,AC131,(IF(D7&gt;59,AC125,AC118))),E64),0)</f>
        <v>2347500.0000000005</v>
      </c>
      <c r="F65" s="83"/>
      <c r="J65" s="73"/>
    </row>
    <row r="66" spans="2:11" s="3" customFormat="1" ht="15" x14ac:dyDescent="0.25">
      <c r="B66" s="32" t="s">
        <v>100</v>
      </c>
      <c r="C66" s="17"/>
      <c r="D66" s="17"/>
      <c r="E66" s="65">
        <f>IF(E63&gt;=10000000,E65*15%,(IF(E63&gt;=5000000,E65*10%,0)))</f>
        <v>234750.00000000006</v>
      </c>
      <c r="F66" s="83"/>
      <c r="J66" s="73"/>
    </row>
    <row r="67" spans="2:11" s="3" customFormat="1" ht="15.75" thickBot="1" x14ac:dyDescent="0.3">
      <c r="B67" s="18" t="s">
        <v>61</v>
      </c>
      <c r="C67" s="17"/>
      <c r="D67" s="17"/>
      <c r="E67" s="65">
        <f>0.04*SUM(E65,E66)</f>
        <v>103290.00000000001</v>
      </c>
      <c r="F67" s="83"/>
      <c r="J67" s="73"/>
    </row>
    <row r="68" spans="2:11" s="3" customFormat="1" ht="20.25" thickTop="1" thickBot="1" x14ac:dyDescent="0.3">
      <c r="B68" s="33" t="s">
        <v>62</v>
      </c>
      <c r="C68" s="34"/>
      <c r="D68" s="34"/>
      <c r="E68" s="66">
        <f>SUM(E65:E67)</f>
        <v>2685540.0000000005</v>
      </c>
      <c r="F68" s="83"/>
      <c r="J68" s="73"/>
    </row>
    <row r="69" spans="2:11" s="3" customFormat="1" ht="20.25" thickTop="1" thickBot="1" x14ac:dyDescent="0.3">
      <c r="B69" s="35" t="s">
        <v>63</v>
      </c>
      <c r="C69" s="36"/>
      <c r="D69" s="36"/>
      <c r="E69" s="67">
        <v>0</v>
      </c>
      <c r="F69" s="83"/>
      <c r="J69" s="73"/>
    </row>
    <row r="70" spans="2:11" s="3" customFormat="1" ht="20.25" thickTop="1" thickBot="1" x14ac:dyDescent="0.3">
      <c r="B70" s="35" t="s">
        <v>64</v>
      </c>
      <c r="C70" s="36"/>
      <c r="D70" s="36"/>
      <c r="E70" s="68">
        <f>E68-E69</f>
        <v>2685540.0000000005</v>
      </c>
      <c r="F70" s="83"/>
      <c r="J70" s="73"/>
    </row>
    <row r="71" spans="2:11" s="3" customFormat="1" ht="17.25" thickTop="1" thickBot="1" x14ac:dyDescent="0.3">
      <c r="B71" s="37" t="s">
        <v>65</v>
      </c>
      <c r="C71" s="38"/>
      <c r="D71" s="38"/>
      <c r="E71" s="69">
        <f>E68/(E8+E19)</f>
        <v>0.28268842105263164</v>
      </c>
      <c r="F71" s="83"/>
      <c r="J71" s="73"/>
    </row>
    <row r="72" spans="2:11" s="3" customFormat="1" x14ac:dyDescent="0.2">
      <c r="B72" s="1"/>
      <c r="C72" s="1"/>
      <c r="D72" s="1"/>
      <c r="E72" s="1"/>
      <c r="F72" s="83"/>
      <c r="J72" s="73"/>
    </row>
    <row r="73" spans="2:11" s="3" customFormat="1" x14ac:dyDescent="0.2">
      <c r="B73" s="1"/>
      <c r="C73" s="1"/>
      <c r="D73" s="1"/>
      <c r="E73" s="1"/>
      <c r="F73" s="83"/>
      <c r="J73" s="73"/>
    </row>
    <row r="74" spans="2:11" s="3" customFormat="1" ht="15.75" x14ac:dyDescent="0.25">
      <c r="B74" s="59" t="s">
        <v>66</v>
      </c>
      <c r="C74" s="59"/>
      <c r="D74" s="59"/>
      <c r="E74" s="70"/>
      <c r="F74" s="83"/>
      <c r="J74" s="73"/>
    </row>
    <row r="75" spans="2:11" s="3" customFormat="1" ht="15.75" thickBot="1" x14ac:dyDescent="0.25">
      <c r="B75" s="15" t="s">
        <v>7</v>
      </c>
      <c r="C75" s="1"/>
      <c r="D75" s="17"/>
      <c r="E75" s="64">
        <f>E8</f>
        <v>9500000</v>
      </c>
      <c r="F75" s="83"/>
      <c r="J75" s="73"/>
    </row>
    <row r="76" spans="2:11" s="3" customFormat="1" ht="14.25" thickTop="1" thickBot="1" x14ac:dyDescent="0.25">
      <c r="B76" s="18" t="s">
        <v>56</v>
      </c>
      <c r="C76" s="1"/>
      <c r="D76" s="1"/>
      <c r="E76" s="62">
        <f>E60</f>
        <v>-800000</v>
      </c>
      <c r="F76" s="84" t="s">
        <v>109</v>
      </c>
      <c r="J76" s="73"/>
      <c r="K76" s="3" t="s">
        <v>117</v>
      </c>
    </row>
    <row r="77" spans="2:11" s="3" customFormat="1" ht="15.75" thickTop="1" x14ac:dyDescent="0.25">
      <c r="B77" s="15" t="s">
        <v>59</v>
      </c>
      <c r="C77" s="17"/>
      <c r="D77" s="17"/>
      <c r="E77" s="65">
        <f>E75+E76</f>
        <v>8700000</v>
      </c>
      <c r="F77" s="83"/>
      <c r="J77" s="73"/>
    </row>
    <row r="78" spans="2:11" s="3" customFormat="1" ht="15" x14ac:dyDescent="0.25">
      <c r="B78" s="31" t="s">
        <v>99</v>
      </c>
      <c r="C78" s="17"/>
      <c r="D78" s="17"/>
      <c r="E78" s="65">
        <f>-IF(E77&lt;=500000,12500,0)</f>
        <v>0</v>
      </c>
      <c r="F78" s="83"/>
      <c r="J78" s="73"/>
    </row>
    <row r="79" spans="2:11" s="3" customFormat="1" ht="15" x14ac:dyDescent="0.25">
      <c r="B79" s="18" t="s">
        <v>60</v>
      </c>
      <c r="C79" s="17"/>
      <c r="D79" s="17"/>
      <c r="E79" s="65">
        <f>MAX(SUM(IF(D21&gt;80,AC164,(IF(D21&gt;60,AC154,AC144))),E78),0)</f>
        <v>2347500</v>
      </c>
      <c r="F79" s="83"/>
      <c r="J79" s="73"/>
    </row>
    <row r="80" spans="2:11" s="3" customFormat="1" ht="15" x14ac:dyDescent="0.25">
      <c r="B80" s="32" t="s">
        <v>100</v>
      </c>
      <c r="C80" s="17"/>
      <c r="D80" s="17"/>
      <c r="E80" s="65">
        <f>IF(E77&gt;=10000000,E79*15%,(IF(E77&gt;=5000000,E79*10%,0)))</f>
        <v>234750</v>
      </c>
      <c r="F80" s="83"/>
      <c r="J80" s="73"/>
    </row>
    <row r="81" spans="1:28" ht="15.75" thickBot="1" x14ac:dyDescent="0.25">
      <c r="A81" s="3"/>
      <c r="B81" s="18" t="s">
        <v>61</v>
      </c>
      <c r="C81" s="17"/>
      <c r="D81" s="17"/>
      <c r="E81" s="65">
        <f>0.04*SUM(E79,E80)</f>
        <v>103290</v>
      </c>
      <c r="F81" s="79"/>
      <c r="J81" s="71"/>
    </row>
    <row r="82" spans="1:28" ht="19.5" thickTop="1" x14ac:dyDescent="0.2">
      <c r="A82" s="3"/>
      <c r="B82" s="33" t="s">
        <v>62</v>
      </c>
      <c r="C82" s="34"/>
      <c r="D82" s="34"/>
      <c r="E82" s="66">
        <f>SUM(E79:E81)</f>
        <v>2685540</v>
      </c>
      <c r="F82" s="86"/>
      <c r="G82" s="74"/>
      <c r="H82" s="74"/>
      <c r="I82" s="74"/>
      <c r="J82" s="75"/>
    </row>
    <row r="83" spans="1:28" x14ac:dyDescent="0.2">
      <c r="A83" s="3"/>
      <c r="B83" s="1"/>
      <c r="C83" s="1"/>
      <c r="D83" s="1"/>
      <c r="E83" s="1"/>
    </row>
    <row r="84" spans="1:28" x14ac:dyDescent="0.2">
      <c r="A84" s="3"/>
      <c r="B84" s="1"/>
      <c r="C84" s="1"/>
      <c r="D84" s="1"/>
      <c r="E84" s="1"/>
    </row>
    <row r="85" spans="1:28" x14ac:dyDescent="0.2">
      <c r="E85" s="39"/>
    </row>
    <row r="86" spans="1:28" ht="30.75" customHeight="1" x14ac:dyDescent="0.2">
      <c r="B86" s="50" t="s">
        <v>101</v>
      </c>
      <c r="C86" s="51"/>
      <c r="D86" s="51"/>
      <c r="E86" s="52"/>
    </row>
    <row r="88" spans="1:28" x14ac:dyDescent="0.2">
      <c r="A88" s="3"/>
      <c r="AB88" s="40"/>
    </row>
    <row r="89" spans="1:28" x14ac:dyDescent="0.2">
      <c r="A89" s="3"/>
      <c r="AB89" s="40"/>
    </row>
    <row r="90" spans="1:28" x14ac:dyDescent="0.2">
      <c r="A90" s="3"/>
      <c r="AB90" s="40"/>
    </row>
    <row r="91" spans="1:28" x14ac:dyDescent="0.2">
      <c r="A91" s="3"/>
      <c r="AB91" s="40"/>
    </row>
    <row r="111" spans="28:33" s="3" customFormat="1" x14ac:dyDescent="0.25">
      <c r="AB111" s="41" t="s">
        <v>67</v>
      </c>
      <c r="AC111" s="42" t="s">
        <v>68</v>
      </c>
      <c r="AD111" s="42" t="s">
        <v>69</v>
      </c>
      <c r="AE111" s="42" t="s">
        <v>70</v>
      </c>
      <c r="AF111" s="42" t="s">
        <v>71</v>
      </c>
      <c r="AG111" s="42" t="s">
        <v>72</v>
      </c>
    </row>
    <row r="112" spans="28:33" s="3" customFormat="1" x14ac:dyDescent="0.25">
      <c r="AB112" s="41"/>
      <c r="AC112" s="42"/>
      <c r="AD112" s="42"/>
      <c r="AE112" s="42"/>
      <c r="AF112" s="42"/>
      <c r="AG112" s="42"/>
    </row>
    <row r="113" spans="28:33" s="3" customFormat="1" x14ac:dyDescent="0.25">
      <c r="AB113" s="41"/>
      <c r="AC113" s="42"/>
      <c r="AD113" s="42"/>
      <c r="AE113" s="42"/>
      <c r="AF113" s="42"/>
      <c r="AG113" s="42"/>
    </row>
    <row r="114" spans="28:33" s="3" customFormat="1" x14ac:dyDescent="0.25">
      <c r="AB114" s="41" t="s">
        <v>73</v>
      </c>
      <c r="AC114" s="43">
        <f>AG114*AF114</f>
        <v>0</v>
      </c>
      <c r="AD114" s="43">
        <v>250000</v>
      </c>
      <c r="AE114" s="43"/>
      <c r="AF114" s="44">
        <f>AD114</f>
        <v>250000</v>
      </c>
      <c r="AG114" s="40">
        <v>0</v>
      </c>
    </row>
    <row r="115" spans="28:33" s="3" customFormat="1" x14ac:dyDescent="0.25">
      <c r="AB115" s="41" t="s">
        <v>74</v>
      </c>
      <c r="AC115" s="43">
        <f>MAX(0,MIN(AG115*AF115,AG115*AE115))</f>
        <v>12500</v>
      </c>
      <c r="AD115" s="43">
        <v>500000</v>
      </c>
      <c r="AE115" s="43">
        <f>AD115-AD114</f>
        <v>250000</v>
      </c>
      <c r="AF115" s="44">
        <f>E63-AF114</f>
        <v>8200000</v>
      </c>
      <c r="AG115" s="40">
        <v>0.05</v>
      </c>
    </row>
    <row r="116" spans="28:33" s="3" customFormat="1" x14ac:dyDescent="0.25">
      <c r="AB116" s="41" t="s">
        <v>75</v>
      </c>
      <c r="AC116" s="43">
        <f>MAX(0,MIN(AG116*AF116,AG116*AE116))</f>
        <v>100000</v>
      </c>
      <c r="AD116" s="43">
        <v>1000000</v>
      </c>
      <c r="AE116" s="43">
        <f>AD116-AD115</f>
        <v>500000</v>
      </c>
      <c r="AF116" s="43">
        <f>AF115-AE115</f>
        <v>7950000</v>
      </c>
      <c r="AG116" s="40">
        <v>0.2</v>
      </c>
    </row>
    <row r="117" spans="28:33" s="3" customFormat="1" x14ac:dyDescent="0.25">
      <c r="AB117" s="41" t="s">
        <v>76</v>
      </c>
      <c r="AC117" s="43">
        <f>MAX(0,MIN(AG117*AF117,AG117*AE117))</f>
        <v>2235000.0000000005</v>
      </c>
      <c r="AD117" s="43"/>
      <c r="AE117" s="45">
        <f>E63-AD116</f>
        <v>7450000</v>
      </c>
      <c r="AF117" s="46">
        <f>AF116-AE116</f>
        <v>7450000</v>
      </c>
      <c r="AG117" s="40">
        <v>0.30000000000000004</v>
      </c>
    </row>
    <row r="118" spans="28:33" s="3" customFormat="1" x14ac:dyDescent="0.25">
      <c r="AB118" s="41" t="s">
        <v>77</v>
      </c>
      <c r="AC118" s="47">
        <f>SUM(AC114:AC117)</f>
        <v>2347500.0000000005</v>
      </c>
      <c r="AD118" s="43"/>
      <c r="AE118" s="43"/>
      <c r="AF118" s="43"/>
      <c r="AG118" s="40"/>
    </row>
    <row r="120" spans="28:33" s="3" customFormat="1" x14ac:dyDescent="0.25">
      <c r="AB120" s="41" t="s">
        <v>78</v>
      </c>
      <c r="AC120" s="42" t="s">
        <v>68</v>
      </c>
      <c r="AD120" s="42" t="s">
        <v>69</v>
      </c>
      <c r="AE120" s="42" t="s">
        <v>70</v>
      </c>
      <c r="AF120" s="42" t="s">
        <v>71</v>
      </c>
      <c r="AG120" s="42" t="s">
        <v>72</v>
      </c>
    </row>
    <row r="121" spans="28:33" s="3" customFormat="1" x14ac:dyDescent="0.25">
      <c r="AB121" s="41" t="s">
        <v>79</v>
      </c>
      <c r="AC121" s="43">
        <f>AG121*AF121</f>
        <v>0</v>
      </c>
      <c r="AD121" s="43">
        <v>300000</v>
      </c>
      <c r="AE121" s="43"/>
      <c r="AF121" s="43">
        <f>AD121</f>
        <v>300000</v>
      </c>
      <c r="AG121" s="40">
        <v>0</v>
      </c>
    </row>
    <row r="122" spans="28:33" s="3" customFormat="1" x14ac:dyDescent="0.25">
      <c r="AB122" s="41" t="s">
        <v>80</v>
      </c>
      <c r="AC122" s="43">
        <f>MAX(0,MIN(AG122*AF122,AG122*AE122))</f>
        <v>10000</v>
      </c>
      <c r="AD122" s="43">
        <v>500000</v>
      </c>
      <c r="AE122" s="43">
        <f>AD122-AD121</f>
        <v>200000</v>
      </c>
      <c r="AF122" s="45">
        <f>E63-AF121</f>
        <v>8150000</v>
      </c>
      <c r="AG122" s="40">
        <v>0.05</v>
      </c>
    </row>
    <row r="123" spans="28:33" s="3" customFormat="1" x14ac:dyDescent="0.25">
      <c r="AB123" s="41" t="s">
        <v>75</v>
      </c>
      <c r="AC123" s="43">
        <f>MAX(0,MIN(AG123*AF123,AG123*AE123))</f>
        <v>100000</v>
      </c>
      <c r="AD123" s="43">
        <v>1000000</v>
      </c>
      <c r="AE123" s="43">
        <f>AD123-AD122</f>
        <v>500000</v>
      </c>
      <c r="AF123" s="43">
        <f>AF122-AE122</f>
        <v>7950000</v>
      </c>
      <c r="AG123" s="40">
        <v>0.2</v>
      </c>
    </row>
    <row r="124" spans="28:33" s="3" customFormat="1" x14ac:dyDescent="0.25">
      <c r="AB124" s="41" t="s">
        <v>76</v>
      </c>
      <c r="AC124" s="43">
        <f>MAX(0,MIN(AG124*AF124,AG124*AE124))</f>
        <v>2235000.0000000005</v>
      </c>
      <c r="AD124" s="43"/>
      <c r="AE124" s="45">
        <f>E63-AD123</f>
        <v>7450000</v>
      </c>
      <c r="AF124" s="43">
        <f>AF123-AE123</f>
        <v>7450000</v>
      </c>
      <c r="AG124" s="40">
        <v>0.30000000000000004</v>
      </c>
    </row>
    <row r="125" spans="28:33" s="3" customFormat="1" x14ac:dyDescent="0.25">
      <c r="AB125" s="41" t="s">
        <v>77</v>
      </c>
      <c r="AC125" s="47">
        <f>SUM(AC121:AC124)</f>
        <v>2345000.0000000005</v>
      </c>
      <c r="AD125" s="43"/>
      <c r="AE125" s="43"/>
      <c r="AF125" s="43"/>
      <c r="AG125" s="40"/>
    </row>
    <row r="127" spans="28:33" s="3" customFormat="1" x14ac:dyDescent="0.25">
      <c r="AB127" s="41" t="s">
        <v>81</v>
      </c>
      <c r="AC127" s="42" t="s">
        <v>68</v>
      </c>
      <c r="AD127" s="42" t="s">
        <v>69</v>
      </c>
      <c r="AE127" s="42" t="s">
        <v>70</v>
      </c>
      <c r="AF127" s="42" t="s">
        <v>71</v>
      </c>
      <c r="AG127" s="42" t="s">
        <v>72</v>
      </c>
    </row>
    <row r="128" spans="28:33" s="3" customFormat="1" x14ac:dyDescent="0.25">
      <c r="AB128" s="41" t="s">
        <v>82</v>
      </c>
      <c r="AC128" s="43">
        <f>AG128*AF128</f>
        <v>0</v>
      </c>
      <c r="AD128" s="43">
        <v>500000</v>
      </c>
      <c r="AE128" s="43"/>
      <c r="AF128" s="43">
        <f>AD128</f>
        <v>500000</v>
      </c>
      <c r="AG128" s="40">
        <v>0</v>
      </c>
    </row>
    <row r="129" spans="28:33" s="3" customFormat="1" x14ac:dyDescent="0.25">
      <c r="AB129" s="41" t="s">
        <v>75</v>
      </c>
      <c r="AC129" s="43">
        <f>MAX(0,MIN(AG129*AF129,AG129*AE129))</f>
        <v>100000</v>
      </c>
      <c r="AD129" s="43">
        <v>1000000</v>
      </c>
      <c r="AE129" s="43">
        <f>AD129-AD128</f>
        <v>500000</v>
      </c>
      <c r="AF129" s="45">
        <f>E63-AF128</f>
        <v>7950000</v>
      </c>
      <c r="AG129" s="40">
        <v>0.2</v>
      </c>
    </row>
    <row r="130" spans="28:33" s="3" customFormat="1" x14ac:dyDescent="0.25">
      <c r="AB130" s="41" t="s">
        <v>83</v>
      </c>
      <c r="AC130" s="43">
        <f>MAX(0,MIN(AG130*AF130,AG130*AE130))</f>
        <v>2235000</v>
      </c>
      <c r="AD130" s="43"/>
      <c r="AE130" s="45">
        <f>E63-AD129</f>
        <v>7450000</v>
      </c>
      <c r="AF130" s="43">
        <f>AF129-AE129</f>
        <v>7450000</v>
      </c>
      <c r="AG130" s="40">
        <v>0.3</v>
      </c>
    </row>
    <row r="131" spans="28:33" s="3" customFormat="1" x14ac:dyDescent="0.25">
      <c r="AB131" s="41" t="s">
        <v>77</v>
      </c>
      <c r="AC131" s="47">
        <f>SUM(AC128:AC130)</f>
        <v>2335000</v>
      </c>
      <c r="AD131" s="43"/>
      <c r="AE131" s="43"/>
      <c r="AF131" s="43"/>
      <c r="AG131" s="40"/>
    </row>
    <row r="136" spans="28:33" s="3" customFormat="1" x14ac:dyDescent="0.25">
      <c r="AB136" s="41" t="s">
        <v>67</v>
      </c>
      <c r="AC136" s="42" t="s">
        <v>68</v>
      </c>
      <c r="AD136" s="42" t="s">
        <v>69</v>
      </c>
      <c r="AE136" s="42" t="s">
        <v>70</v>
      </c>
      <c r="AF136" s="42" t="s">
        <v>71</v>
      </c>
      <c r="AG136" s="42" t="s">
        <v>72</v>
      </c>
    </row>
    <row r="137" spans="28:33" s="3" customFormat="1" x14ac:dyDescent="0.25">
      <c r="AB137" s="41" t="s">
        <v>84</v>
      </c>
      <c r="AC137" s="39">
        <f>AG137*AF137</f>
        <v>0</v>
      </c>
      <c r="AD137" s="39">
        <v>250000</v>
      </c>
      <c r="AE137" s="39"/>
      <c r="AF137" s="39">
        <f>AD137</f>
        <v>250000</v>
      </c>
      <c r="AG137" s="40">
        <v>0</v>
      </c>
    </row>
    <row r="138" spans="28:33" s="3" customFormat="1" x14ac:dyDescent="0.25">
      <c r="AB138" s="41" t="s">
        <v>85</v>
      </c>
      <c r="AC138" s="39">
        <f>MAX(0,MIN(AG138*AF138,AG138*AE138))</f>
        <v>12500</v>
      </c>
      <c r="AD138" s="39">
        <v>500000</v>
      </c>
      <c r="AE138" s="39">
        <f>AD138-AD137</f>
        <v>250000</v>
      </c>
      <c r="AF138" s="39">
        <f>$E$77-AF137</f>
        <v>8450000</v>
      </c>
      <c r="AG138" s="40">
        <v>0.05</v>
      </c>
    </row>
    <row r="139" spans="28:33" s="3" customFormat="1" x14ac:dyDescent="0.25">
      <c r="AB139" s="41" t="s">
        <v>86</v>
      </c>
      <c r="AC139" s="39">
        <f>MAX(0,MIN(AG139*AF139,AG139*AE139))</f>
        <v>25000</v>
      </c>
      <c r="AD139" s="39">
        <v>750000</v>
      </c>
      <c r="AE139" s="39">
        <f>AD139-AD138</f>
        <v>250000</v>
      </c>
      <c r="AF139" s="39">
        <f>AF138-AE138</f>
        <v>8200000</v>
      </c>
      <c r="AG139" s="40">
        <v>0.1</v>
      </c>
    </row>
    <row r="140" spans="28:33" s="3" customFormat="1" x14ac:dyDescent="0.25">
      <c r="AB140" s="41" t="s">
        <v>87</v>
      </c>
      <c r="AC140" s="39">
        <f>MAX(0,MIN(AG140*AF140,AG140*AE140))</f>
        <v>37500</v>
      </c>
      <c r="AD140" s="39">
        <v>1000000</v>
      </c>
      <c r="AE140" s="39">
        <f t="shared" ref="AE140:AE142" si="1">AD140-AD139</f>
        <v>250000</v>
      </c>
      <c r="AF140" s="39">
        <f>AF139-AE139</f>
        <v>7950000</v>
      </c>
      <c r="AG140" s="40">
        <v>0.15</v>
      </c>
    </row>
    <row r="141" spans="28:33" s="3" customFormat="1" x14ac:dyDescent="0.25">
      <c r="AB141" s="41" t="s">
        <v>88</v>
      </c>
      <c r="AC141" s="39">
        <f t="shared" ref="AC141:AC142" si="2">MAX(0,MIN(AG141*AF141,AG141*AE141))</f>
        <v>50000</v>
      </c>
      <c r="AD141" s="39">
        <v>1250000</v>
      </c>
      <c r="AE141" s="39">
        <f t="shared" si="1"/>
        <v>250000</v>
      </c>
      <c r="AF141" s="39">
        <f>AF140-AE140</f>
        <v>7700000</v>
      </c>
      <c r="AG141" s="40">
        <v>0.2</v>
      </c>
    </row>
    <row r="142" spans="28:33" s="3" customFormat="1" x14ac:dyDescent="0.25">
      <c r="AB142" s="41" t="s">
        <v>89</v>
      </c>
      <c r="AC142" s="39">
        <f t="shared" si="2"/>
        <v>62500</v>
      </c>
      <c r="AD142" s="39">
        <v>1500000</v>
      </c>
      <c r="AE142" s="39">
        <f t="shared" si="1"/>
        <v>250000</v>
      </c>
      <c r="AF142" s="39">
        <f>AF141-AE141</f>
        <v>7450000</v>
      </c>
      <c r="AG142" s="40">
        <v>0.25</v>
      </c>
    </row>
    <row r="143" spans="28:33" s="3" customFormat="1" x14ac:dyDescent="0.25">
      <c r="AB143" s="41" t="s">
        <v>90</v>
      </c>
      <c r="AC143" s="43">
        <f>MAX(0,MIN(AG143*AF143,AG143*AE143))</f>
        <v>2160000</v>
      </c>
      <c r="AD143" s="39"/>
      <c r="AE143" s="39">
        <f>$E$77-AD142</f>
        <v>7200000</v>
      </c>
      <c r="AF143" s="39">
        <f>AF142-AE142</f>
        <v>7200000</v>
      </c>
      <c r="AG143" s="40">
        <v>0.3</v>
      </c>
    </row>
    <row r="144" spans="28:33" s="3" customFormat="1" x14ac:dyDescent="0.25">
      <c r="AB144" s="41" t="s">
        <v>77</v>
      </c>
      <c r="AC144" s="48">
        <f>SUM(AC137:AC143)</f>
        <v>2347500</v>
      </c>
      <c r="AD144" s="39"/>
      <c r="AE144" s="39"/>
      <c r="AF144" s="39"/>
    </row>
    <row r="146" spans="28:33" s="3" customFormat="1" x14ac:dyDescent="0.25">
      <c r="AB146" s="41" t="s">
        <v>91</v>
      </c>
      <c r="AC146" s="42" t="s">
        <v>68</v>
      </c>
      <c r="AD146" s="42" t="s">
        <v>69</v>
      </c>
      <c r="AE146" s="42" t="s">
        <v>70</v>
      </c>
      <c r="AF146" s="42" t="s">
        <v>71</v>
      </c>
      <c r="AG146" s="42" t="s">
        <v>72</v>
      </c>
    </row>
    <row r="147" spans="28:33" s="3" customFormat="1" x14ac:dyDescent="0.25">
      <c r="AB147" s="41" t="s">
        <v>92</v>
      </c>
      <c r="AC147" s="39">
        <f>AG147*AF147</f>
        <v>0</v>
      </c>
      <c r="AD147" s="39">
        <v>300000</v>
      </c>
      <c r="AE147" s="39"/>
      <c r="AF147" s="39">
        <f>AD147</f>
        <v>300000</v>
      </c>
      <c r="AG147" s="40">
        <v>0</v>
      </c>
    </row>
    <row r="148" spans="28:33" s="3" customFormat="1" x14ac:dyDescent="0.25">
      <c r="AB148" s="49" t="s">
        <v>93</v>
      </c>
      <c r="AC148" s="39">
        <f>MAX(0,MIN(AG148*AF148,AG148*AE148))</f>
        <v>10000</v>
      </c>
      <c r="AD148" s="39">
        <v>500000</v>
      </c>
      <c r="AE148" s="39">
        <f>AD148-AD147</f>
        <v>200000</v>
      </c>
      <c r="AF148" s="39">
        <f>$E$77-AF147</f>
        <v>8400000</v>
      </c>
      <c r="AG148" s="40">
        <v>0.05</v>
      </c>
    </row>
    <row r="149" spans="28:33" s="3" customFormat="1" x14ac:dyDescent="0.25">
      <c r="AB149" s="41" t="s">
        <v>86</v>
      </c>
      <c r="AC149" s="39">
        <f>MAX(0,MIN(AG149*AF149,AG149*AE149))</f>
        <v>25000</v>
      </c>
      <c r="AD149" s="39">
        <v>750000</v>
      </c>
      <c r="AE149" s="39">
        <f>AD149-AD148</f>
        <v>250000</v>
      </c>
      <c r="AF149" s="39">
        <f>AF148-AE148</f>
        <v>8200000</v>
      </c>
      <c r="AG149" s="40">
        <v>0.1</v>
      </c>
    </row>
    <row r="150" spans="28:33" s="3" customFormat="1" x14ac:dyDescent="0.25">
      <c r="AB150" s="41" t="s">
        <v>87</v>
      </c>
      <c r="AC150" s="39">
        <f>MAX(0,MIN(AG150*AF150,AG150*AE150))</f>
        <v>37500</v>
      </c>
      <c r="AD150" s="39">
        <v>1000000</v>
      </c>
      <c r="AE150" s="39">
        <f t="shared" ref="AE150:AE152" si="3">AD150-AD149</f>
        <v>250000</v>
      </c>
      <c r="AF150" s="39">
        <f>AF149-AE149</f>
        <v>7950000</v>
      </c>
      <c r="AG150" s="40">
        <v>0.15</v>
      </c>
    </row>
    <row r="151" spans="28:33" s="3" customFormat="1" x14ac:dyDescent="0.25">
      <c r="AB151" s="41" t="s">
        <v>88</v>
      </c>
      <c r="AC151" s="39">
        <f t="shared" ref="AC151:AC152" si="4">MAX(0,MIN(AG151*AF151,AG151*AE151))</f>
        <v>50000</v>
      </c>
      <c r="AD151" s="39">
        <v>1250000</v>
      </c>
      <c r="AE151" s="39">
        <f t="shared" si="3"/>
        <v>250000</v>
      </c>
      <c r="AF151" s="39">
        <f>AF150-AE150</f>
        <v>7700000</v>
      </c>
      <c r="AG151" s="40">
        <v>0.2</v>
      </c>
    </row>
    <row r="152" spans="28:33" s="3" customFormat="1" x14ac:dyDescent="0.25">
      <c r="AB152" s="41" t="s">
        <v>89</v>
      </c>
      <c r="AC152" s="39">
        <f t="shared" si="4"/>
        <v>62500</v>
      </c>
      <c r="AD152" s="39">
        <v>1500000</v>
      </c>
      <c r="AE152" s="39">
        <f t="shared" si="3"/>
        <v>250000</v>
      </c>
      <c r="AF152" s="39">
        <f>AF151-AE151</f>
        <v>7450000</v>
      </c>
      <c r="AG152" s="40">
        <v>0.25</v>
      </c>
    </row>
    <row r="153" spans="28:33" s="3" customFormat="1" x14ac:dyDescent="0.25">
      <c r="AB153" s="41" t="s">
        <v>90</v>
      </c>
      <c r="AC153" s="43">
        <f>MAX(0,MIN(AG153*AF153,AG153*AE153))</f>
        <v>2160000</v>
      </c>
      <c r="AD153" s="39"/>
      <c r="AE153" s="39">
        <f>$E$77-AD152</f>
        <v>7200000</v>
      </c>
      <c r="AF153" s="39">
        <f>AF152-AE152</f>
        <v>7200000</v>
      </c>
      <c r="AG153" s="40">
        <v>0.3</v>
      </c>
    </row>
    <row r="154" spans="28:33" s="3" customFormat="1" x14ac:dyDescent="0.25">
      <c r="AB154" s="41" t="s">
        <v>77</v>
      </c>
      <c r="AC154" s="48">
        <f>SUM(AC147:AC153)</f>
        <v>2345000</v>
      </c>
      <c r="AD154" s="39"/>
      <c r="AE154" s="39"/>
      <c r="AF154" s="39"/>
    </row>
    <row r="156" spans="28:33" s="3" customFormat="1" x14ac:dyDescent="0.25">
      <c r="AB156" s="41" t="s">
        <v>94</v>
      </c>
      <c r="AC156" s="42" t="s">
        <v>68</v>
      </c>
      <c r="AD156" s="42" t="s">
        <v>69</v>
      </c>
      <c r="AE156" s="42" t="s">
        <v>70</v>
      </c>
      <c r="AF156" s="42" t="s">
        <v>71</v>
      </c>
      <c r="AG156" s="42" t="s">
        <v>72</v>
      </c>
    </row>
    <row r="157" spans="28:33" s="3" customFormat="1" x14ac:dyDescent="0.25">
      <c r="AB157" s="41" t="s">
        <v>84</v>
      </c>
      <c r="AC157" s="39">
        <f>AG157*AF157</f>
        <v>0</v>
      </c>
      <c r="AD157" s="39">
        <v>250000</v>
      </c>
      <c r="AE157" s="39"/>
      <c r="AF157" s="39">
        <f>AD157</f>
        <v>250000</v>
      </c>
      <c r="AG157" s="40">
        <v>0</v>
      </c>
    </row>
    <row r="158" spans="28:33" s="3" customFormat="1" x14ac:dyDescent="0.25">
      <c r="AB158" s="41" t="s">
        <v>85</v>
      </c>
      <c r="AC158" s="39">
        <f>MAX(0,MIN(AG158*AF158,AG158*AE158))</f>
        <v>0</v>
      </c>
      <c r="AD158" s="39">
        <v>500000</v>
      </c>
      <c r="AE158" s="39">
        <f>AD158-AD157</f>
        <v>250000</v>
      </c>
      <c r="AF158" s="39">
        <f>$E$77-AF157</f>
        <v>8450000</v>
      </c>
      <c r="AG158" s="40">
        <v>0</v>
      </c>
    </row>
    <row r="159" spans="28:33" s="3" customFormat="1" x14ac:dyDescent="0.25">
      <c r="AB159" s="41" t="s">
        <v>86</v>
      </c>
      <c r="AC159" s="39">
        <f>MAX(0,MIN(AG159*AF159,AG159*AE159))</f>
        <v>25000</v>
      </c>
      <c r="AD159" s="39">
        <v>750000</v>
      </c>
      <c r="AE159" s="39">
        <f>AD159-AD158</f>
        <v>250000</v>
      </c>
      <c r="AF159" s="39">
        <f>AF158-AE158</f>
        <v>8200000</v>
      </c>
      <c r="AG159" s="40">
        <v>0.1</v>
      </c>
    </row>
    <row r="160" spans="28:33" s="3" customFormat="1" x14ac:dyDescent="0.25">
      <c r="AB160" s="41" t="s">
        <v>87</v>
      </c>
      <c r="AC160" s="39">
        <f>MAX(0,MIN(AG160*AF160,AG160*AE160))</f>
        <v>37500</v>
      </c>
      <c r="AD160" s="39">
        <v>1000000</v>
      </c>
      <c r="AE160" s="39">
        <f t="shared" ref="AE160:AE162" si="5">AD160-AD159</f>
        <v>250000</v>
      </c>
      <c r="AF160" s="39">
        <f>AF159-AE159</f>
        <v>7950000</v>
      </c>
      <c r="AG160" s="40">
        <v>0.15</v>
      </c>
    </row>
    <row r="161" spans="28:33" s="3" customFormat="1" x14ac:dyDescent="0.25">
      <c r="AB161" s="41" t="s">
        <v>88</v>
      </c>
      <c r="AC161" s="39">
        <f t="shared" ref="AC161:AC162" si="6">MAX(0,MIN(AG161*AF161,AG161*AE161))</f>
        <v>50000</v>
      </c>
      <c r="AD161" s="39">
        <v>1250000</v>
      </c>
      <c r="AE161" s="39">
        <f t="shared" si="5"/>
        <v>250000</v>
      </c>
      <c r="AF161" s="39">
        <f>AF160-AE160</f>
        <v>7700000</v>
      </c>
      <c r="AG161" s="40">
        <v>0.2</v>
      </c>
    </row>
    <row r="162" spans="28:33" s="3" customFormat="1" x14ac:dyDescent="0.25">
      <c r="AB162" s="41" t="s">
        <v>89</v>
      </c>
      <c r="AC162" s="39">
        <f t="shared" si="6"/>
        <v>62500</v>
      </c>
      <c r="AD162" s="39">
        <v>1500000</v>
      </c>
      <c r="AE162" s="39">
        <f t="shared" si="5"/>
        <v>250000</v>
      </c>
      <c r="AF162" s="39">
        <f>AF161-AE161</f>
        <v>7450000</v>
      </c>
      <c r="AG162" s="40">
        <v>0.25</v>
      </c>
    </row>
    <row r="163" spans="28:33" s="3" customFormat="1" x14ac:dyDescent="0.25">
      <c r="AB163" s="41" t="s">
        <v>90</v>
      </c>
      <c r="AC163" s="43">
        <f>MAX(0,MIN(AG163*AF163,AG163*AE163))</f>
        <v>2160000</v>
      </c>
      <c r="AD163" s="39"/>
      <c r="AE163" s="39">
        <f>$E$77-AD162</f>
        <v>7200000</v>
      </c>
      <c r="AF163" s="39">
        <f>AF162-AE162</f>
        <v>7200000</v>
      </c>
      <c r="AG163" s="40">
        <v>0.3</v>
      </c>
    </row>
    <row r="164" spans="28:33" s="3" customFormat="1" x14ac:dyDescent="0.25">
      <c r="AB164" s="41" t="s">
        <v>77</v>
      </c>
      <c r="AC164" s="48">
        <f>SUM(AC157:AC163)</f>
        <v>2335000</v>
      </c>
      <c r="AD164" s="39"/>
      <c r="AE164" s="39"/>
      <c r="AF164" s="39"/>
    </row>
    <row r="165" spans="28:33" s="3" customFormat="1" x14ac:dyDescent="0.25">
      <c r="AB165" s="42"/>
      <c r="AC165" s="42"/>
      <c r="AD165" s="42"/>
      <c r="AE165" s="42"/>
      <c r="AF165" s="43"/>
      <c r="AG165" s="40"/>
    </row>
    <row r="166" spans="28:33" s="3" customFormat="1" x14ac:dyDescent="0.25">
      <c r="AB166" s="42"/>
      <c r="AC166" s="42"/>
      <c r="AD166" s="42"/>
      <c r="AE166" s="42"/>
      <c r="AF166" s="43"/>
      <c r="AG166" s="40"/>
    </row>
    <row r="167" spans="28:33" s="3" customFormat="1" x14ac:dyDescent="0.25">
      <c r="AB167" s="42"/>
      <c r="AC167" s="42"/>
      <c r="AD167" s="42"/>
      <c r="AE167" s="42"/>
    </row>
    <row r="168" spans="28:33" s="3" customFormat="1" x14ac:dyDescent="0.25">
      <c r="AB168" s="42"/>
      <c r="AC168" s="42"/>
      <c r="AD168" s="42"/>
      <c r="AE168" s="42"/>
      <c r="AF168" s="42"/>
      <c r="AG168" s="42"/>
    </row>
    <row r="169" spans="28:33" s="3" customFormat="1" x14ac:dyDescent="0.25">
      <c r="AB169" s="42"/>
      <c r="AC169" s="42"/>
      <c r="AD169" s="42"/>
      <c r="AE169" s="42"/>
      <c r="AF169" s="43"/>
      <c r="AG169" s="40"/>
    </row>
    <row r="170" spans="28:33" s="3" customFormat="1" x14ac:dyDescent="0.25">
      <c r="AB170" s="42"/>
      <c r="AC170" s="42"/>
      <c r="AD170" s="42"/>
      <c r="AE170" s="42"/>
      <c r="AF170" s="45"/>
      <c r="AG170" s="40"/>
    </row>
    <row r="171" spans="28:33" s="3" customFormat="1" x14ac:dyDescent="0.25">
      <c r="AB171" s="42"/>
      <c r="AC171" s="42"/>
      <c r="AD171" s="42"/>
      <c r="AE171" s="42"/>
      <c r="AF171" s="43"/>
      <c r="AG171" s="40"/>
    </row>
    <row r="172" spans="28:33" s="3" customFormat="1" x14ac:dyDescent="0.25">
      <c r="AB172" s="42"/>
      <c r="AC172" s="42"/>
      <c r="AD172" s="42"/>
      <c r="AE172" s="42"/>
      <c r="AF172" s="43"/>
      <c r="AG172" s="40"/>
    </row>
    <row r="173" spans="28:33" s="3" customFormat="1" x14ac:dyDescent="0.25">
      <c r="AB173" s="42"/>
      <c r="AC173" s="42"/>
      <c r="AD173" s="42"/>
      <c r="AE173" s="42"/>
    </row>
    <row r="174" spans="28:33" s="3" customFormat="1" x14ac:dyDescent="0.25">
      <c r="AB174" s="42"/>
      <c r="AC174" s="42"/>
      <c r="AD174" s="42"/>
      <c r="AE174" s="42"/>
    </row>
  </sheetData>
  <mergeCells count="7">
    <mergeCell ref="F3:J3"/>
    <mergeCell ref="B86:E86"/>
    <mergeCell ref="B1:E1"/>
    <mergeCell ref="B2:E2"/>
    <mergeCell ref="C3:E3"/>
    <mergeCell ref="C4:E4"/>
    <mergeCell ref="B74:E74"/>
  </mergeCells>
  <dataValidations count="1">
    <dataValidation type="list" allowBlank="1" showInputMessage="1" showErrorMessage="1" sqref="C11">
      <formula1>$AO$8:$AO$9</formula1>
    </dataValidation>
  </dataValidation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Tax Calculator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2020-02-06T12:36:33Z</dcterms:created>
  <dcterms:modified xsi:type="dcterms:W3CDTF">2020-02-08T10:54:54Z</dcterms:modified>
</cp:coreProperties>
</file>