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showSheetTabs="0" xWindow="120" yWindow="36" windowWidth="20400" windowHeight="7992"/>
  </bookViews>
  <sheets>
    <sheet name="Main" sheetId="2" r:id="rId1"/>
    <sheet name="old" sheetId="1" state="hidden" r:id="rId2"/>
    <sheet name="new" sheetId="3" state="hidden" r:id="rId3"/>
  </sheets>
  <definedNames>
    <definedName name="_xlnm.Print_Area" localSheetId="0">Main!$A$1:$C$17</definedName>
  </definedNames>
  <calcPr calcId="124519"/>
  <fileRecoveryPr repairLoad="1"/>
</workbook>
</file>

<file path=xl/calcChain.xml><?xml version="1.0" encoding="utf-8"?>
<calcChain xmlns="http://schemas.openxmlformats.org/spreadsheetml/2006/main">
  <c r="A14" i="2"/>
  <c r="B7"/>
  <c r="C3"/>
  <c r="C7" s="1"/>
  <c r="C9" s="1"/>
  <c r="C10" s="1"/>
  <c r="H7" i="3" s="1"/>
  <c r="B4" i="2"/>
  <c r="E12" i="3"/>
  <c r="Y10"/>
  <c r="U10"/>
  <c r="W10" s="1"/>
  <c r="T10"/>
  <c r="V10" s="1"/>
  <c r="P10"/>
  <c r="O10"/>
  <c r="Y9"/>
  <c r="V9"/>
  <c r="U9"/>
  <c r="W9" s="1"/>
  <c r="T9"/>
  <c r="P9"/>
  <c r="O9"/>
  <c r="N10" s="1"/>
  <c r="I9"/>
  <c r="Y8"/>
  <c r="W8"/>
  <c r="T8"/>
  <c r="R8"/>
  <c r="P8"/>
  <c r="O8"/>
  <c r="N9" s="1"/>
  <c r="Y7"/>
  <c r="P7"/>
  <c r="O7"/>
  <c r="Q7" s="1"/>
  <c r="P6"/>
  <c r="O6"/>
  <c r="F11"/>
  <c r="F12"/>
  <c r="F13"/>
  <c r="A13"/>
  <c r="D11"/>
  <c r="D12"/>
  <c r="D13"/>
  <c r="A11"/>
  <c r="A12"/>
  <c r="F10"/>
  <c r="D10"/>
  <c r="A10"/>
  <c r="D9"/>
  <c r="A9"/>
  <c r="E8"/>
  <c r="E9" s="1"/>
  <c r="E10" s="1"/>
  <c r="E11" s="1"/>
  <c r="D8"/>
  <c r="A8"/>
  <c r="D30" i="1"/>
  <c r="A30"/>
  <c r="E29"/>
  <c r="D29"/>
  <c r="A29"/>
  <c r="D24"/>
  <c r="A24"/>
  <c r="E23"/>
  <c r="D23"/>
  <c r="A23"/>
  <c r="E22"/>
  <c r="D22"/>
  <c r="A22"/>
  <c r="R19"/>
  <c r="R18"/>
  <c r="Q18"/>
  <c r="R17"/>
  <c r="D17"/>
  <c r="A17"/>
  <c r="R16"/>
  <c r="U16" s="1"/>
  <c r="P16"/>
  <c r="D16"/>
  <c r="A16"/>
  <c r="U15"/>
  <c r="E15"/>
  <c r="E16" s="1"/>
  <c r="D15"/>
  <c r="A15"/>
  <c r="U12"/>
  <c r="W12" s="1"/>
  <c r="Q32" s="1"/>
  <c r="T12"/>
  <c r="V12" s="1"/>
  <c r="E4"/>
  <c r="T14" s="1"/>
  <c r="U11"/>
  <c r="W11" s="1"/>
  <c r="Q25" s="1"/>
  <c r="T11"/>
  <c r="P11"/>
  <c r="O11"/>
  <c r="N11"/>
  <c r="Y10"/>
  <c r="U10"/>
  <c r="W10" s="1"/>
  <c r="T10"/>
  <c r="V10" s="1"/>
  <c r="P10"/>
  <c r="O10"/>
  <c r="D10"/>
  <c r="A10"/>
  <c r="Y9"/>
  <c r="U9"/>
  <c r="W9" s="1"/>
  <c r="Q11" s="1"/>
  <c r="T9"/>
  <c r="V9" s="1"/>
  <c r="P9"/>
  <c r="O9"/>
  <c r="N10" s="1"/>
  <c r="D9"/>
  <c r="A9"/>
  <c r="Y8"/>
  <c r="W8"/>
  <c r="T8"/>
  <c r="R8"/>
  <c r="P8"/>
  <c r="O8"/>
  <c r="N9" s="1"/>
  <c r="E8"/>
  <c r="E9" s="1"/>
  <c r="D8"/>
  <c r="A8"/>
  <c r="Y7"/>
  <c r="P7"/>
  <c r="O7"/>
  <c r="N8" s="1"/>
  <c r="O6"/>
  <c r="D2"/>
  <c r="P6" s="1"/>
  <c r="B9" i="2" l="1"/>
  <c r="B10" s="1"/>
  <c r="D1" i="1" s="1"/>
  <c r="H7" s="1"/>
  <c r="H14" s="1"/>
  <c r="E4" i="3"/>
  <c r="L7"/>
  <c r="I7"/>
  <c r="J7" s="1"/>
  <c r="Q7" i="1"/>
  <c r="X9" i="3"/>
  <c r="X10"/>
  <c r="N8"/>
  <c r="X12" i="1"/>
  <c r="X9"/>
  <c r="X10"/>
  <c r="V11"/>
  <c r="X11" s="1"/>
  <c r="H21" l="1"/>
  <c r="I21" s="1"/>
  <c r="J21" s="1"/>
  <c r="E24" s="1"/>
  <c r="K21" s="1"/>
  <c r="I7"/>
  <c r="J7" s="1"/>
  <c r="E10" s="1"/>
  <c r="K7" s="1"/>
  <c r="H28"/>
  <c r="I28" s="1"/>
  <c r="J28" s="1"/>
  <c r="E30" s="1"/>
  <c r="K28" s="1"/>
  <c r="L7"/>
  <c r="F10" s="1"/>
  <c r="K7" i="3"/>
  <c r="I14" i="1"/>
  <c r="J14" s="1"/>
  <c r="E17" s="1"/>
  <c r="K14" s="1"/>
  <c r="E13" i="3"/>
  <c r="H9"/>
  <c r="D11" i="1" l="1"/>
  <c r="H11" s="1"/>
  <c r="I11" s="1"/>
  <c r="J11" s="1"/>
  <c r="L14"/>
  <c r="D18" s="1"/>
  <c r="S14"/>
  <c r="U14" s="1"/>
  <c r="H30"/>
  <c r="L28"/>
  <c r="D32" s="1"/>
  <c r="L21"/>
  <c r="D25" s="1"/>
  <c r="J9" i="3"/>
  <c r="C11" i="2"/>
  <c r="H9" i="1"/>
  <c r="P12" s="1"/>
  <c r="B11" i="2" s="1"/>
  <c r="H23" i="1"/>
  <c r="L25" s="1"/>
  <c r="H16"/>
  <c r="H18" l="1"/>
  <c r="I18" s="1"/>
  <c r="J18" s="1"/>
  <c r="F17"/>
  <c r="F31"/>
  <c r="L18"/>
  <c r="F24"/>
  <c r="L32"/>
  <c r="K9" i="3"/>
  <c r="C14" i="2"/>
  <c r="C15" s="1"/>
  <c r="B13"/>
  <c r="L11" i="1"/>
  <c r="K11"/>
  <c r="H25" l="1"/>
  <c r="H32" s="1"/>
  <c r="K18"/>
  <c r="M18" s="1"/>
  <c r="I9"/>
  <c r="P13" s="1"/>
  <c r="B12" i="2" s="1"/>
  <c r="M11" i="1"/>
  <c r="I25" l="1"/>
  <c r="J25" s="1"/>
  <c r="B14" i="2"/>
  <c r="B15" s="1"/>
  <c r="B16" s="1"/>
  <c r="I16" i="1"/>
  <c r="J16" s="1"/>
  <c r="K16" s="1"/>
  <c r="I32"/>
  <c r="J32" s="1"/>
  <c r="J9"/>
  <c r="K25" l="1"/>
  <c r="I23" s="1"/>
  <c r="K9"/>
  <c r="P15" s="1"/>
  <c r="P14"/>
  <c r="K32"/>
  <c r="M25" l="1"/>
  <c r="J23"/>
  <c r="K23" s="1"/>
  <c r="M32"/>
  <c r="P17" s="1"/>
  <c r="I30"/>
  <c r="J30" l="1"/>
  <c r="K30" l="1"/>
  <c r="P18" l="1"/>
</calcChain>
</file>

<file path=xl/sharedStrings.xml><?xml version="1.0" encoding="utf-8"?>
<sst xmlns="http://schemas.openxmlformats.org/spreadsheetml/2006/main" count="168" uniqueCount="59">
  <si>
    <t>2019-20</t>
  </si>
  <si>
    <t>Male</t>
  </si>
  <si>
    <t>TAX MARGIN</t>
  </si>
  <si>
    <t>TAX AT MARGIN</t>
  </si>
  <si>
    <t>SUR RATE</t>
  </si>
  <si>
    <t>E.Cess</t>
  </si>
  <si>
    <t xml:space="preserve">TAXABLE INCOME </t>
  </si>
  <si>
    <t>TAX RATE APPLY</t>
  </si>
  <si>
    <t>TAX MARGIN SLAB</t>
  </si>
  <si>
    <t>TAX SLAB</t>
  </si>
  <si>
    <t>Surch.Rate</t>
  </si>
  <si>
    <t>Tax Range</t>
  </si>
  <si>
    <t>Basic Exemtion limit</t>
  </si>
  <si>
    <t>Tax Category</t>
  </si>
  <si>
    <t>Tax (inluding addition income)</t>
  </si>
  <si>
    <t>Tax (excluding addition income)</t>
  </si>
  <si>
    <t>Surchange on whole amt</t>
  </si>
  <si>
    <t>Relief (if amt &gt; one crore</t>
  </si>
  <si>
    <t>Surcharge Table (2019-20)</t>
  </si>
  <si>
    <t>(below 60 years)</t>
  </si>
  <si>
    <t>F.Year</t>
  </si>
  <si>
    <t>TAX CALCULALTION</t>
  </si>
  <si>
    <t>SURCHARGE</t>
  </si>
  <si>
    <t>E. CESS</t>
  </si>
  <si>
    <t>TOTAL TAX DUE</t>
  </si>
  <si>
    <t>Surcharge limit</t>
  </si>
  <si>
    <t>Add.Tax Income</t>
  </si>
  <si>
    <t>Add. Tax</t>
  </si>
  <si>
    <t>Diff</t>
  </si>
  <si>
    <t>Sur. Amt</t>
  </si>
  <si>
    <t>M.R.</t>
  </si>
  <si>
    <t>Female</t>
  </si>
  <si>
    <t>Surcharge Limit</t>
  </si>
  <si>
    <t>Senior Citizen</t>
  </si>
  <si>
    <t>MALE</t>
  </si>
  <si>
    <t>Very Senior Citizen</t>
  </si>
  <si>
    <t>Tax Income</t>
  </si>
  <si>
    <t>Age Defined</t>
  </si>
  <si>
    <t>Marginal Releif</t>
  </si>
  <si>
    <t>Tax Due</t>
  </si>
  <si>
    <t>(Above 60 year but less than 80)</t>
  </si>
  <si>
    <t>If Taxable Income is &gt;5000000  to 10000000=10%, &amp; &gt; 10000000 to 20000000=15%, &amp; &gt;20000000 to 50000000=25%, &amp; &gt;50000000=37%</t>
  </si>
  <si>
    <t>(above 80 years)</t>
  </si>
  <si>
    <t xml:space="preserve">Income from Salary </t>
  </si>
  <si>
    <t>Standard Deduction</t>
  </si>
  <si>
    <t>Intrest on House Loan</t>
  </si>
  <si>
    <t>Other Income (if any)</t>
  </si>
  <si>
    <t>Gross Total Income</t>
  </si>
  <si>
    <t>Deduction under chapter VIA (whole amt.)</t>
  </si>
  <si>
    <t xml:space="preserve">Taxable Income  </t>
  </si>
  <si>
    <t>Taxable Income (Round. off)</t>
  </si>
  <si>
    <t>Surcharge (if any)</t>
  </si>
  <si>
    <t>Total Tax Liability</t>
  </si>
  <si>
    <t xml:space="preserve">Less-Rebate U/S 87A </t>
  </si>
  <si>
    <t>Existing Option</t>
  </si>
  <si>
    <t>Difference against new option</t>
  </si>
  <si>
    <t>Particular</t>
  </si>
  <si>
    <t xml:space="preserve">Design &amp; Prepaired by Pravesh Kumar Sharma, Accountant, </t>
  </si>
  <si>
    <t>New option u/s 115BAC</t>
  </si>
</sst>
</file>

<file path=xl/styles.xml><?xml version="1.0" encoding="utf-8"?>
<styleSheet xmlns="http://schemas.openxmlformats.org/spreadsheetml/2006/main">
  <numFmts count="1">
    <numFmt numFmtId="164" formatCode="_(&quot;Rs &quot;* #,##0_);_(&quot;Rs &quot;* \(#,##0\);_(&quot;Rs &quot;* &quot;-&quot;_);_(@_)"/>
  </numFmts>
  <fonts count="17">
    <font>
      <sz val="12"/>
      <color theme="1"/>
      <name val="Calibri"/>
      <family val="2"/>
    </font>
    <font>
      <sz val="10"/>
      <name val="Arial"/>
      <family val="2"/>
    </font>
    <font>
      <b/>
      <sz val="14"/>
      <color indexed="9"/>
      <name val="Arial"/>
      <family val="2"/>
    </font>
    <font>
      <sz val="11"/>
      <name val="Calibri"/>
      <family val="2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Calibri"/>
      <family val="2"/>
    </font>
    <font>
      <sz val="11"/>
      <color indexed="8"/>
      <name val="Calibri"/>
      <family val="2"/>
    </font>
    <font>
      <b/>
      <sz val="10"/>
      <name val="Arial"/>
      <family val="2"/>
    </font>
    <font>
      <sz val="10"/>
      <name val="Arial Unicode MS"/>
      <family val="2"/>
    </font>
    <font>
      <b/>
      <sz val="14"/>
      <name val="Calibri"/>
      <family val="2"/>
    </font>
    <font>
      <sz val="11"/>
      <color indexed="13"/>
      <name val="Calibri"/>
      <family val="2"/>
    </font>
    <font>
      <sz val="14"/>
      <name val="Calibri"/>
      <family val="2"/>
    </font>
    <font>
      <sz val="14"/>
      <color theme="1"/>
      <name val="Calibri"/>
      <family val="2"/>
    </font>
    <font>
      <sz val="16"/>
      <color rgb="FFFFFF00"/>
      <name val="Calibri"/>
      <family val="2"/>
    </font>
    <font>
      <b/>
      <sz val="14"/>
      <color theme="1"/>
      <name val="Calibri"/>
      <family val="2"/>
    </font>
    <font>
      <b/>
      <i/>
      <sz val="14"/>
      <color theme="1"/>
      <name val="Calibri"/>
      <family val="2"/>
    </font>
  </fonts>
  <fills count="21">
    <fill>
      <patternFill patternType="none"/>
    </fill>
    <fill>
      <patternFill patternType="gray125"/>
    </fill>
    <fill>
      <patternFill patternType="solid">
        <fgColor theme="5"/>
      </patternFill>
    </fill>
    <fill>
      <patternFill patternType="solid">
        <fgColor indexed="8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4"/>
        <bgColor indexed="31"/>
      </patternFill>
    </fill>
    <fill>
      <patternFill patternType="solid">
        <fgColor indexed="13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9" tint="0.59999389629810485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2" borderId="0" applyNumberFormat="0" applyBorder="0" applyAlignment="0" applyProtection="0"/>
    <xf numFmtId="9" fontId="1" fillId="0" borderId="0" applyFont="0" applyFill="0" applyBorder="0" applyAlignment="0" applyProtection="0"/>
    <xf numFmtId="0" fontId="9" fillId="0" borderId="0"/>
    <xf numFmtId="0" fontId="1" fillId="0" borderId="0"/>
  </cellStyleXfs>
  <cellXfs count="104">
    <xf numFmtId="0" fontId="0" fillId="0" borderId="0" xfId="0"/>
    <xf numFmtId="0" fontId="2" fillId="3" borderId="1" xfId="1" applyFont="1" applyFill="1" applyBorder="1" applyAlignment="1"/>
    <xf numFmtId="0" fontId="2" fillId="3" borderId="2" xfId="1" applyFont="1" applyFill="1" applyBorder="1" applyAlignment="1"/>
    <xf numFmtId="0" fontId="3" fillId="0" borderId="0" xfId="1" applyNumberFormat="1" applyFont="1" applyFill="1" applyBorder="1" applyAlignment="1" applyProtection="1">
      <alignment vertical="top" wrapText="1"/>
    </xf>
    <xf numFmtId="0" fontId="3" fillId="0" borderId="0" xfId="1" applyNumberFormat="1" applyFont="1" applyFill="1" applyBorder="1" applyAlignment="1" applyProtection="1">
      <alignment vertical="top"/>
    </xf>
    <xf numFmtId="0" fontId="5" fillId="4" borderId="6" xfId="2" applyFont="1" applyFill="1" applyBorder="1" applyAlignment="1">
      <alignment vertical="top" wrapText="1"/>
    </xf>
    <xf numFmtId="0" fontId="5" fillId="4" borderId="7" xfId="2" applyFont="1" applyFill="1" applyBorder="1" applyAlignment="1">
      <alignment vertical="top" wrapText="1"/>
    </xf>
    <xf numFmtId="0" fontId="3" fillId="8" borderId="5" xfId="1" applyNumberFormat="1" applyFont="1" applyFill="1" applyBorder="1" applyAlignment="1" applyProtection="1">
      <alignment vertical="top"/>
    </xf>
    <xf numFmtId="0" fontId="3" fillId="0" borderId="5" xfId="1" applyNumberFormat="1" applyFont="1" applyFill="1" applyBorder="1" applyAlignment="1" applyProtection="1">
      <alignment vertical="top" wrapText="1"/>
    </xf>
    <xf numFmtId="9" fontId="3" fillId="0" borderId="5" xfId="1" applyNumberFormat="1" applyFont="1" applyFill="1" applyBorder="1" applyAlignment="1" applyProtection="1">
      <alignment vertical="top"/>
    </xf>
    <xf numFmtId="0" fontId="3" fillId="0" borderId="5" xfId="1" applyNumberFormat="1" applyFont="1" applyFill="1" applyBorder="1" applyAlignment="1" applyProtection="1">
      <alignment vertical="top"/>
    </xf>
    <xf numFmtId="0" fontId="3" fillId="0" borderId="5" xfId="1" applyFont="1" applyFill="1" applyBorder="1"/>
    <xf numFmtId="1" fontId="3" fillId="0" borderId="5" xfId="1" applyNumberFormat="1" applyFont="1" applyBorder="1"/>
    <xf numFmtId="9" fontId="3" fillId="5" borderId="5" xfId="1" applyNumberFormat="1" applyFont="1" applyFill="1" applyBorder="1" applyAlignment="1">
      <alignment horizontal="center"/>
    </xf>
    <xf numFmtId="1" fontId="3" fillId="9" borderId="5" xfId="2" applyNumberFormat="1" applyFont="1" applyFill="1" applyBorder="1" applyAlignment="1">
      <alignment wrapText="1"/>
    </xf>
    <xf numFmtId="2" fontId="4" fillId="2" borderId="5" xfId="2" applyNumberFormat="1" applyBorder="1" applyAlignment="1">
      <alignment wrapText="1"/>
    </xf>
    <xf numFmtId="0" fontId="4" fillId="2" borderId="5" xfId="2" applyBorder="1" applyAlignment="1">
      <alignment wrapText="1"/>
    </xf>
    <xf numFmtId="1" fontId="4" fillId="2" borderId="5" xfId="2" applyNumberFormat="1" applyBorder="1"/>
    <xf numFmtId="9" fontId="3" fillId="10" borderId="5" xfId="2" applyNumberFormat="1" applyFont="1" applyFill="1" applyBorder="1" applyAlignment="1"/>
    <xf numFmtId="9" fontId="4" fillId="2" borderId="5" xfId="2" applyNumberFormat="1" applyBorder="1" applyAlignment="1"/>
    <xf numFmtId="0" fontId="3" fillId="11" borderId="5" xfId="1" applyNumberFormat="1" applyFont="1" applyFill="1" applyBorder="1" applyAlignment="1" applyProtection="1">
      <alignment vertical="top"/>
    </xf>
    <xf numFmtId="9" fontId="3" fillId="11" borderId="5" xfId="3" applyFont="1" applyFill="1" applyBorder="1" applyAlignment="1" applyProtection="1">
      <alignment vertical="top"/>
    </xf>
    <xf numFmtId="0" fontId="6" fillId="6" borderId="0" xfId="1" applyNumberFormat="1" applyFont="1" applyFill="1" applyBorder="1" applyAlignment="1" applyProtection="1">
      <alignment vertical="top"/>
    </xf>
    <xf numFmtId="9" fontId="3" fillId="0" borderId="5" xfId="3" applyNumberFormat="1" applyFont="1" applyFill="1" applyBorder="1" applyAlignment="1" applyProtection="1">
      <alignment vertical="top"/>
    </xf>
    <xf numFmtId="0" fontId="4" fillId="7" borderId="5" xfId="2" applyFill="1" applyBorder="1" applyAlignment="1">
      <alignment vertical="top" wrapText="1"/>
    </xf>
    <xf numFmtId="9" fontId="3" fillId="11" borderId="0" xfId="3" applyFont="1" applyFill="1" applyBorder="1" applyAlignment="1" applyProtection="1">
      <alignment vertical="top"/>
    </xf>
    <xf numFmtId="0" fontId="3" fillId="6" borderId="5" xfId="1" applyNumberFormat="1" applyFont="1" applyFill="1" applyBorder="1" applyAlignment="1" applyProtection="1">
      <alignment vertical="top"/>
    </xf>
    <xf numFmtId="0" fontId="3" fillId="12" borderId="5" xfId="1" applyNumberFormat="1" applyFont="1" applyFill="1" applyBorder="1" applyAlignment="1" applyProtection="1">
      <alignment vertical="top"/>
    </xf>
    <xf numFmtId="9" fontId="3" fillId="12" borderId="5" xfId="3" applyFont="1" applyFill="1" applyBorder="1" applyAlignment="1" applyProtection="1">
      <alignment vertical="top"/>
    </xf>
    <xf numFmtId="1" fontId="4" fillId="2" borderId="5" xfId="2" applyNumberFormat="1" applyBorder="1" applyAlignment="1">
      <alignment wrapText="1"/>
    </xf>
    <xf numFmtId="0" fontId="3" fillId="13" borderId="5" xfId="2" applyFont="1" applyFill="1" applyBorder="1" applyAlignment="1">
      <alignment wrapText="1"/>
    </xf>
    <xf numFmtId="0" fontId="8" fillId="15" borderId="5" xfId="0" applyFont="1" applyFill="1" applyBorder="1" applyAlignment="1" applyProtection="1">
      <alignment horizontal="right"/>
      <protection hidden="1"/>
    </xf>
    <xf numFmtId="1" fontId="3" fillId="4" borderId="5" xfId="1" applyNumberFormat="1" applyFont="1" applyFill="1" applyBorder="1" applyAlignment="1" applyProtection="1">
      <alignment vertical="top"/>
    </xf>
    <xf numFmtId="0" fontId="3" fillId="4" borderId="5" xfId="1" applyNumberFormat="1" applyFont="1" applyFill="1" applyBorder="1" applyAlignment="1" applyProtection="1">
      <alignment vertical="top"/>
    </xf>
    <xf numFmtId="1" fontId="3" fillId="0" borderId="0" xfId="1" applyNumberFormat="1" applyFont="1" applyFill="1" applyBorder="1" applyAlignment="1" applyProtection="1">
      <alignment vertical="top"/>
    </xf>
    <xf numFmtId="1" fontId="4" fillId="7" borderId="5" xfId="2" applyNumberFormat="1" applyFill="1" applyBorder="1" applyAlignment="1">
      <alignment wrapText="1"/>
    </xf>
    <xf numFmtId="0" fontId="4" fillId="7" borderId="5" xfId="2" applyNumberFormat="1" applyFill="1" applyBorder="1" applyAlignment="1" applyProtection="1">
      <alignment vertical="top" wrapText="1"/>
    </xf>
    <xf numFmtId="0" fontId="4" fillId="7" borderId="5" xfId="2" applyNumberFormat="1" applyFill="1" applyBorder="1" applyAlignment="1" applyProtection="1">
      <alignment vertical="top"/>
    </xf>
    <xf numFmtId="0" fontId="3" fillId="16" borderId="6" xfId="1" applyFont="1" applyFill="1" applyBorder="1"/>
    <xf numFmtId="1" fontId="6" fillId="6" borderId="5" xfId="2" applyNumberFormat="1" applyFont="1" applyFill="1" applyBorder="1" applyAlignment="1">
      <alignment wrapText="1"/>
    </xf>
    <xf numFmtId="1" fontId="6" fillId="6" borderId="5" xfId="2" applyNumberFormat="1" applyFont="1" applyFill="1" applyBorder="1" applyAlignment="1"/>
    <xf numFmtId="1" fontId="6" fillId="6" borderId="0" xfId="1" applyNumberFormat="1" applyFont="1" applyFill="1" applyBorder="1" applyAlignment="1" applyProtection="1">
      <alignment vertical="top"/>
    </xf>
    <xf numFmtId="0" fontId="3" fillId="0" borderId="3" xfId="1" applyNumberFormat="1" applyFont="1" applyFill="1" applyBorder="1" applyAlignment="1" applyProtection="1">
      <alignment horizontal="center" vertical="top"/>
    </xf>
    <xf numFmtId="0" fontId="3" fillId="0" borderId="4" xfId="1" applyNumberFormat="1" applyFont="1" applyFill="1" applyBorder="1" applyAlignment="1" applyProtection="1">
      <alignment horizontal="center" vertical="top"/>
    </xf>
    <xf numFmtId="0" fontId="3" fillId="5" borderId="6" xfId="1" applyFont="1" applyFill="1" applyBorder="1" applyAlignment="1">
      <alignment vertical="center" wrapText="1"/>
    </xf>
    <xf numFmtId="0" fontId="4" fillId="7" borderId="6" xfId="2" applyFill="1" applyBorder="1" applyAlignment="1">
      <alignment vertical="top" wrapText="1"/>
    </xf>
    <xf numFmtId="0" fontId="3" fillId="17" borderId="5" xfId="1" applyNumberFormat="1" applyFont="1" applyFill="1" applyBorder="1" applyAlignment="1" applyProtection="1">
      <alignment vertical="top"/>
    </xf>
    <xf numFmtId="0" fontId="3" fillId="17" borderId="0" xfId="1" applyNumberFormat="1" applyFont="1" applyFill="1" applyBorder="1" applyAlignment="1" applyProtection="1">
      <alignment vertical="top"/>
    </xf>
    <xf numFmtId="0" fontId="3" fillId="4" borderId="3" xfId="1" applyNumberFormat="1" applyFont="1" applyFill="1" applyBorder="1" applyAlignment="1" applyProtection="1">
      <alignment vertical="top"/>
    </xf>
    <xf numFmtId="0" fontId="3" fillId="4" borderId="4" xfId="1" applyNumberFormat="1" applyFont="1" applyFill="1" applyBorder="1" applyAlignment="1" applyProtection="1">
      <alignment vertical="top"/>
    </xf>
    <xf numFmtId="0" fontId="3" fillId="4" borderId="8" xfId="1" applyNumberFormat="1" applyFont="1" applyFill="1" applyBorder="1" applyAlignment="1" applyProtection="1">
      <alignment vertical="top"/>
    </xf>
    <xf numFmtId="0" fontId="3" fillId="5" borderId="7" xfId="1" applyFont="1" applyFill="1" applyBorder="1" applyAlignment="1">
      <alignment vertical="center" wrapText="1"/>
    </xf>
    <xf numFmtId="0" fontId="4" fillId="7" borderId="7" xfId="2" applyFill="1" applyBorder="1" applyAlignment="1">
      <alignment vertical="top" wrapText="1"/>
    </xf>
    <xf numFmtId="0" fontId="3" fillId="12" borderId="0" xfId="1" applyNumberFormat="1" applyFont="1" applyFill="1" applyBorder="1" applyAlignment="1" applyProtection="1">
      <alignment vertical="top"/>
    </xf>
    <xf numFmtId="9" fontId="11" fillId="7" borderId="5" xfId="2" applyNumberFormat="1" applyFont="1" applyFill="1" applyBorder="1" applyAlignment="1"/>
    <xf numFmtId="9" fontId="3" fillId="6" borderId="5" xfId="1" applyNumberFormat="1" applyFont="1" applyFill="1" applyBorder="1" applyAlignment="1" applyProtection="1">
      <alignment vertical="top"/>
    </xf>
    <xf numFmtId="1" fontId="3" fillId="6" borderId="5" xfId="1" applyNumberFormat="1" applyFont="1" applyFill="1" applyBorder="1" applyAlignment="1" applyProtection="1">
      <alignment vertical="top"/>
    </xf>
    <xf numFmtId="0" fontId="3" fillId="17" borderId="3" xfId="1" applyNumberFormat="1" applyFont="1" applyFill="1" applyBorder="1" applyAlignment="1" applyProtection="1">
      <alignment vertical="top"/>
    </xf>
    <xf numFmtId="0" fontId="3" fillId="6" borderId="3" xfId="1" applyNumberFormat="1" applyFont="1" applyFill="1" applyBorder="1" applyAlignment="1" applyProtection="1">
      <alignment vertical="top"/>
    </xf>
    <xf numFmtId="0" fontId="3" fillId="18" borderId="5" xfId="1" applyNumberFormat="1" applyFont="1" applyFill="1" applyBorder="1" applyAlignment="1" applyProtection="1">
      <alignment vertical="top" wrapText="1"/>
    </xf>
    <xf numFmtId="9" fontId="3" fillId="18" borderId="5" xfId="1" applyNumberFormat="1" applyFont="1" applyFill="1" applyBorder="1" applyAlignment="1" applyProtection="1">
      <alignment vertical="top"/>
    </xf>
    <xf numFmtId="1" fontId="3" fillId="12" borderId="0" xfId="1" applyNumberFormat="1" applyFont="1" applyFill="1" applyBorder="1" applyAlignment="1" applyProtection="1">
      <alignment vertical="top"/>
    </xf>
    <xf numFmtId="9" fontId="1" fillId="18" borderId="0" xfId="3" applyFont="1" applyFill="1" applyBorder="1" applyAlignment="1" applyProtection="1">
      <alignment vertical="top"/>
    </xf>
    <xf numFmtId="0" fontId="3" fillId="0" borderId="11" xfId="1" applyNumberFormat="1" applyFont="1" applyFill="1" applyBorder="1" applyAlignment="1" applyProtection="1">
      <alignment vertical="top"/>
    </xf>
    <xf numFmtId="0" fontId="13" fillId="0" borderId="0" xfId="0" applyFont="1"/>
    <xf numFmtId="164" fontId="12" fillId="0" borderId="8" xfId="5" applyNumberFormat="1" applyFont="1" applyFill="1" applyBorder="1" applyAlignment="1" applyProtection="1">
      <protection locked="0"/>
    </xf>
    <xf numFmtId="164" fontId="12" fillId="5" borderId="12" xfId="5" applyNumberFormat="1" applyFont="1" applyFill="1" applyBorder="1" applyAlignment="1" applyProtection="1">
      <protection hidden="1"/>
    </xf>
    <xf numFmtId="164" fontId="12" fillId="10" borderId="8" xfId="5" applyNumberFormat="1" applyFont="1" applyFill="1" applyBorder="1" applyAlignment="1" applyProtection="1">
      <alignment vertical="top" wrapText="1"/>
      <protection hidden="1"/>
    </xf>
    <xf numFmtId="0" fontId="12" fillId="18" borderId="5" xfId="5" applyFont="1" applyFill="1" applyBorder="1" applyAlignment="1" applyProtection="1">
      <alignment vertical="top" wrapText="1"/>
      <protection hidden="1"/>
    </xf>
    <xf numFmtId="0" fontId="12" fillId="18" borderId="5" xfId="2" applyFont="1" applyFill="1" applyBorder="1" applyAlignment="1" applyProtection="1">
      <protection hidden="1"/>
    </xf>
    <xf numFmtId="0" fontId="10" fillId="0" borderId="5" xfId="4" applyFont="1" applyFill="1" applyBorder="1" applyAlignment="1" applyProtection="1">
      <alignment vertical="center" wrapText="1"/>
      <protection locked="0"/>
    </xf>
    <xf numFmtId="0" fontId="15" fillId="10" borderId="5" xfId="0" applyFont="1" applyFill="1" applyBorder="1" applyAlignment="1" applyProtection="1">
      <alignment vertical="top"/>
      <protection hidden="1"/>
    </xf>
    <xf numFmtId="0" fontId="15" fillId="10" borderId="5" xfId="0" applyFont="1" applyFill="1" applyBorder="1" applyAlignment="1" applyProtection="1">
      <alignment vertical="top" wrapText="1"/>
      <protection hidden="1"/>
    </xf>
    <xf numFmtId="0" fontId="13" fillId="18" borderId="5" xfId="0" applyFont="1" applyFill="1" applyBorder="1" applyProtection="1">
      <protection hidden="1"/>
    </xf>
    <xf numFmtId="164" fontId="12" fillId="10" borderId="8" xfId="5" applyNumberFormat="1" applyFont="1" applyFill="1" applyBorder="1" applyAlignment="1" applyProtection="1">
      <protection hidden="1"/>
    </xf>
    <xf numFmtId="0" fontId="13" fillId="18" borderId="5" xfId="0" applyFont="1" applyFill="1" applyBorder="1" applyAlignment="1" applyProtection="1">
      <alignment wrapText="1"/>
      <protection hidden="1"/>
    </xf>
    <xf numFmtId="164" fontId="12" fillId="10" borderId="13" xfId="5" applyNumberFormat="1" applyFont="1" applyFill="1" applyBorder="1" applyAlignment="1" applyProtection="1">
      <protection hidden="1"/>
    </xf>
    <xf numFmtId="164" fontId="14" fillId="19" borderId="3" xfId="5" applyNumberFormat="1" applyFont="1" applyFill="1" applyBorder="1" applyAlignment="1" applyProtection="1">
      <alignment horizontal="center"/>
      <protection hidden="1"/>
    </xf>
    <xf numFmtId="164" fontId="14" fillId="19" borderId="8" xfId="5" applyNumberFormat="1" applyFont="1" applyFill="1" applyBorder="1" applyAlignment="1" applyProtection="1">
      <alignment horizontal="center"/>
      <protection hidden="1"/>
    </xf>
    <xf numFmtId="0" fontId="12" fillId="13" borderId="14" xfId="5" applyFont="1" applyFill="1" applyBorder="1" applyAlignment="1" applyProtection="1">
      <alignment horizontal="left" vertical="center" wrapText="1"/>
      <protection hidden="1"/>
    </xf>
    <xf numFmtId="0" fontId="12" fillId="13" borderId="1" xfId="5" applyFont="1" applyFill="1" applyBorder="1" applyAlignment="1" applyProtection="1">
      <alignment horizontal="left" vertical="center" wrapText="1"/>
      <protection hidden="1"/>
    </xf>
    <xf numFmtId="0" fontId="16" fillId="20" borderId="10" xfId="0" applyFont="1" applyFill="1" applyBorder="1" applyAlignment="1" applyProtection="1">
      <alignment horizontal="center" vertical="top" wrapText="1"/>
      <protection hidden="1"/>
    </xf>
    <xf numFmtId="0" fontId="5" fillId="4" borderId="5" xfId="2" applyFont="1" applyFill="1" applyBorder="1" applyAlignment="1">
      <alignment horizontal="center" vertical="top" wrapText="1"/>
    </xf>
    <xf numFmtId="0" fontId="3" fillId="6" borderId="5" xfId="1" applyNumberFormat="1" applyFont="1" applyFill="1" applyBorder="1" applyAlignment="1" applyProtection="1">
      <alignment horizontal="center" vertical="top"/>
    </xf>
    <xf numFmtId="0" fontId="3" fillId="0" borderId="3" xfId="1" applyNumberFormat="1" applyFont="1" applyFill="1" applyBorder="1" applyAlignment="1" applyProtection="1">
      <alignment horizontal="center" vertical="top"/>
    </xf>
    <xf numFmtId="0" fontId="3" fillId="0" borderId="4" xfId="1" applyNumberFormat="1" applyFont="1" applyFill="1" applyBorder="1" applyAlignment="1" applyProtection="1">
      <alignment horizontal="center" vertical="top"/>
    </xf>
    <xf numFmtId="0" fontId="3" fillId="4" borderId="5" xfId="1" applyNumberFormat="1" applyFont="1" applyFill="1" applyBorder="1" applyAlignment="1" applyProtection="1">
      <alignment horizontal="center" vertical="top"/>
    </xf>
    <xf numFmtId="0" fontId="3" fillId="5" borderId="5" xfId="1" applyFont="1" applyFill="1" applyBorder="1" applyAlignment="1">
      <alignment horizontal="center" vertical="center" wrapText="1"/>
    </xf>
    <xf numFmtId="0" fontId="3" fillId="0" borderId="5" xfId="1" applyNumberFormat="1" applyFont="1" applyFill="1" applyBorder="1" applyAlignment="1" applyProtection="1">
      <alignment horizontal="center" vertical="top" wrapText="1"/>
    </xf>
    <xf numFmtId="0" fontId="4" fillId="7" borderId="3" xfId="2" applyFill="1" applyBorder="1" applyAlignment="1">
      <alignment horizontal="center" vertical="top" wrapText="1"/>
    </xf>
    <xf numFmtId="0" fontId="4" fillId="7" borderId="4" xfId="2" applyFill="1" applyBorder="1" applyAlignment="1">
      <alignment horizontal="center" vertical="top" wrapText="1"/>
    </xf>
    <xf numFmtId="0" fontId="4" fillId="7" borderId="8" xfId="2" applyFill="1" applyBorder="1" applyAlignment="1">
      <alignment horizontal="center" vertical="top" wrapText="1"/>
    </xf>
    <xf numFmtId="0" fontId="3" fillId="11" borderId="5" xfId="1" applyNumberFormat="1" applyFont="1" applyFill="1" applyBorder="1" applyAlignment="1" applyProtection="1">
      <alignment horizontal="center" vertical="top" wrapText="1"/>
    </xf>
    <xf numFmtId="1" fontId="7" fillId="12" borderId="5" xfId="2" applyNumberFormat="1" applyFont="1" applyFill="1" applyBorder="1" applyAlignment="1">
      <alignment horizontal="center"/>
    </xf>
    <xf numFmtId="0" fontId="8" fillId="14" borderId="5" xfId="0" applyFont="1" applyFill="1" applyBorder="1" applyAlignment="1" applyProtection="1">
      <alignment horizontal="center"/>
      <protection hidden="1"/>
    </xf>
    <xf numFmtId="0" fontId="6" fillId="6" borderId="5" xfId="1" applyNumberFormat="1" applyFont="1" applyFill="1" applyBorder="1" applyAlignment="1" applyProtection="1">
      <alignment horizontal="center" vertical="top"/>
    </xf>
    <xf numFmtId="0" fontId="6" fillId="6" borderId="5" xfId="1" applyNumberFormat="1" applyFont="1" applyFill="1" applyBorder="1" applyAlignment="1" applyProtection="1">
      <alignment horizontal="center" vertical="top" wrapText="1"/>
    </xf>
    <xf numFmtId="0" fontId="3" fillId="12" borderId="9" xfId="1" applyFont="1" applyFill="1" applyBorder="1" applyAlignment="1">
      <alignment horizontal="center" vertical="top" wrapText="1"/>
    </xf>
    <xf numFmtId="0" fontId="3" fillId="12" borderId="10" xfId="1" applyFont="1" applyFill="1" applyBorder="1" applyAlignment="1">
      <alignment horizontal="center" vertical="top" wrapText="1"/>
    </xf>
    <xf numFmtId="0" fontId="3" fillId="4" borderId="3" xfId="1" applyNumberFormat="1" applyFont="1" applyFill="1" applyBorder="1" applyAlignment="1" applyProtection="1">
      <alignment horizontal="center" vertical="top"/>
    </xf>
    <xf numFmtId="0" fontId="3" fillId="4" borderId="4" xfId="1" applyNumberFormat="1" applyFont="1" applyFill="1" applyBorder="1" applyAlignment="1" applyProtection="1">
      <alignment horizontal="center" vertical="top"/>
    </xf>
    <xf numFmtId="0" fontId="3" fillId="4" borderId="8" xfId="1" applyNumberFormat="1" applyFont="1" applyFill="1" applyBorder="1" applyAlignment="1" applyProtection="1">
      <alignment horizontal="center" vertical="top"/>
    </xf>
    <xf numFmtId="0" fontId="4" fillId="7" borderId="6" xfId="2" applyFill="1" applyBorder="1" applyAlignment="1">
      <alignment horizontal="center" vertical="top" wrapText="1"/>
    </xf>
    <xf numFmtId="0" fontId="4" fillId="7" borderId="7" xfId="2" applyFill="1" applyBorder="1" applyAlignment="1">
      <alignment horizontal="center" vertical="top" wrapText="1"/>
    </xf>
  </cellXfs>
  <cellStyles count="6">
    <cellStyle name="Accent2 2" xfId="2"/>
    <cellStyle name="Normal" xfId="0" builtinId="0"/>
    <cellStyle name="Normal 2 3" xfId="1"/>
    <cellStyle name="Normal_Tax CAL2011-12" xfId="5"/>
    <cellStyle name="Normal_Tax_Calculaotr_F.Y._2005-06_to_onwards" xfId="4"/>
    <cellStyle name="Percent 2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609601</xdr:colOff>
      <xdr:row>2</xdr:row>
      <xdr:rowOff>133350</xdr:rowOff>
    </xdr:from>
    <xdr:to>
      <xdr:col>6</xdr:col>
      <xdr:colOff>323851</xdr:colOff>
      <xdr:row>7</xdr:row>
      <xdr:rowOff>266700</xdr:rowOff>
    </xdr:to>
    <xdr:sp macro="" textlink="">
      <xdr:nvSpPr>
        <xdr:cNvPr id="2" name="TextBox 1"/>
        <xdr:cNvSpPr txBox="1"/>
      </xdr:nvSpPr>
      <xdr:spPr>
        <a:xfrm>
          <a:off x="5915026" y="847725"/>
          <a:ext cx="1771650" cy="1323975"/>
        </a:xfrm>
        <a:prstGeom prst="rect">
          <a:avLst/>
        </a:prstGeom>
        <a:ln/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vertOverflow="clip" wrap="square" rtlCol="0" anchor="t"/>
        <a:lstStyle/>
        <a:p>
          <a:r>
            <a:rPr lang="en-US" sz="1800" b="1" u="sng"/>
            <a:t>Use only white colour cells, rest are linked with calculation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7"/>
  <sheetViews>
    <sheetView tabSelected="1" view="pageBreakPreview" zoomScaleSheetLayoutView="100" workbookViewId="0">
      <selection activeCell="J18" sqref="J18"/>
    </sheetView>
  </sheetViews>
  <sheetFormatPr defaultRowHeight="18"/>
  <cols>
    <col min="1" max="1" width="33.19921875" style="64" customWidth="1"/>
    <col min="2" max="2" width="18.3984375" customWidth="1"/>
    <col min="3" max="3" width="18" customWidth="1"/>
    <col min="8" max="8" width="0" hidden="1" customWidth="1"/>
  </cols>
  <sheetData>
    <row r="1" spans="1:8">
      <c r="A1" s="79" t="s">
        <v>13</v>
      </c>
      <c r="B1" s="80"/>
      <c r="C1" s="70" t="s">
        <v>34</v>
      </c>
      <c r="H1" t="s">
        <v>0</v>
      </c>
    </row>
    <row r="2" spans="1:8" ht="36">
      <c r="A2" s="71" t="s">
        <v>56</v>
      </c>
      <c r="B2" s="71" t="s">
        <v>54</v>
      </c>
      <c r="C2" s="72" t="s">
        <v>58</v>
      </c>
    </row>
    <row r="3" spans="1:8">
      <c r="A3" s="73" t="s">
        <v>43</v>
      </c>
      <c r="B3" s="65">
        <v>1205520</v>
      </c>
      <c r="C3" s="65">
        <f>B3</f>
        <v>1205520</v>
      </c>
    </row>
    <row r="4" spans="1:8">
      <c r="A4" s="73" t="s">
        <v>44</v>
      </c>
      <c r="B4" s="74">
        <f>IF(B3&gt;50000,50000,B3)</f>
        <v>50000</v>
      </c>
      <c r="C4" s="74">
        <v>0</v>
      </c>
    </row>
    <row r="5" spans="1:8">
      <c r="A5" s="73" t="s">
        <v>45</v>
      </c>
      <c r="B5" s="65">
        <v>32000</v>
      </c>
      <c r="C5" s="74">
        <v>0</v>
      </c>
    </row>
    <row r="6" spans="1:8">
      <c r="A6" s="73" t="s">
        <v>46</v>
      </c>
      <c r="B6" s="65">
        <v>0</v>
      </c>
      <c r="C6" s="65">
        <v>0</v>
      </c>
    </row>
    <row r="7" spans="1:8">
      <c r="A7" s="73" t="s">
        <v>47</v>
      </c>
      <c r="B7" s="74">
        <f>B3-B4-B5+B6</f>
        <v>1123520</v>
      </c>
      <c r="C7" s="74">
        <f>C3-C4+C5+C6</f>
        <v>1205520</v>
      </c>
    </row>
    <row r="8" spans="1:8" ht="36">
      <c r="A8" s="75" t="s">
        <v>48</v>
      </c>
      <c r="B8" s="65">
        <v>150000</v>
      </c>
      <c r="C8" s="74">
        <v>0</v>
      </c>
    </row>
    <row r="9" spans="1:8" ht="18.600000000000001" thickBot="1">
      <c r="A9" s="68" t="s">
        <v>49</v>
      </c>
      <c r="B9" s="74">
        <f>B7-B8</f>
        <v>973520</v>
      </c>
      <c r="C9" s="74">
        <f>C7-C8</f>
        <v>1205520</v>
      </c>
    </row>
    <row r="10" spans="1:8" ht="19.2" thickTop="1" thickBot="1">
      <c r="A10" s="68" t="s">
        <v>50</v>
      </c>
      <c r="B10" s="66">
        <f>IF(MOD(B9,10)&gt;=5,B9-MOD(B9,10)+10,B9-MOD(B9,10))</f>
        <v>973520</v>
      </c>
      <c r="C10" s="66">
        <f>IF(MOD(C9,10)&gt;=5,C9-MOD(C9,10)+10,C9-MOD(C9,10))</f>
        <v>1205520</v>
      </c>
    </row>
    <row r="11" spans="1:8" ht="18.600000000000001" thickTop="1">
      <c r="A11" s="68" t="s">
        <v>39</v>
      </c>
      <c r="B11" s="74">
        <f>old!P12</f>
        <v>107204</v>
      </c>
      <c r="C11" s="74">
        <f>new!H9</f>
        <v>116104</v>
      </c>
    </row>
    <row r="12" spans="1:8">
      <c r="A12" s="69" t="s">
        <v>51</v>
      </c>
      <c r="B12" s="74">
        <f>old!P13</f>
        <v>0</v>
      </c>
      <c r="C12" s="74">
        <v>0</v>
      </c>
    </row>
    <row r="13" spans="1:8">
      <c r="A13" s="68" t="s">
        <v>53</v>
      </c>
      <c r="B13" s="74">
        <f>IF(B10&lt;=450000,0,IF(B10&gt;500000,0,IF(B10&gt;G13,IF(B11&lt;12500,B11,12500),0)))</f>
        <v>0</v>
      </c>
      <c r="C13" s="74">
        <v>0</v>
      </c>
    </row>
    <row r="14" spans="1:8">
      <c r="A14" s="68" t="str">
        <f>IF(H1="2019-20","Health and Education Cess &amp; 4% ",IF(H1="2018-19","Health and Education Cess &amp; 4% ","Education Cess @2% on Tax+H.Education Cess @1% "))</f>
        <v xml:space="preserve">Health and Education Cess &amp; 4% </v>
      </c>
      <c r="B14" s="76">
        <f>ROUND((SUM(B11:B12)-B13)*4%,0)</f>
        <v>4288</v>
      </c>
      <c r="C14" s="76">
        <f>ROUND((SUM(C11:C12)-C13)*4%,0)</f>
        <v>4644</v>
      </c>
    </row>
    <row r="15" spans="1:8">
      <c r="A15" s="68" t="s">
        <v>52</v>
      </c>
      <c r="B15" s="67">
        <f>B11+B12+B14</f>
        <v>111492</v>
      </c>
      <c r="C15" s="67">
        <f>C11+C12+C14</f>
        <v>120748</v>
      </c>
    </row>
    <row r="16" spans="1:8" ht="21">
      <c r="A16" s="68" t="s">
        <v>55</v>
      </c>
      <c r="B16" s="77">
        <f>B15-C15</f>
        <v>-9256</v>
      </c>
      <c r="C16" s="78"/>
    </row>
    <row r="17" spans="1:3" ht="18.75" customHeight="1">
      <c r="A17" s="81" t="s">
        <v>57</v>
      </c>
      <c r="B17" s="81"/>
      <c r="C17" s="81"/>
    </row>
  </sheetData>
  <sheetProtection password="CF7E" sheet="1" objects="1" scenarios="1"/>
  <mergeCells count="3">
    <mergeCell ref="B16:C16"/>
    <mergeCell ref="A1:B1"/>
    <mergeCell ref="A17:C17"/>
  </mergeCells>
  <dataValidations count="2">
    <dataValidation type="list" allowBlank="1" showInputMessage="1" showErrorMessage="1" error="FOLLOW THE INST." promptTitle="CATEGARY" prompt="PLEASE USE DROP DOWN MENU&#10; FOR SELECT&#10;TAX CATEGARY &#10;" sqref="C1">
      <formula1>"MALE,FEMALE,SENIOR CITIZEN,VERY SENIOR CITIZEN"</formula1>
    </dataValidation>
    <dataValidation type="custom" allowBlank="1" showInputMessage="1" showErrorMessage="1" prompt="Rouding off of taxable income" sqref="B10:C10">
      <formula1>"IF(MOD(B11,10)&gt;=5,B11-MOD(B11,10)+10,B11-MOD(B11,10))"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32"/>
  <sheetViews>
    <sheetView topLeftCell="B1" workbookViewId="0">
      <selection activeCell="P10" sqref="P10"/>
    </sheetView>
  </sheetViews>
  <sheetFormatPr defaultRowHeight="15.6"/>
  <sheetData>
    <row r="1" spans="1:27">
      <c r="D1">
        <f>Main!B10</f>
        <v>973520</v>
      </c>
    </row>
    <row r="2" spans="1:27" s="4" customFormat="1" ht="17.399999999999999">
      <c r="A2" s="1"/>
      <c r="B2" s="1"/>
      <c r="C2" s="1">
        <v>2019</v>
      </c>
      <c r="D2" s="1">
        <f>C2+1</f>
        <v>2020</v>
      </c>
      <c r="E2" s="2"/>
      <c r="F2" s="84" t="s">
        <v>0</v>
      </c>
      <c r="G2" s="85"/>
      <c r="H2" s="3"/>
      <c r="I2" s="3"/>
      <c r="J2" s="3"/>
    </row>
    <row r="3" spans="1:27" s="4" customFormat="1" ht="17.399999999999999">
      <c r="A3" s="1"/>
      <c r="B3" s="1"/>
      <c r="C3" s="1"/>
      <c r="D3" s="1"/>
      <c r="E3" s="2"/>
      <c r="F3" s="42"/>
      <c r="G3" s="43"/>
      <c r="H3" s="3"/>
      <c r="I3" s="3"/>
      <c r="J3" s="3"/>
    </row>
    <row r="4" spans="1:27" s="4" customFormat="1" ht="17.399999999999999">
      <c r="A4" s="1"/>
      <c r="B4" s="1"/>
      <c r="C4" s="1"/>
      <c r="D4" s="1"/>
      <c r="E4" t="str">
        <f>Main!C1</f>
        <v>MALE</v>
      </c>
      <c r="F4" s="42"/>
      <c r="G4" s="43"/>
      <c r="H4" s="3"/>
      <c r="I4" s="3"/>
      <c r="J4" s="3"/>
    </row>
    <row r="5" spans="1:27" s="4" customFormat="1" ht="30" customHeight="1">
      <c r="A5" s="86" t="s">
        <v>1</v>
      </c>
      <c r="B5" s="86"/>
      <c r="C5" s="86"/>
      <c r="D5" s="87" t="s">
        <v>2</v>
      </c>
      <c r="E5" s="87" t="s">
        <v>3</v>
      </c>
      <c r="F5" s="87" t="s">
        <v>4</v>
      </c>
      <c r="G5" s="87" t="s">
        <v>5</v>
      </c>
      <c r="H5" s="5" t="s">
        <v>6</v>
      </c>
      <c r="I5" s="82" t="s">
        <v>7</v>
      </c>
      <c r="J5" s="82" t="s">
        <v>8</v>
      </c>
      <c r="K5" s="82" t="s">
        <v>9</v>
      </c>
      <c r="L5" s="82" t="s">
        <v>10</v>
      </c>
      <c r="M5" s="82" t="s">
        <v>5</v>
      </c>
      <c r="N5" s="83" t="s">
        <v>11</v>
      </c>
      <c r="O5" s="83"/>
      <c r="P5" s="83"/>
      <c r="Q5" s="89" t="s">
        <v>12</v>
      </c>
      <c r="R5" s="95" t="s">
        <v>13</v>
      </c>
      <c r="S5" s="95"/>
      <c r="T5" s="96" t="s">
        <v>14</v>
      </c>
      <c r="U5" s="96" t="s">
        <v>15</v>
      </c>
      <c r="V5" s="96" t="s">
        <v>16</v>
      </c>
      <c r="W5" s="96" t="s">
        <v>17</v>
      </c>
      <c r="Y5" s="88" t="s">
        <v>18</v>
      </c>
      <c r="Z5" s="88"/>
      <c r="AA5" s="88"/>
    </row>
    <row r="6" spans="1:27" s="4" customFormat="1" ht="14.4">
      <c r="A6" s="86" t="s">
        <v>19</v>
      </c>
      <c r="B6" s="86"/>
      <c r="C6" s="86"/>
      <c r="D6" s="87"/>
      <c r="E6" s="87"/>
      <c r="F6" s="87"/>
      <c r="G6" s="87"/>
      <c r="H6" s="6"/>
      <c r="I6" s="82"/>
      <c r="J6" s="82"/>
      <c r="K6" s="82"/>
      <c r="L6" s="82"/>
      <c r="M6" s="82"/>
      <c r="N6" s="7" t="s">
        <v>20</v>
      </c>
      <c r="O6" s="7">
        <f>C2</f>
        <v>2019</v>
      </c>
      <c r="P6" s="7">
        <f>D2</f>
        <v>2020</v>
      </c>
      <c r="Q6" s="89"/>
      <c r="R6" s="95"/>
      <c r="S6" s="95"/>
      <c r="T6" s="96"/>
      <c r="U6" s="96"/>
      <c r="V6" s="96"/>
      <c r="W6" s="96"/>
      <c r="Y6" s="8">
        <v>0</v>
      </c>
      <c r="Z6" s="8">
        <v>5000000</v>
      </c>
      <c r="AA6" s="9">
        <v>0</v>
      </c>
    </row>
    <row r="7" spans="1:27" s="4" customFormat="1" ht="14.4">
      <c r="A7" s="10">
        <v>0</v>
      </c>
      <c r="B7" s="10">
        <v>250000</v>
      </c>
      <c r="C7" s="9">
        <v>0</v>
      </c>
      <c r="D7" s="11">
        <v>0</v>
      </c>
      <c r="E7" s="12">
        <v>0</v>
      </c>
      <c r="F7" s="13">
        <v>0</v>
      </c>
      <c r="G7" s="13">
        <v>0</v>
      </c>
      <c r="H7" s="14">
        <f>D1</f>
        <v>973520</v>
      </c>
      <c r="I7" s="15">
        <f>VLOOKUP(H7,A7:C11,3)</f>
        <v>0.2</v>
      </c>
      <c r="J7" s="16">
        <f>INDEX(D7:D11,MATCH(I7,C7:C11,0))</f>
        <v>500000</v>
      </c>
      <c r="K7" s="17">
        <f>INDEX(E7:E11,MATCH(I7,C7:C11,0))</f>
        <v>112500</v>
      </c>
      <c r="L7" s="18">
        <f>VLOOKUP($H$7,$Y$6:$AA$10,3)</f>
        <v>0</v>
      </c>
      <c r="M7" s="19">
        <v>0.04</v>
      </c>
      <c r="N7" s="20">
        <v>0</v>
      </c>
      <c r="O7" s="20">
        <f t="shared" ref="O7:P11" si="0">IF($E$6="Male",B7,IF($E$6="Female",B14,IF($E$6="Senior Citizen",B21,B28)))</f>
        <v>500000</v>
      </c>
      <c r="P7" s="21">
        <f t="shared" si="0"/>
        <v>0</v>
      </c>
      <c r="Q7" s="22">
        <f>O7</f>
        <v>500000</v>
      </c>
      <c r="R7" s="95"/>
      <c r="S7" s="95"/>
      <c r="T7" s="96"/>
      <c r="U7" s="96"/>
      <c r="V7" s="96"/>
      <c r="W7" s="96"/>
      <c r="Y7" s="8">
        <f>Z6+1</f>
        <v>5000001</v>
      </c>
      <c r="Z7" s="8">
        <v>10000000</v>
      </c>
      <c r="AA7" s="9">
        <v>0.1</v>
      </c>
    </row>
    <row r="8" spans="1:27" s="4" customFormat="1" ht="43.2">
      <c r="A8" s="10">
        <f>B7+1</f>
        <v>250001</v>
      </c>
      <c r="B8" s="10">
        <v>500000</v>
      </c>
      <c r="C8" s="23">
        <v>0.05</v>
      </c>
      <c r="D8" s="11">
        <f>B7</f>
        <v>250000</v>
      </c>
      <c r="E8" s="12">
        <f>(B8-B7)*C8</f>
        <v>12500</v>
      </c>
      <c r="F8" s="13">
        <v>0</v>
      </c>
      <c r="G8" s="13">
        <v>0.04</v>
      </c>
      <c r="H8" s="24" t="s">
        <v>21</v>
      </c>
      <c r="I8" s="24" t="s">
        <v>22</v>
      </c>
      <c r="J8" s="24" t="s">
        <v>23</v>
      </c>
      <c r="K8" s="89" t="s">
        <v>24</v>
      </c>
      <c r="L8" s="90"/>
      <c r="M8" s="91"/>
      <c r="N8" s="20">
        <f>O7+1</f>
        <v>500001</v>
      </c>
      <c r="O8" s="20">
        <f t="shared" si="0"/>
        <v>1000000</v>
      </c>
      <c r="P8" s="21">
        <f t="shared" si="0"/>
        <v>0.2</v>
      </c>
      <c r="Q8" s="25"/>
      <c r="R8" s="92">
        <f>$E$6</f>
        <v>0</v>
      </c>
      <c r="S8" s="92"/>
      <c r="T8" s="26" t="e">
        <f>INDEX($T$941:$T$944,MATCH($R$940,$R$941:$R$944,0))</f>
        <v>#N/A</v>
      </c>
      <c r="U8" s="27"/>
      <c r="V8" s="27"/>
      <c r="W8" s="28">
        <f>IF($S$1004=37%,25%,IF($S$1004=25%,15%,IF($S$1004=15%,10%,0)))</f>
        <v>0</v>
      </c>
      <c r="Y8" s="8">
        <f>Z7+1</f>
        <v>10000001</v>
      </c>
      <c r="Z8" s="8">
        <v>20000000</v>
      </c>
      <c r="AA8" s="9">
        <v>0.15</v>
      </c>
    </row>
    <row r="9" spans="1:27" s="4" customFormat="1" ht="14.4">
      <c r="A9" s="10">
        <f>B8+1</f>
        <v>500001</v>
      </c>
      <c r="B9" s="10">
        <v>1000000</v>
      </c>
      <c r="C9" s="23">
        <v>0.2</v>
      </c>
      <c r="D9" s="11">
        <f>B8</f>
        <v>500000</v>
      </c>
      <c r="E9" s="12">
        <f>E8+(B9-B8)*C9</f>
        <v>112500</v>
      </c>
      <c r="F9" s="13">
        <v>0</v>
      </c>
      <c r="G9" s="13">
        <v>0.04</v>
      </c>
      <c r="H9" s="29">
        <f>IF(I7=C11,E10+ROUND((H7-J7),0)*I7,IF(I7=C10,E9+ROUND((H7-J7)*I7,0),IF(I7=C9,E8+ROUND((H7-J7)*I7,0),IF(I7=C8,E7+ROUND((H7-J7)*I7,0),E6+ROUND((H7-J7)*I7,0)))))</f>
        <v>107204</v>
      </c>
      <c r="I9" s="29">
        <f>MIN(K11:L11)</f>
        <v>0</v>
      </c>
      <c r="J9" s="30">
        <f>ROUND(SUM(H9+I9)*M7,0)</f>
        <v>4288</v>
      </c>
      <c r="K9" s="93">
        <f>SUM(H9:J9)</f>
        <v>111492</v>
      </c>
      <c r="L9" s="93"/>
      <c r="M9" s="93"/>
      <c r="N9" s="20">
        <f>O8+1</f>
        <v>1000001</v>
      </c>
      <c r="O9" s="20">
        <f t="shared" si="0"/>
        <v>0</v>
      </c>
      <c r="P9" s="21">
        <f t="shared" si="0"/>
        <v>0.3</v>
      </c>
      <c r="Q9" s="25"/>
      <c r="R9" s="94" t="s">
        <v>1</v>
      </c>
      <c r="S9" s="94"/>
      <c r="T9" s="31" t="str">
        <f>IF($T$946&gt;1000000,($T$946-1000000)*30%+(112500),IF($T$946&gt;500000,($T$946-500000)*20%+(12500),IF($T$946&gt;250000,($T$946-250000)*5%,"0")))</f>
        <v>0</v>
      </c>
      <c r="U9" s="31" t="str">
        <f>IF($U$1004&gt;1000000,($U$1004-1000000)*30%+(112500),IF($U$1004&gt;500000,($U$1004-500000)*20%+(12500),IF($U$1004&gt;250000,($U$1004-250000)*5%,"0")))</f>
        <v>0</v>
      </c>
      <c r="V9" s="32">
        <f>ROUND(T9*$S$1004,0)</f>
        <v>0</v>
      </c>
      <c r="W9" s="33">
        <f>ROUND(U9*$W$998,0)</f>
        <v>0</v>
      </c>
      <c r="X9" s="34">
        <f>T9+V9-U9-W9</f>
        <v>0</v>
      </c>
      <c r="Y9" s="8">
        <f>Z8+1</f>
        <v>20000001</v>
      </c>
      <c r="Z9" s="8">
        <v>50000000</v>
      </c>
      <c r="AA9" s="9">
        <v>0.25</v>
      </c>
    </row>
    <row r="10" spans="1:27" s="4" customFormat="1" ht="28.8">
      <c r="A10" s="10">
        <f>B9+1</f>
        <v>1000001</v>
      </c>
      <c r="B10" s="10"/>
      <c r="C10" s="23">
        <v>0.3</v>
      </c>
      <c r="D10" s="11">
        <f>B9</f>
        <v>1000000</v>
      </c>
      <c r="E10" s="12">
        <f>IF(J7=0,0,E9)</f>
        <v>112500</v>
      </c>
      <c r="F10" s="13">
        <f>L7</f>
        <v>0</v>
      </c>
      <c r="G10" s="13">
        <v>0.04</v>
      </c>
      <c r="H10" s="35" t="s">
        <v>25</v>
      </c>
      <c r="I10" s="36" t="s">
        <v>26</v>
      </c>
      <c r="J10" s="36" t="s">
        <v>27</v>
      </c>
      <c r="K10" s="37" t="s">
        <v>28</v>
      </c>
      <c r="L10" s="37" t="s">
        <v>29</v>
      </c>
      <c r="M10" s="36" t="s">
        <v>30</v>
      </c>
      <c r="N10" s="20">
        <f>O9+1</f>
        <v>1</v>
      </c>
      <c r="O10" s="20">
        <f t="shared" si="0"/>
        <v>0</v>
      </c>
      <c r="P10" s="21">
        <f t="shared" si="0"/>
        <v>0</v>
      </c>
      <c r="Q10" s="25"/>
      <c r="R10" s="94" t="s">
        <v>31</v>
      </c>
      <c r="S10" s="94"/>
      <c r="T10" s="31" t="str">
        <f>IF($T$946&gt;1000000,($T$946-1000000)*30%+(112500),IF($T$946&gt;500000,($T$946-500000)*20%+(12500),IF($T$946&gt;250000,($T$946-250000)*5%,"0")))</f>
        <v>0</v>
      </c>
      <c r="U10" s="31" t="str">
        <f>IF($U$1004&gt;1000000,($U$1004-1000000)*30%+(112500),IF($U$1004&gt;500000,($U$1004-500000)*20%+(12500),IF($U$1004&gt;250000,($U$1004-250000)*5%,"0")))</f>
        <v>0</v>
      </c>
      <c r="V10" s="32">
        <f>ROUND(T10*$S$1004,0)</f>
        <v>0</v>
      </c>
      <c r="W10" s="33">
        <f>ROUND(U10*$W$998,0)</f>
        <v>0</v>
      </c>
      <c r="X10" s="34">
        <f>T10+V10-U10-W10</f>
        <v>0</v>
      </c>
      <c r="Y10" s="8">
        <f>Z9+1</f>
        <v>50000001</v>
      </c>
      <c r="Z10" s="8"/>
      <c r="AA10" s="9">
        <v>0.37</v>
      </c>
    </row>
    <row r="11" spans="1:27" s="4" customFormat="1" ht="14.4">
      <c r="A11" s="10" t="s">
        <v>32</v>
      </c>
      <c r="B11" s="10"/>
      <c r="C11" s="23"/>
      <c r="D11" s="38">
        <f>IF(L7=10%,5000000,IF(L7=15%,10000000,IF(L7=25%,20000000,50000000)))</f>
        <v>50000000</v>
      </c>
      <c r="E11" s="12"/>
      <c r="F11" s="12"/>
      <c r="G11" s="12"/>
      <c r="H11" s="39">
        <f>D11</f>
        <v>50000000</v>
      </c>
      <c r="I11" s="39">
        <f>IF(H7&gt;H11,H7-H11,0)</f>
        <v>0</v>
      </c>
      <c r="J11" s="39">
        <f>IF(I11&gt;0,ROUND(I11*I7,0),0)</f>
        <v>0</v>
      </c>
      <c r="K11" s="40">
        <f>IF(H11&gt;=D11,Q11+(I11-J11),(I11-J11))</f>
        <v>0</v>
      </c>
      <c r="L11" s="40">
        <f>IF(H9&gt;0,ROUND(H9*L7,0),0)</f>
        <v>0</v>
      </c>
      <c r="M11" s="40">
        <f>IF(K11&gt;L11,0,L11-K11)</f>
        <v>0</v>
      </c>
      <c r="N11" s="20">
        <f>O10+1</f>
        <v>1</v>
      </c>
      <c r="O11" s="20">
        <f t="shared" si="0"/>
        <v>0</v>
      </c>
      <c r="P11" s="21">
        <f t="shared" si="0"/>
        <v>0</v>
      </c>
      <c r="Q11" s="41">
        <f>W9</f>
        <v>0</v>
      </c>
      <c r="R11" s="94" t="s">
        <v>33</v>
      </c>
      <c r="S11" s="94"/>
      <c r="T11" s="31" t="str">
        <f>IF($T$946&gt;1000000,($T$946-1000000)*30%+(120000),IF($T$946&gt;500000,($T$946-500000)*20%+(20000),IF($T$946&gt;300000,($T$946-300000)*10%,"0")))</f>
        <v>0</v>
      </c>
      <c r="U11" s="31" t="str">
        <f>IF($U$1004&gt;1000000,($U$1004-1000000)*30%+(110000),IF($U$1004&gt;500000,($U$1004-500000)*20%+(10000),IF($U$1004&gt;300000,($U$1004-300000)*5%,"0")))</f>
        <v>0</v>
      </c>
      <c r="V11" s="32">
        <f>ROUND(T11*$S$1004,0)</f>
        <v>0</v>
      </c>
      <c r="W11" s="33">
        <f>ROUND(U11*$W$998,0)</f>
        <v>0</v>
      </c>
      <c r="X11" s="34">
        <f>T11+V11-U11-W11</f>
        <v>0</v>
      </c>
    </row>
    <row r="12" spans="1:27" s="4" customFormat="1" ht="30" customHeight="1">
      <c r="A12" s="99" t="s">
        <v>31</v>
      </c>
      <c r="B12" s="100"/>
      <c r="C12" s="101"/>
      <c r="D12" s="44" t="s">
        <v>2</v>
      </c>
      <c r="E12" s="44" t="s">
        <v>3</v>
      </c>
      <c r="F12" s="44" t="s">
        <v>4</v>
      </c>
      <c r="G12" s="87" t="s">
        <v>5</v>
      </c>
      <c r="H12" s="45" t="s">
        <v>6</v>
      </c>
      <c r="I12" s="102" t="s">
        <v>7</v>
      </c>
      <c r="J12" s="102" t="s">
        <v>8</v>
      </c>
      <c r="K12" s="102" t="s">
        <v>9</v>
      </c>
      <c r="L12" s="102" t="s">
        <v>10</v>
      </c>
      <c r="M12" s="102" t="s">
        <v>5</v>
      </c>
      <c r="N12" s="97" t="s">
        <v>21</v>
      </c>
      <c r="O12" s="98"/>
      <c r="P12" s="46">
        <f>IF($E$4="Male",H9,IF($E$4="Female",H16,IF($E$4="Senior Citizen",H23,H30)))</f>
        <v>107204</v>
      </c>
      <c r="Q12" s="47"/>
      <c r="R12" s="94" t="s">
        <v>35</v>
      </c>
      <c r="S12" s="94"/>
      <c r="T12" s="31" t="str">
        <f>IF($T$943&gt;1000000,($T$943-1000000)*30%+(100000),IF($T$943&gt;500000,($T$943-500000)*20%,"0"))</f>
        <v>0</v>
      </c>
      <c r="U12" s="31" t="str">
        <f>IF($U$1001&gt;1000000,($U$1001-1000000)*30%+(100000),IF($U$1001&gt;500000,($U$1001-500000)*20%,"0"))</f>
        <v>0</v>
      </c>
      <c r="V12" s="32">
        <f>ROUND(T12*$S$1001,0)</f>
        <v>0</v>
      </c>
      <c r="W12" s="33">
        <f>ROUND(U12*$W$995,0)</f>
        <v>0</v>
      </c>
      <c r="X12" s="34">
        <f>T12+V12-U12-W12</f>
        <v>0</v>
      </c>
    </row>
    <row r="13" spans="1:27" s="4" customFormat="1" ht="15" customHeight="1">
      <c r="A13" s="48" t="s">
        <v>19</v>
      </c>
      <c r="B13" s="49"/>
      <c r="C13" s="50"/>
      <c r="D13" s="51"/>
      <c r="E13" s="51"/>
      <c r="F13" s="51"/>
      <c r="G13" s="87"/>
      <c r="H13" s="52"/>
      <c r="I13" s="103"/>
      <c r="J13" s="103"/>
      <c r="K13" s="103"/>
      <c r="L13" s="103"/>
      <c r="M13" s="103"/>
      <c r="N13" s="97" t="s">
        <v>22</v>
      </c>
      <c r="O13" s="98"/>
      <c r="P13" s="46">
        <f>IF($E$4="Male",I9,IF($E$4="Female",I16,IF($E$4="Senior Citizen",I23,I30)))</f>
        <v>0</v>
      </c>
      <c r="Q13" s="47"/>
      <c r="R13" s="53"/>
      <c r="S13" s="53"/>
      <c r="T13" s="53"/>
      <c r="U13" s="53"/>
      <c r="V13" s="53"/>
      <c r="W13" s="53"/>
    </row>
    <row r="14" spans="1:27" s="4" customFormat="1" ht="14.4">
      <c r="A14" s="10">
        <v>0</v>
      </c>
      <c r="B14" s="10">
        <v>250000</v>
      </c>
      <c r="C14" s="9">
        <v>0</v>
      </c>
      <c r="D14" s="11">
        <v>0</v>
      </c>
      <c r="E14" s="12">
        <v>0</v>
      </c>
      <c r="F14" s="13">
        <v>0</v>
      </c>
      <c r="G14" s="13">
        <v>0</v>
      </c>
      <c r="H14" s="16">
        <f>H7</f>
        <v>973520</v>
      </c>
      <c r="I14" s="15">
        <f>VLOOKUP(H14,A14:C18,3)</f>
        <v>0.2</v>
      </c>
      <c r="J14" s="16">
        <f>INDEX(D14:D18,MATCH(I14,C14:C18,0))</f>
        <v>500000</v>
      </c>
      <c r="K14" s="17">
        <f>INDEX(E14:E18,MATCH(I14,C14:C18,0))</f>
        <v>112500</v>
      </c>
      <c r="L14" s="54">
        <f>L7</f>
        <v>0</v>
      </c>
      <c r="M14" s="19">
        <v>0.04</v>
      </c>
      <c r="N14" s="97" t="s">
        <v>23</v>
      </c>
      <c r="O14" s="98"/>
      <c r="P14" s="46">
        <f>IF($E$4="Male",J9,IF($E$4="Female",J16,IF($E$4="Senior Citizen",J23,J30)))</f>
        <v>4288</v>
      </c>
      <c r="Q14" s="47"/>
      <c r="R14" s="26" t="s">
        <v>36</v>
      </c>
      <c r="S14" s="55">
        <f>L7</f>
        <v>0</v>
      </c>
      <c r="T14" s="56" t="str">
        <f>$E$4</f>
        <v>MALE</v>
      </c>
      <c r="U14" s="26">
        <f>IF($S$1001=T19,S18,IF(S14=T18,S17,IF(S14=T17,S16,S15)))</f>
        <v>5000000</v>
      </c>
      <c r="V14" s="53"/>
      <c r="W14" s="53"/>
    </row>
    <row r="15" spans="1:27" s="4" customFormat="1" ht="43.2">
      <c r="A15" s="10">
        <f>B14+1</f>
        <v>250001</v>
      </c>
      <c r="B15" s="10">
        <v>500000</v>
      </c>
      <c r="C15" s="23">
        <v>0.05</v>
      </c>
      <c r="D15" s="11">
        <f>B14</f>
        <v>250000</v>
      </c>
      <c r="E15" s="12">
        <f>(B15-B14)*C15</f>
        <v>12500</v>
      </c>
      <c r="F15" s="13">
        <v>0</v>
      </c>
      <c r="G15" s="13">
        <v>0.04</v>
      </c>
      <c r="H15" s="24" t="s">
        <v>21</v>
      </c>
      <c r="I15" s="24" t="s">
        <v>22</v>
      </c>
      <c r="J15" s="24" t="s">
        <v>23</v>
      </c>
      <c r="K15" s="89" t="s">
        <v>24</v>
      </c>
      <c r="L15" s="90"/>
      <c r="M15" s="91"/>
      <c r="N15" s="97" t="s">
        <v>24</v>
      </c>
      <c r="O15" s="98"/>
      <c r="P15" s="57">
        <f>IF($E$4="Male",K9,IF($E$4="Female",K16,IF($E$4="Senior Citizen",K23,K30)))</f>
        <v>111492</v>
      </c>
      <c r="Q15" s="58"/>
      <c r="R15" s="59">
        <v>0</v>
      </c>
      <c r="S15" s="59">
        <v>5000000</v>
      </c>
      <c r="T15" s="60">
        <v>0</v>
      </c>
      <c r="U15" s="56">
        <f>S17</f>
        <v>20000000</v>
      </c>
      <c r="V15" s="53"/>
      <c r="W15" s="53"/>
    </row>
    <row r="16" spans="1:27" s="4" customFormat="1" ht="15" customHeight="1">
      <c r="A16" s="10">
        <f>B15+1</f>
        <v>500001</v>
      </c>
      <c r="B16" s="10">
        <v>1000000</v>
      </c>
      <c r="C16" s="23">
        <v>0.2</v>
      </c>
      <c r="D16" s="11">
        <f>B15</f>
        <v>500000</v>
      </c>
      <c r="E16" s="12">
        <f>E15+(B16-B15)*C16</f>
        <v>112500</v>
      </c>
      <c r="F16" s="13">
        <v>0</v>
      </c>
      <c r="G16" s="13">
        <v>0.04</v>
      </c>
      <c r="H16" s="29">
        <f>IF(I14=C18,E17+ROUND((H14-J14),0)*I14,IF(I14=C17,E16+ROUND((H14-J14)*I14,0),IF(I14=C16,E15+ROUND((H14-J14)*I14,0),IF(I14=C15,E14+ROUND((H14-J14)*I14,0),E13+ROUND((H14-J14)*I14,0)))))</f>
        <v>107204</v>
      </c>
      <c r="I16" s="29">
        <f>MIN(K18:L18)</f>
        <v>0</v>
      </c>
      <c r="J16" s="30">
        <f>ROUND(SUM(H16+I16)*M14,0)</f>
        <v>4288</v>
      </c>
      <c r="K16" s="93">
        <f>SUM(H16:J16)</f>
        <v>111492</v>
      </c>
      <c r="L16" s="93"/>
      <c r="M16" s="93"/>
      <c r="N16" s="97" t="s">
        <v>37</v>
      </c>
      <c r="O16" s="98"/>
      <c r="P16" s="57" t="str">
        <f>IF($E$3="Male",A6,IF($E$3="Female",A13,IF($E$3="Senior Citizen",A20,A27)))</f>
        <v>(above 80 years)</v>
      </c>
      <c r="Q16" s="58"/>
      <c r="R16" s="59">
        <f>S15+1</f>
        <v>5000001</v>
      </c>
      <c r="S16" s="59">
        <v>10000000</v>
      </c>
      <c r="T16" s="60">
        <v>0.1</v>
      </c>
      <c r="U16" s="56">
        <f>$T$943-R16+1</f>
        <v>-5000000</v>
      </c>
      <c r="V16" s="53"/>
      <c r="W16" s="53"/>
    </row>
    <row r="17" spans="1:24" s="4" customFormat="1" ht="15" customHeight="1">
      <c r="A17" s="10">
        <f>B16+1</f>
        <v>1000001</v>
      </c>
      <c r="B17" s="10"/>
      <c r="C17" s="23">
        <v>0.3</v>
      </c>
      <c r="D17" s="11">
        <f>B16</f>
        <v>1000000</v>
      </c>
      <c r="E17" s="12">
        <f>IF(J14=0,0,E16)</f>
        <v>112500</v>
      </c>
      <c r="F17" s="13">
        <f>L14</f>
        <v>0</v>
      </c>
      <c r="G17" s="13">
        <v>0.04</v>
      </c>
      <c r="H17" s="35" t="s">
        <v>25</v>
      </c>
      <c r="I17" s="36" t="s">
        <v>26</v>
      </c>
      <c r="J17" s="36" t="s">
        <v>27</v>
      </c>
      <c r="K17" s="37" t="s">
        <v>28</v>
      </c>
      <c r="L17" s="37" t="s">
        <v>29</v>
      </c>
      <c r="M17" s="36" t="s">
        <v>30</v>
      </c>
      <c r="N17" s="97" t="s">
        <v>38</v>
      </c>
      <c r="O17" s="98"/>
      <c r="P17" s="57">
        <f>IF($E$3="Male",M11,IF($E$3="Female",M18,IF($E$3="Senior Citizen",M25,M32)))</f>
        <v>0</v>
      </c>
      <c r="Q17" s="26"/>
      <c r="R17" s="59">
        <f>S16+1</f>
        <v>10000001</v>
      </c>
      <c r="S17" s="59">
        <v>20000000</v>
      </c>
      <c r="T17" s="60">
        <v>0.15</v>
      </c>
      <c r="U17" s="53"/>
      <c r="V17" s="53"/>
      <c r="W17" s="53"/>
    </row>
    <row r="18" spans="1:24" s="4" customFormat="1" ht="14.4">
      <c r="A18" s="10" t="s">
        <v>32</v>
      </c>
      <c r="B18" s="10"/>
      <c r="C18" s="23"/>
      <c r="D18" s="38">
        <f>IF(L14=10%,5000000,IF(L14=15%,10000000,IF(L14=25%,20000000,50000000)))</f>
        <v>50000000</v>
      </c>
      <c r="E18" s="12"/>
      <c r="F18" s="12"/>
      <c r="G18" s="12"/>
      <c r="H18" s="39">
        <f>H11</f>
        <v>50000000</v>
      </c>
      <c r="I18" s="39">
        <f>IF(H14&gt;H18,H14-H18,0)</f>
        <v>0</v>
      </c>
      <c r="J18" s="39">
        <f>IF(I18&gt;0,ROUND(I18*I14,0),0)</f>
        <v>0</v>
      </c>
      <c r="K18" s="40">
        <f>IF(H18&gt;=D18,Q18+(I18-J18),(I18-J18))</f>
        <v>0</v>
      </c>
      <c r="L18" s="40">
        <f>IF(H16&gt;0,ROUND(H16*L14,0),0)</f>
        <v>0</v>
      </c>
      <c r="M18" s="40">
        <f>IF(K18&gt;L18,0,L18-K18)</f>
        <v>0</v>
      </c>
      <c r="N18" s="97" t="s">
        <v>39</v>
      </c>
      <c r="O18" s="98"/>
      <c r="P18" s="57">
        <f>IF($E$3="Male",K9,IF($E$3="Female",K16,IF($E$3="Senior Citizen",K23,K30)))</f>
        <v>98492</v>
      </c>
      <c r="Q18" s="26">
        <f>W10</f>
        <v>0</v>
      </c>
      <c r="R18" s="59">
        <f>S17+1</f>
        <v>20000001</v>
      </c>
      <c r="S18" s="59">
        <v>50000000</v>
      </c>
      <c r="T18" s="60">
        <v>0.25</v>
      </c>
      <c r="U18" s="53"/>
      <c r="V18" s="53"/>
      <c r="W18" s="53"/>
    </row>
    <row r="19" spans="1:24" s="4" customFormat="1" ht="28.8">
      <c r="A19" s="99" t="s">
        <v>33</v>
      </c>
      <c r="B19" s="100"/>
      <c r="C19" s="101"/>
      <c r="D19" s="44" t="s">
        <v>2</v>
      </c>
      <c r="E19" s="44" t="s">
        <v>3</v>
      </c>
      <c r="F19" s="44" t="s">
        <v>4</v>
      </c>
      <c r="G19" s="87" t="s">
        <v>5</v>
      </c>
      <c r="H19" s="45" t="s">
        <v>6</v>
      </c>
      <c r="I19" s="102" t="s">
        <v>7</v>
      </c>
      <c r="J19" s="102" t="s">
        <v>8</v>
      </c>
      <c r="K19" s="102" t="s">
        <v>9</v>
      </c>
      <c r="L19" s="102" t="s">
        <v>10</v>
      </c>
      <c r="M19" s="102" t="s">
        <v>5</v>
      </c>
      <c r="N19" s="53"/>
      <c r="O19" s="53"/>
      <c r="P19" s="53"/>
      <c r="Q19" s="26"/>
      <c r="R19" s="59">
        <f>S18+1</f>
        <v>50000001</v>
      </c>
      <c r="S19" s="59"/>
      <c r="T19" s="60">
        <v>0.37</v>
      </c>
      <c r="U19" s="61"/>
      <c r="V19" s="61"/>
      <c r="W19" s="53"/>
      <c r="X19" s="34"/>
    </row>
    <row r="20" spans="1:24" s="4" customFormat="1" ht="14.4">
      <c r="A20" s="48" t="s">
        <v>40</v>
      </c>
      <c r="B20" s="49"/>
      <c r="C20" s="50"/>
      <c r="D20" s="51"/>
      <c r="E20" s="51"/>
      <c r="F20" s="51"/>
      <c r="G20" s="87"/>
      <c r="H20" s="52"/>
      <c r="I20" s="103"/>
      <c r="J20" s="103"/>
      <c r="K20" s="103"/>
      <c r="L20" s="103"/>
      <c r="M20" s="103"/>
      <c r="N20" s="53"/>
      <c r="O20" s="53"/>
      <c r="P20" s="53"/>
      <c r="Q20" s="26"/>
      <c r="R20" s="53"/>
      <c r="S20" s="53"/>
      <c r="T20" s="53"/>
      <c r="U20" s="61"/>
      <c r="V20" s="53"/>
      <c r="W20" s="53"/>
    </row>
    <row r="21" spans="1:24" s="4" customFormat="1" ht="14.4">
      <c r="A21" s="10">
        <v>0</v>
      </c>
      <c r="B21" s="10">
        <v>300000</v>
      </c>
      <c r="C21" s="9">
        <v>0</v>
      </c>
      <c r="D21" s="11">
        <v>0</v>
      </c>
      <c r="E21" s="12">
        <v>0</v>
      </c>
      <c r="F21" s="13">
        <v>0</v>
      </c>
      <c r="G21" s="13">
        <v>0</v>
      </c>
      <c r="H21" s="16">
        <f>H7</f>
        <v>973520</v>
      </c>
      <c r="I21" s="15">
        <f>VLOOKUP(H21,A21:C25,3)</f>
        <v>0.2</v>
      </c>
      <c r="J21" s="16">
        <f>INDEX(D21:D25,MATCH(I21,C21:C25,0))</f>
        <v>500000</v>
      </c>
      <c r="K21" s="17">
        <f>INDEX(E21:E25,MATCH(I21,C21:C25,0))</f>
        <v>110000</v>
      </c>
      <c r="L21" s="54">
        <f>L7</f>
        <v>0</v>
      </c>
      <c r="M21" s="19">
        <v>0.04</v>
      </c>
      <c r="N21" s="53"/>
      <c r="O21" s="53"/>
      <c r="P21" s="53"/>
      <c r="Q21" s="26"/>
      <c r="R21" s="53"/>
      <c r="S21" s="53"/>
      <c r="T21" s="61"/>
      <c r="U21" s="53"/>
      <c r="V21" s="61"/>
      <c r="W21" s="53"/>
    </row>
    <row r="22" spans="1:24" s="4" customFormat="1" ht="43.2">
      <c r="A22" s="10">
        <f>B21+1</f>
        <v>300001</v>
      </c>
      <c r="B22" s="10">
        <v>500000</v>
      </c>
      <c r="C22" s="23">
        <v>0.05</v>
      </c>
      <c r="D22" s="11">
        <f>B21</f>
        <v>300000</v>
      </c>
      <c r="E22" s="12">
        <f>(B22-B21)*C22</f>
        <v>10000</v>
      </c>
      <c r="F22" s="13">
        <v>0</v>
      </c>
      <c r="G22" s="13">
        <v>0.04</v>
      </c>
      <c r="H22" s="24" t="s">
        <v>21</v>
      </c>
      <c r="I22" s="24" t="s">
        <v>22</v>
      </c>
      <c r="J22" s="24" t="s">
        <v>23</v>
      </c>
      <c r="K22" s="89" t="s">
        <v>24</v>
      </c>
      <c r="L22" s="90"/>
      <c r="M22" s="91"/>
      <c r="N22" s="53"/>
      <c r="O22" s="53"/>
      <c r="P22" s="53"/>
      <c r="Q22" s="26"/>
      <c r="R22" s="62" t="s">
        <v>41</v>
      </c>
      <c r="S22" s="53"/>
      <c r="T22" s="61"/>
      <c r="U22" s="53"/>
      <c r="V22" s="53"/>
      <c r="W22" s="53"/>
    </row>
    <row r="23" spans="1:24" s="4" customFormat="1" ht="14.4">
      <c r="A23" s="10">
        <f>B22+1</f>
        <v>500001</v>
      </c>
      <c r="B23" s="10">
        <v>1000000</v>
      </c>
      <c r="C23" s="23">
        <v>0.2</v>
      </c>
      <c r="D23" s="11">
        <f>B22</f>
        <v>500000</v>
      </c>
      <c r="E23" s="12">
        <f>E22+(B23-B22)*C23</f>
        <v>110000</v>
      </c>
      <c r="F23" s="13">
        <v>0</v>
      </c>
      <c r="G23" s="13">
        <v>0.04</v>
      </c>
      <c r="H23" s="29">
        <f>IF(I21=C25,E24+ROUND((H21-J21),0)*I21,IF(I21=C24,E23+ROUND((H21-J21)*I21,0),IF(I21=C23,E22+ROUND((H21-J21)*I21,0),IF(I21=C22,E21+ROUND((H21-J21)*I21,0),E20+ROUND((H21-J21)*I21,0)))))</f>
        <v>104704</v>
      </c>
      <c r="I23" s="29">
        <f>MIN(K25:L25)</f>
        <v>0</v>
      </c>
      <c r="J23" s="30">
        <f>ROUND(SUM(H23+I23)*M21,0)</f>
        <v>4188</v>
      </c>
      <c r="K23" s="93">
        <f>SUM(H23:J23)</f>
        <v>108892</v>
      </c>
      <c r="L23" s="93"/>
      <c r="M23" s="93"/>
      <c r="N23" s="53"/>
      <c r="O23" s="53"/>
      <c r="P23" s="53"/>
      <c r="Q23" s="26"/>
      <c r="R23" s="53"/>
      <c r="S23" s="53"/>
      <c r="T23" s="61"/>
      <c r="U23" s="53"/>
      <c r="V23" s="53"/>
      <c r="W23" s="53"/>
    </row>
    <row r="24" spans="1:24" s="4" customFormat="1" ht="28.8">
      <c r="A24" s="10">
        <f>B23+1</f>
        <v>1000001</v>
      </c>
      <c r="B24" s="10"/>
      <c r="C24" s="23">
        <v>0.3</v>
      </c>
      <c r="D24" s="11">
        <f>B23</f>
        <v>1000000</v>
      </c>
      <c r="E24" s="12">
        <f>IF(J21=0,0,E23)</f>
        <v>110000</v>
      </c>
      <c r="F24" s="13">
        <f>L21</f>
        <v>0</v>
      </c>
      <c r="G24" s="13">
        <v>0.04</v>
      </c>
      <c r="H24" s="35" t="s">
        <v>25</v>
      </c>
      <c r="I24" s="36" t="s">
        <v>26</v>
      </c>
      <c r="J24" s="36" t="s">
        <v>27</v>
      </c>
      <c r="K24" s="37" t="s">
        <v>28</v>
      </c>
      <c r="L24" s="37" t="s">
        <v>29</v>
      </c>
      <c r="M24" s="36" t="s">
        <v>30</v>
      </c>
      <c r="N24" s="53"/>
      <c r="O24" s="53"/>
      <c r="P24" s="53"/>
      <c r="Q24" s="26"/>
      <c r="R24" s="53"/>
      <c r="S24" s="53"/>
      <c r="T24" s="53"/>
      <c r="U24" s="53"/>
      <c r="V24" s="53"/>
      <c r="W24" s="53"/>
    </row>
    <row r="25" spans="1:24" s="4" customFormat="1" ht="14.4">
      <c r="A25" s="10" t="s">
        <v>32</v>
      </c>
      <c r="B25" s="10"/>
      <c r="C25" s="23"/>
      <c r="D25" s="38">
        <f>IF(L21=10%,5000000,IF(L21=15%,10000000,IF(L21=25%,20000000,50000000)))</f>
        <v>50000000</v>
      </c>
      <c r="E25" s="12"/>
      <c r="F25" s="12"/>
      <c r="G25" s="12"/>
      <c r="H25" s="39">
        <f>H18</f>
        <v>50000000</v>
      </c>
      <c r="I25" s="39">
        <f>IF(H21&gt;H25,H21-H25,0)</f>
        <v>0</v>
      </c>
      <c r="J25" s="39">
        <f>IF(I25&gt;0,ROUND(I25*I21,0),0)</f>
        <v>0</v>
      </c>
      <c r="K25" s="40">
        <f>IF(H25&gt;=D25,Q25+(I25-J25),(I25-J25))</f>
        <v>0</v>
      </c>
      <c r="L25" s="40">
        <f>IF(H23&gt;0,ROUND(H23*L21,0),0)</f>
        <v>0</v>
      </c>
      <c r="M25" s="40">
        <f>IF(K25&gt;L25,0,L25-K25)</f>
        <v>0</v>
      </c>
      <c r="N25" s="53"/>
      <c r="O25" s="53"/>
      <c r="P25" s="53"/>
      <c r="Q25" s="26">
        <f>W11</f>
        <v>0</v>
      </c>
      <c r="R25" s="53"/>
      <c r="S25" s="53"/>
      <c r="T25" s="53"/>
      <c r="U25" s="53"/>
      <c r="V25" s="61"/>
      <c r="W25" s="53"/>
    </row>
    <row r="26" spans="1:24" s="4" customFormat="1" ht="28.8">
      <c r="A26" s="99" t="s">
        <v>35</v>
      </c>
      <c r="B26" s="100"/>
      <c r="C26" s="101"/>
      <c r="D26" s="44" t="s">
        <v>2</v>
      </c>
      <c r="E26" s="44" t="s">
        <v>3</v>
      </c>
      <c r="F26" s="44" t="s">
        <v>4</v>
      </c>
      <c r="G26" s="87" t="s">
        <v>5</v>
      </c>
      <c r="H26" s="45" t="s">
        <v>6</v>
      </c>
      <c r="I26" s="102" t="s">
        <v>7</v>
      </c>
      <c r="J26" s="102" t="s">
        <v>8</v>
      </c>
      <c r="K26" s="102" t="s">
        <v>9</v>
      </c>
      <c r="L26" s="102" t="s">
        <v>10</v>
      </c>
      <c r="M26" s="102" t="s">
        <v>5</v>
      </c>
      <c r="N26" s="53"/>
      <c r="O26" s="61"/>
      <c r="P26" s="53"/>
      <c r="Q26" s="26"/>
      <c r="R26" s="53"/>
      <c r="S26" s="53"/>
      <c r="T26" s="53"/>
      <c r="U26" s="53"/>
      <c r="V26" s="53"/>
      <c r="W26" s="53"/>
    </row>
    <row r="27" spans="1:24" s="4" customFormat="1" ht="14.4">
      <c r="A27" s="48" t="s">
        <v>42</v>
      </c>
      <c r="B27" s="49"/>
      <c r="C27" s="50"/>
      <c r="D27" s="51"/>
      <c r="E27" s="51"/>
      <c r="F27" s="51"/>
      <c r="G27" s="87"/>
      <c r="H27" s="52"/>
      <c r="I27" s="103"/>
      <c r="J27" s="103"/>
      <c r="K27" s="103"/>
      <c r="L27" s="103"/>
      <c r="M27" s="103"/>
      <c r="N27" s="53"/>
      <c r="O27" s="53"/>
      <c r="P27" s="53"/>
      <c r="Q27" s="26"/>
      <c r="R27" s="53"/>
      <c r="S27" s="53"/>
      <c r="T27" s="53"/>
      <c r="U27" s="53"/>
      <c r="V27" s="53"/>
      <c r="W27" s="53"/>
    </row>
    <row r="28" spans="1:24" s="4" customFormat="1" ht="14.4">
      <c r="A28" s="10">
        <v>0</v>
      </c>
      <c r="B28" s="10">
        <v>500000</v>
      </c>
      <c r="C28" s="9">
        <v>0</v>
      </c>
      <c r="D28" s="11">
        <v>0</v>
      </c>
      <c r="E28" s="12">
        <v>0</v>
      </c>
      <c r="F28" s="13">
        <v>0</v>
      </c>
      <c r="G28" s="13">
        <v>0</v>
      </c>
      <c r="H28" s="16">
        <f>H7</f>
        <v>973520</v>
      </c>
      <c r="I28" s="15">
        <f>VLOOKUP(H28,A28:C32,3)</f>
        <v>0.2</v>
      </c>
      <c r="J28" s="16">
        <f>INDEX(D28:D32,MATCH(I28,C28:C32,0))</f>
        <v>500000</v>
      </c>
      <c r="K28" s="17">
        <f>INDEX(E28:E32,MATCH(I28,C28:C32,0))</f>
        <v>100000</v>
      </c>
      <c r="L28" s="54">
        <f>L7</f>
        <v>0</v>
      </c>
      <c r="M28" s="19">
        <v>0.04</v>
      </c>
      <c r="N28" s="53"/>
      <c r="O28" s="53"/>
      <c r="P28" s="53"/>
      <c r="Q28" s="26"/>
      <c r="R28" s="53"/>
      <c r="S28" s="53"/>
      <c r="T28" s="53"/>
      <c r="U28" s="53"/>
      <c r="V28" s="53"/>
      <c r="W28" s="53"/>
    </row>
    <row r="29" spans="1:24" s="4" customFormat="1" ht="43.2">
      <c r="A29" s="10">
        <f>B28+1</f>
        <v>500001</v>
      </c>
      <c r="B29" s="10">
        <v>1000000</v>
      </c>
      <c r="C29" s="23">
        <v>0.2</v>
      </c>
      <c r="D29" s="11">
        <f>B28</f>
        <v>500000</v>
      </c>
      <c r="E29" s="12">
        <f>(B29-B28)*C29</f>
        <v>100000</v>
      </c>
      <c r="F29" s="13">
        <v>0</v>
      </c>
      <c r="G29" s="13">
        <v>0.04</v>
      </c>
      <c r="H29" s="24" t="s">
        <v>21</v>
      </c>
      <c r="I29" s="24" t="s">
        <v>22</v>
      </c>
      <c r="J29" s="24" t="s">
        <v>23</v>
      </c>
      <c r="K29" s="89" t="s">
        <v>24</v>
      </c>
      <c r="L29" s="90"/>
      <c r="M29" s="91"/>
      <c r="N29" s="53"/>
      <c r="O29" s="53"/>
      <c r="P29" s="53"/>
      <c r="Q29" s="26"/>
      <c r="R29" s="53"/>
      <c r="S29" s="53"/>
      <c r="T29" s="53"/>
      <c r="U29" s="53"/>
      <c r="V29" s="53"/>
      <c r="W29" s="53"/>
    </row>
    <row r="30" spans="1:24" s="4" customFormat="1" ht="14.4">
      <c r="A30" s="10">
        <f>B29+1</f>
        <v>1000001</v>
      </c>
      <c r="B30" s="10"/>
      <c r="C30" s="23">
        <v>0.3</v>
      </c>
      <c r="D30" s="11">
        <f>B29</f>
        <v>1000000</v>
      </c>
      <c r="E30" s="12">
        <f>IF(J28=0,0,E29)</f>
        <v>100000</v>
      </c>
      <c r="F30" s="13">
        <v>0</v>
      </c>
      <c r="G30" s="13">
        <v>0.04</v>
      </c>
      <c r="H30" s="29">
        <f>IF(I28=C32,E31+ROUND((H28-J28),0)*I28,IF(I28=C31,E30+ROUND((H28-J28)*I28,0),IF(I28=C30,E29+ROUND((H28-J28)*I28,0),IF(I28=C29,E28+ROUND((H28-J28)*I28,0),E27+ROUND((H28-J28)*I28,0)))))</f>
        <v>94704</v>
      </c>
      <c r="I30" s="29">
        <f>MIN(K32:L32)</f>
        <v>0</v>
      </c>
      <c r="J30" s="30">
        <f>ROUND(SUM(H30+I30)*M28,0)</f>
        <v>3788</v>
      </c>
      <c r="K30" s="93">
        <f>SUM(H30:J30)</f>
        <v>98492</v>
      </c>
      <c r="L30" s="93"/>
      <c r="M30" s="93"/>
      <c r="N30" s="53"/>
      <c r="O30" s="53"/>
      <c r="P30" s="53"/>
      <c r="Q30" s="26"/>
      <c r="R30" s="53"/>
      <c r="S30" s="53"/>
      <c r="T30" s="53"/>
      <c r="U30" s="53"/>
      <c r="V30" s="53"/>
      <c r="W30" s="53"/>
    </row>
    <row r="31" spans="1:24" s="4" customFormat="1" ht="28.8">
      <c r="A31" s="10"/>
      <c r="B31" s="10"/>
      <c r="C31" s="23"/>
      <c r="D31" s="11"/>
      <c r="E31" s="12"/>
      <c r="F31" s="13">
        <f>L28</f>
        <v>0</v>
      </c>
      <c r="G31" s="13">
        <v>0.04</v>
      </c>
      <c r="H31" s="35" t="s">
        <v>25</v>
      </c>
      <c r="I31" s="36" t="s">
        <v>26</v>
      </c>
      <c r="J31" s="36" t="s">
        <v>27</v>
      </c>
      <c r="K31" s="37" t="s">
        <v>28</v>
      </c>
      <c r="L31" s="37" t="s">
        <v>29</v>
      </c>
      <c r="M31" s="36" t="s">
        <v>30</v>
      </c>
      <c r="N31" s="53"/>
      <c r="O31" s="53"/>
      <c r="P31" s="53"/>
      <c r="Q31" s="26"/>
      <c r="R31" s="53"/>
      <c r="S31" s="53"/>
      <c r="T31" s="53"/>
      <c r="U31" s="53"/>
      <c r="V31" s="53"/>
      <c r="W31" s="53"/>
    </row>
    <row r="32" spans="1:24" s="4" customFormat="1" ht="14.4">
      <c r="A32" s="10" t="s">
        <v>32</v>
      </c>
      <c r="B32" s="10"/>
      <c r="C32" s="23"/>
      <c r="D32" s="38">
        <f>IF(L28=10%,5000000,IF(L28=15%,10000000,IF(L28=25%,20000000,50000000)))</f>
        <v>50000000</v>
      </c>
      <c r="E32" s="12"/>
      <c r="F32" s="12"/>
      <c r="G32" s="12"/>
      <c r="H32" s="39">
        <f>H25</f>
        <v>50000000</v>
      </c>
      <c r="I32" s="39">
        <f>IF(H28&gt;H32,H28-H32,0)</f>
        <v>0</v>
      </c>
      <c r="J32" s="39">
        <f>IF(I32&gt;0,ROUND(I32*I28,0),0)</f>
        <v>0</v>
      </c>
      <c r="K32" s="40">
        <f>IF(H32&gt;=D32,Q32+(I32-J32),(I32-J32))</f>
        <v>0</v>
      </c>
      <c r="L32" s="40">
        <f>IF(H30&gt;0,ROUND(H30*L28,0),0)</f>
        <v>0</v>
      </c>
      <c r="M32" s="40">
        <f>IF(K32&gt;L32,0,L32-K32)</f>
        <v>0</v>
      </c>
      <c r="N32" s="53"/>
      <c r="O32" s="53"/>
      <c r="P32" s="53"/>
      <c r="Q32" s="26">
        <f>W12</f>
        <v>0</v>
      </c>
      <c r="R32" s="53"/>
      <c r="S32" s="53"/>
      <c r="T32" s="53"/>
      <c r="U32" s="53"/>
      <c r="V32" s="53"/>
      <c r="W32" s="53"/>
    </row>
  </sheetData>
  <sheetProtection password="CF7E" sheet="1" objects="1" scenarios="1"/>
  <mergeCells count="61">
    <mergeCell ref="K29:M29"/>
    <mergeCell ref="K30:M30"/>
    <mergeCell ref="K22:M22"/>
    <mergeCell ref="K23:M23"/>
    <mergeCell ref="A26:C26"/>
    <mergeCell ref="G26:G27"/>
    <mergeCell ref="I26:I27"/>
    <mergeCell ref="J26:J27"/>
    <mergeCell ref="K26:K27"/>
    <mergeCell ref="L26:L27"/>
    <mergeCell ref="M26:M27"/>
    <mergeCell ref="N15:O15"/>
    <mergeCell ref="N17:O17"/>
    <mergeCell ref="N18:O18"/>
    <mergeCell ref="A19:C19"/>
    <mergeCell ref="G19:G20"/>
    <mergeCell ref="I19:I20"/>
    <mergeCell ref="J19:J20"/>
    <mergeCell ref="K19:K20"/>
    <mergeCell ref="L19:L20"/>
    <mergeCell ref="M19:M20"/>
    <mergeCell ref="K16:M16"/>
    <mergeCell ref="N16:O16"/>
    <mergeCell ref="R10:S10"/>
    <mergeCell ref="R11:S11"/>
    <mergeCell ref="A12:C12"/>
    <mergeCell ref="G12:G13"/>
    <mergeCell ref="I12:I13"/>
    <mergeCell ref="J12:J13"/>
    <mergeCell ref="K12:K13"/>
    <mergeCell ref="L12:L13"/>
    <mergeCell ref="M12:M13"/>
    <mergeCell ref="N12:O12"/>
    <mergeCell ref="R12:S12"/>
    <mergeCell ref="N13:O13"/>
    <mergeCell ref="N14:O14"/>
    <mergeCell ref="K15:M15"/>
    <mergeCell ref="Y5:AA5"/>
    <mergeCell ref="A6:C6"/>
    <mergeCell ref="K8:M8"/>
    <mergeCell ref="R8:S8"/>
    <mergeCell ref="K9:M9"/>
    <mergeCell ref="R9:S9"/>
    <mergeCell ref="Q5:Q6"/>
    <mergeCell ref="R5:S7"/>
    <mergeCell ref="T5:T7"/>
    <mergeCell ref="U5:U7"/>
    <mergeCell ref="V5:V7"/>
    <mergeCell ref="W5:W7"/>
    <mergeCell ref="I5:I6"/>
    <mergeCell ref="J5:J6"/>
    <mergeCell ref="K5:K6"/>
    <mergeCell ref="L5:L6"/>
    <mergeCell ref="M5:M6"/>
    <mergeCell ref="N5:P5"/>
    <mergeCell ref="F2:G2"/>
    <mergeCell ref="A5:C5"/>
    <mergeCell ref="D5:D6"/>
    <mergeCell ref="E5:E6"/>
    <mergeCell ref="F5:F6"/>
    <mergeCell ref="G5:G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4:AA13"/>
  <sheetViews>
    <sheetView workbookViewId="0">
      <selection activeCell="E18" sqref="E18"/>
    </sheetView>
  </sheetViews>
  <sheetFormatPr defaultRowHeight="15.6"/>
  <sheetData>
    <row r="4" spans="1:27">
      <c r="E4" t="str">
        <f>old!E4</f>
        <v>MALE</v>
      </c>
    </row>
    <row r="5" spans="1:27" ht="28.8">
      <c r="A5" s="86" t="s">
        <v>1</v>
      </c>
      <c r="B5" s="86"/>
      <c r="C5" s="86"/>
      <c r="D5" s="87" t="s">
        <v>2</v>
      </c>
      <c r="E5" s="87" t="s">
        <v>3</v>
      </c>
      <c r="F5" s="87" t="s">
        <v>4</v>
      </c>
      <c r="G5" s="87" t="s">
        <v>5</v>
      </c>
      <c r="H5" s="5" t="s">
        <v>6</v>
      </c>
      <c r="I5" s="82" t="s">
        <v>7</v>
      </c>
      <c r="J5" s="82" t="s">
        <v>8</v>
      </c>
      <c r="K5" s="82" t="s">
        <v>9</v>
      </c>
      <c r="L5" s="82" t="s">
        <v>10</v>
      </c>
      <c r="M5" s="82" t="s">
        <v>5</v>
      </c>
      <c r="N5" s="83" t="s">
        <v>11</v>
      </c>
      <c r="O5" s="83"/>
      <c r="P5" s="83"/>
      <c r="Q5" s="89" t="s">
        <v>12</v>
      </c>
      <c r="R5" s="95" t="s">
        <v>13</v>
      </c>
      <c r="S5" s="95"/>
      <c r="T5" s="96" t="s">
        <v>14</v>
      </c>
      <c r="U5" s="96" t="s">
        <v>15</v>
      </c>
      <c r="V5" s="96" t="s">
        <v>16</v>
      </c>
      <c r="W5" s="96" t="s">
        <v>17</v>
      </c>
      <c r="X5" s="4"/>
      <c r="Y5" s="88" t="s">
        <v>18</v>
      </c>
      <c r="Z5" s="88"/>
      <c r="AA5" s="88"/>
    </row>
    <row r="6" spans="1:27">
      <c r="A6" s="86" t="s">
        <v>19</v>
      </c>
      <c r="B6" s="86"/>
      <c r="C6" s="86"/>
      <c r="D6" s="87"/>
      <c r="E6" s="87"/>
      <c r="F6" s="87"/>
      <c r="G6" s="87"/>
      <c r="H6" s="6"/>
      <c r="I6" s="82"/>
      <c r="J6" s="82"/>
      <c r="K6" s="82"/>
      <c r="L6" s="82"/>
      <c r="M6" s="82"/>
      <c r="N6" s="7" t="s">
        <v>20</v>
      </c>
      <c r="O6" s="7">
        <f>C2</f>
        <v>0</v>
      </c>
      <c r="P6" s="7">
        <f>D2</f>
        <v>0</v>
      </c>
      <c r="Q6" s="89"/>
      <c r="R6" s="95"/>
      <c r="S6" s="95"/>
      <c r="T6" s="96"/>
      <c r="U6" s="96"/>
      <c r="V6" s="96"/>
      <c r="W6" s="96"/>
      <c r="X6" s="4"/>
      <c r="Y6" s="8">
        <v>0</v>
      </c>
      <c r="Z6" s="8">
        <v>5000000</v>
      </c>
      <c r="AA6" s="9">
        <v>0</v>
      </c>
    </row>
    <row r="7" spans="1:27">
      <c r="A7" s="10">
        <v>0</v>
      </c>
      <c r="B7" s="10">
        <v>250000</v>
      </c>
      <c r="C7" s="9">
        <v>0</v>
      </c>
      <c r="D7" s="11">
        <v>0</v>
      </c>
      <c r="E7" s="12">
        <v>0</v>
      </c>
      <c r="F7" s="13">
        <v>0</v>
      </c>
      <c r="G7" s="13">
        <v>0</v>
      </c>
      <c r="H7" s="14">
        <f>Main!C10</f>
        <v>1205520</v>
      </c>
      <c r="I7" s="15">
        <f>VLOOKUP(H7,A7:C13,3)</f>
        <v>0.2</v>
      </c>
      <c r="J7" s="16">
        <f>INDEX(D7:D13,MATCH(I7,C7:C13,0))</f>
        <v>1000000</v>
      </c>
      <c r="K7" s="17">
        <f>INDEX(E7:E13,MATCH(I7,C7:C13,0))</f>
        <v>125000</v>
      </c>
      <c r="L7" s="18">
        <f>VLOOKUP($H$7,$Y$6:$AA$10,3)</f>
        <v>0</v>
      </c>
      <c r="M7" s="19">
        <v>0.04</v>
      </c>
      <c r="N7" s="20">
        <v>0</v>
      </c>
      <c r="O7" s="20">
        <f t="shared" ref="O7:P10" si="0">IF($E$6="Male",B7,IF($E$6="Female",B14,IF($E$6="Senior Citizen",B21,B28)))</f>
        <v>0</v>
      </c>
      <c r="P7" s="21">
        <f t="shared" si="0"/>
        <v>0</v>
      </c>
      <c r="Q7" s="22">
        <f>O7</f>
        <v>0</v>
      </c>
      <c r="R7" s="95"/>
      <c r="S7" s="95"/>
      <c r="T7" s="96"/>
      <c r="U7" s="96"/>
      <c r="V7" s="96"/>
      <c r="W7" s="96"/>
      <c r="X7" s="4"/>
      <c r="Y7" s="8">
        <f>Z6+1</f>
        <v>5000001</v>
      </c>
      <c r="Z7" s="8">
        <v>10000000</v>
      </c>
      <c r="AA7" s="9">
        <v>0.1</v>
      </c>
    </row>
    <row r="8" spans="1:27" ht="43.2">
      <c r="A8" s="10">
        <f>B7+1</f>
        <v>250001</v>
      </c>
      <c r="B8" s="10">
        <v>500000</v>
      </c>
      <c r="C8" s="23">
        <v>0.05</v>
      </c>
      <c r="D8" s="11">
        <f>B7</f>
        <v>250000</v>
      </c>
      <c r="E8" s="12">
        <f>(B8-B7)*C8</f>
        <v>12500</v>
      </c>
      <c r="F8" s="13">
        <v>0</v>
      </c>
      <c r="G8" s="13">
        <v>0.04</v>
      </c>
      <c r="H8" s="24" t="s">
        <v>21</v>
      </c>
      <c r="I8" s="24" t="s">
        <v>22</v>
      </c>
      <c r="J8" s="24" t="s">
        <v>23</v>
      </c>
      <c r="K8" s="89" t="s">
        <v>24</v>
      </c>
      <c r="L8" s="90"/>
      <c r="M8" s="91"/>
      <c r="N8" s="20">
        <f>O7+1</f>
        <v>1</v>
      </c>
      <c r="O8" s="20">
        <f t="shared" si="0"/>
        <v>0</v>
      </c>
      <c r="P8" s="21">
        <f t="shared" si="0"/>
        <v>0</v>
      </c>
      <c r="Q8" s="25"/>
      <c r="R8" s="92">
        <f>$E$6</f>
        <v>0</v>
      </c>
      <c r="S8" s="92"/>
      <c r="T8" s="26" t="e">
        <f>INDEX($T$941:$T$944,MATCH($R$940,$R$941:$R$944,0))</f>
        <v>#N/A</v>
      </c>
      <c r="U8" s="27"/>
      <c r="V8" s="27"/>
      <c r="W8" s="28">
        <f>IF($S$1004=37%,25%,IF($S$1004=25%,15%,IF($S$1004=15%,10%,0)))</f>
        <v>0</v>
      </c>
      <c r="X8" s="4"/>
      <c r="Y8" s="8">
        <f>Z7+1</f>
        <v>10000001</v>
      </c>
      <c r="Z8" s="8">
        <v>20000000</v>
      </c>
      <c r="AA8" s="9">
        <v>0.15</v>
      </c>
    </row>
    <row r="9" spans="1:27">
      <c r="A9" s="10">
        <f>B8+1</f>
        <v>500001</v>
      </c>
      <c r="B9" s="10">
        <v>750000</v>
      </c>
      <c r="C9" s="23">
        <v>0.1</v>
      </c>
      <c r="D9" s="11">
        <f>B8</f>
        <v>500000</v>
      </c>
      <c r="E9" s="12">
        <f>E8+(B9-B8)*C9</f>
        <v>37500</v>
      </c>
      <c r="F9" s="13">
        <v>0</v>
      </c>
      <c r="G9" s="13">
        <v>0.04</v>
      </c>
      <c r="H9" s="29">
        <f>IF(I7=C13,E12+ROUND((H7-J7),0)*I7,IF(I7=C12,E11+ROUND((H7-J7),0)*I7,IF(I7=C11,E10+ROUND((H7-J7),0)*I7,IF(I7=C10,E9+ROUND((H7-J7)*I7,0),IF(I7=C9,E8+ROUND((H7-J7)*I7,0),IF(I7=C8,E7+ROUND((H7-J7)*I7,0),E6+ROUND((H7-J7)*I7,0)))))))</f>
        <v>116104</v>
      </c>
      <c r="I9" s="29">
        <f>MIN(K11:L11)</f>
        <v>0</v>
      </c>
      <c r="J9" s="30">
        <f>ROUND(SUM(H9+I9)*M7,0)</f>
        <v>4644</v>
      </c>
      <c r="K9" s="93">
        <f>SUM(H9:J9)</f>
        <v>120748</v>
      </c>
      <c r="L9" s="93"/>
      <c r="M9" s="93"/>
      <c r="N9" s="20">
        <f>O8+1</f>
        <v>1</v>
      </c>
      <c r="O9" s="20">
        <f t="shared" si="0"/>
        <v>0</v>
      </c>
      <c r="P9" s="21">
        <f t="shared" si="0"/>
        <v>0</v>
      </c>
      <c r="Q9" s="25"/>
      <c r="R9" s="94" t="s">
        <v>1</v>
      </c>
      <c r="S9" s="94"/>
      <c r="T9" s="31" t="str">
        <f>IF($T$946&gt;1000000,($T$946-1000000)*30%+(112500),IF($T$946&gt;500000,($T$946-500000)*20%+(12500),IF($T$946&gt;250000,($T$946-250000)*5%,"0")))</f>
        <v>0</v>
      </c>
      <c r="U9" s="31" t="str">
        <f>IF($U$1004&gt;1000000,($U$1004-1000000)*30%+(112500),IF($U$1004&gt;500000,($U$1004-500000)*20%+(12500),IF($U$1004&gt;250000,($U$1004-250000)*5%,"0")))</f>
        <v>0</v>
      </c>
      <c r="V9" s="32">
        <f>ROUND(T9*$S$1004,0)</f>
        <v>0</v>
      </c>
      <c r="W9" s="33">
        <f>ROUND(U9*$W$998,0)</f>
        <v>0</v>
      </c>
      <c r="X9" s="34">
        <f>T9+V9-U9-W9</f>
        <v>0</v>
      </c>
      <c r="Y9" s="8">
        <f>Z8+1</f>
        <v>20000001</v>
      </c>
      <c r="Z9" s="8">
        <v>50000000</v>
      </c>
      <c r="AA9" s="9">
        <v>0.25</v>
      </c>
    </row>
    <row r="10" spans="1:27" ht="28.8">
      <c r="A10" s="10">
        <f>B9+1</f>
        <v>750001</v>
      </c>
      <c r="B10" s="10">
        <v>1000000</v>
      </c>
      <c r="C10" s="23">
        <v>0.15</v>
      </c>
      <c r="D10" s="11">
        <f>B9</f>
        <v>750000</v>
      </c>
      <c r="E10" s="12">
        <f t="shared" ref="E10:E12" si="1">E9+(B10-B9)*C10</f>
        <v>75000</v>
      </c>
      <c r="F10" s="13">
        <f>L13</f>
        <v>0</v>
      </c>
      <c r="G10" s="13">
        <v>0.04</v>
      </c>
      <c r="H10" s="35" t="s">
        <v>25</v>
      </c>
      <c r="I10" s="36" t="s">
        <v>26</v>
      </c>
      <c r="J10" s="36" t="s">
        <v>27</v>
      </c>
      <c r="K10" s="37" t="s">
        <v>28</v>
      </c>
      <c r="L10" s="37" t="s">
        <v>29</v>
      </c>
      <c r="M10" s="36" t="s">
        <v>30</v>
      </c>
      <c r="N10" s="20">
        <f>O9+1</f>
        <v>1</v>
      </c>
      <c r="O10" s="20">
        <f t="shared" si="0"/>
        <v>0</v>
      </c>
      <c r="P10" s="21">
        <f t="shared" si="0"/>
        <v>0</v>
      </c>
      <c r="Q10" s="25"/>
      <c r="R10" s="94" t="s">
        <v>31</v>
      </c>
      <c r="S10" s="94"/>
      <c r="T10" s="31" t="str">
        <f>IF($T$946&gt;1000000,($T$946-1000000)*30%+(112500),IF($T$946&gt;500000,($T$946-500000)*20%+(12500),IF($T$946&gt;250000,($T$946-250000)*5%,"0")))</f>
        <v>0</v>
      </c>
      <c r="U10" s="31" t="str">
        <f>IF($U$1004&gt;1000000,($U$1004-1000000)*30%+(112500),IF($U$1004&gt;500000,($U$1004-500000)*20%+(12500),IF($U$1004&gt;250000,($U$1004-250000)*5%,"0")))</f>
        <v>0</v>
      </c>
      <c r="V10" s="32">
        <f>ROUND(T10*$S$1004,0)</f>
        <v>0</v>
      </c>
      <c r="W10" s="33">
        <f>ROUND(U10*$W$998,0)</f>
        <v>0</v>
      </c>
      <c r="X10" s="34">
        <f>T10+V10-U10-W10</f>
        <v>0</v>
      </c>
      <c r="Y10" s="8">
        <f>Z9+1</f>
        <v>50000001</v>
      </c>
      <c r="Z10" s="8"/>
      <c r="AA10" s="9">
        <v>0.37</v>
      </c>
    </row>
    <row r="11" spans="1:27">
      <c r="A11" s="10">
        <f t="shared" ref="A11:A13" si="2">B10+1</f>
        <v>1000001</v>
      </c>
      <c r="B11" s="63">
        <v>1250000</v>
      </c>
      <c r="C11" s="23">
        <v>0.2</v>
      </c>
      <c r="D11" s="11">
        <f t="shared" ref="D11:D13" si="3">B10</f>
        <v>1000000</v>
      </c>
      <c r="E11" s="12">
        <f t="shared" si="1"/>
        <v>125000</v>
      </c>
      <c r="F11" s="13">
        <f t="shared" ref="F11:F13" si="4">L14</f>
        <v>0</v>
      </c>
      <c r="G11" s="13">
        <v>0.04</v>
      </c>
    </row>
    <row r="12" spans="1:27">
      <c r="A12" s="10">
        <f t="shared" si="2"/>
        <v>1250001</v>
      </c>
      <c r="B12" s="63">
        <v>1500000</v>
      </c>
      <c r="C12" s="23">
        <v>0.25</v>
      </c>
      <c r="D12" s="11">
        <f t="shared" si="3"/>
        <v>1250000</v>
      </c>
      <c r="E12" s="12">
        <f t="shared" si="1"/>
        <v>187500</v>
      </c>
      <c r="F12" s="13">
        <f t="shared" si="4"/>
        <v>0</v>
      </c>
      <c r="G12" s="13">
        <v>0.04</v>
      </c>
    </row>
    <row r="13" spans="1:27">
      <c r="A13" s="10">
        <f t="shared" si="2"/>
        <v>1500001</v>
      </c>
      <c r="C13" s="23">
        <v>0.3</v>
      </c>
      <c r="D13" s="11">
        <f t="shared" si="3"/>
        <v>1500000</v>
      </c>
      <c r="E13" s="12">
        <f>IF(J7=0,0,E12)</f>
        <v>187500</v>
      </c>
      <c r="F13" s="13">
        <f t="shared" si="4"/>
        <v>0</v>
      </c>
      <c r="G13" s="13">
        <v>0.04</v>
      </c>
    </row>
  </sheetData>
  <sheetProtection password="CF7E" sheet="1" objects="1" scenarios="1"/>
  <mergeCells count="24">
    <mergeCell ref="Y5:AA5"/>
    <mergeCell ref="K8:M8"/>
    <mergeCell ref="R8:S8"/>
    <mergeCell ref="K9:M9"/>
    <mergeCell ref="R9:S9"/>
    <mergeCell ref="V5:V7"/>
    <mergeCell ref="W5:W7"/>
    <mergeCell ref="N5:P5"/>
    <mergeCell ref="R10:S10"/>
    <mergeCell ref="Q5:Q6"/>
    <mergeCell ref="R5:S7"/>
    <mergeCell ref="T5:T7"/>
    <mergeCell ref="U5:U7"/>
    <mergeCell ref="I5:I6"/>
    <mergeCell ref="J5:J6"/>
    <mergeCell ref="K5:K6"/>
    <mergeCell ref="L5:L6"/>
    <mergeCell ref="M5:M6"/>
    <mergeCell ref="A5:C5"/>
    <mergeCell ref="D5:D6"/>
    <mergeCell ref="E5:E6"/>
    <mergeCell ref="F5:F6"/>
    <mergeCell ref="G5:G6"/>
    <mergeCell ref="A6:C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Main</vt:lpstr>
      <vt:lpstr>old</vt:lpstr>
      <vt:lpstr>new</vt:lpstr>
      <vt:lpstr>Main!Print_Area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pravesh</dc:creator>
  <cp:lastModifiedBy>SpectraPC</cp:lastModifiedBy>
  <dcterms:created xsi:type="dcterms:W3CDTF">2020-02-01T14:38:27Z</dcterms:created>
  <dcterms:modified xsi:type="dcterms:W3CDTF">2020-02-03T06:23:49Z</dcterms:modified>
</cp:coreProperties>
</file>