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59895565-E784-4286-B822-9D544FE31AD3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Basic details" sheetId="4" r:id="rId1"/>
    <sheet name="Table A" sheetId="5" r:id="rId2"/>
    <sheet name="Annexure - I" sheetId="7" r:id="rId3"/>
    <sheet name="Form 10E" sheetId="3" r:id="rId4"/>
    <sheet name="Computation sheet" sheetId="6" state="hidden" r:id="rId5"/>
    <sheet name="slab" sheetId="2" state="hidden" r:id="rId6"/>
  </sheets>
  <definedNames>
    <definedName name="rstat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5" l="1"/>
  <c r="D13" i="6"/>
  <c r="D17" i="5" l="1"/>
  <c r="H15" i="3" s="1"/>
  <c r="C17" i="5"/>
  <c r="D32" i="6"/>
  <c r="F32" i="6" s="1"/>
  <c r="D15" i="6"/>
  <c r="F15" i="6" s="1"/>
  <c r="D6" i="6"/>
  <c r="E9" i="5"/>
  <c r="D30" i="6" s="1"/>
  <c r="F30" i="6" s="1"/>
  <c r="E10" i="5"/>
  <c r="D29" i="6" s="1"/>
  <c r="E29" i="6" s="1"/>
  <c r="E11" i="5"/>
  <c r="D28" i="6" s="1"/>
  <c r="E12" i="5"/>
  <c r="D27" i="6" s="1"/>
  <c r="E13" i="5"/>
  <c r="D26" i="6" s="1"/>
  <c r="E14" i="5"/>
  <c r="D25" i="6" s="1"/>
  <c r="E25" i="6" s="1"/>
  <c r="G25" i="6" s="1"/>
  <c r="E15" i="5"/>
  <c r="D24" i="6" s="1"/>
  <c r="J24" i="6" s="1"/>
  <c r="L24" i="6" s="1"/>
  <c r="E16" i="5"/>
  <c r="D23" i="6" s="1"/>
  <c r="J23" i="6" s="1"/>
  <c r="L23" i="6" s="1"/>
  <c r="E8" i="5"/>
  <c r="D31" i="6" s="1"/>
  <c r="D14" i="6"/>
  <c r="F14" i="6" s="1"/>
  <c r="F13" i="6"/>
  <c r="D12" i="6"/>
  <c r="F12" i="6" s="1"/>
  <c r="D11" i="6"/>
  <c r="E11" i="6" s="1"/>
  <c r="D10" i="6"/>
  <c r="F10" i="6" s="1"/>
  <c r="D9" i="6"/>
  <c r="E9" i="6" s="1"/>
  <c r="D8" i="6"/>
  <c r="D7" i="6"/>
  <c r="J9" i="2"/>
  <c r="I7" i="7" l="1"/>
  <c r="I8" i="7"/>
  <c r="F11" i="6"/>
  <c r="E32" i="6"/>
  <c r="G32" i="6" s="1"/>
  <c r="H32" i="6" s="1"/>
  <c r="I32" i="6" s="1"/>
  <c r="E15" i="6"/>
  <c r="G15" i="6" s="1"/>
  <c r="H15" i="6" s="1"/>
  <c r="E13" i="6"/>
  <c r="G13" i="6" s="1"/>
  <c r="H13" i="6" s="1"/>
  <c r="E17" i="5"/>
  <c r="G11" i="6"/>
  <c r="E26" i="6"/>
  <c r="F26" i="6"/>
  <c r="E27" i="6"/>
  <c r="F27" i="6"/>
  <c r="E28" i="6"/>
  <c r="F28" i="6"/>
  <c r="E31" i="6"/>
  <c r="F31" i="6"/>
  <c r="E14" i="6"/>
  <c r="G14" i="6" s="1"/>
  <c r="E10" i="6"/>
  <c r="G10" i="6" s="1"/>
  <c r="H10" i="6" s="1"/>
  <c r="E30" i="6"/>
  <c r="F29" i="6"/>
  <c r="G29" i="6" s="1"/>
  <c r="H29" i="6" s="1"/>
  <c r="I29" i="6" s="1"/>
  <c r="G10" i="5" s="1"/>
  <c r="E24" i="6"/>
  <c r="G24" i="6" s="1"/>
  <c r="E23" i="6"/>
  <c r="E12" i="6"/>
  <c r="G12" i="6" s="1"/>
  <c r="F9" i="6"/>
  <c r="G9" i="6" s="1"/>
  <c r="H9" i="6" s="1"/>
  <c r="M23" i="6"/>
  <c r="N23" i="6" s="1"/>
  <c r="M24" i="6"/>
  <c r="N24" i="6" s="1"/>
  <c r="H25" i="6"/>
  <c r="I25" i="6" s="1"/>
  <c r="G14" i="5" s="1"/>
  <c r="E8" i="6"/>
  <c r="G8" i="6" s="1"/>
  <c r="H11" i="6"/>
  <c r="I11" i="6" s="1"/>
  <c r="F11" i="5" s="1"/>
  <c r="E7" i="6"/>
  <c r="G7" i="6" s="1"/>
  <c r="J7" i="6"/>
  <c r="L7" i="6" s="1"/>
  <c r="M7" i="6" s="1"/>
  <c r="J6" i="6"/>
  <c r="L6" i="6" s="1"/>
  <c r="E6" i="6"/>
  <c r="G6" i="6" s="1"/>
  <c r="J11" i="2"/>
  <c r="J10" i="2"/>
  <c r="I9" i="7" l="1"/>
  <c r="D16" i="6"/>
  <c r="E16" i="6" s="1"/>
  <c r="G26" i="6"/>
  <c r="H26" i="6" s="1"/>
  <c r="I26" i="6" s="1"/>
  <c r="G13" i="5" s="1"/>
  <c r="G27" i="6"/>
  <c r="H27" i="6" s="1"/>
  <c r="I27" i="6" s="1"/>
  <c r="G12" i="5" s="1"/>
  <c r="I15" i="6"/>
  <c r="I10" i="7" s="1"/>
  <c r="G31" i="6"/>
  <c r="H31" i="6" s="1"/>
  <c r="I31" i="6" s="1"/>
  <c r="G8" i="5" s="1"/>
  <c r="G28" i="6"/>
  <c r="H28" i="6" s="1"/>
  <c r="I28" i="6" s="1"/>
  <c r="G11" i="5" s="1"/>
  <c r="H11" i="5" s="1"/>
  <c r="G30" i="6"/>
  <c r="H30" i="6" s="1"/>
  <c r="I30" i="6" s="1"/>
  <c r="G9" i="5" s="1"/>
  <c r="G23" i="6"/>
  <c r="H23" i="6" s="1"/>
  <c r="I23" i="6" s="1"/>
  <c r="G16" i="5" s="1"/>
  <c r="H24" i="6"/>
  <c r="I24" i="6" s="1"/>
  <c r="G15" i="5" s="1"/>
  <c r="H14" i="6"/>
  <c r="I14" i="6" s="1"/>
  <c r="F8" i="5" s="1"/>
  <c r="H7" i="6"/>
  <c r="I7" i="6" s="1"/>
  <c r="F15" i="5" s="1"/>
  <c r="N7" i="6"/>
  <c r="M6" i="6"/>
  <c r="N6" i="6" s="1"/>
  <c r="H6" i="6"/>
  <c r="I6" i="6" s="1"/>
  <c r="I13" i="6"/>
  <c r="F9" i="5" s="1"/>
  <c r="H12" i="6"/>
  <c r="I12" i="6" s="1"/>
  <c r="F10" i="5" s="1"/>
  <c r="H10" i="5" s="1"/>
  <c r="I10" i="6"/>
  <c r="F12" i="5" s="1"/>
  <c r="I9" i="6"/>
  <c r="F13" i="5" s="1"/>
  <c r="H13" i="5" s="1"/>
  <c r="H8" i="6"/>
  <c r="I8" i="6" s="1"/>
  <c r="F14" i="5" s="1"/>
  <c r="H14" i="5" s="1"/>
  <c r="J15" i="2"/>
  <c r="I15" i="2"/>
  <c r="L15" i="2" s="1"/>
  <c r="H15" i="2"/>
  <c r="J14" i="2"/>
  <c r="I14" i="2"/>
  <c r="H14" i="2"/>
  <c r="J13" i="2"/>
  <c r="F16" i="6" l="1"/>
  <c r="G16" i="6" s="1"/>
  <c r="H8" i="5"/>
  <c r="H12" i="5"/>
  <c r="F17" i="5"/>
  <c r="H9" i="5"/>
  <c r="G17" i="5"/>
  <c r="H16" i="5"/>
  <c r="H15" i="5"/>
  <c r="K15" i="2"/>
  <c r="K14" i="2"/>
  <c r="L14" i="2"/>
  <c r="H16" i="6" l="1"/>
  <c r="I16" i="6" s="1"/>
  <c r="I11" i="7" s="1"/>
  <c r="I12" i="7" s="1"/>
  <c r="H17" i="5"/>
  <c r="I13" i="7" s="1"/>
  <c r="H12" i="2"/>
  <c r="K12" i="2" s="1"/>
  <c r="I13" i="2"/>
  <c r="L13" i="2" s="1"/>
  <c r="H13" i="2"/>
  <c r="K13" i="2" s="1"/>
  <c r="I12" i="2"/>
  <c r="L12" i="2" s="1"/>
  <c r="I11" i="2"/>
  <c r="L11" i="2" s="1"/>
  <c r="H11" i="2"/>
  <c r="K11" i="2" s="1"/>
  <c r="I10" i="2"/>
  <c r="L10" i="2" s="1"/>
  <c r="H10" i="2"/>
  <c r="K10" i="2" s="1"/>
  <c r="I9" i="2"/>
  <c r="L9" i="2" s="1"/>
  <c r="H9" i="2"/>
  <c r="K9" i="2" s="1"/>
  <c r="I8" i="2"/>
  <c r="L8" i="2" s="1"/>
  <c r="H8" i="2"/>
  <c r="K8" i="2" s="1"/>
  <c r="I7" i="2"/>
  <c r="L7" i="2" s="1"/>
  <c r="H7" i="2"/>
  <c r="K7" i="2" s="1"/>
  <c r="I6" i="2"/>
  <c r="L6" i="2" s="1"/>
  <c r="H6" i="2"/>
  <c r="K6" i="2" s="1"/>
  <c r="I14" i="7" l="1"/>
  <c r="A27" i="3"/>
  <c r="E8" i="3"/>
  <c r="E11" i="3"/>
  <c r="E10" i="3"/>
  <c r="D21" i="5" l="1"/>
  <c r="C21" i="5"/>
  <c r="C32" i="3"/>
  <c r="C31" i="3"/>
  <c r="G18" i="4" l="1"/>
  <c r="F18" i="4"/>
  <c r="A29" i="3" s="1"/>
  <c r="B4" i="4"/>
  <c r="F4" i="4" s="1"/>
  <c r="A5" i="3" s="1"/>
</calcChain>
</file>

<file path=xl/sharedStrings.xml><?xml version="1.0" encoding="utf-8"?>
<sst xmlns="http://schemas.openxmlformats.org/spreadsheetml/2006/main" count="352" uniqueCount="183">
  <si>
    <r>
      <t xml:space="preserve">1. </t>
    </r>
    <r>
      <rPr>
        <b/>
        <sz val="11"/>
        <color indexed="8"/>
        <rFont val="Calibri"/>
        <family val="2"/>
      </rPr>
      <t xml:space="preserve">Assessment Year </t>
    </r>
  </si>
  <si>
    <t>2019-20</t>
  </si>
  <si>
    <t>2. Name of the Employee</t>
  </si>
  <si>
    <t>3. Address of the Employee</t>
  </si>
  <si>
    <t>4. PAN of the Employee</t>
  </si>
  <si>
    <t>5. Date of Birth (dd/mm/yyyy)</t>
  </si>
  <si>
    <t>Resident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</si>
  <si>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</si>
  <si>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</si>
  <si>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</si>
  <si>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</si>
  <si>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</si>
  <si>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</si>
  <si>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</si>
  <si>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</si>
  <si>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Total</t>
  </si>
  <si>
    <t>Male</t>
  </si>
  <si>
    <t>Female</t>
  </si>
  <si>
    <t>Sr.Ctzn &gt;60&lt;80</t>
  </si>
  <si>
    <t>Most Sr.Citzn &gt;80</t>
  </si>
  <si>
    <t>NIL</t>
  </si>
  <si>
    <t>1,80,000</t>
  </si>
  <si>
    <t>1,60,000</t>
  </si>
  <si>
    <t>1,90,000</t>
  </si>
  <si>
    <t>2,40,000</t>
  </si>
  <si>
    <t>2,50,000</t>
  </si>
  <si>
    <t>5,00,000</t>
  </si>
  <si>
    <t>2,00,000</t>
  </si>
  <si>
    <t>3,00,000</t>
  </si>
  <si>
    <t xml:space="preserve">Total Income F.Y.  2010-11                  </t>
  </si>
  <si>
    <t xml:space="preserve">Total Income F.Y. 2011-12                          </t>
  </si>
  <si>
    <t xml:space="preserve">Total Income F.Y. 2012-13                        </t>
  </si>
  <si>
    <t xml:space="preserve">Total Income F.Y. 2013-14                  </t>
  </si>
  <si>
    <t xml:space="preserve">Total Income F.Y. 2014-15                        </t>
  </si>
  <si>
    <t xml:space="preserve">Total Income F.Y. 2015-16                         </t>
  </si>
  <si>
    <t xml:space="preserve">Total Income F.Y. 2016-17                         </t>
  </si>
  <si>
    <t>FORM 10E</t>
  </si>
  <si>
    <t>[See Rule 21AA]</t>
  </si>
  <si>
    <t>1. Name and address of the Employee</t>
  </si>
  <si>
    <t>2. Permanent Account Number</t>
  </si>
  <si>
    <t>3. Residential Status</t>
  </si>
  <si>
    <t>Amount (Rs.)</t>
  </si>
  <si>
    <t>(a)</t>
  </si>
  <si>
    <t>(b)</t>
  </si>
  <si>
    <t>Not Applicable</t>
  </si>
  <si>
    <t xml:space="preserve">(c) </t>
  </si>
  <si>
    <t>(d)</t>
  </si>
  <si>
    <t>Signature of the employee</t>
  </si>
  <si>
    <t>Verification</t>
  </si>
  <si>
    <t xml:space="preserve">Place: </t>
  </si>
  <si>
    <t>Dated:</t>
  </si>
  <si>
    <t>6. Gender</t>
  </si>
  <si>
    <t>2. Financial Year</t>
  </si>
  <si>
    <t>2018-19</t>
  </si>
  <si>
    <t>31st March,</t>
  </si>
  <si>
    <t>AY</t>
  </si>
  <si>
    <t>FY</t>
  </si>
  <si>
    <t>2020-21</t>
  </si>
  <si>
    <t>year end</t>
  </si>
  <si>
    <t>5. Designation</t>
  </si>
  <si>
    <t>Place</t>
  </si>
  <si>
    <t>dd</t>
  </si>
  <si>
    <t>mm</t>
  </si>
  <si>
    <t>yyy</t>
  </si>
  <si>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</si>
  <si>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</si>
  <si>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</si>
  <si>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</si>
  <si>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</si>
  <si>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</si>
  <si>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</si>
  <si>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</si>
  <si>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</si>
  <si>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</si>
  <si>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</si>
  <si>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</si>
  <si>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Trivandrum</t>
  </si>
  <si>
    <t>Enter the Required Field here</t>
  </si>
  <si>
    <t>ABCDE1234F</t>
  </si>
  <si>
    <t>Previous Year(s)</t>
  </si>
  <si>
    <t>Total income of the relevent previous year</t>
  </si>
  <si>
    <t>Salary received in arrears or advance relating to the relevant previous year as mentioned in column (1)</t>
  </si>
  <si>
    <t>Total income (as increased by salary received in arrears or advance) of the relevant previous year as mentioned in column (1)[Add columns (2) and (3)]</t>
  </si>
  <si>
    <t>Tax on total income as per column (2)</t>
  </si>
  <si>
    <t>Tax on total income as per column (4)</t>
  </si>
  <si>
    <t>Difference in tax [Amount under column (6) minus amount under column (5)]</t>
  </si>
  <si>
    <t>4 [2+3]</t>
  </si>
  <si>
    <t>Assessment Year 2011-12, Relevant to Financial Year 2010-11</t>
  </si>
  <si>
    <t>For Individuals below 65 years age, other than Woman Assessees:</t>
  </si>
  <si>
    <t>Income</t>
  </si>
  <si>
    <t>Tax Rate</t>
  </si>
  <si>
    <t>Upto 160,000</t>
  </si>
  <si>
    <t>Nil</t>
  </si>
  <si>
    <t>160,000 to 500,000</t>
  </si>
  <si>
    <t>10% of the amount exceeding 160,000</t>
  </si>
  <si>
    <t>500,000 to 800,000</t>
  </si>
  <si>
    <t>Rs.34,000 + 20% of the amount exceeding 500,000</t>
  </si>
  <si>
    <t>800,000 &amp; above</t>
  </si>
  <si>
    <t>Rs.94,000 + 30% of the amount exceeding 800,000</t>
  </si>
  <si>
    <t>For Woman Assessees below 65 years:</t>
  </si>
  <si>
    <t>Upto 190,000</t>
  </si>
  <si>
    <t>190,000 to 500,000</t>
  </si>
  <si>
    <t>10% of the amount exceeding 190,000</t>
  </si>
  <si>
    <t>Rs.31,000 + 20% of the amount exceeding 500,000</t>
  </si>
  <si>
    <t>Rs.91,000 + 30% of the amount exceeding 800,000</t>
  </si>
  <si>
    <t>or Individuals aged 65 years and above:</t>
  </si>
  <si>
    <t>Upto 240,000</t>
  </si>
  <si>
    <t>240,000 to 500,000</t>
  </si>
  <si>
    <t>10% of the amount exceeding 240,000</t>
  </si>
  <si>
    <t>Rs.26,000 + 20% of the amount exceeding 500,000</t>
  </si>
  <si>
    <t>Rs.86,000 + 30% of the amount exceeding 800,000</t>
  </si>
  <si>
    <t>New Income tax slab for ay 12-13</t>
  </si>
  <si>
    <t>S. No.</t>
  </si>
  <si>
    <t>Income Range</t>
  </si>
  <si>
    <t>Tax percentage</t>
  </si>
  <si>
    <t>Up to Rs 2,50,000</t>
  </si>
  <si>
    <t>No tax / exempt</t>
  </si>
  <si>
    <t>2,50,001 to 5,00,000</t>
  </si>
  <si>
    <t>5,00,001 to 8,00,000</t>
  </si>
  <si>
    <t>Above 8,00,000</t>
  </si>
  <si>
    <t>New Income Tax Slabs for ay 12-13 for Resident Senior Citizens above 80 years (FY 2011-12)</t>
  </si>
  <si>
    <t>Up to Rs 5,00,000</t>
  </si>
  <si>
    <t>Income Tax Slabs for ay 12-13 for Resident Women (below 60 years) (FY 2011-12)</t>
  </si>
  <si>
    <t>Up to Rs 1,90,000</t>
  </si>
  <si>
    <t>1,90,001 to 5,00,000</t>
  </si>
  <si>
    <t>New Income Tax Slabs for ay 12-13 Others &amp; Men (FY 2011-12)</t>
  </si>
  <si>
    <t>Up to Rs 1,80,000</t>
  </si>
  <si>
    <t>1,80,001 to 5,00,000</t>
  </si>
  <si>
    <t>New Income Tax Slabs for ay 12-13 for Resident Senior Citizens above 60 years (FY 2011-12)</t>
  </si>
  <si>
    <t xml:space="preserve">Total Income F.Y. 2017-18                       </t>
  </si>
  <si>
    <t xml:space="preserve">Total Income F.Y. 2018-19    </t>
  </si>
  <si>
    <t>Total Income F.Y. 2019-20</t>
  </si>
  <si>
    <t>Women</t>
  </si>
  <si>
    <t>Men</t>
  </si>
  <si>
    <t>Total tax for male inculding cess</t>
  </si>
  <si>
    <t>Total tax for women including cess</t>
  </si>
  <si>
    <t>rebate</t>
  </si>
  <si>
    <t>cess</t>
  </si>
  <si>
    <t>total</t>
  </si>
  <si>
    <t>FY 2010-11</t>
  </si>
  <si>
    <t>FY 2011-12</t>
  </si>
  <si>
    <t>FY 2012-13</t>
  </si>
  <si>
    <t>FY 2013-14</t>
  </si>
  <si>
    <t>FY 2014-15</t>
  </si>
  <si>
    <t>FY 2015-16</t>
  </si>
  <si>
    <t>FY 2016-17</t>
  </si>
  <si>
    <t>FY 2017-18</t>
  </si>
  <si>
    <t>FY 2018-19</t>
  </si>
  <si>
    <t>FY 2019-20</t>
  </si>
  <si>
    <t>Table A</t>
  </si>
  <si>
    <t>ANNEXURE-I</t>
  </si>
  <si>
    <t>[See item 2 of Form No.10E]</t>
  </si>
  <si>
    <t>Arrears or advance salary</t>
  </si>
  <si>
    <t>Total income (excluding salary received in arrears or advance)</t>
  </si>
  <si>
    <t>Salary received in arrears or advance</t>
  </si>
  <si>
    <t>Total income (as increased by salary received in arrears or advance)  [Add item 1 and item 2]</t>
  </si>
  <si>
    <t>Tax on salary received in arrears or advance [Difference of item 4 and item 5]</t>
  </si>
  <si>
    <t>Tax computed in accordance with Table "A" [Brought from column 7 of Table A]</t>
  </si>
  <si>
    <t>Relief under Section 89(1) [Indicate difference between the amounts mentioned against item 6 and item 7]</t>
  </si>
  <si>
    <t>Sl No:</t>
  </si>
  <si>
    <t>Particulars</t>
  </si>
  <si>
    <t>Total Income for FY 2019-20</t>
  </si>
  <si>
    <r>
      <t>Amount (</t>
    </r>
    <r>
      <rPr>
        <b/>
        <sz val="11"/>
        <color theme="1"/>
        <rFont val="Calibri"/>
        <family val="2"/>
      </rPr>
      <t>₹)</t>
    </r>
  </si>
  <si>
    <t>Tax on total income [as per item 1] [Less Tax Rebate Rs 12500]</t>
  </si>
  <si>
    <t>Tax on total income [as per item 3] [Less Tax Rebate Rs.12500]</t>
  </si>
  <si>
    <t>computation for current year</t>
  </si>
  <si>
    <t>Arrears Relief</t>
  </si>
  <si>
    <r>
      <t xml:space="preserve">7. Residential Status </t>
    </r>
    <r>
      <rPr>
        <b/>
        <sz val="11"/>
        <color indexed="8"/>
        <rFont val="Calibri"/>
        <family val="2"/>
      </rPr>
      <t>(Assumed to be Resident)</t>
    </r>
  </si>
  <si>
    <t>Annex - I</t>
  </si>
  <si>
    <t>Salary  received  in  arrears  or  in advance in  accordance  with the provisions of sub rule (2) of rule 21A</t>
  </si>
  <si>
    <t>Payment  in  the  nature  of gratuity in respect of past services, exteding over a period of not less than 5 years in advance in accordance with the provisions of sub rule (3) of rule 21A</t>
  </si>
  <si>
    <t>Payment   in   the   nature  of  compensation  from   the  employer  or  former employer   at   or  in   connection   with   termination   of  employment   after continuous service of not less than 3 years or where the unexpired portion of term  of  employment  is  also  not  less  than 3  years  in accordance with the provisions of sub rule (4) of rule 21A</t>
  </si>
  <si>
    <t>Payment  in  commutation  of  pension  in  accordance  with the provisions of sub rule (5) of rule 21A</t>
  </si>
  <si>
    <t>Detailed particulars of payments referred to above may be given in Annexure I, II, III or IV, as the case may be.</t>
  </si>
  <si>
    <t>Fill only in white cells</t>
  </si>
  <si>
    <t>Note:</t>
  </si>
  <si>
    <t>Particulars of Income referred to in rule 21A of the Income Tax Rules, 1962 during the previous year relevant to the Assessment Year :2020-21</t>
  </si>
  <si>
    <t>Sreekanth S.M</t>
  </si>
  <si>
    <t>Today's Date/ Verifying Date</t>
  </si>
  <si>
    <t>Commissioner</t>
  </si>
  <si>
    <t>East Fort</t>
  </si>
  <si>
    <r>
      <rPr>
        <b/>
        <sz val="12"/>
        <color rgb="FFFF0000"/>
        <rFont val="Calibri"/>
        <family val="2"/>
        <scheme val="minor"/>
      </rPr>
      <t>IMP Note</t>
    </r>
    <r>
      <rPr>
        <b/>
        <sz val="12"/>
        <color rgb="FF002060"/>
        <rFont val="Calibri"/>
        <family val="2"/>
        <scheme val="minor"/>
      </rPr>
      <t>: Do no edit anything in form 10E and Annex - I</t>
    </r>
  </si>
  <si>
    <t>Download income tax/advance tax android app at:
https://play.google.com/store/apps/details?id=com.panchamam.taxcalculator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</si>
</sst>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4009]dd\ mmmm\ yyyy"/>
    <numFmt numFmtId="165" formatCode="[$-14009]dddd\,\ d\ mmmm\,\ 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u/>
      <sz val="11"/>
      <color rgb="FF000000"/>
      <name val="Inherit"/>
    </font>
    <font>
      <i/>
      <sz val="11"/>
      <color rgb="FF000000"/>
      <name val="Inherit"/>
    </font>
    <font>
      <b/>
      <sz val="11"/>
      <color rgb="FF000000"/>
      <name val="Inherit"/>
    </font>
    <font>
      <i/>
      <sz val="11"/>
      <color rgb="FF000000"/>
      <name val="Arial"/>
      <family val="2"/>
    </font>
    <font>
      <b/>
      <sz val="10"/>
      <color rgb="FF333333"/>
      <name val="Lucida Sans"/>
      <family val="2"/>
    </font>
    <font>
      <sz val="10"/>
      <color rgb="FF333333"/>
      <name val="Lucida Sans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49">
    <xf numFmtId="0" fontId="0" fillId="0" borderId="0" xfId="0"/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/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0" fillId="2" borderId="3" xfId="0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1" fillId="4" borderId="17" xfId="0" applyFont="1" applyFill="1" applyBorder="1" applyAlignment="1">
      <alignment horizontal="justify" vertical="center" wrapText="1"/>
    </xf>
    <xf numFmtId="0" fontId="11" fillId="4" borderId="18" xfId="0" applyFont="1" applyFill="1" applyBorder="1" applyAlignment="1">
      <alignment horizontal="justify" vertical="center" wrapText="1"/>
    </xf>
    <xf numFmtId="0" fontId="8" fillId="4" borderId="19" xfId="0" applyFont="1" applyFill="1" applyBorder="1" applyAlignment="1">
      <alignment horizontal="justify" vertical="center" wrapText="1"/>
    </xf>
    <xf numFmtId="0" fontId="8" fillId="4" borderId="20" xfId="0" applyFont="1" applyFill="1" applyBorder="1" applyAlignment="1">
      <alignment horizontal="justify" vertical="center" wrapText="1"/>
    </xf>
    <xf numFmtId="0" fontId="8" fillId="4" borderId="21" xfId="0" applyFont="1" applyFill="1" applyBorder="1" applyAlignment="1">
      <alignment horizontal="justify" vertical="center" wrapText="1"/>
    </xf>
    <xf numFmtId="0" fontId="8" fillId="4" borderId="22" xfId="0" applyFont="1" applyFill="1" applyBorder="1" applyAlignment="1">
      <alignment horizontal="justify" vertical="center" wrapText="1"/>
    </xf>
    <xf numFmtId="0" fontId="8" fillId="4" borderId="23" xfId="0" applyFont="1" applyFill="1" applyBorder="1" applyAlignment="1">
      <alignment horizontal="justify" vertical="center" wrapText="1"/>
    </xf>
    <xf numFmtId="0" fontId="8" fillId="4" borderId="24" xfId="0" applyFont="1" applyFill="1" applyBorder="1" applyAlignment="1">
      <alignment horizontal="justify" vertical="center" wrapText="1"/>
    </xf>
    <xf numFmtId="0" fontId="12" fillId="0" borderId="0" xfId="0" applyFont="1"/>
    <xf numFmtId="0" fontId="13" fillId="0" borderId="0" xfId="0" applyFont="1"/>
    <xf numFmtId="0" fontId="14" fillId="4" borderId="25" xfId="0" applyFont="1" applyFill="1" applyBorder="1" applyAlignment="1">
      <alignment vertical="top" wrapText="1"/>
    </xf>
    <xf numFmtId="9" fontId="14" fillId="4" borderId="25" xfId="0" applyNumberFormat="1" applyFont="1" applyFill="1" applyBorder="1" applyAlignment="1">
      <alignment vertical="top" wrapText="1"/>
    </xf>
    <xf numFmtId="9" fontId="0" fillId="0" borderId="0" xfId="0" applyNumberFormat="1"/>
    <xf numFmtId="0" fontId="0" fillId="0" borderId="4" xfId="0" applyBorder="1"/>
    <xf numFmtId="0" fontId="4" fillId="0" borderId="29" xfId="0" applyFont="1" applyFill="1" applyBorder="1" applyAlignment="1" applyProtection="1">
      <alignment horizontal="center" vertical="center" wrapText="1"/>
      <protection hidden="1"/>
    </xf>
    <xf numFmtId="0" fontId="4" fillId="0" borderId="3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/>
    <xf numFmtId="0" fontId="15" fillId="0" borderId="3" xfId="0" applyFont="1" applyBorder="1"/>
    <xf numFmtId="0" fontId="2" fillId="0" borderId="3" xfId="0" applyFont="1" applyBorder="1"/>
    <xf numFmtId="0" fontId="0" fillId="0" borderId="3" xfId="0" applyFont="1" applyBorder="1"/>
    <xf numFmtId="0" fontId="0" fillId="0" borderId="3" xfId="0" applyBorder="1" applyAlignment="1">
      <alignment horizontal="center" vertical="center"/>
    </xf>
    <xf numFmtId="43" fontId="2" fillId="0" borderId="3" xfId="0" applyNumberFormat="1" applyFont="1" applyBorder="1"/>
    <xf numFmtId="0" fontId="0" fillId="5" borderId="3" xfId="0" applyFill="1" applyBorder="1"/>
    <xf numFmtId="0" fontId="2" fillId="5" borderId="3" xfId="0" applyFont="1" applyFill="1" applyBorder="1"/>
    <xf numFmtId="0" fontId="0" fillId="0" borderId="3" xfId="0" applyFill="1" applyBorder="1"/>
    <xf numFmtId="43" fontId="2" fillId="5" borderId="3" xfId="1" applyFont="1" applyFill="1" applyBorder="1"/>
    <xf numFmtId="43" fontId="2" fillId="5" borderId="3" xfId="0" applyNumberFormat="1" applyFont="1" applyFill="1" applyBorder="1"/>
    <xf numFmtId="0" fontId="0" fillId="5" borderId="0" xfId="0" applyFill="1"/>
    <xf numFmtId="43" fontId="0" fillId="5" borderId="0" xfId="0" applyNumberFormat="1" applyFill="1"/>
    <xf numFmtId="0" fontId="0" fillId="0" borderId="0" xfId="0" applyProtection="1"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0" xfId="0" applyBorder="1" applyProtection="1">
      <protection locked="0"/>
    </xf>
    <xf numFmtId="0" fontId="0" fillId="0" borderId="9" xfId="0" applyBorder="1" applyProtection="1">
      <protection locked="0"/>
    </xf>
    <xf numFmtId="165" fontId="0" fillId="0" borderId="0" xfId="0" applyNumberFormat="1" applyProtection="1"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8" xfId="0" applyFont="1" applyBorder="1" applyProtection="1"/>
    <xf numFmtId="0" fontId="2" fillId="0" borderId="13" xfId="0" applyFont="1" applyBorder="1" applyProtection="1"/>
    <xf numFmtId="14" fontId="2" fillId="3" borderId="3" xfId="0" applyNumberFormat="1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  <xf numFmtId="164" fontId="2" fillId="3" borderId="10" xfId="0" applyNumberFormat="1" applyFont="1" applyFill="1" applyBorder="1" applyAlignment="1" applyProtection="1">
      <alignment horizontal="center"/>
    </xf>
    <xf numFmtId="0" fontId="21" fillId="0" borderId="0" xfId="0" applyFont="1" applyProtection="1"/>
    <xf numFmtId="0" fontId="0" fillId="0" borderId="0" xfId="0" applyProtection="1"/>
    <xf numFmtId="43" fontId="0" fillId="0" borderId="3" xfId="1" applyFont="1" applyFill="1" applyBorder="1" applyAlignment="1" applyProtection="1">
      <alignment horizontal="center"/>
      <protection locked="0"/>
    </xf>
    <xf numFmtId="43" fontId="1" fillId="0" borderId="3" xfId="1" applyBorder="1" applyProtection="1">
      <protection locked="0"/>
    </xf>
    <xf numFmtId="43" fontId="2" fillId="0" borderId="3" xfId="1" applyFont="1" applyBorder="1" applyAlignment="1" applyProtection="1">
      <alignment horizontal="center" vertical="center"/>
      <protection locked="0"/>
    </xf>
    <xf numFmtId="43" fontId="2" fillId="0" borderId="3" xfId="0" applyNumberFormat="1" applyFont="1" applyBorder="1" applyProtection="1">
      <protection locked="0"/>
    </xf>
    <xf numFmtId="0" fontId="2" fillId="0" borderId="0" xfId="0" applyFont="1" applyProtection="1"/>
    <xf numFmtId="0" fontId="0" fillId="2" borderId="3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43" fontId="2" fillId="2" borderId="3" xfId="1" applyFont="1" applyFill="1" applyBorder="1" applyProtection="1"/>
    <xf numFmtId="43" fontId="0" fillId="3" borderId="3" xfId="1" applyFont="1" applyFill="1" applyBorder="1" applyAlignment="1" applyProtection="1">
      <alignment horizontal="center"/>
    </xf>
    <xf numFmtId="43" fontId="1" fillId="3" borderId="3" xfId="1" applyFill="1" applyBorder="1" applyProtection="1"/>
    <xf numFmtId="0" fontId="0" fillId="0" borderId="0" xfId="0" applyFill="1" applyBorder="1" applyAlignment="1" applyProtection="1">
      <alignment horizontal="center"/>
    </xf>
    <xf numFmtId="0" fontId="15" fillId="3" borderId="2" xfId="0" applyFont="1" applyFill="1" applyBorder="1" applyAlignment="1" applyProtection="1">
      <alignment horizontal="right"/>
    </xf>
    <xf numFmtId="0" fontId="15" fillId="3" borderId="15" xfId="0" applyFont="1" applyFill="1" applyBorder="1" applyProtection="1"/>
    <xf numFmtId="0" fontId="0" fillId="0" borderId="3" xfId="0" applyFill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2" fillId="0" borderId="33" xfId="0" applyFont="1" applyBorder="1" applyProtection="1"/>
    <xf numFmtId="0" fontId="2" fillId="0" borderId="35" xfId="0" applyFont="1" applyBorder="1" applyProtection="1"/>
    <xf numFmtId="0" fontId="0" fillId="0" borderId="31" xfId="0" applyBorder="1" applyAlignment="1" applyProtection="1">
      <alignment horizontal="center" vertical="center"/>
    </xf>
    <xf numFmtId="43" fontId="0" fillId="0" borderId="32" xfId="1" applyFont="1" applyBorder="1" applyProtection="1"/>
    <xf numFmtId="0" fontId="0" fillId="0" borderId="13" xfId="0" applyBorder="1" applyAlignment="1" applyProtection="1">
      <alignment horizontal="center" vertical="center"/>
    </xf>
    <xf numFmtId="43" fontId="0" fillId="0" borderId="10" xfId="1" applyFont="1" applyBorder="1" applyProtection="1"/>
    <xf numFmtId="0" fontId="0" fillId="0" borderId="14" xfId="0" applyBorder="1" applyAlignment="1" applyProtection="1">
      <alignment horizontal="center" vertical="center"/>
    </xf>
    <xf numFmtId="43" fontId="15" fillId="0" borderId="12" xfId="1" applyFont="1" applyBorder="1" applyProtection="1"/>
    <xf numFmtId="0" fontId="0" fillId="0" borderId="9" xfId="0" applyBorder="1" applyProtection="1"/>
    <xf numFmtId="0" fontId="0" fillId="0" borderId="0" xfId="0" applyBorder="1" applyProtection="1"/>
    <xf numFmtId="0" fontId="0" fillId="0" borderId="8" xfId="0" applyBorder="1" applyProtection="1"/>
    <xf numFmtId="0" fontId="2" fillId="0" borderId="10" xfId="0" applyFont="1" applyBorder="1" applyAlignment="1" applyProtection="1">
      <alignment horizontal="center"/>
    </xf>
    <xf numFmtId="0" fontId="0" fillId="0" borderId="13" xfId="0" applyBorder="1" applyAlignment="1" applyProtection="1">
      <alignment vertical="top"/>
    </xf>
    <xf numFmtId="0" fontId="0" fillId="0" borderId="3" xfId="0" applyBorder="1" applyAlignment="1" applyProtection="1">
      <alignment vertical="top"/>
    </xf>
    <xf numFmtId="43" fontId="0" fillId="0" borderId="10" xfId="0" applyNumberForma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7" xfId="0" applyBorder="1" applyAlignment="1" applyProtection="1"/>
    <xf numFmtId="0" fontId="0" fillId="0" borderId="38" xfId="0" quotePrefix="1" applyBorder="1" applyAlignment="1" applyProtection="1">
      <alignment horizontal="right" indent="1"/>
    </xf>
    <xf numFmtId="0" fontId="0" fillId="0" borderId="0" xfId="0" applyFill="1" applyBorder="1" applyAlignment="1" applyProtection="1">
      <alignment horizontal="left"/>
    </xf>
    <xf numFmtId="14" fontId="0" fillId="0" borderId="0" xfId="0" applyNumberFormat="1" applyFill="1" applyBorder="1" applyAlignment="1" applyProtection="1">
      <alignment horizontal="left"/>
    </xf>
    <xf numFmtId="0" fontId="0" fillId="0" borderId="39" xfId="0" applyBorder="1" applyProtection="1"/>
    <xf numFmtId="0" fontId="0" fillId="0" borderId="36" xfId="0" applyBorder="1" applyProtection="1"/>
    <xf numFmtId="0" fontId="0" fillId="0" borderId="40" xfId="0" applyBorder="1" applyProtection="1"/>
    <xf numFmtId="0" fontId="2" fillId="0" borderId="13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18" fillId="0" borderId="3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15" fillId="3" borderId="3" xfId="0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left" vertical="top" wrapText="1"/>
    </xf>
    <xf numFmtId="0" fontId="18" fillId="0" borderId="5" xfId="0" applyFont="1" applyBorder="1" applyAlignment="1" applyProtection="1">
      <alignment horizontal="center"/>
    </xf>
    <xf numFmtId="0" fontId="18" fillId="0" borderId="6" xfId="0" applyFont="1" applyBorder="1" applyAlignment="1" applyProtection="1">
      <alignment horizontal="center"/>
    </xf>
    <xf numFmtId="0" fontId="18" fillId="0" borderId="7" xfId="0" applyFont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16" fillId="0" borderId="34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/>
    </xf>
    <xf numFmtId="0" fontId="0" fillId="0" borderId="3" xfId="0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19" fillId="0" borderId="13" xfId="0" applyFont="1" applyBorder="1" applyAlignment="1" applyProtection="1">
      <alignment horizontal="center" wrapText="1"/>
    </xf>
    <xf numFmtId="0" fontId="19" fillId="0" borderId="3" xfId="0" applyFont="1" applyBorder="1" applyAlignment="1" applyProtection="1">
      <alignment horizontal="center" wrapText="1"/>
    </xf>
    <xf numFmtId="0" fontId="19" fillId="0" borderId="10" xfId="0" applyFont="1" applyBorder="1" applyAlignment="1" applyProtection="1">
      <alignment horizontal="center" wrapText="1"/>
    </xf>
    <xf numFmtId="0" fontId="0" fillId="0" borderId="8" xfId="0" applyBorder="1" applyAlignment="1" applyProtection="1">
      <alignment horizontal="left" vertical="top" wrapText="1"/>
    </xf>
    <xf numFmtId="0" fontId="20" fillId="0" borderId="8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9" xfId="0" applyFont="1" applyBorder="1" applyAlignment="1" applyProtection="1">
      <alignment horizontal="center"/>
    </xf>
    <xf numFmtId="0" fontId="0" fillId="0" borderId="8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3" xfId="0" applyBorder="1" applyAlignment="1" applyProtection="1">
      <alignment vertical="top" wrapText="1"/>
    </xf>
    <xf numFmtId="0" fontId="0" fillId="0" borderId="8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8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13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13" fillId="4" borderId="26" xfId="0" applyFont="1" applyFill="1" applyBorder="1" applyAlignment="1">
      <alignment vertical="top" wrapText="1"/>
    </xf>
    <xf numFmtId="0" fontId="13" fillId="4" borderId="27" xfId="0" applyFont="1" applyFill="1" applyBorder="1" applyAlignment="1">
      <alignment vertical="top" wrapText="1"/>
    </xf>
    <xf numFmtId="0" fontId="13" fillId="4" borderId="28" xfId="0" applyFont="1" applyFill="1" applyBorder="1" applyAlignment="1">
      <alignment vertical="top" wrapText="1"/>
    </xf>
    <xf numFmtId="0" fontId="23" fillId="0" borderId="3" xfId="2" applyBorder="1" applyAlignment="1" applyProtection="1">
      <alignment horizontal="center" vertical="top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lay.google.com/store/apps/details?id=com.panchamam.taxcalculato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EAA4C-5F92-46E7-8AFD-58A8C8A87C69}">
  <sheetPr>
    <tabColor rgb="FF92D050"/>
  </sheetPr>
  <dimension ref="A2:P29"/>
  <sheetViews>
    <sheetView tabSelected="1" workbookViewId="0">
      <selection activeCell="L10" sqref="L10"/>
    </sheetView>
  </sheetViews>
  <sheetFormatPr defaultRowHeight="15"/>
  <cols>
    <col min="1" max="1" width="43.28515625" style="40" bestFit="1" customWidth="1"/>
    <col min="2" max="4" width="13.85546875" style="40" customWidth="1"/>
    <col min="5" max="5" width="11" style="40" hidden="1" customWidth="1"/>
    <col min="6" max="6" width="15.85546875" style="40" hidden="1" customWidth="1"/>
    <col min="7" max="7" width="9.140625" style="40" hidden="1" customWidth="1"/>
    <col min="8" max="8" width="24.85546875" style="40" hidden="1" customWidth="1"/>
    <col min="9" max="9" width="9.140625" style="40" hidden="1" customWidth="1"/>
    <col min="10" max="10" width="9.140625" style="40" customWidth="1"/>
    <col min="11" max="11" width="5.140625" style="40" customWidth="1"/>
    <col min="12" max="14" width="20" style="40" customWidth="1"/>
    <col min="15" max="15" width="11.7109375" style="40" customWidth="1"/>
    <col min="16" max="16" width="3" style="40" customWidth="1"/>
    <col min="17" max="16384" width="9.140625" style="40"/>
  </cols>
  <sheetData>
    <row r="2" spans="1:16" ht="21.75" thickBot="1">
      <c r="A2" s="104" t="s">
        <v>77</v>
      </c>
      <c r="B2" s="104"/>
      <c r="C2" s="104"/>
      <c r="D2" s="104"/>
      <c r="G2" s="40" t="s">
        <v>55</v>
      </c>
      <c r="H2" s="40" t="s">
        <v>56</v>
      </c>
      <c r="I2" s="40" t="s">
        <v>58</v>
      </c>
    </row>
    <row r="3" spans="1:16">
      <c r="A3" s="50" t="s">
        <v>0</v>
      </c>
      <c r="B3" s="41" t="s">
        <v>57</v>
      </c>
      <c r="C3" s="42"/>
      <c r="D3" s="43"/>
      <c r="G3" s="40" t="s">
        <v>13</v>
      </c>
      <c r="H3" s="40" t="s">
        <v>14</v>
      </c>
      <c r="I3" s="40">
        <v>2011</v>
      </c>
      <c r="L3" s="148" t="s">
        <v>182</v>
      </c>
      <c r="M3" s="148"/>
      <c r="N3" s="148"/>
      <c r="O3" s="148"/>
      <c r="P3" s="148"/>
    </row>
    <row r="4" spans="1:16">
      <c r="A4" s="51" t="s">
        <v>52</v>
      </c>
      <c r="B4" s="44" t="str">
        <f>VLOOKUP(B3,G3:I13,2)</f>
        <v>2019-20</v>
      </c>
      <c r="C4" s="45"/>
      <c r="D4" s="46"/>
      <c r="E4" s="40" t="s">
        <v>54</v>
      </c>
      <c r="F4" s="40">
        <f>VLOOKUP(B4,H3:I13,2)</f>
        <v>2020</v>
      </c>
      <c r="G4" s="40" t="s">
        <v>12</v>
      </c>
      <c r="H4" s="40" t="s">
        <v>13</v>
      </c>
      <c r="I4" s="40">
        <v>2012</v>
      </c>
      <c r="L4" s="148"/>
      <c r="M4" s="148"/>
      <c r="N4" s="148"/>
      <c r="O4" s="148"/>
      <c r="P4" s="148"/>
    </row>
    <row r="5" spans="1:16" ht="21.75" customHeight="1">
      <c r="A5" s="51" t="s">
        <v>2</v>
      </c>
      <c r="B5" s="44" t="s">
        <v>177</v>
      </c>
      <c r="C5" s="45"/>
      <c r="D5" s="46"/>
      <c r="G5" s="40" t="s">
        <v>11</v>
      </c>
      <c r="H5" s="40" t="s">
        <v>12</v>
      </c>
      <c r="I5" s="40">
        <v>2013</v>
      </c>
      <c r="L5" s="148"/>
      <c r="M5" s="148"/>
      <c r="N5" s="148"/>
      <c r="O5" s="148"/>
      <c r="P5" s="148"/>
    </row>
    <row r="6" spans="1:16">
      <c r="A6" s="51" t="s">
        <v>3</v>
      </c>
      <c r="B6" s="44" t="s">
        <v>180</v>
      </c>
      <c r="C6" s="45"/>
      <c r="D6" s="46"/>
      <c r="G6" s="40" t="s">
        <v>10</v>
      </c>
      <c r="H6" s="40" t="s">
        <v>11</v>
      </c>
      <c r="I6" s="40">
        <v>2014</v>
      </c>
    </row>
    <row r="7" spans="1:16">
      <c r="A7" s="51" t="s">
        <v>59</v>
      </c>
      <c r="B7" s="44" t="s">
        <v>179</v>
      </c>
      <c r="C7" s="45"/>
      <c r="D7" s="46"/>
    </row>
    <row r="8" spans="1:16">
      <c r="A8" s="51" t="s">
        <v>4</v>
      </c>
      <c r="B8" s="44" t="s">
        <v>78</v>
      </c>
      <c r="C8" s="45"/>
      <c r="D8" s="46"/>
      <c r="G8" s="40" t="s">
        <v>9</v>
      </c>
      <c r="H8" s="40" t="s">
        <v>10</v>
      </c>
      <c r="I8" s="40">
        <v>2015</v>
      </c>
    </row>
    <row r="9" spans="1:16">
      <c r="A9" s="51" t="s">
        <v>5</v>
      </c>
      <c r="B9" s="44"/>
      <c r="C9" s="45"/>
      <c r="D9" s="46"/>
      <c r="G9" s="40" t="s">
        <v>8</v>
      </c>
      <c r="H9" s="40" t="s">
        <v>9</v>
      </c>
      <c r="I9" s="40">
        <v>2016</v>
      </c>
    </row>
    <row r="10" spans="1:16">
      <c r="A10" s="51" t="s">
        <v>51</v>
      </c>
      <c r="B10" s="44" t="s">
        <v>16</v>
      </c>
      <c r="C10" s="45"/>
      <c r="D10" s="46"/>
      <c r="G10" s="40" t="s">
        <v>7</v>
      </c>
      <c r="H10" s="40" t="s">
        <v>8</v>
      </c>
      <c r="I10" s="40">
        <v>2017</v>
      </c>
    </row>
    <row r="11" spans="1:16">
      <c r="A11" s="51" t="s">
        <v>167</v>
      </c>
      <c r="B11" s="44" t="s">
        <v>6</v>
      </c>
      <c r="C11" s="45"/>
      <c r="D11" s="46"/>
      <c r="G11" s="40" t="s">
        <v>53</v>
      </c>
      <c r="H11" s="40" t="s">
        <v>7</v>
      </c>
      <c r="I11" s="40">
        <v>2018</v>
      </c>
    </row>
    <row r="12" spans="1:16">
      <c r="A12" s="51"/>
      <c r="B12" s="45"/>
      <c r="C12" s="45"/>
      <c r="D12" s="46"/>
      <c r="G12" s="40" t="s">
        <v>1</v>
      </c>
      <c r="H12" s="40" t="s">
        <v>53</v>
      </c>
      <c r="I12" s="40">
        <v>2019</v>
      </c>
    </row>
    <row r="13" spans="1:16">
      <c r="A13" s="51"/>
      <c r="B13" s="45"/>
      <c r="C13" s="45"/>
      <c r="D13" s="46"/>
      <c r="G13" s="40" t="s">
        <v>57</v>
      </c>
      <c r="H13" s="40" t="s">
        <v>1</v>
      </c>
      <c r="I13" s="40">
        <v>2020</v>
      </c>
    </row>
    <row r="14" spans="1:16">
      <c r="A14" s="52"/>
      <c r="B14" s="45"/>
      <c r="C14" s="45"/>
      <c r="D14" s="46"/>
    </row>
    <row r="15" spans="1:16">
      <c r="A15" s="52"/>
      <c r="B15" s="45"/>
      <c r="C15" s="45"/>
      <c r="D15" s="46"/>
    </row>
    <row r="16" spans="1:16">
      <c r="A16" s="53" t="s">
        <v>60</v>
      </c>
      <c r="B16" s="101" t="s">
        <v>76</v>
      </c>
      <c r="C16" s="102"/>
      <c r="D16" s="103"/>
    </row>
    <row r="17" spans="1:9">
      <c r="A17" s="99" t="s">
        <v>178</v>
      </c>
      <c r="B17" s="54" t="s">
        <v>61</v>
      </c>
      <c r="C17" s="55" t="s">
        <v>62</v>
      </c>
      <c r="D17" s="56" t="s">
        <v>63</v>
      </c>
      <c r="H17" s="47"/>
    </row>
    <row r="18" spans="1:9" ht="29.25" customHeight="1" thickBot="1">
      <c r="A18" s="100"/>
      <c r="B18" s="48">
        <v>5</v>
      </c>
      <c r="C18" s="48">
        <v>2</v>
      </c>
      <c r="D18" s="49">
        <v>2019</v>
      </c>
      <c r="F18" s="40" t="str">
        <f>IF(B18=1,"st",IF(B18=2,"nd",IF(B18=3,"rd","th")))</f>
        <v>th</v>
      </c>
      <c r="G18" s="40" t="str">
        <f>VLOOKUP(C18,H18:I29,2,0)</f>
        <v>February</v>
      </c>
      <c r="H18" s="40">
        <v>1</v>
      </c>
      <c r="I18" s="40" t="s">
        <v>64</v>
      </c>
    </row>
    <row r="19" spans="1:9">
      <c r="H19" s="40">
        <v>2</v>
      </c>
      <c r="I19" s="40" t="s">
        <v>65</v>
      </c>
    </row>
    <row r="20" spans="1:9">
      <c r="H20" s="40">
        <v>3</v>
      </c>
      <c r="I20" s="40" t="s">
        <v>66</v>
      </c>
    </row>
    <row r="21" spans="1:9">
      <c r="H21" s="40">
        <v>4</v>
      </c>
      <c r="I21" s="40" t="s">
        <v>67</v>
      </c>
    </row>
    <row r="22" spans="1:9" ht="15.75">
      <c r="A22" s="57" t="s">
        <v>181</v>
      </c>
      <c r="B22" s="58"/>
      <c r="H22" s="40">
        <v>5</v>
      </c>
      <c r="I22" s="40" t="s">
        <v>68</v>
      </c>
    </row>
    <row r="23" spans="1:9">
      <c r="H23" s="40">
        <v>6</v>
      </c>
      <c r="I23" s="40" t="s">
        <v>69</v>
      </c>
    </row>
    <row r="24" spans="1:9">
      <c r="H24" s="40">
        <v>7</v>
      </c>
      <c r="I24" s="40" t="s">
        <v>70</v>
      </c>
    </row>
    <row r="25" spans="1:9">
      <c r="H25" s="40">
        <v>8</v>
      </c>
      <c r="I25" s="40" t="s">
        <v>71</v>
      </c>
    </row>
    <row r="26" spans="1:9">
      <c r="H26" s="40">
        <v>9</v>
      </c>
      <c r="I26" s="40" t="s">
        <v>72</v>
      </c>
    </row>
    <row r="27" spans="1:9">
      <c r="H27" s="40">
        <v>10</v>
      </c>
      <c r="I27" s="40" t="s">
        <v>73</v>
      </c>
    </row>
    <row r="28" spans="1:9">
      <c r="H28" s="40">
        <v>11</v>
      </c>
      <c r="I28" s="40" t="s">
        <v>74</v>
      </c>
    </row>
    <row r="29" spans="1:9">
      <c r="H29" s="40">
        <v>12</v>
      </c>
      <c r="I29" s="40" t="s">
        <v>75</v>
      </c>
    </row>
  </sheetData>
  <sheetProtection password="B50D" sheet="1" objects="1" scenarios="1" selectLockedCells="1"/>
  <mergeCells count="4">
    <mergeCell ref="A17:A18"/>
    <mergeCell ref="B16:D16"/>
    <mergeCell ref="A2:D2"/>
    <mergeCell ref="L3:P5"/>
  </mergeCells>
  <dataValidations count="3">
    <dataValidation type="list" allowBlank="1" showInputMessage="1" showErrorMessage="1" sqref="C10:D10" xr:uid="{867D0D4D-FE8E-4CB8-B14C-B6DEBBBEC232}">
      <formula1>"Select,Male,Female"</formula1>
    </dataValidation>
    <dataValidation type="list" allowBlank="1" showInputMessage="1" showErrorMessage="1" sqref="B3:D3" xr:uid="{EB161CCA-2726-4CA9-A56C-2F9B4C20F0CB}">
      <formula1>$G$3:$G$13</formula1>
    </dataValidation>
    <dataValidation type="list" allowBlank="1" showInputMessage="1" showErrorMessage="1" sqref="B10" xr:uid="{C3D16D9D-0E47-4923-81A3-78FEDD1D1E6B}">
      <formula1>"Male,Female"</formula1>
    </dataValidation>
  </dataValidations>
  <hyperlinks>
    <hyperlink ref="L3:P5" r:id="rId1" display="https://play.google.com/store/apps/details?id=com.panchamam.taxcalculator" xr:uid="{4F41D60F-F498-4213-8709-ACE31A9338ED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DB6E-D564-4422-B474-87FC409D43B8}">
  <sheetPr>
    <tabColor rgb="FF92D050"/>
  </sheetPr>
  <dimension ref="A2:H21"/>
  <sheetViews>
    <sheetView workbookViewId="0">
      <selection activeCell="C9" sqref="C9"/>
    </sheetView>
  </sheetViews>
  <sheetFormatPr defaultRowHeight="15"/>
  <cols>
    <col min="1" max="1" width="9.140625" style="40"/>
    <col min="2" max="2" width="18.140625" style="40" bestFit="1" customWidth="1"/>
    <col min="3" max="3" width="21.42578125" style="40" bestFit="1" customWidth="1"/>
    <col min="4" max="4" width="24" style="40" customWidth="1"/>
    <col min="5" max="5" width="23" style="40" bestFit="1" customWidth="1"/>
    <col min="6" max="7" width="20.85546875" style="40" bestFit="1" customWidth="1"/>
    <col min="8" max="8" width="22.7109375" style="40" bestFit="1" customWidth="1"/>
    <col min="9" max="16384" width="9.140625" style="40"/>
  </cols>
  <sheetData>
    <row r="2" spans="1:8">
      <c r="A2" s="63" t="s">
        <v>175</v>
      </c>
      <c r="B2" s="63" t="s">
        <v>174</v>
      </c>
      <c r="C2" s="58"/>
    </row>
    <row r="5" spans="1:8">
      <c r="B5" s="105" t="s">
        <v>149</v>
      </c>
      <c r="C5" s="105"/>
      <c r="D5" s="105"/>
      <c r="E5" s="105"/>
      <c r="F5" s="105"/>
      <c r="G5" s="105"/>
      <c r="H5" s="105"/>
    </row>
    <row r="6" spans="1:8" ht="120">
      <c r="B6" s="64" t="s">
        <v>79</v>
      </c>
      <c r="C6" s="64" t="s">
        <v>80</v>
      </c>
      <c r="D6" s="64" t="s">
        <v>81</v>
      </c>
      <c r="E6" s="64" t="s">
        <v>82</v>
      </c>
      <c r="F6" s="64" t="s">
        <v>83</v>
      </c>
      <c r="G6" s="64" t="s">
        <v>84</v>
      </c>
      <c r="H6" s="64" t="s">
        <v>85</v>
      </c>
    </row>
    <row r="7" spans="1:8">
      <c r="B7" s="65">
        <v>1</v>
      </c>
      <c r="C7" s="65">
        <v>2</v>
      </c>
      <c r="D7" s="65">
        <v>3</v>
      </c>
      <c r="E7" s="65" t="s">
        <v>86</v>
      </c>
      <c r="F7" s="65">
        <v>5</v>
      </c>
      <c r="G7" s="65">
        <v>6</v>
      </c>
      <c r="H7" s="65">
        <v>7</v>
      </c>
    </row>
    <row r="8" spans="1:8">
      <c r="B8" s="73" t="s">
        <v>53</v>
      </c>
      <c r="C8" s="59">
        <v>510000</v>
      </c>
      <c r="D8" s="59">
        <v>10000</v>
      </c>
      <c r="E8" s="68">
        <f>C8+D8</f>
        <v>520000</v>
      </c>
      <c r="F8" s="68">
        <f>'Computation sheet'!I14</f>
        <v>15080</v>
      </c>
      <c r="G8" s="68">
        <f>'Computation sheet'!I31</f>
        <v>17160</v>
      </c>
      <c r="H8" s="68">
        <f>G8-F8</f>
        <v>2080</v>
      </c>
    </row>
    <row r="9" spans="1:8">
      <c r="B9" s="74" t="s">
        <v>7</v>
      </c>
      <c r="C9" s="60">
        <v>510000</v>
      </c>
      <c r="D9" s="59">
        <v>10000</v>
      </c>
      <c r="E9" s="68">
        <f t="shared" ref="E9:E16" si="0">C9+D9</f>
        <v>520000</v>
      </c>
      <c r="F9" s="69">
        <f>'Computation sheet'!I13</f>
        <v>14935</v>
      </c>
      <c r="G9" s="69">
        <f>'Computation sheet'!I30</f>
        <v>16995</v>
      </c>
      <c r="H9" s="68">
        <f t="shared" ref="H9:H16" si="1">G9-F9</f>
        <v>2060</v>
      </c>
    </row>
    <row r="10" spans="1:8">
      <c r="B10" s="74" t="s">
        <v>8</v>
      </c>
      <c r="C10" s="60">
        <v>510000</v>
      </c>
      <c r="D10" s="59">
        <v>10000</v>
      </c>
      <c r="E10" s="68">
        <f t="shared" si="0"/>
        <v>520000</v>
      </c>
      <c r="F10" s="69">
        <f>'Computation sheet'!I12</f>
        <v>27810</v>
      </c>
      <c r="G10" s="69">
        <f>'Computation sheet'!I29</f>
        <v>29870</v>
      </c>
      <c r="H10" s="68">
        <f t="shared" si="1"/>
        <v>2060</v>
      </c>
    </row>
    <row r="11" spans="1:8">
      <c r="B11" s="74" t="s">
        <v>9</v>
      </c>
      <c r="C11" s="60">
        <v>510000</v>
      </c>
      <c r="D11" s="59">
        <v>10000</v>
      </c>
      <c r="E11" s="68">
        <f t="shared" si="0"/>
        <v>520000</v>
      </c>
      <c r="F11" s="69">
        <f>'Computation sheet'!I11</f>
        <v>27810</v>
      </c>
      <c r="G11" s="69">
        <f>'Computation sheet'!I28</f>
        <v>29870</v>
      </c>
      <c r="H11" s="68">
        <f t="shared" si="1"/>
        <v>2060</v>
      </c>
    </row>
    <row r="12" spans="1:8">
      <c r="B12" s="74" t="s">
        <v>10</v>
      </c>
      <c r="C12" s="60">
        <v>510000</v>
      </c>
      <c r="D12" s="59">
        <v>10000</v>
      </c>
      <c r="E12" s="68">
        <f t="shared" si="0"/>
        <v>520000</v>
      </c>
      <c r="F12" s="69">
        <f>'Computation sheet'!I10</f>
        <v>27810</v>
      </c>
      <c r="G12" s="69">
        <f>'Computation sheet'!I27</f>
        <v>29870</v>
      </c>
      <c r="H12" s="68">
        <f t="shared" si="1"/>
        <v>2060</v>
      </c>
    </row>
    <row r="13" spans="1:8">
      <c r="B13" s="74" t="s">
        <v>11</v>
      </c>
      <c r="C13" s="60">
        <v>510000</v>
      </c>
      <c r="D13" s="59">
        <v>10000</v>
      </c>
      <c r="E13" s="68">
        <f t="shared" si="0"/>
        <v>520000</v>
      </c>
      <c r="F13" s="69">
        <f>'Computation sheet'!I9</f>
        <v>32960</v>
      </c>
      <c r="G13" s="69">
        <f>'Computation sheet'!I26</f>
        <v>35020</v>
      </c>
      <c r="H13" s="68">
        <f t="shared" si="1"/>
        <v>2060</v>
      </c>
    </row>
    <row r="14" spans="1:8">
      <c r="B14" s="74" t="s">
        <v>12</v>
      </c>
      <c r="C14" s="60">
        <v>510000</v>
      </c>
      <c r="D14" s="59">
        <v>10000</v>
      </c>
      <c r="E14" s="68">
        <f t="shared" si="0"/>
        <v>520000</v>
      </c>
      <c r="F14" s="69">
        <f>'Computation sheet'!I8</f>
        <v>32960</v>
      </c>
      <c r="G14" s="69">
        <f>'Computation sheet'!I25</f>
        <v>35020</v>
      </c>
      <c r="H14" s="68">
        <f t="shared" si="1"/>
        <v>2060</v>
      </c>
    </row>
    <row r="15" spans="1:8">
      <c r="B15" s="74" t="s">
        <v>13</v>
      </c>
      <c r="C15" s="60">
        <v>510000</v>
      </c>
      <c r="D15" s="59">
        <v>10000</v>
      </c>
      <c r="E15" s="68">
        <f t="shared" si="0"/>
        <v>520000</v>
      </c>
      <c r="F15" s="69">
        <f>IF('Basic details'!B10="Female",'Computation sheet'!N7,'Computation sheet'!I7)</f>
        <v>35020</v>
      </c>
      <c r="G15" s="69">
        <f>IF('Basic details'!B10="Female",'Computation sheet'!N24,'Computation sheet'!I24)</f>
        <v>37080</v>
      </c>
      <c r="H15" s="68">
        <f t="shared" si="1"/>
        <v>2060</v>
      </c>
    </row>
    <row r="16" spans="1:8">
      <c r="B16" s="74" t="s">
        <v>14</v>
      </c>
      <c r="C16" s="60">
        <v>510000</v>
      </c>
      <c r="D16" s="59">
        <v>10000</v>
      </c>
      <c r="E16" s="68">
        <f t="shared" si="0"/>
        <v>520000</v>
      </c>
      <c r="F16" s="69">
        <f>IF('Basic details'!B10="Female",'Computation sheet'!N6,'Computation sheet'!I6)</f>
        <v>37080</v>
      </c>
      <c r="G16" s="69">
        <f>IF('Basic details'!B10="Female",'Computation sheet'!N23,'Computation sheet'!I23)</f>
        <v>39140</v>
      </c>
      <c r="H16" s="68">
        <f t="shared" si="1"/>
        <v>2060</v>
      </c>
    </row>
    <row r="17" spans="2:8">
      <c r="B17" s="66" t="s">
        <v>15</v>
      </c>
      <c r="C17" s="67">
        <f>SUM(C8:C16)</f>
        <v>4590000</v>
      </c>
      <c r="D17" s="67">
        <f t="shared" ref="D17:H17" si="2">SUM(D8:D16)</f>
        <v>90000</v>
      </c>
      <c r="E17" s="67">
        <f t="shared" si="2"/>
        <v>4680000</v>
      </c>
      <c r="F17" s="67">
        <f t="shared" si="2"/>
        <v>251465</v>
      </c>
      <c r="G17" s="67">
        <f t="shared" si="2"/>
        <v>270025</v>
      </c>
      <c r="H17" s="67">
        <f t="shared" si="2"/>
        <v>18560</v>
      </c>
    </row>
    <row r="19" spans="2:8" ht="30" customHeight="1">
      <c r="B19" s="106" t="s">
        <v>161</v>
      </c>
      <c r="C19" s="106"/>
      <c r="D19" s="61">
        <v>675000</v>
      </c>
    </row>
    <row r="20" spans="2:8">
      <c r="B20" s="70"/>
      <c r="C20" s="58"/>
    </row>
    <row r="21" spans="2:8" ht="15.75">
      <c r="B21" s="71" t="s">
        <v>166</v>
      </c>
      <c r="C21" s="72" t="str">
        <f>IF('Annexure - I'!I14&lt;=0,"Not Entitled","Entitled")</f>
        <v>Entitled</v>
      </c>
      <c r="D21" s="62">
        <f>'Annexure - I'!I14</f>
        <v>160</v>
      </c>
    </row>
  </sheetData>
  <sheetProtection password="B50D" sheet="1" objects="1" scenarios="1" selectLockedCells="1"/>
  <mergeCells count="2">
    <mergeCell ref="B5:H5"/>
    <mergeCell ref="B19:C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BF2C4-335B-4702-AD82-38C37543BF9B}">
  <sheetPr>
    <tabColor rgb="FF92D050"/>
  </sheetPr>
  <dimension ref="C2:I14"/>
  <sheetViews>
    <sheetView workbookViewId="0">
      <selection activeCell="K8" sqref="K8"/>
    </sheetView>
  </sheetViews>
  <sheetFormatPr defaultRowHeight="15"/>
  <cols>
    <col min="1" max="2" width="9.140625" style="40"/>
    <col min="3" max="7" width="11.7109375" style="40" customWidth="1"/>
    <col min="8" max="8" width="13.28515625" style="40" customWidth="1"/>
    <col min="9" max="9" width="15.85546875" style="40" customWidth="1"/>
    <col min="10" max="16384" width="9.140625" style="40"/>
  </cols>
  <sheetData>
    <row r="2" spans="3:9" ht="15.75" thickBot="1"/>
    <row r="3" spans="3:9" ht="21">
      <c r="C3" s="108" t="s">
        <v>150</v>
      </c>
      <c r="D3" s="109"/>
      <c r="E3" s="109"/>
      <c r="F3" s="109"/>
      <c r="G3" s="109"/>
      <c r="H3" s="109"/>
      <c r="I3" s="110"/>
    </row>
    <row r="4" spans="3:9">
      <c r="C4" s="111" t="s">
        <v>151</v>
      </c>
      <c r="D4" s="112"/>
      <c r="E4" s="112"/>
      <c r="F4" s="112"/>
      <c r="G4" s="112"/>
      <c r="H4" s="112"/>
      <c r="I4" s="113"/>
    </row>
    <row r="5" spans="3:9" ht="15.75" thickBot="1">
      <c r="C5" s="114" t="s">
        <v>152</v>
      </c>
      <c r="D5" s="115"/>
      <c r="E5" s="115"/>
      <c r="F5" s="115"/>
      <c r="G5" s="115"/>
      <c r="H5" s="115"/>
      <c r="I5" s="116"/>
    </row>
    <row r="6" spans="3:9" ht="19.5" thickBot="1">
      <c r="C6" s="75" t="s">
        <v>159</v>
      </c>
      <c r="D6" s="117" t="s">
        <v>160</v>
      </c>
      <c r="E6" s="117"/>
      <c r="F6" s="117"/>
      <c r="G6" s="117"/>
      <c r="H6" s="117"/>
      <c r="I6" s="76" t="s">
        <v>162</v>
      </c>
    </row>
    <row r="7" spans="3:9" ht="30" customHeight="1">
      <c r="C7" s="77">
        <v>1</v>
      </c>
      <c r="D7" s="118" t="s">
        <v>153</v>
      </c>
      <c r="E7" s="118"/>
      <c r="F7" s="118"/>
      <c r="G7" s="118"/>
      <c r="H7" s="118"/>
      <c r="I7" s="78">
        <f>'Table A'!D19-'Table A'!D17</f>
        <v>585000</v>
      </c>
    </row>
    <row r="8" spans="3:9" ht="30" customHeight="1">
      <c r="C8" s="79">
        <v>2</v>
      </c>
      <c r="D8" s="119" t="s">
        <v>154</v>
      </c>
      <c r="E8" s="119"/>
      <c r="F8" s="119"/>
      <c r="G8" s="119"/>
      <c r="H8" s="119"/>
      <c r="I8" s="80">
        <f>'Table A'!D17</f>
        <v>90000</v>
      </c>
    </row>
    <row r="9" spans="3:9" ht="30" customHeight="1">
      <c r="C9" s="79">
        <v>3</v>
      </c>
      <c r="D9" s="120" t="s">
        <v>155</v>
      </c>
      <c r="E9" s="120"/>
      <c r="F9" s="120"/>
      <c r="G9" s="120"/>
      <c r="H9" s="120"/>
      <c r="I9" s="80">
        <f>I7+I8</f>
        <v>675000</v>
      </c>
    </row>
    <row r="10" spans="3:9" ht="30" customHeight="1">
      <c r="C10" s="79">
        <v>4</v>
      </c>
      <c r="D10" s="120" t="s">
        <v>164</v>
      </c>
      <c r="E10" s="120"/>
      <c r="F10" s="120"/>
      <c r="G10" s="120"/>
      <c r="H10" s="120"/>
      <c r="I10" s="80">
        <f>'Computation sheet'!I15</f>
        <v>49400</v>
      </c>
    </row>
    <row r="11" spans="3:9" ht="30" customHeight="1">
      <c r="C11" s="79">
        <v>5</v>
      </c>
      <c r="D11" s="120" t="s">
        <v>163</v>
      </c>
      <c r="E11" s="120"/>
      <c r="F11" s="120"/>
      <c r="G11" s="120"/>
      <c r="H11" s="120"/>
      <c r="I11" s="80">
        <f>'Computation sheet'!I16</f>
        <v>30680</v>
      </c>
    </row>
    <row r="12" spans="3:9" ht="30" customHeight="1">
      <c r="C12" s="79">
        <v>6</v>
      </c>
      <c r="D12" s="120" t="s">
        <v>156</v>
      </c>
      <c r="E12" s="120"/>
      <c r="F12" s="120"/>
      <c r="G12" s="120"/>
      <c r="H12" s="120"/>
      <c r="I12" s="80">
        <f>I10-I11</f>
        <v>18720</v>
      </c>
    </row>
    <row r="13" spans="3:9" ht="30" customHeight="1">
      <c r="C13" s="79">
        <v>7</v>
      </c>
      <c r="D13" s="120" t="s">
        <v>157</v>
      </c>
      <c r="E13" s="120"/>
      <c r="F13" s="120"/>
      <c r="G13" s="120"/>
      <c r="H13" s="120"/>
      <c r="I13" s="80">
        <f>'Table A'!H17</f>
        <v>18560</v>
      </c>
    </row>
    <row r="14" spans="3:9" ht="30" customHeight="1" thickBot="1">
      <c r="C14" s="81">
        <v>8</v>
      </c>
      <c r="D14" s="107" t="s">
        <v>158</v>
      </c>
      <c r="E14" s="107"/>
      <c r="F14" s="107"/>
      <c r="G14" s="107"/>
      <c r="H14" s="107"/>
      <c r="I14" s="82">
        <f>IF((I12-I13)&lt;=0,0,(I12-I13))</f>
        <v>160</v>
      </c>
    </row>
  </sheetData>
  <sheetProtection password="B50D" sheet="1" objects="1" scenarios="1" selectLockedCells="1"/>
  <mergeCells count="12">
    <mergeCell ref="D14:H14"/>
    <mergeCell ref="C3:I3"/>
    <mergeCell ref="C4:I4"/>
    <mergeCell ref="C5:I5"/>
    <mergeCell ref="D6:H6"/>
    <mergeCell ref="D7:H7"/>
    <mergeCell ref="D8:H8"/>
    <mergeCell ref="D9:H9"/>
    <mergeCell ref="D10:H10"/>
    <mergeCell ref="D11:H11"/>
    <mergeCell ref="D12:H12"/>
    <mergeCell ref="D13:H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92852-305E-4690-A27D-6551C20D61F0}">
  <sheetPr>
    <tabColor rgb="FF92D050"/>
  </sheetPr>
  <dimension ref="A2:H33"/>
  <sheetViews>
    <sheetView zoomScaleNormal="100" workbookViewId="0">
      <selection activeCell="A3" sqref="A3:H33"/>
    </sheetView>
  </sheetViews>
  <sheetFormatPr defaultRowHeight="15"/>
  <cols>
    <col min="1" max="1" width="6.5703125" style="58" customWidth="1"/>
    <col min="2" max="2" width="4.28515625" style="58" customWidth="1"/>
    <col min="3" max="3" width="15.85546875" style="58" customWidth="1"/>
    <col min="4" max="7" width="14" style="58" customWidth="1"/>
    <col min="8" max="8" width="17.85546875" style="58" customWidth="1"/>
    <col min="9" max="16384" width="9.140625" style="58"/>
  </cols>
  <sheetData>
    <row r="2" spans="1:8" ht="15.75" thickBot="1"/>
    <row r="3" spans="1:8">
      <c r="A3" s="121" t="s">
        <v>36</v>
      </c>
      <c r="B3" s="122"/>
      <c r="C3" s="122"/>
      <c r="D3" s="122"/>
      <c r="E3" s="122"/>
      <c r="F3" s="122"/>
      <c r="G3" s="122"/>
      <c r="H3" s="123"/>
    </row>
    <row r="4" spans="1:8">
      <c r="A4" s="111" t="s">
        <v>37</v>
      </c>
      <c r="B4" s="112"/>
      <c r="C4" s="112"/>
      <c r="D4" s="112"/>
      <c r="E4" s="112"/>
      <c r="F4" s="112"/>
      <c r="G4" s="112"/>
      <c r="H4" s="113"/>
    </row>
    <row r="5" spans="1:8" ht="25.5" customHeight="1">
      <c r="A5" s="124" t="str">
        <f>"Form  for  furnishing  particulars  of  income  under  section  192(2A)  for  the year ending "&amp;'Basic details'!E4&amp;" "&amp;'Basic details'!F4&amp;" claiming relief under section 89(1) by a Government servant or an employee in a [company,co-operative society, local authority ,university, institution, association or body]"</f>
        <v>Form  for  furnishing  particulars  of  income  under  section  192(2A)  for  the year ending 31st March, 2020 claiming relief under section 89(1) by a Government servant or an employee in a [company,co-operative society, local authority ,university, institution, association or body]</v>
      </c>
      <c r="B5" s="125"/>
      <c r="C5" s="125"/>
      <c r="D5" s="125"/>
      <c r="E5" s="125"/>
      <c r="F5" s="125"/>
      <c r="G5" s="125"/>
      <c r="H5" s="126"/>
    </row>
    <row r="6" spans="1:8" ht="21.75" customHeight="1">
      <c r="A6" s="124"/>
      <c r="B6" s="125"/>
      <c r="C6" s="125"/>
      <c r="D6" s="125"/>
      <c r="E6" s="125"/>
      <c r="F6" s="125"/>
      <c r="G6" s="125"/>
      <c r="H6" s="126"/>
    </row>
    <row r="7" spans="1:8">
      <c r="A7" s="136"/>
      <c r="B7" s="137"/>
      <c r="C7" s="137"/>
      <c r="D7" s="137"/>
      <c r="E7" s="137"/>
      <c r="F7" s="137"/>
      <c r="G7" s="137"/>
      <c r="H7" s="83"/>
    </row>
    <row r="8" spans="1:8" ht="20.25" customHeight="1">
      <c r="A8" s="141" t="s">
        <v>38</v>
      </c>
      <c r="B8" s="142"/>
      <c r="C8" s="142"/>
      <c r="D8" s="142"/>
      <c r="E8" s="127" t="str">
        <f>""&amp;'Basic details'!B5&amp;", "&amp;'Basic details'!B6&amp;""</f>
        <v>Sreekanth S.M, East Fort</v>
      </c>
      <c r="F8" s="127"/>
      <c r="G8" s="127"/>
      <c r="H8" s="128"/>
    </row>
    <row r="9" spans="1:8" ht="16.5" customHeight="1">
      <c r="A9" s="141"/>
      <c r="B9" s="142"/>
      <c r="C9" s="142"/>
      <c r="D9" s="142"/>
      <c r="E9" s="127"/>
      <c r="F9" s="127"/>
      <c r="G9" s="127"/>
      <c r="H9" s="128"/>
    </row>
    <row r="10" spans="1:8">
      <c r="A10" s="139" t="s">
        <v>39</v>
      </c>
      <c r="B10" s="140"/>
      <c r="C10" s="140"/>
      <c r="D10" s="140"/>
      <c r="E10" s="84" t="str">
        <f>'Basic details'!B8</f>
        <v>ABCDE1234F</v>
      </c>
      <c r="F10" s="84"/>
      <c r="G10" s="84"/>
      <c r="H10" s="83"/>
    </row>
    <row r="11" spans="1:8">
      <c r="A11" s="139" t="s">
        <v>40</v>
      </c>
      <c r="B11" s="140"/>
      <c r="C11" s="140"/>
      <c r="D11" s="140"/>
      <c r="E11" s="84" t="str">
        <f>'Basic details'!B11</f>
        <v>Resident</v>
      </c>
      <c r="F11" s="84"/>
      <c r="G11" s="84"/>
      <c r="H11" s="83"/>
    </row>
    <row r="12" spans="1:8">
      <c r="A12" s="85"/>
      <c r="B12" s="84"/>
      <c r="C12" s="84"/>
      <c r="D12" s="84"/>
      <c r="E12" s="84"/>
      <c r="F12" s="84"/>
      <c r="G12" s="84"/>
      <c r="H12" s="83"/>
    </row>
    <row r="13" spans="1:8" ht="29.25" customHeight="1">
      <c r="A13" s="129" t="s">
        <v>176</v>
      </c>
      <c r="B13" s="130"/>
      <c r="C13" s="130"/>
      <c r="D13" s="130"/>
      <c r="E13" s="130"/>
      <c r="F13" s="130"/>
      <c r="G13" s="130"/>
      <c r="H13" s="131"/>
    </row>
    <row r="14" spans="1:8">
      <c r="A14" s="143"/>
      <c r="B14" s="144"/>
      <c r="C14" s="144"/>
      <c r="D14" s="144"/>
      <c r="E14" s="144"/>
      <c r="F14" s="144"/>
      <c r="G14" s="144"/>
      <c r="H14" s="86" t="s">
        <v>41</v>
      </c>
    </row>
    <row r="15" spans="1:8" ht="40.5" customHeight="1">
      <c r="A15" s="87">
        <v>1</v>
      </c>
      <c r="B15" s="88" t="s">
        <v>42</v>
      </c>
      <c r="C15" s="120" t="s">
        <v>169</v>
      </c>
      <c r="D15" s="120"/>
      <c r="E15" s="120"/>
      <c r="F15" s="120"/>
      <c r="G15" s="120"/>
      <c r="H15" s="89">
        <f>'Table A'!D17</f>
        <v>90000</v>
      </c>
    </row>
    <row r="16" spans="1:8" ht="62.25" customHeight="1">
      <c r="A16" s="87"/>
      <c r="B16" s="88" t="s">
        <v>43</v>
      </c>
      <c r="C16" s="120" t="s">
        <v>170</v>
      </c>
      <c r="D16" s="120"/>
      <c r="E16" s="120"/>
      <c r="F16" s="120"/>
      <c r="G16" s="120"/>
      <c r="H16" s="90" t="s">
        <v>44</v>
      </c>
    </row>
    <row r="17" spans="1:8" ht="93" customHeight="1">
      <c r="A17" s="87"/>
      <c r="B17" s="88" t="s">
        <v>45</v>
      </c>
      <c r="C17" s="138" t="s">
        <v>171</v>
      </c>
      <c r="D17" s="138"/>
      <c r="E17" s="138"/>
      <c r="F17" s="138"/>
      <c r="G17" s="138"/>
      <c r="H17" s="90" t="s">
        <v>44</v>
      </c>
    </row>
    <row r="18" spans="1:8" ht="45" customHeight="1">
      <c r="A18" s="87"/>
      <c r="B18" s="88" t="s">
        <v>46</v>
      </c>
      <c r="C18" s="120" t="s">
        <v>172</v>
      </c>
      <c r="D18" s="120"/>
      <c r="E18" s="120"/>
      <c r="F18" s="120"/>
      <c r="G18" s="120"/>
      <c r="H18" s="90" t="s">
        <v>44</v>
      </c>
    </row>
    <row r="19" spans="1:8" ht="45.75" customHeight="1">
      <c r="A19" s="87">
        <v>2</v>
      </c>
      <c r="B19" s="88"/>
      <c r="C19" s="120" t="s">
        <v>173</v>
      </c>
      <c r="D19" s="120"/>
      <c r="E19" s="120"/>
      <c r="F19" s="120"/>
      <c r="G19" s="120"/>
      <c r="H19" s="91" t="s">
        <v>168</v>
      </c>
    </row>
    <row r="20" spans="1:8">
      <c r="A20" s="85"/>
      <c r="B20" s="84"/>
      <c r="C20" s="84"/>
      <c r="D20" s="84"/>
      <c r="E20" s="84"/>
      <c r="F20" s="84"/>
      <c r="G20" s="84"/>
      <c r="H20" s="83"/>
    </row>
    <row r="21" spans="1:8">
      <c r="A21" s="85"/>
      <c r="B21" s="84"/>
      <c r="C21" s="84"/>
      <c r="D21" s="84"/>
      <c r="E21" s="84"/>
      <c r="F21" s="84"/>
      <c r="G21" s="84"/>
      <c r="H21" s="83"/>
    </row>
    <row r="22" spans="1:8">
      <c r="A22" s="85"/>
      <c r="B22" s="84"/>
      <c r="C22" s="84"/>
      <c r="D22" s="84"/>
      <c r="E22" s="84"/>
      <c r="F22" s="84"/>
      <c r="G22" s="84"/>
      <c r="H22" s="83"/>
    </row>
    <row r="23" spans="1:8">
      <c r="A23" s="85"/>
      <c r="B23" s="84"/>
      <c r="C23" s="84"/>
      <c r="D23" s="84"/>
      <c r="E23" s="84"/>
      <c r="F23" s="84"/>
      <c r="G23" s="84"/>
      <c r="H23" s="83"/>
    </row>
    <row r="24" spans="1:8">
      <c r="A24" s="85"/>
      <c r="B24" s="84"/>
      <c r="C24" s="84"/>
      <c r="D24" s="84"/>
      <c r="E24" s="84"/>
      <c r="F24" s="84"/>
      <c r="G24" s="92"/>
      <c r="H24" s="93" t="s">
        <v>47</v>
      </c>
    </row>
    <row r="25" spans="1:8">
      <c r="A25" s="85"/>
      <c r="B25" s="84"/>
      <c r="C25" s="84"/>
      <c r="D25" s="84"/>
      <c r="E25" s="84"/>
      <c r="F25" s="84"/>
      <c r="G25" s="84"/>
      <c r="H25" s="83"/>
    </row>
    <row r="26" spans="1:8" ht="18.75">
      <c r="A26" s="133" t="s">
        <v>48</v>
      </c>
      <c r="B26" s="134"/>
      <c r="C26" s="134"/>
      <c r="D26" s="134"/>
      <c r="E26" s="134"/>
      <c r="F26" s="134"/>
      <c r="G26" s="134"/>
      <c r="H26" s="135"/>
    </row>
    <row r="27" spans="1:8" ht="20.25" customHeight="1">
      <c r="A27" s="132" t="str">
        <f>_xlfn.CONCAT("I, "&amp;'Basic details'!B5&amp;", do hereby declare that whai is stated above is true to the best of my knowledge and belief.")</f>
        <v>I, Sreekanth S.M, do hereby declare that whai is stated above is true to the best of my knowledge and belief.</v>
      </c>
      <c r="B27" s="127"/>
      <c r="C27" s="127"/>
      <c r="D27" s="127"/>
      <c r="E27" s="127"/>
      <c r="F27" s="127"/>
      <c r="G27" s="127"/>
      <c r="H27" s="128"/>
    </row>
    <row r="28" spans="1:8" ht="18.75" customHeight="1">
      <c r="A28" s="132"/>
      <c r="B28" s="127"/>
      <c r="C28" s="127"/>
      <c r="D28" s="127"/>
      <c r="E28" s="127"/>
      <c r="F28" s="127"/>
      <c r="G28" s="127"/>
      <c r="H28" s="128"/>
    </row>
    <row r="29" spans="1:8">
      <c r="A29" s="85" t="str">
        <f>"Verified today, the "&amp;'Basic details'!B18&amp;""&amp;'Basic details'!F18&amp;" day of "&amp;'Basic details'!G18&amp;" "&amp;'Basic details'!D18&amp;""</f>
        <v>Verified today, the 5th day of February 2019</v>
      </c>
      <c r="B29" s="84"/>
      <c r="C29" s="84"/>
      <c r="D29" s="84"/>
      <c r="E29" s="84"/>
      <c r="F29" s="84"/>
      <c r="G29" s="84"/>
      <c r="H29" s="83"/>
    </row>
    <row r="30" spans="1:8">
      <c r="A30" s="85"/>
      <c r="B30" s="84"/>
      <c r="C30" s="84"/>
      <c r="D30" s="84"/>
      <c r="E30" s="84"/>
      <c r="F30" s="84"/>
      <c r="G30" s="84"/>
      <c r="H30" s="83"/>
    </row>
    <row r="31" spans="1:8">
      <c r="A31" s="85" t="s">
        <v>49</v>
      </c>
      <c r="B31" s="84"/>
      <c r="C31" s="94" t="str">
        <f>'Basic details'!B16</f>
        <v>Trivandrum</v>
      </c>
      <c r="D31" s="84"/>
      <c r="E31" s="84"/>
      <c r="F31" s="84"/>
      <c r="G31" s="84"/>
      <c r="H31" s="83"/>
    </row>
    <row r="32" spans="1:8">
      <c r="A32" s="85" t="s">
        <v>50</v>
      </c>
      <c r="B32" s="84"/>
      <c r="C32" s="95">
        <f>DATE('Basic details'!D18,'Basic details'!C18,'Basic details'!B18)</f>
        <v>43501</v>
      </c>
      <c r="D32" s="84"/>
      <c r="E32" s="84"/>
      <c r="F32" s="84"/>
      <c r="G32" s="92"/>
      <c r="H32" s="93" t="s">
        <v>47</v>
      </c>
    </row>
    <row r="33" spans="1:8" ht="15.75" thickBot="1">
      <c r="A33" s="96"/>
      <c r="B33" s="97"/>
      <c r="C33" s="97"/>
      <c r="D33" s="97"/>
      <c r="E33" s="97"/>
      <c r="F33" s="97"/>
      <c r="G33" s="97"/>
      <c r="H33" s="98"/>
    </row>
  </sheetData>
  <sheetProtection password="B50D" sheet="1" objects="1" scenarios="1" selectLockedCells="1"/>
  <mergeCells count="17">
    <mergeCell ref="A27:H28"/>
    <mergeCell ref="A26:H26"/>
    <mergeCell ref="A7:G7"/>
    <mergeCell ref="C15:G15"/>
    <mergeCell ref="C16:G16"/>
    <mergeCell ref="C17:G17"/>
    <mergeCell ref="C18:G18"/>
    <mergeCell ref="C19:G19"/>
    <mergeCell ref="A10:D10"/>
    <mergeCell ref="A11:D11"/>
    <mergeCell ref="A8:D9"/>
    <mergeCell ref="A14:G14"/>
    <mergeCell ref="A3:H3"/>
    <mergeCell ref="A4:H4"/>
    <mergeCell ref="A5:H6"/>
    <mergeCell ref="E8:H9"/>
    <mergeCell ref="A13:H13"/>
  </mergeCells>
  <pageMargins left="0.70866141732283472" right="0.27559055118110237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96C4A-E8E4-4722-A91C-9DC6E1F8D0D2}">
  <dimension ref="A5:Y32"/>
  <sheetViews>
    <sheetView zoomScaleNormal="100" workbookViewId="0">
      <selection activeCell="V10" sqref="V10"/>
    </sheetView>
  </sheetViews>
  <sheetFormatPr defaultRowHeight="15"/>
  <cols>
    <col min="1" max="1" width="17.42578125" customWidth="1"/>
    <col min="2" max="2" width="15.7109375" customWidth="1"/>
    <col min="3" max="3" width="10.42578125" bestFit="1" customWidth="1"/>
    <col min="4" max="4" width="19.85546875" customWidth="1"/>
    <col min="20" max="20" width="16.140625" customWidth="1"/>
  </cols>
  <sheetData>
    <row r="5" spans="1:25" ht="45">
      <c r="C5" s="31" t="s">
        <v>56</v>
      </c>
      <c r="D5" s="7" t="s">
        <v>80</v>
      </c>
      <c r="E5" s="28" t="s">
        <v>16</v>
      </c>
      <c r="F5" s="27" t="s">
        <v>136</v>
      </c>
      <c r="G5" s="27" t="s">
        <v>138</v>
      </c>
      <c r="H5" s="27" t="s">
        <v>137</v>
      </c>
      <c r="I5" s="27" t="s">
        <v>15</v>
      </c>
      <c r="J5" s="28" t="s">
        <v>17</v>
      </c>
      <c r="K5" s="27" t="s">
        <v>136</v>
      </c>
      <c r="L5" s="27" t="s">
        <v>138</v>
      </c>
      <c r="M5" s="27" t="s">
        <v>137</v>
      </c>
      <c r="N5" s="27" t="s">
        <v>15</v>
      </c>
    </row>
    <row r="6" spans="1:25" ht="28.5">
      <c r="C6" s="27" t="s">
        <v>139</v>
      </c>
      <c r="D6" s="32">
        <f>'Table A'!C16</f>
        <v>510000</v>
      </c>
      <c r="E6" s="27">
        <f>IF(D6&lt;=160000,0,IF(AND(D6&gt;160000,D6&lt;=500000),(D6-160000)*0.1,IF(AND(D6&gt;500000,D6&lt;=800000),(D6-500000)*0.2+34000,IF(D6&gt;800000,(D6-800000)*0.3+94000))))</f>
        <v>36000</v>
      </c>
      <c r="F6" s="27"/>
      <c r="G6" s="35">
        <f t="shared" ref="G6:G14" si="0">IF((E6-F6)&lt;=0,0,(E6-F6))</f>
        <v>36000</v>
      </c>
      <c r="H6" s="27">
        <f>G6*0.03</f>
        <v>1080</v>
      </c>
      <c r="I6" s="29">
        <f>G6+H6</f>
        <v>37080</v>
      </c>
      <c r="J6" s="27">
        <f>IF(D6&lt;=190000,0,IF(AND(D6&gt;190000,D6&lt;=500000),(D6-190000)*0.1,IF(AND(D6&gt;500000,D6&lt;=800000),(D6-500000)*0.2+31000,IF(D6&gt;800000,(D6-800000)*0.3+91000))))</f>
        <v>33000</v>
      </c>
      <c r="K6" s="27"/>
      <c r="L6" s="27">
        <f>J6-K6</f>
        <v>33000</v>
      </c>
      <c r="M6" s="30">
        <f>L6*0.03</f>
        <v>990</v>
      </c>
      <c r="N6" s="29">
        <f>L6+M6</f>
        <v>33990</v>
      </c>
      <c r="T6" s="4" t="s">
        <v>29</v>
      </c>
      <c r="U6" s="2"/>
      <c r="V6" s="6" t="s">
        <v>22</v>
      </c>
      <c r="W6" s="6" t="s">
        <v>23</v>
      </c>
      <c r="X6" s="6" t="s">
        <v>24</v>
      </c>
      <c r="Y6" s="3" t="s">
        <v>20</v>
      </c>
    </row>
    <row r="7" spans="1:25" ht="28.5">
      <c r="C7" s="27" t="s">
        <v>140</v>
      </c>
      <c r="D7" s="32">
        <f>'Table A'!C15</f>
        <v>510000</v>
      </c>
      <c r="E7" s="27">
        <f>IF(D7&lt;=180000,0,IF(AND(D7&gt;180000,D7&lt;=500000),(D7-180000)*0.1,IF(AND(D7&gt;500000,D7&lt;=800000),(D7-500000)*0.2+32000,IF(D7&gt;800000,(D7-800000)*0.3+92000))))</f>
        <v>34000</v>
      </c>
      <c r="F7" s="27"/>
      <c r="G7" s="35">
        <f t="shared" si="0"/>
        <v>34000</v>
      </c>
      <c r="H7" s="27">
        <f t="shared" ref="H7:H13" si="1">G7*0.03</f>
        <v>1020</v>
      </c>
      <c r="I7" s="29">
        <f t="shared" ref="I7:I13" si="2">G7+H7</f>
        <v>35020</v>
      </c>
      <c r="J7" s="27">
        <f>IF(D7&lt;=190000,0,IF(AND(D7&gt;190000,D7&lt;=500000),(D7-190000)*0.1,IF(AND(D7&gt;500000,D7&lt;=800000),(D7-500000)*0.2+31000,IF(D7&gt;800000,(D7-800000)*0.3+91000))))</f>
        <v>33000</v>
      </c>
      <c r="K7" s="27"/>
      <c r="L7" s="27">
        <f t="shared" ref="L7" si="3">J7-K7</f>
        <v>33000</v>
      </c>
      <c r="M7" s="30">
        <f t="shared" ref="M7" si="4">L7*0.03</f>
        <v>990</v>
      </c>
      <c r="N7" s="29">
        <f t="shared" ref="N7" si="5">L7+M7</f>
        <v>33990</v>
      </c>
      <c r="T7" s="4" t="s">
        <v>30</v>
      </c>
      <c r="U7" s="2"/>
      <c r="V7" s="6" t="s">
        <v>21</v>
      </c>
      <c r="W7" s="6" t="s">
        <v>23</v>
      </c>
      <c r="X7" s="5" t="s">
        <v>25</v>
      </c>
      <c r="Y7" s="6" t="s">
        <v>26</v>
      </c>
    </row>
    <row r="8" spans="1:25" ht="28.5">
      <c r="C8" s="27" t="s">
        <v>141</v>
      </c>
      <c r="D8" s="32">
        <f>'Table A'!C14</f>
        <v>510000</v>
      </c>
      <c r="E8" s="27">
        <f>IF(D8&lt;=200000,0,IF(AND(D8&gt;200000,D8&lt;=500000),(D8-200000)*0.1,IF(AND(D8&gt;500000,D8&lt;=1000000),(D8-500000)*0.2+30000,IF(D8&gt;1000000,(D8-1000000)*0.3+130000))))</f>
        <v>32000</v>
      </c>
      <c r="F8" s="27"/>
      <c r="G8" s="35">
        <f t="shared" si="0"/>
        <v>32000</v>
      </c>
      <c r="H8" s="27">
        <f t="shared" si="1"/>
        <v>960</v>
      </c>
      <c r="I8" s="29">
        <f t="shared" si="2"/>
        <v>32960</v>
      </c>
      <c r="J8" s="27"/>
      <c r="K8" s="27"/>
      <c r="L8" s="27"/>
      <c r="M8" s="30"/>
      <c r="N8" s="29"/>
      <c r="T8" s="4" t="s">
        <v>31</v>
      </c>
      <c r="U8" s="2"/>
      <c r="V8" s="5" t="s">
        <v>27</v>
      </c>
      <c r="W8" s="5" t="s">
        <v>27</v>
      </c>
      <c r="X8" s="5" t="s">
        <v>25</v>
      </c>
      <c r="Y8" s="5" t="s">
        <v>26</v>
      </c>
    </row>
    <row r="9" spans="1:25" ht="28.5">
      <c r="C9" s="27" t="s">
        <v>142</v>
      </c>
      <c r="D9" s="32">
        <f>'Table A'!C13</f>
        <v>510000</v>
      </c>
      <c r="E9" s="27">
        <f>IF(D9&lt;=200000,0,IF(AND(D9&gt;200000,D9&lt;=500000),(D9-200000)*0.1,IF(AND(D9&gt;500000,D9&lt;=1000000),(D9-500000)*0.2+30000,IF(D9&gt;1000000,(D9-1000000)*0.3+130000))))</f>
        <v>32000</v>
      </c>
      <c r="F9" s="27">
        <f>IF(D9&lt;=500000,2000,0)</f>
        <v>0</v>
      </c>
      <c r="G9" s="35">
        <f t="shared" si="0"/>
        <v>32000</v>
      </c>
      <c r="H9" s="27">
        <f t="shared" si="1"/>
        <v>960</v>
      </c>
      <c r="I9" s="29">
        <f t="shared" si="2"/>
        <v>32960</v>
      </c>
      <c r="J9" s="27"/>
      <c r="K9" s="27"/>
      <c r="L9" s="27"/>
      <c r="M9" s="30"/>
      <c r="N9" s="29"/>
      <c r="T9" s="4" t="s">
        <v>32</v>
      </c>
      <c r="U9" s="2"/>
      <c r="V9" s="5" t="s">
        <v>27</v>
      </c>
      <c r="W9" s="5" t="s">
        <v>27</v>
      </c>
      <c r="X9" s="5" t="s">
        <v>25</v>
      </c>
      <c r="Y9" s="5" t="s">
        <v>26</v>
      </c>
    </row>
    <row r="10" spans="1:25" ht="28.5">
      <c r="C10" s="27" t="s">
        <v>143</v>
      </c>
      <c r="D10" s="32">
        <f>'Table A'!C12</f>
        <v>510000</v>
      </c>
      <c r="E10" s="27">
        <f>IF(D10&lt;=250000,0,IF(AND(D10&gt;250000,D10&lt;=500000),(D10-250000)*0.1,IF(AND(D10&gt;500000,D10&lt;=1000000),(D10-500000)*0.2+25000,IF(D10&gt;1000000,(D10-1000000)*0.3+125000))))</f>
        <v>27000</v>
      </c>
      <c r="F10" s="27">
        <f>IF(D10&lt;=500000,2000,0)</f>
        <v>0</v>
      </c>
      <c r="G10" s="35">
        <f t="shared" si="0"/>
        <v>27000</v>
      </c>
      <c r="H10" s="27">
        <f t="shared" si="1"/>
        <v>810</v>
      </c>
      <c r="I10" s="29">
        <f t="shared" si="2"/>
        <v>27810</v>
      </c>
      <c r="J10" s="27"/>
      <c r="K10" s="27"/>
      <c r="L10" s="27"/>
      <c r="M10" s="30"/>
      <c r="N10" s="29"/>
      <c r="T10" s="4" t="s">
        <v>33</v>
      </c>
      <c r="U10" s="2"/>
      <c r="V10" s="5" t="s">
        <v>25</v>
      </c>
      <c r="W10" s="5" t="s">
        <v>25</v>
      </c>
      <c r="X10" s="5" t="s">
        <v>28</v>
      </c>
      <c r="Y10" s="5" t="s">
        <v>26</v>
      </c>
    </row>
    <row r="11" spans="1:25" ht="28.5">
      <c r="C11" s="27" t="s">
        <v>144</v>
      </c>
      <c r="D11" s="32">
        <f>'Table A'!C11</f>
        <v>510000</v>
      </c>
      <c r="E11" s="27">
        <f>IF(D11&lt;=250000,0,IF(AND(D11&gt;250000,D11&lt;=500000),(D11-250000)*0.1,IF(AND(D11&gt;500000,D11&lt;=1000000),(D11-500000)*0.2+25000,IF(D11&gt;1000000,(D11-1000000)*0.3+125000))))</f>
        <v>27000</v>
      </c>
      <c r="F11" s="27">
        <f>IF(D11&lt;=500000,2000,0)</f>
        <v>0</v>
      </c>
      <c r="G11" s="35">
        <f t="shared" si="0"/>
        <v>27000</v>
      </c>
      <c r="H11" s="27">
        <f t="shared" si="1"/>
        <v>810</v>
      </c>
      <c r="I11" s="29">
        <f t="shared" si="2"/>
        <v>27810</v>
      </c>
      <c r="J11" s="27"/>
      <c r="K11" s="27"/>
      <c r="L11" s="27"/>
      <c r="M11" s="30"/>
      <c r="N11" s="29"/>
      <c r="T11" s="4" t="s">
        <v>34</v>
      </c>
      <c r="U11" s="2"/>
      <c r="V11" s="5" t="s">
        <v>25</v>
      </c>
      <c r="W11" s="5" t="s">
        <v>25</v>
      </c>
      <c r="X11" s="5" t="s">
        <v>28</v>
      </c>
      <c r="Y11" s="5" t="s">
        <v>26</v>
      </c>
    </row>
    <row r="12" spans="1:25" ht="28.5">
      <c r="C12" s="27" t="s">
        <v>145</v>
      </c>
      <c r="D12" s="32">
        <f>'Table A'!C10</f>
        <v>510000</v>
      </c>
      <c r="E12" s="27">
        <f>IF(D12&lt;=250000,0,IF(AND(D12&gt;250000,D12&lt;=500000),(D12-250000)*0.1,IF(AND(D12&gt;500000,D12&lt;=1000000),(D12-500000)*0.2+25000,IF(D12&gt;1000000,(D12-1000000)*0.3+125000))))</f>
        <v>27000</v>
      </c>
      <c r="F12" s="27">
        <f>IF(D12&lt;=500000,5000,0)</f>
        <v>0</v>
      </c>
      <c r="G12" s="35">
        <f t="shared" si="0"/>
        <v>27000</v>
      </c>
      <c r="H12" s="27">
        <f t="shared" si="1"/>
        <v>810</v>
      </c>
      <c r="I12" s="29">
        <f t="shared" si="2"/>
        <v>27810</v>
      </c>
      <c r="J12" s="27"/>
      <c r="K12" s="27"/>
      <c r="L12" s="27"/>
      <c r="M12" s="30"/>
      <c r="N12" s="29"/>
      <c r="T12" s="4" t="s">
        <v>35</v>
      </c>
      <c r="U12" s="2"/>
      <c r="V12" s="5" t="s">
        <v>25</v>
      </c>
      <c r="W12" s="5" t="s">
        <v>25</v>
      </c>
      <c r="X12" s="5" t="s">
        <v>28</v>
      </c>
      <c r="Y12" s="5" t="s">
        <v>26</v>
      </c>
    </row>
    <row r="13" spans="1:25" ht="28.5">
      <c r="C13" s="27" t="s">
        <v>146</v>
      </c>
      <c r="D13" s="32">
        <f>'Table A'!C9</f>
        <v>510000</v>
      </c>
      <c r="E13" s="27">
        <f>IF(D13&lt;=250000,0,IF(AND(D13&gt;250000,D13&lt;=500000),(D13-250000)*0.05,IF(AND(D13&gt;500000,D13&lt;=1000000),(D13-500000)*0.2+12500,IF(D13&gt;1000000,(D13-1000000)*0.3+112500))))</f>
        <v>14500</v>
      </c>
      <c r="F13" s="27">
        <f>IF(D13&lt;=350000,2500,0)</f>
        <v>0</v>
      </c>
      <c r="G13" s="35">
        <f t="shared" si="0"/>
        <v>14500</v>
      </c>
      <c r="H13" s="27">
        <f t="shared" si="1"/>
        <v>435</v>
      </c>
      <c r="I13" s="29">
        <f t="shared" si="2"/>
        <v>14935</v>
      </c>
      <c r="J13" s="27"/>
      <c r="K13" s="27"/>
      <c r="L13" s="27"/>
      <c r="M13" s="30"/>
      <c r="N13" s="29"/>
      <c r="T13" s="4" t="s">
        <v>129</v>
      </c>
      <c r="V13" s="5" t="s">
        <v>25</v>
      </c>
      <c r="W13" s="5" t="s">
        <v>25</v>
      </c>
      <c r="X13" s="5" t="s">
        <v>28</v>
      </c>
      <c r="Y13" s="5" t="s">
        <v>26</v>
      </c>
    </row>
    <row r="14" spans="1:25" ht="28.5">
      <c r="C14" s="27" t="s">
        <v>147</v>
      </c>
      <c r="D14" s="32">
        <f>'Table A'!C8</f>
        <v>510000</v>
      </c>
      <c r="E14" s="27">
        <f>IF(D14&lt;=250000,0,IF(AND(D14&gt;250000,D14&lt;=500000),(D14-250000)*0.05,IF(AND(D14&gt;500000,D14&lt;=1000000),(D14-500000)*0.2+12500,IF(D14&gt;1000000,(D14-1000000)*0.3+112500))))</f>
        <v>14500</v>
      </c>
      <c r="F14" s="27">
        <f>IF(D14&lt;=350000,2500,0)</f>
        <v>0</v>
      </c>
      <c r="G14" s="35">
        <f t="shared" si="0"/>
        <v>14500</v>
      </c>
      <c r="H14" s="27">
        <f>G14*0.04</f>
        <v>580</v>
      </c>
      <c r="I14" s="29">
        <f t="shared" ref="I14" si="6">G14+H14</f>
        <v>15080</v>
      </c>
      <c r="J14" s="27"/>
      <c r="K14" s="27"/>
      <c r="L14" s="27"/>
      <c r="M14" s="30"/>
      <c r="N14" s="29"/>
      <c r="T14" s="4" t="s">
        <v>130</v>
      </c>
      <c r="V14" s="5" t="s">
        <v>25</v>
      </c>
      <c r="W14" s="5" t="s">
        <v>25</v>
      </c>
      <c r="X14" s="5" t="s">
        <v>28</v>
      </c>
      <c r="Y14" s="5" t="s">
        <v>26</v>
      </c>
    </row>
    <row r="15" spans="1:25" ht="28.5">
      <c r="C15" s="33" t="s">
        <v>148</v>
      </c>
      <c r="D15" s="36">
        <f>'Table A'!D19</f>
        <v>675000</v>
      </c>
      <c r="E15" s="33">
        <f>IF(D15&lt;=250000,0,IF(AND(D15&gt;250000,D15&lt;=500000),(D15-250000)*0.05,IF(AND(D15&gt;500000,D15&lt;=1000000),(D15-500000)*0.2+12500,IF(D15&gt;1000000,(D15-1000000)*0.3+112500))))</f>
        <v>47500</v>
      </c>
      <c r="F15" s="33">
        <f>IF(D15&lt;=500000,12500,0)</f>
        <v>0</v>
      </c>
      <c r="G15" s="33">
        <f>IF((E15-F15)&lt;=0,0,(E15-F15))</f>
        <v>47500</v>
      </c>
      <c r="H15" s="33">
        <f>G15*0.04</f>
        <v>1900</v>
      </c>
      <c r="I15" s="34">
        <f t="shared" ref="I15" si="7">G15+H15</f>
        <v>49400</v>
      </c>
      <c r="J15" s="33"/>
      <c r="K15" s="33"/>
      <c r="L15" s="33"/>
      <c r="M15" s="33"/>
      <c r="N15" s="33"/>
      <c r="T15" s="4" t="s">
        <v>131</v>
      </c>
      <c r="V15" s="5" t="s">
        <v>25</v>
      </c>
      <c r="W15" s="5" t="s">
        <v>25</v>
      </c>
      <c r="X15" s="5" t="s">
        <v>28</v>
      </c>
      <c r="Y15" s="5" t="s">
        <v>26</v>
      </c>
    </row>
    <row r="16" spans="1:25">
      <c r="A16" t="s">
        <v>165</v>
      </c>
      <c r="C16" s="38" t="s">
        <v>148</v>
      </c>
      <c r="D16" s="39">
        <f>'Annexure - I'!I7</f>
        <v>585000</v>
      </c>
      <c r="E16" s="33">
        <f>IF(D16&lt;=250000,0,IF(AND(D16&gt;250000,D16&lt;=500000),(D16-250000)*0.05,IF(AND(D16&gt;500000,D16&lt;=1000000),(D16-500000)*0.2+12500,IF(D16&gt;1000000,(D16-1000000)*0.3+112500))))</f>
        <v>29500</v>
      </c>
      <c r="F16" s="33">
        <f>IF(D16&lt;=500000,12500,0)</f>
        <v>0</v>
      </c>
      <c r="G16" s="33">
        <f>IF((E16-F16)&lt;=0,0,(E16-F16))</f>
        <v>29500</v>
      </c>
      <c r="H16" s="33">
        <f>G16*0.04</f>
        <v>1180</v>
      </c>
      <c r="I16" s="34">
        <f t="shared" ref="I16" si="8">G16+H16</f>
        <v>30680</v>
      </c>
    </row>
    <row r="22" spans="3:14" ht="120">
      <c r="C22" s="31" t="s">
        <v>56</v>
      </c>
      <c r="D22" s="7" t="s">
        <v>82</v>
      </c>
      <c r="E22" s="28" t="s">
        <v>16</v>
      </c>
      <c r="F22" s="27" t="s">
        <v>136</v>
      </c>
      <c r="G22" s="27" t="s">
        <v>138</v>
      </c>
      <c r="H22" s="27" t="s">
        <v>137</v>
      </c>
      <c r="I22" s="27" t="s">
        <v>15</v>
      </c>
      <c r="J22" s="28" t="s">
        <v>17</v>
      </c>
      <c r="K22" s="27" t="s">
        <v>136</v>
      </c>
      <c r="L22" s="27" t="s">
        <v>138</v>
      </c>
      <c r="M22" s="27" t="s">
        <v>137</v>
      </c>
      <c r="N22" s="27" t="s">
        <v>15</v>
      </c>
    </row>
    <row r="23" spans="3:14">
      <c r="C23" s="27" t="s">
        <v>139</v>
      </c>
      <c r="D23" s="32">
        <f>'Table A'!E16</f>
        <v>520000</v>
      </c>
      <c r="E23" s="27">
        <f>IF(D23&lt;=160000,0,IF(AND(D23&gt;160000,D23&lt;=500000),(D23-160000)*0.1,IF(AND(D23&gt;500000,D23&lt;=800000),(D23-500000)*0.2+34000,IF(D23&gt;800000,(D23-800000)*0.3+94000))))</f>
        <v>38000</v>
      </c>
      <c r="F23" s="27"/>
      <c r="G23" s="35">
        <f t="shared" ref="G23:G31" si="9">IF((E23-F23)&lt;=0,0,(E23-F23))</f>
        <v>38000</v>
      </c>
      <c r="H23" s="27">
        <f>G23*0.03</f>
        <v>1140</v>
      </c>
      <c r="I23" s="29">
        <f>G23+H23</f>
        <v>39140</v>
      </c>
      <c r="J23" s="27">
        <f>IF(D23&lt;=190000,0,IF(AND(D23&gt;190000,D23&lt;=500000),(D23-190000)*0.1,IF(AND(D23&gt;500000,D23&lt;=800000),(D23-500000)*0.2+31000,IF(D23&gt;800000,(D23-800000)*0.3+91000))))</f>
        <v>35000</v>
      </c>
      <c r="K23" s="27"/>
      <c r="L23" s="27">
        <f>J23-K23</f>
        <v>35000</v>
      </c>
      <c r="M23" s="30">
        <f>L23*0.03</f>
        <v>1050</v>
      </c>
      <c r="N23" s="29">
        <f>L23+M23</f>
        <v>36050</v>
      </c>
    </row>
    <row r="24" spans="3:14">
      <c r="C24" s="27" t="s">
        <v>140</v>
      </c>
      <c r="D24" s="32">
        <f>'Table A'!E15</f>
        <v>520000</v>
      </c>
      <c r="E24" s="27">
        <f>IF(D24&lt;=180000,0,IF(AND(D24&gt;180000,D24&lt;=500000),(D24-180000)*0.1,IF(AND(D24&gt;500000,D24&lt;=800000),(D24-500000)*0.2+32000,IF(D24&gt;800000,(D24-800000)*0.3+92000))))</f>
        <v>36000</v>
      </c>
      <c r="F24" s="27"/>
      <c r="G24" s="35">
        <f t="shared" si="9"/>
        <v>36000</v>
      </c>
      <c r="H24" s="27">
        <f t="shared" ref="H24:H30" si="10">G24*0.03</f>
        <v>1080</v>
      </c>
      <c r="I24" s="29">
        <f t="shared" ref="I24:I32" si="11">G24+H24</f>
        <v>37080</v>
      </c>
      <c r="J24" s="27">
        <f>IF(D24&lt;=190000,0,IF(AND(D24&gt;190000,D24&lt;=500000),(D24-190000)*0.1,IF(AND(D24&gt;500000,D24&lt;=800000),(D24-500000)*0.2+31000,IF(D24&gt;800000,(D24-800000)*0.3+91000))))</f>
        <v>35000</v>
      </c>
      <c r="K24" s="27"/>
      <c r="L24" s="27">
        <f t="shared" ref="L24" si="12">J24-K24</f>
        <v>35000</v>
      </c>
      <c r="M24" s="30">
        <f t="shared" ref="M24" si="13">L24*0.03</f>
        <v>1050</v>
      </c>
      <c r="N24" s="29">
        <f t="shared" ref="N24" si="14">L24+M24</f>
        <v>36050</v>
      </c>
    </row>
    <row r="25" spans="3:14">
      <c r="C25" s="27" t="s">
        <v>141</v>
      </c>
      <c r="D25" s="32">
        <f>'Table A'!E14</f>
        <v>520000</v>
      </c>
      <c r="E25" s="27">
        <f>IF(D25&lt;=200000,0,IF(AND(D25&gt;200000,D25&lt;=500000),(D25-200000)*0.1,IF(AND(D25&gt;500000,D25&lt;=1000000),(D25-500000)*0.2+30000,IF(D25&gt;1000000,(D25-1000000)*0.3+130000))))</f>
        <v>34000</v>
      </c>
      <c r="F25" s="27"/>
      <c r="G25" s="35">
        <f t="shared" si="9"/>
        <v>34000</v>
      </c>
      <c r="H25" s="27">
        <f t="shared" si="10"/>
        <v>1020</v>
      </c>
      <c r="I25" s="29">
        <f t="shared" si="11"/>
        <v>35020</v>
      </c>
      <c r="J25" s="27"/>
      <c r="K25" s="27"/>
      <c r="L25" s="27"/>
      <c r="M25" s="30"/>
      <c r="N25" s="29"/>
    </row>
    <row r="26" spans="3:14">
      <c r="C26" s="27" t="s">
        <v>142</v>
      </c>
      <c r="D26" s="32">
        <f>'Table A'!E13</f>
        <v>520000</v>
      </c>
      <c r="E26" s="27">
        <f>IF(D26&lt;=200000,0,IF(AND(D26&gt;200000,D26&lt;=500000),(D26-200000)*0.1,IF(AND(D26&gt;500000,D26&lt;=1000000),(D26-500000)*0.2+30000,IF(D26&gt;1000000,(D26-1000000)*0.3+130000))))</f>
        <v>34000</v>
      </c>
      <c r="F26" s="27">
        <f>IF(D26&lt;=500000,2000,0)</f>
        <v>0</v>
      </c>
      <c r="G26" s="35">
        <f t="shared" si="9"/>
        <v>34000</v>
      </c>
      <c r="H26" s="27">
        <f t="shared" si="10"/>
        <v>1020</v>
      </c>
      <c r="I26" s="29">
        <f t="shared" si="11"/>
        <v>35020</v>
      </c>
      <c r="J26" s="27"/>
      <c r="K26" s="27"/>
      <c r="L26" s="27"/>
      <c r="M26" s="30"/>
      <c r="N26" s="29"/>
    </row>
    <row r="27" spans="3:14">
      <c r="C27" s="27" t="s">
        <v>143</v>
      </c>
      <c r="D27" s="32">
        <f>'Table A'!E12</f>
        <v>520000</v>
      </c>
      <c r="E27" s="27">
        <f>IF(D27&lt;=250000,0,IF(AND(D27&gt;250000,D27&lt;=500000),(D27-250000)*0.1,IF(AND(D27&gt;500000,D27&lt;=1000000),(D27-500000)*0.2+25000,IF(D27&gt;1000000,(D27-1000000)*0.3+125000))))</f>
        <v>29000</v>
      </c>
      <c r="F27" s="27">
        <f>IF(D27&lt;=500000,2000,0)</f>
        <v>0</v>
      </c>
      <c r="G27" s="35">
        <f t="shared" si="9"/>
        <v>29000</v>
      </c>
      <c r="H27" s="27">
        <f t="shared" si="10"/>
        <v>870</v>
      </c>
      <c r="I27" s="29">
        <f t="shared" si="11"/>
        <v>29870</v>
      </c>
      <c r="J27" s="27"/>
      <c r="K27" s="27"/>
      <c r="L27" s="27"/>
      <c r="M27" s="30"/>
      <c r="N27" s="29"/>
    </row>
    <row r="28" spans="3:14">
      <c r="C28" s="27" t="s">
        <v>144</v>
      </c>
      <c r="D28" s="32">
        <f>'Table A'!E11</f>
        <v>520000</v>
      </c>
      <c r="E28" s="27">
        <f>IF(D28&lt;=250000,0,IF(AND(D28&gt;250000,D28&lt;=500000),(D28-250000)*0.1,IF(AND(D28&gt;500000,D28&lt;=1000000),(D28-500000)*0.2+25000,IF(D28&gt;1000000,(D28-1000000)*0.3+125000))))</f>
        <v>29000</v>
      </c>
      <c r="F28" s="27">
        <f>IF(D28&lt;=500000,2000,0)</f>
        <v>0</v>
      </c>
      <c r="G28" s="35">
        <f t="shared" si="9"/>
        <v>29000</v>
      </c>
      <c r="H28" s="27">
        <f t="shared" si="10"/>
        <v>870</v>
      </c>
      <c r="I28" s="29">
        <f t="shared" si="11"/>
        <v>29870</v>
      </c>
      <c r="J28" s="27"/>
      <c r="K28" s="27"/>
      <c r="L28" s="27"/>
      <c r="M28" s="30"/>
      <c r="N28" s="29"/>
    </row>
    <row r="29" spans="3:14">
      <c r="C29" s="27" t="s">
        <v>145</v>
      </c>
      <c r="D29" s="32">
        <f>'Table A'!E10</f>
        <v>520000</v>
      </c>
      <c r="E29" s="27">
        <f>IF(D29&lt;=250000,0,IF(AND(D29&gt;250000,D29&lt;=500000),(D29-250000)*0.1,IF(AND(D29&gt;500000,D29&lt;=1000000),(D29-500000)*0.2+25000,IF(D29&gt;1000000,(D29-1000000)*0.3+125000))))</f>
        <v>29000</v>
      </c>
      <c r="F29" s="27">
        <f>IF(D29&lt;=500000,5000,0)</f>
        <v>0</v>
      </c>
      <c r="G29" s="35">
        <f t="shared" si="9"/>
        <v>29000</v>
      </c>
      <c r="H29" s="27">
        <f t="shared" si="10"/>
        <v>870</v>
      </c>
      <c r="I29" s="29">
        <f t="shared" si="11"/>
        <v>29870</v>
      </c>
      <c r="J29" s="27"/>
      <c r="K29" s="27"/>
      <c r="L29" s="27"/>
      <c r="M29" s="30"/>
      <c r="N29" s="29"/>
    </row>
    <row r="30" spans="3:14">
      <c r="C30" s="27" t="s">
        <v>146</v>
      </c>
      <c r="D30" s="32">
        <f>'Table A'!E9</f>
        <v>520000</v>
      </c>
      <c r="E30" s="27">
        <f>IF(D30&lt;=250000,0,IF(AND(D30&gt;250000,D30&lt;=500000),(D30-250000)*0.05,IF(AND(D30&gt;500000,D30&lt;=1000000),(D30-500000)*0.2+12500,IF(D30&gt;1000000,(D30-1000000)*0.3+112500))))</f>
        <v>16500</v>
      </c>
      <c r="F30" s="27">
        <f>IF(D30&lt;=350000,2500,0)</f>
        <v>0</v>
      </c>
      <c r="G30" s="35">
        <f t="shared" si="9"/>
        <v>16500</v>
      </c>
      <c r="H30" s="27">
        <f t="shared" si="10"/>
        <v>495</v>
      </c>
      <c r="I30" s="29">
        <f t="shared" si="11"/>
        <v>16995</v>
      </c>
      <c r="J30" s="27"/>
      <c r="K30" s="27"/>
      <c r="L30" s="27"/>
      <c r="M30" s="30"/>
      <c r="N30" s="29"/>
    </row>
    <row r="31" spans="3:14">
      <c r="C31" s="27" t="s">
        <v>147</v>
      </c>
      <c r="D31" s="32">
        <f>'Table A'!E8</f>
        <v>520000</v>
      </c>
      <c r="E31" s="27">
        <f>IF(D31&lt;=250000,0,IF(AND(D31&gt;250000,D31&lt;=500000),(D31-250000)*0.05,IF(AND(D31&gt;500000,D31&lt;=1000000),(D31-500000)*0.2+12500,IF(D31&gt;1000000,(D31-1000000)*0.3+112500))))</f>
        <v>16500</v>
      </c>
      <c r="F31" s="27">
        <f>IF(D31&lt;=350000,2500,0)</f>
        <v>0</v>
      </c>
      <c r="G31" s="35">
        <f t="shared" si="9"/>
        <v>16500</v>
      </c>
      <c r="H31" s="27">
        <f>G31*0.04</f>
        <v>660</v>
      </c>
      <c r="I31" s="29">
        <f t="shared" si="11"/>
        <v>17160</v>
      </c>
      <c r="J31" s="27"/>
      <c r="K31" s="27"/>
      <c r="L31" s="27"/>
      <c r="M31" s="30"/>
      <c r="N31" s="29"/>
    </row>
    <row r="32" spans="3:14">
      <c r="C32" s="33" t="s">
        <v>148</v>
      </c>
      <c r="D32" s="37">
        <f>'Table A'!D19</f>
        <v>675000</v>
      </c>
      <c r="E32" s="33">
        <f>IF(D32&lt;=250000,0,IF(AND(D32&gt;250000,D32&lt;=500000),(D32-250000)*0.05,IF(AND(D32&gt;500000,D32&lt;=1000000),(D32-500000)*0.2+12500,IF(D32&gt;1000000,(D32-1000000)*0.3+112500))))</f>
        <v>47500</v>
      </c>
      <c r="F32" s="33">
        <f>IF(D32&lt;=500000,12500,0)</f>
        <v>0</v>
      </c>
      <c r="G32" s="33">
        <f>IF((E32-F32)&lt;=0,0,(E32-F32))</f>
        <v>47500</v>
      </c>
      <c r="H32" s="33">
        <f>G32*0.04</f>
        <v>1900</v>
      </c>
      <c r="I32" s="34">
        <f t="shared" si="11"/>
        <v>49400</v>
      </c>
      <c r="J32" s="33"/>
      <c r="K32" s="33"/>
      <c r="L32" s="33"/>
      <c r="M32" s="33"/>
      <c r="N32" s="3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2E43-66FF-4786-8907-F9634C5FA23D}">
  <dimension ref="B2:Y29"/>
  <sheetViews>
    <sheetView workbookViewId="0">
      <selection activeCell="D4" sqref="D4"/>
    </sheetView>
  </sheetViews>
  <sheetFormatPr defaultRowHeight="15"/>
  <cols>
    <col min="2" max="2" width="27.140625" bestFit="1" customWidth="1"/>
    <col min="4" max="7" width="16.140625" customWidth="1"/>
    <col min="8" max="9" width="11.42578125" bestFit="1" customWidth="1"/>
    <col min="10" max="10" width="11.42578125" customWidth="1"/>
    <col min="11" max="11" width="9.85546875" bestFit="1" customWidth="1"/>
    <col min="12" max="12" width="9" bestFit="1" customWidth="1"/>
    <col min="18" max="19" width="27.42578125" customWidth="1"/>
    <col min="21" max="22" width="27.140625" customWidth="1"/>
    <col min="24" max="25" width="28.140625" customWidth="1"/>
  </cols>
  <sheetData>
    <row r="2" spans="2:25" ht="15.75" thickBot="1"/>
    <row r="3" spans="2:25" ht="15.75" thickBot="1">
      <c r="D3" s="23">
        <v>499000</v>
      </c>
    </row>
    <row r="4" spans="2:25" ht="45">
      <c r="D4" s="22">
        <v>0.1</v>
      </c>
      <c r="E4" s="22">
        <v>0.2</v>
      </c>
      <c r="F4" s="22">
        <v>0.3</v>
      </c>
      <c r="G4" s="22">
        <v>0.03</v>
      </c>
      <c r="R4" s="8" t="s">
        <v>87</v>
      </c>
    </row>
    <row r="5" spans="2:25" ht="63.75">
      <c r="D5" s="1" t="s">
        <v>16</v>
      </c>
      <c r="E5" s="1" t="s">
        <v>17</v>
      </c>
      <c r="F5" s="1" t="s">
        <v>18</v>
      </c>
      <c r="G5" s="1" t="s">
        <v>19</v>
      </c>
      <c r="H5" s="25" t="s">
        <v>133</v>
      </c>
      <c r="I5" s="24" t="s">
        <v>132</v>
      </c>
      <c r="J5" s="24"/>
      <c r="K5" s="24" t="s">
        <v>134</v>
      </c>
      <c r="L5" s="26" t="s">
        <v>135</v>
      </c>
      <c r="M5" s="26" t="s">
        <v>136</v>
      </c>
      <c r="N5" s="26"/>
    </row>
    <row r="6" spans="2:25" ht="42.75">
      <c r="B6" s="4" t="s">
        <v>29</v>
      </c>
      <c r="C6" s="2"/>
      <c r="D6" s="6" t="s">
        <v>22</v>
      </c>
      <c r="E6" s="6" t="s">
        <v>23</v>
      </c>
      <c r="F6" s="6" t="s">
        <v>24</v>
      </c>
      <c r="G6" s="3" t="s">
        <v>20</v>
      </c>
      <c r="H6">
        <f>IF(D3&lt;=160000,0,IF(AND(D3&gt;160000,D3&lt;=500000),(D3-160000)*0.1,IF(AND(D3&gt;500000,D3&lt;=800000),(D3-500000)*0.2+34000,IF(D3&gt;800000,(D3-800000)*0.3+94000))))</f>
        <v>33900</v>
      </c>
      <c r="I6">
        <f>IF(D3&lt;=190000,0,IF(AND(D3&gt;190000,D3&lt;=500000),(D3-190000)*0.1,IF(AND(D3&gt;500000,D3&lt;=800000),(D3-500000)*0.2+31000,IF(D3&gt;800000,(D3-800000)*0.3+91000))))</f>
        <v>30900</v>
      </c>
      <c r="K6">
        <f t="shared" ref="K6:L8" si="0">H6+H6*3/100</f>
        <v>34917</v>
      </c>
      <c r="L6">
        <f t="shared" si="0"/>
        <v>31827</v>
      </c>
      <c r="R6" s="9" t="s">
        <v>88</v>
      </c>
      <c r="U6" s="18" t="s">
        <v>99</v>
      </c>
      <c r="X6" s="9" t="s">
        <v>105</v>
      </c>
    </row>
    <row r="7" spans="2:25">
      <c r="B7" s="4" t="s">
        <v>30</v>
      </c>
      <c r="C7" s="2"/>
      <c r="D7" s="6" t="s">
        <v>21</v>
      </c>
      <c r="E7" s="6" t="s">
        <v>23</v>
      </c>
      <c r="F7" s="5" t="s">
        <v>25</v>
      </c>
      <c r="G7" s="6" t="s">
        <v>26</v>
      </c>
      <c r="H7">
        <f>IF(D3&lt;=180000,0,IF(AND(D3&gt;180000,D3&lt;=500000),(D3-180000)*0.1,IF(AND(D3&gt;500000,D3&lt;=800000),(D3-500000)*0.2+32000,IF(D3&gt;800000,(D3-800000)*0.3+92000))))</f>
        <v>31900</v>
      </c>
      <c r="I7">
        <f>IF(D3&lt;=190000,0,IF(AND(D3&gt;190000,D3&lt;=500000),(D3-190000)*0.1,IF(AND(D3&gt;500000,D3&lt;=800000),(D3-500000)*0.2+31000,IF(D3&gt;800000,(D3-800000)*0.3+91000))))</f>
        <v>30900</v>
      </c>
      <c r="K7">
        <f t="shared" si="0"/>
        <v>32857</v>
      </c>
      <c r="L7">
        <f t="shared" si="0"/>
        <v>31827</v>
      </c>
    </row>
    <row r="8" spans="2:25" ht="15.75" thickBot="1">
      <c r="B8" s="4" t="s">
        <v>31</v>
      </c>
      <c r="C8" s="2"/>
      <c r="D8" s="5" t="s">
        <v>27</v>
      </c>
      <c r="E8" s="5" t="s">
        <v>27</v>
      </c>
      <c r="F8" s="5" t="s">
        <v>25</v>
      </c>
      <c r="G8" s="5" t="s">
        <v>26</v>
      </c>
      <c r="H8">
        <f>IF(D3&lt;=200000,0,IF(AND(D3&gt;200000,D3&lt;=500000),(D3-200000)*0.1,IF(AND(D3&gt;500000,D3&lt;=1000000),(D3-500000)*0.2+30000,IF(D3&gt;1000000,(D3-1000000)*0.3+130000))))</f>
        <v>29900</v>
      </c>
      <c r="I8">
        <f>IF(D3&lt;=200000,0,IF(AND(D3&gt;200000,D3&lt;=500000),(D3-200000)*0.1,IF(AND(D3&gt;500000,D3&lt;=1000000),(D3-500000)*0.2+30000,IF(D3&gt;1000000,(D3-1000000)*0.3+130000))))</f>
        <v>29900</v>
      </c>
      <c r="K8">
        <f t="shared" si="0"/>
        <v>30797</v>
      </c>
      <c r="L8">
        <f t="shared" si="0"/>
        <v>30797</v>
      </c>
      <c r="R8" s="10" t="s">
        <v>89</v>
      </c>
      <c r="S8" s="11" t="s">
        <v>90</v>
      </c>
      <c r="U8" s="10" t="s">
        <v>89</v>
      </c>
      <c r="V8" s="11" t="s">
        <v>90</v>
      </c>
      <c r="X8" s="10" t="s">
        <v>89</v>
      </c>
      <c r="Y8" s="11" t="s">
        <v>90</v>
      </c>
    </row>
    <row r="9" spans="2:25" ht="15.75" thickBot="1">
      <c r="B9" s="4" t="s">
        <v>32</v>
      </c>
      <c r="C9" s="2"/>
      <c r="D9" s="5" t="s">
        <v>27</v>
      </c>
      <c r="E9" s="5" t="s">
        <v>27</v>
      </c>
      <c r="F9" s="5" t="s">
        <v>25</v>
      </c>
      <c r="G9" s="5" t="s">
        <v>26</v>
      </c>
      <c r="H9">
        <f>IF(D3&lt;=200000,0,IF(AND(D3&gt;200000,D3&lt;=500000),(D3-200000)*0.1,IF(AND(D3&gt;500000,D3&lt;=1000000),(D3-500000)*0.2+30000,IF(D3&gt;1000000,(D3-1000000)*0.3+130000))))</f>
        <v>29900</v>
      </c>
      <c r="I9">
        <f>IF(D3&lt;=200000,0,IF(AND(D3&gt;200000,D3&lt;=500000),(D3-200000)*0.1,IF(AND(D3&gt;500000,D3&lt;=1000000),(D3-500000)*0.2+30000,IF(D3&gt;1000000,(D3-1000000)*0.3+130000))))</f>
        <v>29900</v>
      </c>
      <c r="J9">
        <f>IF(D3&lt;=500000,2000,0)</f>
        <v>2000</v>
      </c>
      <c r="K9">
        <f>(H9-J9)+(H9-J9)*3/100</f>
        <v>28737</v>
      </c>
      <c r="L9">
        <f>(I9-J9)+(I9-J9)*3/100</f>
        <v>28737</v>
      </c>
      <c r="R9" s="12" t="s">
        <v>91</v>
      </c>
      <c r="S9" s="13" t="s">
        <v>92</v>
      </c>
      <c r="U9" s="12" t="s">
        <v>100</v>
      </c>
      <c r="V9" s="13" t="s">
        <v>92</v>
      </c>
      <c r="X9" s="12" t="s">
        <v>106</v>
      </c>
      <c r="Y9" s="13" t="s">
        <v>92</v>
      </c>
    </row>
    <row r="10" spans="2:25" ht="29.25" thickBot="1">
      <c r="B10" s="4" t="s">
        <v>33</v>
      </c>
      <c r="C10" s="2"/>
      <c r="D10" s="5" t="s">
        <v>25</v>
      </c>
      <c r="E10" s="5" t="s">
        <v>25</v>
      </c>
      <c r="F10" s="5" t="s">
        <v>28</v>
      </c>
      <c r="G10" s="5" t="s">
        <v>26</v>
      </c>
      <c r="H10">
        <f>IF(D3&lt;=250000,0,IF(AND(D3&gt;250000,D3&lt;=500000),(D3-250000)*0.1,IF(AND(D3&gt;500000,D3&lt;=1000000),(D3-500000)*0.2+25000,IF(D3&gt;1000000,(D3-1000000)*0.3+125000))))</f>
        <v>24900</v>
      </c>
      <c r="I10">
        <f>IF(D3&lt;=250000,0,IF(AND(D3&gt;250000,D3&lt;=500000),(D3-250000)*0.1,IF(AND(D3&gt;500000,D3&lt;=1000000),(D3-500000)*0.2+25000,IF(D3&gt;1000000,(D3-1000000)*0.3+125000))))</f>
        <v>24900</v>
      </c>
      <c r="J10">
        <f>IF(D3&lt;=500000,2000,0)</f>
        <v>2000</v>
      </c>
      <c r="K10">
        <f>(H10-J10)+(H10-J10)*3/100</f>
        <v>23587</v>
      </c>
      <c r="L10">
        <f>(I10-J10)+(I10-J10)*3/100</f>
        <v>23587</v>
      </c>
      <c r="R10" s="14" t="s">
        <v>93</v>
      </c>
      <c r="S10" s="15" t="s">
        <v>94</v>
      </c>
      <c r="U10" s="14" t="s">
        <v>101</v>
      </c>
      <c r="V10" s="15" t="s">
        <v>102</v>
      </c>
      <c r="X10" s="12" t="s">
        <v>107</v>
      </c>
      <c r="Y10" s="13" t="s">
        <v>108</v>
      </c>
    </row>
    <row r="11" spans="2:25" ht="29.25" thickBot="1">
      <c r="B11" s="4" t="s">
        <v>34</v>
      </c>
      <c r="C11" s="2"/>
      <c r="D11" s="5" t="s">
        <v>25</v>
      </c>
      <c r="E11" s="5" t="s">
        <v>25</v>
      </c>
      <c r="F11" s="5" t="s">
        <v>28</v>
      </c>
      <c r="G11" s="5" t="s">
        <v>26</v>
      </c>
      <c r="H11">
        <f>IF(D3&lt;=250000,0,IF(AND(D3&gt;250000,D3&lt;=500000),(D3-250000)*0.1,IF(AND(D3&gt;500000,D3&lt;=1000000),(D3-500000)*0.2+25000,IF(D3&gt;1000000,(D3-1000000)*0.3+125000))))</f>
        <v>24900</v>
      </c>
      <c r="I11">
        <f>IF(D3&lt;=250000,0,IF(AND(D3&gt;250000,D3&lt;=500000),(D3-250000)*0.1,IF(AND(D3&gt;500000,D3&lt;=1000000),(D3-500000)*0.2+25000,IF(D3&gt;1000000,(D3-1000000)*0.3+125000))))</f>
        <v>24900</v>
      </c>
      <c r="J11">
        <f>IF(D3&lt;=500000,2000,0)</f>
        <v>2000</v>
      </c>
      <c r="K11">
        <f>(H11-J11)+(H11-J11)*3/100</f>
        <v>23587</v>
      </c>
      <c r="L11">
        <f>(I11-J11)+(I11-J11)*3/100</f>
        <v>23587</v>
      </c>
      <c r="R11" s="14" t="s">
        <v>95</v>
      </c>
      <c r="S11" s="15" t="s">
        <v>96</v>
      </c>
      <c r="U11" s="14" t="s">
        <v>95</v>
      </c>
      <c r="V11" s="15" t="s">
        <v>103</v>
      </c>
      <c r="X11" s="14" t="s">
        <v>95</v>
      </c>
      <c r="Y11" s="15" t="s">
        <v>109</v>
      </c>
    </row>
    <row r="12" spans="2:25" ht="28.5">
      <c r="B12" s="4" t="s">
        <v>35</v>
      </c>
      <c r="C12" s="2"/>
      <c r="D12" s="5" t="s">
        <v>25</v>
      </c>
      <c r="E12" s="5" t="s">
        <v>25</v>
      </c>
      <c r="F12" s="5" t="s">
        <v>28</v>
      </c>
      <c r="G12" s="5" t="s">
        <v>26</v>
      </c>
      <c r="H12">
        <f>IF(D3&lt;=250000,0,IF(AND(D3&gt;250000,D3&lt;=500000),(D3-250000)*0.1,IF(AND(D3&gt;500000,D3&lt;=1000000),(D3-500000)*0.2+25000,IF(D3&gt;1000000,(D3-1000000)*0.3+125000))))</f>
        <v>24900</v>
      </c>
      <c r="I12">
        <f>IF(D3&lt;=250000,0,IF(AND(D3&gt;250000,D3&lt;=500000),(D3-250000)*0.1,IF(AND(D3&gt;500000,D3&lt;=1000000),(D3-500000)*0.2+25000,IF(D3&gt;1000000,(D3-1000000)*0.3+125000))))</f>
        <v>24900</v>
      </c>
      <c r="J12">
        <v>5000</v>
      </c>
      <c r="K12">
        <f>(H12-J12)+(H12-J12)*3/100</f>
        <v>20497</v>
      </c>
      <c r="L12">
        <f>(I12-J12)+(I12-J12)*3/100</f>
        <v>20497</v>
      </c>
      <c r="R12" s="16" t="s">
        <v>97</v>
      </c>
      <c r="S12" s="17" t="s">
        <v>98</v>
      </c>
      <c r="U12" s="16" t="s">
        <v>97</v>
      </c>
      <c r="V12" s="17" t="s">
        <v>104</v>
      </c>
      <c r="X12" s="16" t="s">
        <v>97</v>
      </c>
      <c r="Y12" s="17" t="s">
        <v>110</v>
      </c>
    </row>
    <row r="13" spans="2:25">
      <c r="B13" s="4" t="s">
        <v>129</v>
      </c>
      <c r="D13" s="5" t="s">
        <v>25</v>
      </c>
      <c r="E13" s="5" t="s">
        <v>25</v>
      </c>
      <c r="F13" s="5" t="s">
        <v>28</v>
      </c>
      <c r="G13" s="5" t="s">
        <v>26</v>
      </c>
      <c r="H13">
        <f>IF(D3&lt;=250000,0,IF(AND(D3&gt;250000,D3&lt;=500000),(D3-250000)*0.05,IF(AND(D3&gt;500000,D3&lt;=1000000),(D3-500000)*0.2+12500,IF(D3&gt;1000000,(D3-1000000)*0.3+112500))))</f>
        <v>12450</v>
      </c>
      <c r="I13">
        <f>IF(D3&lt;=250000,0,IF(AND(D3&gt;250000,D3&lt;=500000),(D3-250000)*0.05,IF(AND(D3&gt;500000,D3&lt;=1000000),(D3-500000)*0.2+12500,IF(D3&gt;1000000,(D3-1000000)*0.3+112500))))</f>
        <v>12450</v>
      </c>
      <c r="J13">
        <f>IF(D3&lt;=350000,2500,0)</f>
        <v>0</v>
      </c>
      <c r="K13">
        <f>(H13-J13)+(H13-J13)*3/100</f>
        <v>12823.5</v>
      </c>
      <c r="L13">
        <f>(I13-J13)+(I13-J13)*3/100</f>
        <v>12823.5</v>
      </c>
    </row>
    <row r="14" spans="2:25">
      <c r="B14" s="4" t="s">
        <v>130</v>
      </c>
      <c r="D14" s="5" t="s">
        <v>25</v>
      </c>
      <c r="E14" s="5" t="s">
        <v>25</v>
      </c>
      <c r="F14" s="5" t="s">
        <v>28</v>
      </c>
      <c r="G14" s="5" t="s">
        <v>26</v>
      </c>
      <c r="H14">
        <f>IF(D3&lt;=250000,0,IF(AND(D3&gt;250000,D3&lt;=500000),(D3-250000)*0.05,IF(AND(D3&gt;500000,D3&lt;=1000000),(D3-500000)*0.2+12500,IF(D3&gt;1000000,(D3-1000000)*0.3+112500))))</f>
        <v>12450</v>
      </c>
      <c r="I14">
        <f>IF(D3&lt;=250000,0,IF(AND(D3&gt;250000,D3&lt;=500000),(D3-250000)*0.05,IF(AND(D3&gt;500000,D3&lt;=1000000),(D3-500000)*0.2+12500,IF(D3&gt;1000000,(D3-1000000)*0.3+112500))))</f>
        <v>12450</v>
      </c>
      <c r="J14">
        <f>IF(D3&lt;=350000,2500,0)</f>
        <v>0</v>
      </c>
      <c r="K14">
        <f>(H14-J14)+(H14-J14)*4/100</f>
        <v>12948</v>
      </c>
      <c r="L14">
        <f>(I14-J14)+(I14-J14)*4/100</f>
        <v>12948</v>
      </c>
    </row>
    <row r="15" spans="2:25">
      <c r="B15" s="4" t="s">
        <v>131</v>
      </c>
      <c r="D15" s="5" t="s">
        <v>25</v>
      </c>
      <c r="E15" s="5" t="s">
        <v>25</v>
      </c>
      <c r="F15" s="5" t="s">
        <v>28</v>
      </c>
      <c r="G15" s="5" t="s">
        <v>26</v>
      </c>
      <c r="H15">
        <f>IF(D3&lt;=250000,0,IF(AND(D3&gt;250000,D3&lt;=500000),(D3-250000)*0.05,IF(AND(D3&gt;500000,D3&lt;=1000000),(D3-500000)*0.2+12500,IF(D3&gt;1000000,(D3-1000000)*0.3+112500))))</f>
        <v>12450</v>
      </c>
      <c r="I15">
        <f>IF(D3&lt;=250000,0,IF(AND(D3&gt;250000,D3&lt;=500000),(D3-250000)*0.05,IF(AND(D3&gt;500000,D3&lt;=1000000),(D3-500000)*0.2+12500,IF(D3&gt;1000000,(D3-1000000)*0.3+112500))))</f>
        <v>12450</v>
      </c>
      <c r="J15">
        <f>IF(D3&lt;=500000,12500,0)</f>
        <v>12500</v>
      </c>
      <c r="K15">
        <f>(H15-J15)+(H15-J15)*4/100</f>
        <v>-52</v>
      </c>
      <c r="L15">
        <f>(I15-J15)+(I15-J15)*4/100</f>
        <v>-52</v>
      </c>
    </row>
    <row r="16" spans="2:25">
      <c r="R16" s="19" t="s">
        <v>111</v>
      </c>
    </row>
    <row r="17" spans="2:24">
      <c r="R17" s="145" t="s">
        <v>125</v>
      </c>
      <c r="S17" s="146"/>
      <c r="T17" s="147"/>
      <c r="V17" s="145" t="s">
        <v>122</v>
      </c>
      <c r="W17" s="146"/>
      <c r="X17" s="147"/>
    </row>
    <row r="18" spans="2:24" ht="25.5">
      <c r="R18" s="20">
        <v>1</v>
      </c>
      <c r="S18" s="20" t="s">
        <v>126</v>
      </c>
      <c r="T18" s="20" t="s">
        <v>116</v>
      </c>
      <c r="V18" s="20">
        <v>1</v>
      </c>
      <c r="W18" s="20" t="s">
        <v>123</v>
      </c>
      <c r="X18" s="20" t="s">
        <v>116</v>
      </c>
    </row>
    <row r="19" spans="2:24" ht="38.25">
      <c r="R19" s="20">
        <v>2</v>
      </c>
      <c r="S19" s="20" t="s">
        <v>127</v>
      </c>
      <c r="T19" s="21">
        <v>0.1</v>
      </c>
      <c r="V19" s="20">
        <v>2</v>
      </c>
      <c r="W19" s="20" t="s">
        <v>124</v>
      </c>
      <c r="X19" s="21">
        <v>0.1</v>
      </c>
    </row>
    <row r="20" spans="2:24" ht="38.25">
      <c r="B20" s="4" t="s">
        <v>29</v>
      </c>
      <c r="R20" s="20">
        <v>3</v>
      </c>
      <c r="S20" s="20" t="s">
        <v>118</v>
      </c>
      <c r="T20" s="21">
        <v>0.2</v>
      </c>
      <c r="V20" s="20">
        <v>3</v>
      </c>
      <c r="W20" s="20" t="s">
        <v>118</v>
      </c>
      <c r="X20" s="21">
        <v>0.2</v>
      </c>
    </row>
    <row r="21" spans="2:24" ht="25.5">
      <c r="B21" s="4" t="s">
        <v>30</v>
      </c>
      <c r="R21" s="20">
        <v>4</v>
      </c>
      <c r="S21" s="20" t="s">
        <v>119</v>
      </c>
      <c r="T21" s="21">
        <v>0.3</v>
      </c>
      <c r="V21" s="20">
        <v>4</v>
      </c>
      <c r="W21" s="20" t="s">
        <v>119</v>
      </c>
      <c r="X21" s="21">
        <v>0.3</v>
      </c>
    </row>
    <row r="22" spans="2:24">
      <c r="B22" s="4" t="s">
        <v>31</v>
      </c>
    </row>
    <row r="23" spans="2:24">
      <c r="B23" s="4" t="s">
        <v>32</v>
      </c>
    </row>
    <row r="24" spans="2:24" ht="25.5" customHeight="1">
      <c r="B24" s="4" t="s">
        <v>33</v>
      </c>
      <c r="R24" s="19" t="s">
        <v>128</v>
      </c>
    </row>
    <row r="25" spans="2:24" ht="38.25">
      <c r="B25" s="4" t="s">
        <v>34</v>
      </c>
      <c r="R25" s="20" t="s">
        <v>112</v>
      </c>
      <c r="S25" s="20" t="s">
        <v>113</v>
      </c>
      <c r="T25" s="20" t="s">
        <v>114</v>
      </c>
      <c r="V25" s="145" t="s">
        <v>120</v>
      </c>
      <c r="W25" s="146"/>
      <c r="X25" s="147"/>
    </row>
    <row r="26" spans="2:24" ht="25.5">
      <c r="B26" s="4" t="s">
        <v>35</v>
      </c>
      <c r="R26" s="20">
        <v>1</v>
      </c>
      <c r="S26" s="20" t="s">
        <v>115</v>
      </c>
      <c r="T26" s="20" t="s">
        <v>116</v>
      </c>
      <c r="V26" s="20" t="s">
        <v>112</v>
      </c>
      <c r="W26" s="20" t="s">
        <v>113</v>
      </c>
      <c r="X26" s="20" t="s">
        <v>114</v>
      </c>
    </row>
    <row r="27" spans="2:24" ht="25.5">
      <c r="B27" s="4" t="s">
        <v>129</v>
      </c>
      <c r="R27" s="20">
        <v>2</v>
      </c>
      <c r="S27" s="20" t="s">
        <v>117</v>
      </c>
      <c r="T27" s="21">
        <v>0.1</v>
      </c>
      <c r="V27" s="20">
        <v>1</v>
      </c>
      <c r="W27" s="20" t="s">
        <v>121</v>
      </c>
      <c r="X27" s="20" t="s">
        <v>116</v>
      </c>
    </row>
    <row r="28" spans="2:24" ht="38.25">
      <c r="B28" s="4" t="s">
        <v>130</v>
      </c>
      <c r="R28" s="20">
        <v>3</v>
      </c>
      <c r="S28" s="20" t="s">
        <v>118</v>
      </c>
      <c r="T28" s="21">
        <v>0.2</v>
      </c>
      <c r="V28" s="20">
        <v>2</v>
      </c>
      <c r="W28" s="20" t="s">
        <v>118</v>
      </c>
      <c r="X28" s="21">
        <v>0.2</v>
      </c>
    </row>
    <row r="29" spans="2:24" ht="25.5" customHeight="1">
      <c r="B29" s="4" t="s">
        <v>131</v>
      </c>
      <c r="R29" s="20">
        <v>4</v>
      </c>
      <c r="S29" s="20" t="s">
        <v>119</v>
      </c>
      <c r="T29" s="21">
        <v>0.3</v>
      </c>
      <c r="V29" s="20">
        <v>3</v>
      </c>
      <c r="W29" s="20" t="s">
        <v>119</v>
      </c>
      <c r="X29" s="21">
        <v>0.3</v>
      </c>
    </row>
  </sheetData>
  <mergeCells count="3">
    <mergeCell ref="V25:X25"/>
    <mergeCell ref="V17:X17"/>
    <mergeCell ref="R17:T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Basic details</vt:lpstr>
      <vt:lpstr>Table A</vt:lpstr>
      <vt:lpstr>Annexure - I</vt:lpstr>
      <vt:lpstr>Form 10E</vt:lpstr>
      <vt:lpstr>Computation sheet</vt:lpstr>
      <vt:lpstr>slab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2019-03-07T05:15:42Z</dcterms:modified>
</cp:coreProperties>
</file>