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295B828C-C922-4E8C-8322-F4170D6FCC9D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Instructions" sheetId="3" r:id="rId1"/>
    <sheet name="Advance Tax Calculator" sheetId="1" r:id="rId2"/>
    <sheet name="ADV TAX COMPUTATION-COMPANIES" sheetId="2" r:id="rId3"/>
    <sheet name="ADV TAX COMPUTATION-INDIVIDU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" l="1"/>
  <c r="G7" i="4"/>
  <c r="F18" i="4" l="1"/>
  <c r="F15" i="4"/>
  <c r="F14" i="4"/>
  <c r="G9" i="4"/>
  <c r="E11" i="4"/>
  <c r="G11" i="4" s="1"/>
  <c r="M10" i="4"/>
  <c r="M9" i="4"/>
  <c r="M8" i="4"/>
  <c r="M7" i="4"/>
  <c r="F37" i="4"/>
  <c r="F36" i="4"/>
  <c r="G31" i="4"/>
  <c r="N18" i="1"/>
  <c r="N15" i="1"/>
  <c r="N14" i="1"/>
  <c r="O9" i="1"/>
  <c r="N16" i="1"/>
  <c r="I46" i="2"/>
  <c r="I47" i="2" s="1"/>
  <c r="I48" i="2" s="1"/>
  <c r="I49" i="2" s="1"/>
  <c r="I34" i="2"/>
  <c r="I33" i="2"/>
  <c r="J28" i="2"/>
  <c r="I15" i="2"/>
  <c r="I13" i="2"/>
  <c r="J7" i="2"/>
  <c r="F17" i="1"/>
  <c r="F13" i="1"/>
  <c r="G7" i="1"/>
  <c r="E10" i="4" l="1"/>
  <c r="G10" i="4" s="1"/>
  <c r="E12" i="4"/>
  <c r="G12" i="4"/>
  <c r="F16" i="4"/>
  <c r="G16" i="4" s="1"/>
  <c r="O16" i="1"/>
  <c r="M11" i="1"/>
  <c r="O11" i="1" s="1"/>
  <c r="M10" i="1"/>
  <c r="O10" i="1" s="1"/>
  <c r="M12" i="1"/>
  <c r="O12" i="1"/>
  <c r="G13" i="1"/>
  <c r="G16" i="1" s="1"/>
  <c r="G17" i="1" s="1"/>
  <c r="G20" i="1" s="1"/>
  <c r="J13" i="2"/>
  <c r="J14" i="2" s="1"/>
  <c r="J15" i="2" s="1"/>
  <c r="J18" i="2" s="1"/>
  <c r="G13" i="4" l="1"/>
  <c r="G17" i="4" s="1"/>
  <c r="O13" i="1"/>
  <c r="O17" i="1" s="1"/>
  <c r="O18" i="1" s="1"/>
  <c r="O21" i="1" s="1"/>
  <c r="H46" i="2"/>
  <c r="H47" i="2"/>
  <c r="H48" i="2"/>
  <c r="H49" i="2"/>
  <c r="J29" i="2"/>
  <c r="J33" i="2"/>
  <c r="G27" i="1"/>
  <c r="G26" i="1"/>
  <c r="G34" i="1" s="1"/>
  <c r="G29" i="1"/>
  <c r="G28" i="1"/>
  <c r="G18" i="4" l="1"/>
  <c r="O27" i="1"/>
  <c r="O35" i="1" s="1"/>
  <c r="O30" i="1"/>
  <c r="O31" i="1" s="1"/>
  <c r="O29" i="1"/>
  <c r="O28" i="1"/>
  <c r="J43" i="2"/>
  <c r="J48" i="2"/>
  <c r="K48" i="2" s="1"/>
  <c r="J49" i="2"/>
  <c r="K49" i="2" s="1"/>
  <c r="J44" i="2"/>
  <c r="J47" i="2"/>
  <c r="K47" i="2" s="1"/>
  <c r="J41" i="2"/>
  <c r="J42" i="2" s="1"/>
  <c r="J46" i="2"/>
  <c r="K46" i="2" s="1"/>
  <c r="J34" i="2"/>
  <c r="G35" i="1"/>
  <c r="G21" i="4" l="1"/>
  <c r="O36" i="1"/>
  <c r="O37" i="1" s="1"/>
  <c r="O38" i="1" s="1"/>
  <c r="K50" i="2"/>
  <c r="J35" i="2" s="1"/>
  <c r="J36" i="2" s="1"/>
  <c r="J38" i="2" s="1"/>
  <c r="F38" i="2" s="1"/>
  <c r="G36" i="1"/>
  <c r="G37" i="1" s="1"/>
  <c r="L10" i="4" l="1"/>
  <c r="L8" i="4"/>
  <c r="L9" i="4"/>
  <c r="L7" i="4"/>
  <c r="G32" i="4"/>
  <c r="G37" i="4" s="1"/>
  <c r="G36" i="4"/>
  <c r="N7" i="4" l="1"/>
  <c r="O7" i="4" s="1"/>
  <c r="N9" i="4"/>
  <c r="O9" i="4" s="1"/>
  <c r="N8" i="4"/>
  <c r="O8" i="4" s="1"/>
  <c r="N10" i="4"/>
  <c r="O10" i="4" s="1"/>
  <c r="O11" i="4" l="1"/>
  <c r="G38" i="4" s="1"/>
  <c r="G39" i="4" s="1"/>
  <c r="G41" i="4" s="1"/>
  <c r="C4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tc={C32AD05C-E7BF-4D9D-9590-14161BCF43A1}</author>
    <author>Author</author>
  </authors>
  <commentList>
    <comment ref="G33" authorId="0" shapeId="0" xr:uid="{C32AD05C-E7BF-4D9D-9590-14161BCF43A1}">
      <text>
        <t>[Threaded comment]
Your version of Excel allows you to read this threaded comment; however, any edits to it will get removed if the file is opened in a newer version of Excel. Learn more: https://go.microsoft.com/fwlink/?linkid=870924
Comment:
    Return filing Due date</t>
      </text>
    </comment>
    <comment ref="G34" authorId="1" shapeId="0" xr:uid="{22A10A1E-F8CF-40A1-82B8-25AD77B4514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31ST MARCH OF THE YEAR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tc={CBBC8F37-0502-4F56-9D57-ABD6FF496FBA}</author>
    <author>Author</author>
  </authors>
  <commentList>
    <comment ref="D36" authorId="0" shapeId="0" xr:uid="{CBBC8F37-0502-4F56-9D57-ABD6FF496FBA}">
      <text>
        <t>[Threaded comment]
Your version of Excel allows you to read this threaded comment; however, any edits to it will get removed if the file is opened in a newer version of Excel. Learn more: https://go.microsoft.com/fwlink/?linkid=870924
Comment:
    return filing due date</t>
      </text>
    </comment>
    <comment ref="D37" authorId="1" shapeId="0" xr:uid="{527DA878-7199-4314-AB8C-E101EA9783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31 st march of the year
</t>
        </r>
      </text>
    </comment>
  </commentList>
</comments>
</file>

<file path=xl/sharedStrings.xml><?xml version="1.0" encoding="utf-8"?>
<sst xmlns="http://schemas.openxmlformats.org/spreadsheetml/2006/main" count="164" uniqueCount="80">
  <si>
    <t>Tax Computation, Advance Tax</t>
  </si>
  <si>
    <t>Status/AY</t>
  </si>
  <si>
    <t>2019-20</t>
  </si>
  <si>
    <t>COMPANY</t>
  </si>
  <si>
    <t>Income</t>
  </si>
  <si>
    <t>Any Deduction</t>
  </si>
  <si>
    <t>Net Taxable Income</t>
  </si>
  <si>
    <t>Particulars</t>
  </si>
  <si>
    <t>Rate</t>
  </si>
  <si>
    <t>Select Yes if, total turnover or gross receipts of the company in the previous year 2016-17 does not exceed 250 crore rupees</t>
  </si>
  <si>
    <t>Select</t>
  </si>
  <si>
    <t>Tick if, company opted and qualify under section 115BA</t>
  </si>
  <si>
    <t>TAX Rate</t>
  </si>
  <si>
    <t>Income Tax</t>
  </si>
  <si>
    <t>Add: Cess</t>
  </si>
  <si>
    <t>Less: Tax Deducted at Source</t>
  </si>
  <si>
    <t xml:space="preserve">Income Tax &amp; Cess Payable: </t>
  </si>
  <si>
    <t>Calculate Advance Tax</t>
  </si>
  <si>
    <t>Yes</t>
  </si>
  <si>
    <t>Advance Tax Liability</t>
  </si>
  <si>
    <t>Description</t>
  </si>
  <si>
    <t>Advance tax payable upto June 15, 2018 (Cumulative)</t>
  </si>
  <si>
    <t>Advance tax payable upto September 15, 2018 (Cumulative)</t>
  </si>
  <si>
    <t>Advance tax payable upto December 15, 2018 (Cumulative)</t>
  </si>
  <si>
    <t>Advance tax payable upto March 15, 2019 (Cumulative)</t>
  </si>
  <si>
    <t>Advance Tax Installment</t>
  </si>
  <si>
    <t>Installments</t>
  </si>
  <si>
    <t>First installment payable for the period April 1, 2018 to June 15, 2018</t>
  </si>
  <si>
    <t>Second installment payable for the period June 16, 2018 to September 15, 2018</t>
  </si>
  <si>
    <t>Third installment payable for the period September 16, 2018 to December 15, 2018</t>
  </si>
  <si>
    <t>Last installment payable for the period December 16, 2018 to March 15, 2019</t>
  </si>
  <si>
    <t>SELECT</t>
  </si>
  <si>
    <t>SELECT AY</t>
  </si>
  <si>
    <t xml:space="preserve">Total: </t>
  </si>
  <si>
    <t>INTEREST PAYABLE:</t>
  </si>
  <si>
    <t>is sec 234 A applicable?</t>
  </si>
  <si>
    <t>YES</t>
  </si>
  <si>
    <t>is sec 234 B applicable?</t>
  </si>
  <si>
    <t>is sec 234 C applicable?</t>
  </si>
  <si>
    <t>Amount</t>
  </si>
  <si>
    <t>Suggestion to Pay Advance tax</t>
  </si>
  <si>
    <t>paid before 15/06/2018</t>
  </si>
  <si>
    <t>On or before 15-06-2018</t>
  </si>
  <si>
    <t>paid before 15/09/2018</t>
  </si>
  <si>
    <t>On or before 15-09-2018</t>
  </si>
  <si>
    <t>paid before 15/12/2018</t>
  </si>
  <si>
    <t>On or before 15-12-2018</t>
  </si>
  <si>
    <t>paid before 15/03/2019</t>
  </si>
  <si>
    <t>On or before 15-03-2019</t>
  </si>
  <si>
    <t xml:space="preserve">Balance Tax Payable: </t>
  </si>
  <si>
    <t>Due date</t>
  </si>
  <si>
    <t>Date of filing</t>
  </si>
  <si>
    <t>Delay</t>
  </si>
  <si>
    <t>Interest U/s 234A</t>
  </si>
  <si>
    <t>Interest U/s 234B</t>
  </si>
  <si>
    <t>Interest U/s 234C</t>
  </si>
  <si>
    <t>Interest Payable:</t>
  </si>
  <si>
    <t>Individual</t>
  </si>
  <si>
    <t>Less: Chapter IV A Deduction</t>
  </si>
  <si>
    <t>Slab</t>
  </si>
  <si>
    <t>Nil</t>
  </si>
  <si>
    <t>&gt;1000000</t>
  </si>
  <si>
    <t>Less:Rebate on Senior Citizen</t>
  </si>
  <si>
    <t>Less:Rebate on Super Senior Citizen</t>
  </si>
  <si>
    <t>Less Rebate</t>
  </si>
  <si>
    <t xml:space="preserve">Total </t>
  </si>
  <si>
    <t>Less: Tax Paid As Per Form 16/16A</t>
  </si>
  <si>
    <t>2018-19</t>
  </si>
  <si>
    <t>Advance tax payable upto March 31, 2019 (Cumulative)</t>
  </si>
  <si>
    <t>Last installment payable for the period March 16, 2019 to March 31, 2019</t>
  </si>
  <si>
    <t>Advance Tax Calculator for Company</t>
  </si>
  <si>
    <t>Tax Computation Tax Calculator for Individual</t>
  </si>
  <si>
    <t>Company</t>
  </si>
  <si>
    <t>Instructions:</t>
  </si>
  <si>
    <t xml:space="preserve"> This colour indicates cells which can be edited.. Fill in the cells containing this colour only</t>
  </si>
  <si>
    <t>AB12</t>
  </si>
  <si>
    <t>Colour in red indicates that it’s a drop down button. Select ur requirement</t>
  </si>
  <si>
    <t>paid before 31/03/2019</t>
  </si>
  <si>
    <t>Total</t>
  </si>
  <si>
    <t>Income After Standard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</si>
</sst>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"/>
      <family val="2"/>
    </font>
    <font>
      <b/>
      <u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0">
    <xf numFmtId="0" fontId="0" fillId="0" borderId="0" xfId="0"/>
    <xf numFmtId="0" fontId="3" fillId="0" borderId="7" xfId="0" applyFont="1" applyFill="1" applyBorder="1" applyAlignment="1" applyProtection="1">
      <alignment horizontal="center" wrapText="1"/>
    </xf>
    <xf numFmtId="0" fontId="8" fillId="0" borderId="6" xfId="0" applyFont="1" applyFill="1" applyBorder="1" applyAlignment="1" applyProtection="1">
      <alignment horizontal="center"/>
    </xf>
    <xf numFmtId="43" fontId="0" fillId="0" borderId="7" xfId="1" applyFont="1" applyFill="1" applyBorder="1" applyAlignment="1" applyProtection="1"/>
    <xf numFmtId="9" fontId="10" fillId="0" borderId="8" xfId="0" applyNumberFormat="1" applyFont="1" applyFill="1" applyBorder="1" applyAlignment="1" applyProtection="1">
      <alignment horizontal="center"/>
    </xf>
    <xf numFmtId="43" fontId="10" fillId="0" borderId="7" xfId="1" applyFont="1" applyFill="1" applyBorder="1" applyProtection="1"/>
    <xf numFmtId="43" fontId="10" fillId="0" borderId="6" xfId="1" applyFont="1" applyFill="1" applyBorder="1" applyProtection="1"/>
    <xf numFmtId="14" fontId="11" fillId="0" borderId="6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/>
      <protection locked="0"/>
    </xf>
    <xf numFmtId="9" fontId="10" fillId="0" borderId="6" xfId="0" applyNumberFormat="1" applyFont="1" applyBorder="1" applyAlignment="1" applyProtection="1">
      <alignment vertical="center"/>
      <protection locked="0"/>
    </xf>
    <xf numFmtId="3" fontId="10" fillId="0" borderId="6" xfId="0" applyNumberFormat="1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protection locked="0"/>
    </xf>
    <xf numFmtId="43" fontId="7" fillId="0" borderId="0" xfId="1" applyFont="1" applyFill="1" applyBorder="1" applyAlignment="1" applyProtection="1">
      <alignment horizontal="center" vertical="center"/>
      <protection locked="0"/>
    </xf>
    <xf numFmtId="43" fontId="3" fillId="0" borderId="0" xfId="1" applyFont="1" applyBorder="1" applyAlignment="1" applyProtection="1">
      <protection locked="0"/>
    </xf>
    <xf numFmtId="43" fontId="0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43" fontId="10" fillId="0" borderId="0" xfId="1" applyFont="1" applyBorder="1" applyProtection="1">
      <protection locked="0"/>
    </xf>
    <xf numFmtId="43" fontId="0" fillId="0" borderId="0" xfId="0" applyNumberFormat="1" applyFont="1" applyBorder="1" applyAlignment="1" applyProtection="1">
      <protection locked="0"/>
    </xf>
    <xf numFmtId="43" fontId="0" fillId="0" borderId="0" xfId="1" applyFont="1" applyAlignment="1" applyProtection="1">
      <protection locked="0"/>
    </xf>
    <xf numFmtId="43" fontId="17" fillId="0" borderId="0" xfId="1" applyFont="1" applyBorder="1" applyProtection="1">
      <protection locked="0"/>
    </xf>
    <xf numFmtId="43" fontId="6" fillId="0" borderId="0" xfId="1" applyFont="1" applyBorder="1" applyAlignment="1" applyProtection="1">
      <protection locked="0"/>
    </xf>
    <xf numFmtId="9" fontId="10" fillId="0" borderId="6" xfId="0" applyNumberFormat="1" applyFont="1" applyFill="1" applyBorder="1" applyAlignment="1" applyProtection="1">
      <alignment horizontal="center"/>
    </xf>
    <xf numFmtId="43" fontId="11" fillId="0" borderId="0" xfId="1" applyFont="1" applyBorder="1" applyProtection="1">
      <protection locked="0"/>
    </xf>
    <xf numFmtId="43" fontId="8" fillId="0" borderId="0" xfId="1" applyFont="1" applyBorder="1" applyAlignment="1" applyProtection="1">
      <protection locked="0"/>
    </xf>
    <xf numFmtId="0" fontId="11" fillId="0" borderId="39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43" fontId="11" fillId="0" borderId="40" xfId="1" applyFont="1" applyFill="1" applyBorder="1" applyProtection="1"/>
    <xf numFmtId="0" fontId="6" fillId="0" borderId="30" xfId="0" applyFont="1" applyFill="1" applyBorder="1" applyAlignment="1" applyProtection="1"/>
    <xf numFmtId="0" fontId="10" fillId="0" borderId="31" xfId="0" applyFont="1" applyFill="1" applyBorder="1" applyAlignment="1" applyProtection="1"/>
    <xf numFmtId="9" fontId="10" fillId="0" borderId="0" xfId="0" applyNumberFormat="1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/>
    <xf numFmtId="0" fontId="10" fillId="0" borderId="6" xfId="0" applyFont="1" applyFill="1" applyBorder="1" applyAlignment="1" applyProtection="1"/>
    <xf numFmtId="0" fontId="6" fillId="0" borderId="22" xfId="0" applyFont="1" applyFill="1" applyBorder="1" applyAlignment="1" applyProtection="1"/>
    <xf numFmtId="0" fontId="10" fillId="0" borderId="12" xfId="0" applyFont="1" applyFill="1" applyBorder="1" applyAlignment="1" applyProtection="1"/>
    <xf numFmtId="9" fontId="11" fillId="0" borderId="29" xfId="0" applyNumberFormat="1" applyFont="1" applyFill="1" applyBorder="1" applyAlignment="1" applyProtection="1">
      <alignment horizontal="center"/>
    </xf>
    <xf numFmtId="43" fontId="11" fillId="0" borderId="7" xfId="1" applyFont="1" applyFill="1" applyBorder="1" applyProtection="1"/>
    <xf numFmtId="43" fontId="11" fillId="0" borderId="23" xfId="1" applyFont="1" applyFill="1" applyBorder="1" applyProtection="1"/>
    <xf numFmtId="43" fontId="11" fillId="0" borderId="42" xfId="1" applyFont="1" applyFill="1" applyBorder="1" applyProtection="1"/>
    <xf numFmtId="0" fontId="0" fillId="0" borderId="21" xfId="0" applyFont="1" applyFill="1" applyBorder="1" applyAlignment="1" applyProtection="1"/>
    <xf numFmtId="0" fontId="11" fillId="0" borderId="6" xfId="0" applyFont="1" applyFill="1" applyBorder="1" applyAlignment="1" applyProtection="1"/>
    <xf numFmtId="9" fontId="11" fillId="0" borderId="6" xfId="0" applyNumberFormat="1" applyFont="1" applyFill="1" applyBorder="1" applyAlignment="1" applyProtection="1">
      <alignment horizontal="center"/>
    </xf>
    <xf numFmtId="1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left"/>
    </xf>
    <xf numFmtId="0" fontId="10" fillId="0" borderId="6" xfId="0" applyNumberFormat="1" applyFont="1" applyFill="1" applyBorder="1" applyAlignment="1" applyProtection="1">
      <alignment horizontal="center"/>
    </xf>
    <xf numFmtId="3" fontId="10" fillId="0" borderId="0" xfId="0" applyNumberFormat="1" applyFont="1" applyBorder="1" applyAlignment="1" applyProtection="1">
      <alignment vertical="center"/>
      <protection locked="0"/>
    </xf>
    <xf numFmtId="43" fontId="10" fillId="0" borderId="23" xfId="1" applyFont="1" applyFill="1" applyBorder="1" applyProtection="1"/>
    <xf numFmtId="3" fontId="11" fillId="0" borderId="0" xfId="0" applyNumberFormat="1" applyFont="1" applyBorder="1" applyAlignment="1" applyProtection="1">
      <alignment vertical="center"/>
      <protection locked="0"/>
    </xf>
    <xf numFmtId="43" fontId="18" fillId="0" borderId="39" xfId="1" applyFont="1" applyFill="1" applyBorder="1" applyProtection="1"/>
    <xf numFmtId="0" fontId="16" fillId="2" borderId="32" xfId="0" applyFont="1" applyFill="1" applyBorder="1" applyAlignment="1" applyProtection="1">
      <alignment horizontal="center"/>
      <protection locked="0"/>
    </xf>
    <xf numFmtId="0" fontId="16" fillId="2" borderId="7" xfId="0" applyFont="1" applyFill="1" applyBorder="1" applyAlignment="1" applyProtection="1">
      <alignment horizontal="center"/>
      <protection locked="0"/>
    </xf>
    <xf numFmtId="0" fontId="16" fillId="2" borderId="23" xfId="0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 applyProtection="1">
      <alignment horizontal="center"/>
    </xf>
    <xf numFmtId="43" fontId="7" fillId="2" borderId="7" xfId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/>
    <xf numFmtId="43" fontId="0" fillId="0" borderId="7" xfId="1" applyFont="1" applyBorder="1" applyAlignment="1" applyProtection="1"/>
    <xf numFmtId="43" fontId="10" fillId="0" borderId="7" xfId="1" applyFont="1" applyBorder="1" applyProtection="1"/>
    <xf numFmtId="43" fontId="11" fillId="0" borderId="7" xfId="1" applyFont="1" applyBorder="1" applyProtection="1"/>
    <xf numFmtId="0" fontId="10" fillId="0" borderId="6" xfId="0" applyFont="1" applyBorder="1" applyAlignment="1" applyProtection="1"/>
    <xf numFmtId="43" fontId="3" fillId="0" borderId="7" xfId="1" applyFont="1" applyFill="1" applyBorder="1" applyAlignment="1" applyProtection="1"/>
    <xf numFmtId="0" fontId="11" fillId="0" borderId="8" xfId="0" applyFont="1" applyFill="1" applyBorder="1" applyProtection="1"/>
    <xf numFmtId="0" fontId="10" fillId="0" borderId="21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43" fontId="17" fillId="0" borderId="7" xfId="1" applyFont="1" applyFill="1" applyBorder="1" applyProtection="1"/>
    <xf numFmtId="43" fontId="10" fillId="0" borderId="20" xfId="1" applyFont="1" applyFill="1" applyBorder="1" applyProtection="1"/>
    <xf numFmtId="43" fontId="13" fillId="0" borderId="26" xfId="1" applyFont="1" applyFill="1" applyBorder="1" applyProtection="1"/>
    <xf numFmtId="0" fontId="13" fillId="0" borderId="7" xfId="0" applyFont="1" applyFill="1" applyBorder="1" applyAlignment="1" applyProtection="1">
      <alignment horizontal="center" wrapText="1"/>
    </xf>
    <xf numFmtId="43" fontId="6" fillId="0" borderId="7" xfId="1" applyFont="1" applyFill="1" applyBorder="1" applyAlignment="1" applyProtection="1">
      <alignment horizontal="center"/>
    </xf>
    <xf numFmtId="43" fontId="12" fillId="0" borderId="7" xfId="1" applyFont="1" applyFill="1" applyBorder="1" applyProtection="1"/>
    <xf numFmtId="43" fontId="13" fillId="0" borderId="7" xfId="1" applyFont="1" applyFill="1" applyBorder="1" applyAlignment="1" applyProtection="1"/>
    <xf numFmtId="0" fontId="11" fillId="0" borderId="6" xfId="0" applyFont="1" applyFill="1" applyBorder="1" applyAlignment="1" applyProtection="1">
      <alignment horizontal="center"/>
    </xf>
    <xf numFmtId="43" fontId="22" fillId="0" borderId="7" xfId="1" applyFont="1" applyFill="1" applyBorder="1" applyAlignment="1" applyProtection="1"/>
    <xf numFmtId="43" fontId="10" fillId="0" borderId="7" xfId="1" applyFont="1" applyFill="1" applyBorder="1" applyAlignment="1" applyProtection="1">
      <alignment horizontal="center"/>
    </xf>
    <xf numFmtId="43" fontId="22" fillId="0" borderId="7" xfId="0" applyNumberFormat="1" applyFont="1" applyFill="1" applyBorder="1" applyAlignment="1" applyProtection="1"/>
    <xf numFmtId="43" fontId="11" fillId="0" borderId="7" xfId="1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/>
    <xf numFmtId="43" fontId="21" fillId="2" borderId="7" xfId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7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3" fillId="2" borderId="29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/>
    <xf numFmtId="0" fontId="8" fillId="0" borderId="7" xfId="0" applyFont="1" applyBorder="1" applyAlignment="1" applyProtection="1"/>
    <xf numFmtId="43" fontId="0" fillId="0" borderId="35" xfId="1" applyFont="1" applyBorder="1" applyAlignment="1" applyProtection="1"/>
    <xf numFmtId="0" fontId="22" fillId="0" borderId="13" xfId="0" applyFont="1" applyFill="1" applyBorder="1" applyAlignment="1" applyProtection="1">
      <alignment horizontal="center" vertical="center"/>
    </xf>
    <xf numFmtId="43" fontId="0" fillId="0" borderId="35" xfId="0" applyNumberFormat="1" applyFont="1" applyBorder="1" applyAlignment="1" applyProtection="1"/>
    <xf numFmtId="43" fontId="0" fillId="0" borderId="35" xfId="1" applyFont="1" applyBorder="1" applyProtection="1"/>
    <xf numFmtId="0" fontId="16" fillId="2" borderId="8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Protection="1"/>
    <xf numFmtId="43" fontId="10" fillId="2" borderId="19" xfId="1" applyFont="1" applyFill="1" applyBorder="1" applyAlignment="1" applyProtection="1">
      <alignment horizontal="center"/>
      <protection locked="0"/>
    </xf>
    <xf numFmtId="43" fontId="10" fillId="2" borderId="6" xfId="1" applyFont="1" applyFill="1" applyBorder="1" applyAlignment="1" applyProtection="1">
      <alignment horizontal="center"/>
      <protection locked="0"/>
    </xf>
    <xf numFmtId="14" fontId="10" fillId="2" borderId="6" xfId="0" applyNumberFormat="1" applyFont="1" applyFill="1" applyBorder="1" applyAlignment="1" applyProtection="1">
      <protection locked="0"/>
    </xf>
    <xf numFmtId="14" fontId="11" fillId="0" borderId="21" xfId="0" applyNumberFormat="1" applyFont="1" applyBorder="1" applyAlignment="1" applyProtection="1">
      <alignment horizontal="center" vertical="center"/>
      <protection locked="0"/>
    </xf>
    <xf numFmtId="14" fontId="11" fillId="0" borderId="7" xfId="0" applyNumberFormat="1" applyFont="1" applyBorder="1" applyAlignment="1" applyProtection="1">
      <alignment horizontal="center" vertical="center" wrapText="1"/>
      <protection locked="0"/>
    </xf>
    <xf numFmtId="14" fontId="10" fillId="0" borderId="21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vertical="center"/>
      <protection locked="0"/>
    </xf>
    <xf numFmtId="3" fontId="11" fillId="0" borderId="35" xfId="0" applyNumberFormat="1" applyFont="1" applyBorder="1" applyAlignment="1" applyProtection="1">
      <alignment vertical="center"/>
      <protection locked="0"/>
    </xf>
    <xf numFmtId="0" fontId="11" fillId="0" borderId="27" xfId="0" applyFont="1" applyBorder="1" applyAlignment="1" applyProtection="1">
      <alignment horizontal="center"/>
    </xf>
    <xf numFmtId="0" fontId="11" fillId="0" borderId="28" xfId="0" applyFont="1" applyBorder="1" applyAlignment="1" applyProtection="1">
      <alignment horizontal="center"/>
    </xf>
    <xf numFmtId="0" fontId="11" fillId="0" borderId="29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6" fillId="0" borderId="30" xfId="0" applyFont="1" applyBorder="1" applyAlignment="1" applyProtection="1"/>
    <xf numFmtId="0" fontId="10" fillId="0" borderId="31" xfId="0" applyFont="1" applyBorder="1" applyAlignment="1" applyProtection="1"/>
    <xf numFmtId="9" fontId="10" fillId="0" borderId="0" xfId="0" applyNumberFormat="1" applyFont="1" applyBorder="1" applyAlignment="1" applyProtection="1">
      <alignment horizontal="center"/>
    </xf>
    <xf numFmtId="0" fontId="6" fillId="0" borderId="21" xfId="0" applyFont="1" applyBorder="1" applyAlignment="1" applyProtection="1"/>
    <xf numFmtId="0" fontId="6" fillId="0" borderId="22" xfId="0" applyFont="1" applyBorder="1" applyAlignment="1" applyProtection="1"/>
    <xf numFmtId="0" fontId="10" fillId="0" borderId="12" xfId="0" applyFont="1" applyBorder="1" applyAlignment="1" applyProtection="1"/>
    <xf numFmtId="9" fontId="11" fillId="0" borderId="6" xfId="0" applyNumberFormat="1" applyFont="1" applyBorder="1" applyAlignment="1" applyProtection="1">
      <alignment horizontal="center"/>
    </xf>
    <xf numFmtId="0" fontId="0" fillId="0" borderId="13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9" fontId="10" fillId="0" borderId="0" xfId="0" applyNumberFormat="1" applyFont="1" applyBorder="1" applyAlignment="1" applyProtection="1">
      <alignment horizontal="center"/>
      <protection locked="0"/>
    </xf>
    <xf numFmtId="43" fontId="11" fillId="0" borderId="40" xfId="1" applyFont="1" applyBorder="1" applyProtection="1">
      <protection locked="0"/>
    </xf>
    <xf numFmtId="0" fontId="11" fillId="0" borderId="6" xfId="0" applyFont="1" applyBorder="1" applyAlignment="1" applyProtection="1"/>
    <xf numFmtId="0" fontId="10" fillId="0" borderId="6" xfId="0" applyNumberFormat="1" applyFont="1" applyBorder="1" applyAlignment="1" applyProtection="1">
      <alignment horizontal="center"/>
    </xf>
    <xf numFmtId="43" fontId="11" fillId="0" borderId="48" xfId="1" applyFont="1" applyBorder="1" applyProtection="1"/>
    <xf numFmtId="43" fontId="18" fillId="0" borderId="42" xfId="1" applyFont="1" applyBorder="1" applyProtection="1"/>
    <xf numFmtId="43" fontId="0" fillId="0" borderId="0" xfId="0" applyNumberFormat="1" applyFont="1" applyAlignment="1" applyProtection="1">
      <protection locked="0"/>
    </xf>
    <xf numFmtId="43" fontId="11" fillId="0" borderId="40" xfId="1" applyFont="1" applyFill="1" applyBorder="1" applyProtection="1">
      <protection locked="0"/>
    </xf>
    <xf numFmtId="9" fontId="10" fillId="0" borderId="0" xfId="0" applyNumberFormat="1" applyFont="1" applyFill="1" applyBorder="1" applyAlignment="1" applyProtection="1">
      <alignment horizontal="center"/>
      <protection locked="0"/>
    </xf>
    <xf numFmtId="0" fontId="0" fillId="0" borderId="13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9" fontId="10" fillId="0" borderId="38" xfId="0" applyNumberFormat="1" applyFont="1" applyFill="1" applyBorder="1" applyAlignment="1" applyProtection="1">
      <alignment horizontal="center"/>
      <protection locked="0"/>
    </xf>
    <xf numFmtId="43" fontId="11" fillId="0" borderId="43" xfId="1" applyFont="1" applyFill="1" applyBorder="1" applyProtection="1">
      <protection locked="0"/>
    </xf>
    <xf numFmtId="0" fontId="0" fillId="0" borderId="0" xfId="0" applyFill="1" applyProtection="1">
      <protection locked="0"/>
    </xf>
    <xf numFmtId="43" fontId="11" fillId="0" borderId="7" xfId="1" applyFont="1" applyFill="1" applyBorder="1" applyAlignment="1" applyProtection="1">
      <alignment horizontal="left" vertical="center"/>
    </xf>
    <xf numFmtId="43" fontId="11" fillId="0" borderId="35" xfId="1" applyFont="1" applyFill="1" applyBorder="1" applyAlignment="1" applyProtection="1">
      <alignment horizontal="left" vertical="center"/>
    </xf>
    <xf numFmtId="43" fontId="11" fillId="0" borderId="7" xfId="1" applyFont="1" applyBorder="1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0" fillId="0" borderId="0" xfId="0" applyFill="1" applyProtection="1"/>
    <xf numFmtId="0" fontId="2" fillId="2" borderId="0" xfId="0" applyFont="1" applyFill="1" applyProtection="1"/>
    <xf numFmtId="0" fontId="24" fillId="2" borderId="27" xfId="0" applyFont="1" applyFill="1" applyBorder="1" applyAlignment="1" applyProtection="1">
      <alignment horizontal="center"/>
    </xf>
    <xf numFmtId="0" fontId="24" fillId="2" borderId="28" xfId="0" applyFont="1" applyFill="1" applyBorder="1" applyAlignment="1" applyProtection="1">
      <alignment horizontal="center"/>
    </xf>
    <xf numFmtId="0" fontId="24" fillId="2" borderId="29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left"/>
    </xf>
    <xf numFmtId="0" fontId="10" fillId="0" borderId="5" xfId="0" applyFont="1" applyFill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left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</xf>
    <xf numFmtId="0" fontId="14" fillId="0" borderId="31" xfId="0" applyFont="1" applyBorder="1" applyAlignment="1" applyProtection="1">
      <alignment horizontal="center"/>
    </xf>
    <xf numFmtId="0" fontId="14" fillId="0" borderId="32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0" fillId="0" borderId="21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0" fillId="0" borderId="33" xfId="0" applyFont="1" applyBorder="1" applyAlignment="1" applyProtection="1">
      <alignment horizontal="left" vertical="center"/>
    </xf>
    <xf numFmtId="0" fontId="0" fillId="0" borderId="34" xfId="0" applyFont="1" applyBorder="1" applyAlignment="1" applyProtection="1">
      <alignment horizontal="left" vertical="center"/>
    </xf>
    <xf numFmtId="0" fontId="11" fillId="0" borderId="21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left" vertical="center"/>
    </xf>
    <xf numFmtId="0" fontId="11" fillId="0" borderId="22" xfId="0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 applyProtection="1">
      <alignment horizontal="left" vertical="center"/>
    </xf>
    <xf numFmtId="43" fontId="11" fillId="2" borderId="7" xfId="1" applyFont="1" applyFill="1" applyBorder="1" applyAlignment="1" applyProtection="1">
      <alignment horizontal="center"/>
      <protection locked="0"/>
    </xf>
    <xf numFmtId="43" fontId="11" fillId="2" borderId="23" xfId="1" applyFont="1" applyFill="1" applyBorder="1" applyAlignment="1" applyProtection="1">
      <alignment horizontal="center"/>
      <protection locked="0"/>
    </xf>
    <xf numFmtId="0" fontId="13" fillId="0" borderId="24" xfId="0" applyFont="1" applyFill="1" applyBorder="1" applyAlignment="1" applyProtection="1">
      <alignment horizontal="center"/>
    </xf>
    <xf numFmtId="0" fontId="13" fillId="0" borderId="25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/>
    </xf>
    <xf numFmtId="0" fontId="12" fillId="0" borderId="8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 wrapText="1"/>
    </xf>
    <xf numFmtId="0" fontId="11" fillId="0" borderId="11" xfId="0" applyFont="1" applyFill="1" applyBorder="1" applyAlignment="1" applyProtection="1">
      <alignment horizontal="left" wrapText="1"/>
    </xf>
    <xf numFmtId="0" fontId="11" fillId="0" borderId="13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11" fillId="0" borderId="14" xfId="0" applyFont="1" applyFill="1" applyBorder="1" applyAlignment="1" applyProtection="1">
      <alignment horizontal="left" wrapText="1"/>
    </xf>
    <xf numFmtId="0" fontId="11" fillId="0" borderId="16" xfId="0" applyFont="1" applyFill="1" applyBorder="1" applyAlignment="1" applyProtection="1">
      <alignment horizontal="left" wrapText="1"/>
    </xf>
    <xf numFmtId="0" fontId="11" fillId="0" borderId="17" xfId="0" applyFont="1" applyFill="1" applyBorder="1" applyAlignment="1" applyProtection="1">
      <alignment horizontal="left" wrapText="1"/>
    </xf>
    <xf numFmtId="0" fontId="11" fillId="0" borderId="18" xfId="0" applyFont="1" applyFill="1" applyBorder="1" applyAlignment="1" applyProtection="1">
      <alignment horizontal="left" wrapText="1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/>
    </xf>
    <xf numFmtId="0" fontId="5" fillId="0" borderId="45" xfId="0" applyFont="1" applyFill="1" applyBorder="1" applyAlignment="1" applyProtection="1">
      <alignment horizontal="center"/>
    </xf>
    <xf numFmtId="0" fontId="5" fillId="0" borderId="46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/>
    </xf>
    <xf numFmtId="0" fontId="8" fillId="0" borderId="27" xfId="0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center"/>
    </xf>
    <xf numFmtId="0" fontId="8" fillId="0" borderId="29" xfId="0" applyFont="1" applyFill="1" applyBorder="1" applyAlignment="1" applyProtection="1">
      <alignment horizontal="center"/>
    </xf>
    <xf numFmtId="0" fontId="6" fillId="0" borderId="37" xfId="0" applyFont="1" applyFill="1" applyBorder="1" applyAlignment="1" applyProtection="1">
      <alignment horizontal="center"/>
      <protection locked="0"/>
    </xf>
    <xf numFmtId="0" fontId="0" fillId="0" borderId="38" xfId="0" applyFill="1" applyBorder="1" applyAlignment="1" applyProtection="1">
      <alignment horizontal="center"/>
      <protection locked="0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horizontal="center"/>
    </xf>
    <xf numFmtId="0" fontId="11" fillId="0" borderId="38" xfId="0" applyFont="1" applyFill="1" applyBorder="1" applyAlignment="1" applyProtection="1">
      <alignment horizontal="center"/>
    </xf>
    <xf numFmtId="0" fontId="0" fillId="0" borderId="27" xfId="0" applyFont="1" applyFill="1" applyBorder="1" applyAlignment="1" applyProtection="1">
      <alignment horizontal="center"/>
    </xf>
    <xf numFmtId="0" fontId="0" fillId="0" borderId="28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wrapText="1"/>
    </xf>
    <xf numFmtId="0" fontId="8" fillId="0" borderId="10" xfId="0" applyFont="1" applyFill="1" applyBorder="1" applyAlignment="1" applyProtection="1">
      <alignment horizontal="left" wrapText="1"/>
    </xf>
    <xf numFmtId="0" fontId="8" fillId="0" borderId="11" xfId="0" applyFont="1" applyFill="1" applyBorder="1" applyAlignment="1" applyProtection="1">
      <alignment horizontal="left" wrapText="1"/>
    </xf>
    <xf numFmtId="0" fontId="8" fillId="0" borderId="13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14" xfId="0" applyFont="1" applyFill="1" applyBorder="1" applyAlignment="1" applyProtection="1">
      <alignment horizontal="left" wrapText="1"/>
    </xf>
    <xf numFmtId="0" fontId="8" fillId="0" borderId="16" xfId="0" applyFont="1" applyFill="1" applyBorder="1" applyAlignment="1" applyProtection="1">
      <alignment horizontal="left" wrapText="1"/>
    </xf>
    <xf numFmtId="0" fontId="8" fillId="0" borderId="17" xfId="0" applyFont="1" applyFill="1" applyBorder="1" applyAlignment="1" applyProtection="1">
      <alignment horizontal="left" wrapText="1"/>
    </xf>
    <xf numFmtId="0" fontId="8" fillId="0" borderId="18" xfId="0" applyFont="1" applyFill="1" applyBorder="1" applyAlignment="1" applyProtection="1">
      <alignment horizontal="left" wrapText="1"/>
    </xf>
    <xf numFmtId="0" fontId="9" fillId="0" borderId="4" xfId="0" applyFont="1" applyFill="1" applyBorder="1" applyAlignment="1" applyProtection="1">
      <alignment horizontal="left" wrapText="1"/>
    </xf>
    <xf numFmtId="0" fontId="9" fillId="0" borderId="5" xfId="0" applyFont="1" applyFill="1" applyBorder="1" applyAlignment="1" applyProtection="1">
      <alignment horizontal="left" wrapText="1"/>
    </xf>
    <xf numFmtId="0" fontId="9" fillId="0" borderId="8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14" fontId="11" fillId="0" borderId="47" xfId="0" applyNumberFormat="1" applyFont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14" fontId="11" fillId="0" borderId="8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left"/>
    </xf>
    <xf numFmtId="0" fontId="6" fillId="0" borderId="38" xfId="0" applyFont="1" applyFill="1" applyBorder="1" applyAlignment="1" applyProtection="1">
      <alignment horizontal="left"/>
    </xf>
    <xf numFmtId="14" fontId="11" fillId="0" borderId="49" xfId="0" applyNumberFormat="1" applyFont="1" applyBorder="1" applyAlignment="1" applyProtection="1">
      <alignment horizontal="right" vertical="center"/>
      <protection locked="0"/>
    </xf>
    <xf numFmtId="14" fontId="11" fillId="0" borderId="50" xfId="0" applyNumberFormat="1" applyFont="1" applyBorder="1" applyAlignment="1" applyProtection="1">
      <alignment horizontal="right" vertical="center"/>
      <protection locked="0"/>
    </xf>
    <xf numFmtId="14" fontId="11" fillId="0" borderId="51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5" fillId="0" borderId="33" xfId="0" applyFont="1" applyFill="1" applyBorder="1" applyAlignment="1" applyProtection="1">
      <alignment horizontal="center"/>
    </xf>
    <xf numFmtId="0" fontId="5" fillId="0" borderId="34" xfId="0" applyFont="1" applyFill="1" applyBorder="1" applyAlignment="1" applyProtection="1">
      <alignment horizontal="center"/>
    </xf>
    <xf numFmtId="0" fontId="5" fillId="0" borderId="52" xfId="0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0" fillId="0" borderId="21" xfId="0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10"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3" dT="2019-01-30T09:42:36.05" personId="{00000000-0000-0000-0000-000000000000}" id="{C32AD05C-E7BF-4D9D-9590-14161BCF43A1}">
    <text>Return filing Due date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6" dT="2019-01-30T09:43:06.97" personId="{00000000-0000-0000-0000-000000000000}" id="{CBBC8F37-0502-4F56-9D57-ABD6FF496FBA}">
    <text>return filing due date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7344-1172-4E09-8128-33B9B1D08108}">
  <dimension ref="B2:L5"/>
  <sheetViews>
    <sheetView tabSelected="1" workbookViewId="0">
      <selection activeCell="L11" sqref="L11"/>
    </sheetView>
  </sheetViews>
  <sheetFormatPr defaultRowHeight="15" x14ac:dyDescent="0.25"/>
  <cols>
    <col min="1" max="16384" width="9.140625" style="84"/>
  </cols>
  <sheetData>
    <row r="2" spans="2:12" x14ac:dyDescent="0.25">
      <c r="B2" s="133" t="s">
        <v>73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2:12" x14ac:dyDescent="0.25">
      <c r="B3" s="133">
        <v>1</v>
      </c>
      <c r="C3" s="134"/>
      <c r="D3" s="133" t="s">
        <v>74</v>
      </c>
      <c r="E3" s="133"/>
      <c r="F3" s="133"/>
      <c r="G3" s="133"/>
      <c r="H3" s="133"/>
      <c r="I3" s="133"/>
      <c r="J3" s="133"/>
      <c r="K3" s="133"/>
      <c r="L3" s="133"/>
    </row>
    <row r="4" spans="2:12" x14ac:dyDescent="0.25">
      <c r="B4" s="133"/>
      <c r="C4" s="135"/>
      <c r="D4" s="133"/>
      <c r="E4" s="133"/>
      <c r="F4" s="133"/>
      <c r="G4" s="133"/>
      <c r="H4" s="133"/>
      <c r="I4" s="133"/>
      <c r="J4" s="133"/>
      <c r="K4" s="133"/>
      <c r="L4" s="133"/>
    </row>
    <row r="5" spans="2:12" x14ac:dyDescent="0.25">
      <c r="B5" s="133">
        <v>2</v>
      </c>
      <c r="C5" s="136" t="s">
        <v>75</v>
      </c>
      <c r="D5" s="133" t="s">
        <v>76</v>
      </c>
      <c r="E5" s="133"/>
      <c r="F5" s="133"/>
      <c r="G5" s="133"/>
      <c r="H5" s="133"/>
      <c r="I5" s="133"/>
      <c r="J5" s="133"/>
      <c r="K5" s="133"/>
      <c r="L5" s="133"/>
    </row>
  </sheetData>
  <sheetProtection password="9B0D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C1:O39"/>
  <sheetViews>
    <sheetView zoomScaleNormal="100" workbookViewId="0"/>
  </sheetViews>
  <sheetFormatPr defaultRowHeight="15" x14ac:dyDescent="0.25"/>
  <cols>
    <col min="1" max="2" width="9.140625" style="84" customWidth="1"/>
    <col min="3" max="6" width="18.7109375" style="84" customWidth="1"/>
    <col min="7" max="7" width="20.7109375" style="84" customWidth="1"/>
    <col min="8" max="8" width="16.5703125" style="84" customWidth="1"/>
    <col min="9" max="10" width="9.140625" style="84"/>
    <col min="11" max="14" width="18.7109375" style="84" customWidth="1"/>
    <col min="15" max="15" width="21" style="84" bestFit="1" customWidth="1"/>
    <col min="16" max="16384" width="9.140625" style="84"/>
  </cols>
  <sheetData>
    <row r="1" spans="3:15" ht="15.75" thickBot="1" x14ac:dyDescent="0.3"/>
    <row r="2" spans="3:15" ht="24" thickBot="1" x14ac:dyDescent="0.4">
      <c r="C2" s="137" t="s">
        <v>72</v>
      </c>
      <c r="D2" s="138"/>
      <c r="E2" s="138"/>
      <c r="F2" s="138"/>
      <c r="G2" s="139"/>
      <c r="K2" s="137" t="s">
        <v>57</v>
      </c>
      <c r="L2" s="138"/>
      <c r="M2" s="138"/>
      <c r="N2" s="138"/>
      <c r="O2" s="139"/>
    </row>
    <row r="3" spans="3:15" ht="15.75" x14ac:dyDescent="0.25">
      <c r="C3" s="169" t="s">
        <v>70</v>
      </c>
      <c r="D3" s="170"/>
      <c r="E3" s="170"/>
      <c r="F3" s="170"/>
      <c r="G3" s="171"/>
      <c r="K3" s="169" t="s">
        <v>71</v>
      </c>
      <c r="L3" s="170"/>
      <c r="M3" s="170"/>
      <c r="N3" s="170"/>
      <c r="O3" s="171"/>
    </row>
    <row r="4" spans="3:15" ht="15.75" x14ac:dyDescent="0.25">
      <c r="C4" s="172" t="s">
        <v>32</v>
      </c>
      <c r="D4" s="173"/>
      <c r="E4" s="173"/>
      <c r="F4" s="82" t="s">
        <v>2</v>
      </c>
      <c r="G4" s="69" t="s">
        <v>3</v>
      </c>
      <c r="K4" s="172" t="s">
        <v>1</v>
      </c>
      <c r="L4" s="173"/>
      <c r="M4" s="173"/>
      <c r="N4" s="82" t="s">
        <v>2</v>
      </c>
      <c r="O4" s="83" t="s">
        <v>57</v>
      </c>
    </row>
    <row r="5" spans="3:15" x14ac:dyDescent="0.25">
      <c r="C5" s="174" t="s">
        <v>4</v>
      </c>
      <c r="D5" s="175"/>
      <c r="E5" s="175"/>
      <c r="F5" s="176"/>
      <c r="G5" s="81">
        <v>0</v>
      </c>
      <c r="K5" s="174" t="s">
        <v>79</v>
      </c>
      <c r="L5" s="175"/>
      <c r="M5" s="175"/>
      <c r="N5" s="176"/>
      <c r="O5" s="81">
        <v>0</v>
      </c>
    </row>
    <row r="6" spans="3:15" x14ac:dyDescent="0.25">
      <c r="C6" s="184" t="s">
        <v>5</v>
      </c>
      <c r="D6" s="185"/>
      <c r="E6" s="185"/>
      <c r="F6" s="186"/>
      <c r="G6" s="81">
        <v>0</v>
      </c>
      <c r="K6" s="184" t="s">
        <v>58</v>
      </c>
      <c r="L6" s="185"/>
      <c r="M6" s="185"/>
      <c r="N6" s="186"/>
      <c r="O6" s="81">
        <v>0</v>
      </c>
    </row>
    <row r="7" spans="3:15" ht="15.75" x14ac:dyDescent="0.25">
      <c r="C7" s="187" t="s">
        <v>6</v>
      </c>
      <c r="D7" s="188"/>
      <c r="E7" s="188"/>
      <c r="F7" s="189"/>
      <c r="G7" s="72">
        <f>G5-G6</f>
        <v>0</v>
      </c>
      <c r="K7" s="187" t="s">
        <v>6</v>
      </c>
      <c r="L7" s="188"/>
      <c r="M7" s="188"/>
      <c r="N7" s="189"/>
      <c r="O7" s="72">
        <f>O5-O6</f>
        <v>0</v>
      </c>
    </row>
    <row r="8" spans="3:15" x14ac:dyDescent="0.25">
      <c r="C8" s="166" t="s">
        <v>7</v>
      </c>
      <c r="D8" s="167"/>
      <c r="E8" s="168"/>
      <c r="F8" s="73" t="s">
        <v>8</v>
      </c>
      <c r="G8" s="74"/>
      <c r="K8" s="166" t="s">
        <v>59</v>
      </c>
      <c r="L8" s="167"/>
      <c r="M8" s="168"/>
      <c r="N8" s="63" t="s">
        <v>8</v>
      </c>
      <c r="O8" s="77" t="s">
        <v>39</v>
      </c>
    </row>
    <row r="9" spans="3:15" x14ac:dyDescent="0.25">
      <c r="C9" s="190" t="s">
        <v>9</v>
      </c>
      <c r="D9" s="191"/>
      <c r="E9" s="192"/>
      <c r="F9" s="199" t="s">
        <v>18</v>
      </c>
      <c r="G9" s="74"/>
      <c r="K9" s="90">
        <v>0</v>
      </c>
      <c r="L9" s="78">
        <v>250000</v>
      </c>
      <c r="M9" s="79">
        <v>0</v>
      </c>
      <c r="N9" s="55" t="s">
        <v>60</v>
      </c>
      <c r="O9" s="5">
        <f>0</f>
        <v>0</v>
      </c>
    </row>
    <row r="10" spans="3:15" x14ac:dyDescent="0.25">
      <c r="C10" s="193"/>
      <c r="D10" s="194"/>
      <c r="E10" s="195"/>
      <c r="F10" s="200"/>
      <c r="G10" s="74"/>
      <c r="K10" s="64">
        <v>250000</v>
      </c>
      <c r="L10" s="65">
        <v>500000</v>
      </c>
      <c r="M10" s="65">
        <f>IF(O7&gt;L10,L10-K10,O7-K10)</f>
        <v>-250000</v>
      </c>
      <c r="N10" s="4">
        <v>0.05</v>
      </c>
      <c r="O10" s="74">
        <f>MAX(0,M10*N10)</f>
        <v>0</v>
      </c>
    </row>
    <row r="11" spans="3:15" x14ac:dyDescent="0.25">
      <c r="C11" s="196"/>
      <c r="D11" s="197"/>
      <c r="E11" s="198"/>
      <c r="F11" s="201"/>
      <c r="G11" s="74"/>
      <c r="K11" s="64">
        <v>500000</v>
      </c>
      <c r="L11" s="65">
        <v>1000000</v>
      </c>
      <c r="M11" s="65">
        <f>IF(O7&gt;L11,L11-K11,O7-K11)</f>
        <v>-500000</v>
      </c>
      <c r="N11" s="4">
        <v>0.2</v>
      </c>
      <c r="O11" s="74">
        <f>MAX(0,M11*N11)</f>
        <v>0</v>
      </c>
    </row>
    <row r="12" spans="3:15" ht="15" customHeight="1" x14ac:dyDescent="0.25">
      <c r="C12" s="190" t="s">
        <v>11</v>
      </c>
      <c r="D12" s="191"/>
      <c r="E12" s="192"/>
      <c r="F12" s="93" t="s">
        <v>10</v>
      </c>
      <c r="G12" s="74"/>
      <c r="K12" s="64">
        <v>1000000</v>
      </c>
      <c r="L12" s="65" t="s">
        <v>61</v>
      </c>
      <c r="M12" s="65">
        <f>IF(O7&gt;L12,L12-K12,O7-K12)</f>
        <v>-1000000</v>
      </c>
      <c r="N12" s="4">
        <v>0.3</v>
      </c>
      <c r="O12" s="74">
        <f>IF((O7&gt;1000000),(O7-1000000)*30%,0)</f>
        <v>0</v>
      </c>
    </row>
    <row r="13" spans="3:15" ht="15.75" x14ac:dyDescent="0.25">
      <c r="C13" s="181" t="s">
        <v>12</v>
      </c>
      <c r="D13" s="182"/>
      <c r="E13" s="183"/>
      <c r="F13" s="4">
        <f>IF(F9="Yes",25%,IF(F12="Yes",25%,30%))</f>
        <v>0.25</v>
      </c>
      <c r="G13" s="75">
        <f>G7*F13</f>
        <v>0</v>
      </c>
      <c r="K13" s="172" t="s">
        <v>13</v>
      </c>
      <c r="L13" s="173"/>
      <c r="M13" s="173"/>
      <c r="N13" s="177"/>
      <c r="O13" s="39">
        <f>SUM(O10:O12)</f>
        <v>0</v>
      </c>
    </row>
    <row r="14" spans="3:15" x14ac:dyDescent="0.25">
      <c r="C14" s="181"/>
      <c r="D14" s="182"/>
      <c r="E14" s="183"/>
      <c r="F14" s="4"/>
      <c r="G14" s="5"/>
      <c r="K14" s="140" t="s">
        <v>62</v>
      </c>
      <c r="L14" s="141"/>
      <c r="M14" s="142"/>
      <c r="N14" s="6">
        <f>IF(O4="Senior Citizen",2500,0)</f>
        <v>0</v>
      </c>
      <c r="O14" s="80"/>
    </row>
    <row r="15" spans="3:15" x14ac:dyDescent="0.25">
      <c r="C15" s="181"/>
      <c r="D15" s="182"/>
      <c r="E15" s="183"/>
      <c r="F15" s="6"/>
      <c r="G15" s="76"/>
      <c r="K15" s="140" t="s">
        <v>63</v>
      </c>
      <c r="L15" s="141"/>
      <c r="M15" s="142"/>
      <c r="N15" s="6">
        <f>IF(O4="Super Senior Citizen",12500,0)</f>
        <v>0</v>
      </c>
      <c r="O15" s="76"/>
    </row>
    <row r="16" spans="3:15" ht="15.75" x14ac:dyDescent="0.25">
      <c r="C16" s="172" t="s">
        <v>13</v>
      </c>
      <c r="D16" s="173"/>
      <c r="E16" s="173"/>
      <c r="F16" s="177"/>
      <c r="G16" s="71">
        <f>G13</f>
        <v>0</v>
      </c>
      <c r="K16" s="181" t="s">
        <v>64</v>
      </c>
      <c r="L16" s="182"/>
      <c r="M16" s="183"/>
      <c r="N16" s="6">
        <f>IF(O7&lt;=350000,2500,0)</f>
        <v>2500</v>
      </c>
      <c r="O16" s="76">
        <f>N14+N15+N16</f>
        <v>2500</v>
      </c>
    </row>
    <row r="17" spans="3:15" x14ac:dyDescent="0.25">
      <c r="C17" s="140" t="s">
        <v>14</v>
      </c>
      <c r="D17" s="141"/>
      <c r="E17" s="142"/>
      <c r="F17" s="25">
        <f>IF(F4="SELECT","SELECT AY",IF(F4="2018-19",3%,4%))</f>
        <v>0.04</v>
      </c>
      <c r="G17" s="67">
        <f>G16*F17</f>
        <v>0</v>
      </c>
      <c r="K17" s="178" t="s">
        <v>65</v>
      </c>
      <c r="L17" s="179"/>
      <c r="M17" s="179"/>
      <c r="N17" s="180"/>
      <c r="O17" s="66">
        <f>FLOOR(CEILING(IF((O13-O16)&lt;0,0,(O13-O16)),5),10)</f>
        <v>0</v>
      </c>
    </row>
    <row r="18" spans="3:15" x14ac:dyDescent="0.25">
      <c r="C18" s="158" t="s">
        <v>15</v>
      </c>
      <c r="D18" s="159"/>
      <c r="E18" s="159"/>
      <c r="F18" s="159"/>
      <c r="G18" s="162">
        <v>0</v>
      </c>
      <c r="K18" s="140" t="s">
        <v>14</v>
      </c>
      <c r="L18" s="141"/>
      <c r="M18" s="142"/>
      <c r="N18" s="25">
        <f>IF(N4="SELECT","SELECT AY",IF(N4="2018-19",3%,4%))</f>
        <v>0.04</v>
      </c>
      <c r="O18" s="67">
        <f>ROUND(_xlfn.IFS(N4="2018-19",(O17*3/100),N4="2019-20",(O17*4/100)),0)</f>
        <v>0</v>
      </c>
    </row>
    <row r="19" spans="3:15" x14ac:dyDescent="0.25">
      <c r="C19" s="160"/>
      <c r="D19" s="161"/>
      <c r="E19" s="161"/>
      <c r="F19" s="161"/>
      <c r="G19" s="163"/>
      <c r="K19" s="158" t="s">
        <v>66</v>
      </c>
      <c r="L19" s="159"/>
      <c r="M19" s="159"/>
      <c r="N19" s="159"/>
      <c r="O19" s="162">
        <v>0</v>
      </c>
    </row>
    <row r="20" spans="3:15" ht="16.5" thickBot="1" x14ac:dyDescent="0.3">
      <c r="C20" s="164" t="s">
        <v>16</v>
      </c>
      <c r="D20" s="165"/>
      <c r="E20" s="165"/>
      <c r="F20" s="165"/>
      <c r="G20" s="68">
        <f>MAX(0,G16+G17)-G18</f>
        <v>0</v>
      </c>
      <c r="K20" s="160"/>
      <c r="L20" s="161"/>
      <c r="M20" s="161"/>
      <c r="N20" s="161"/>
      <c r="O20" s="163"/>
    </row>
    <row r="21" spans="3:15" ht="17.25" thickTop="1" thickBot="1" x14ac:dyDescent="0.3">
      <c r="C21" s="87"/>
      <c r="D21" s="87"/>
      <c r="E21" s="87"/>
      <c r="F21" s="87"/>
      <c r="G21" s="87"/>
      <c r="K21" s="164" t="s">
        <v>16</v>
      </c>
      <c r="L21" s="165"/>
      <c r="M21" s="165"/>
      <c r="N21" s="165"/>
      <c r="O21" s="68">
        <f>MAX(0,O17+O18)-O19</f>
        <v>0</v>
      </c>
    </row>
    <row r="22" spans="3:15" ht="21.75" thickTop="1" thickBot="1" x14ac:dyDescent="0.3">
      <c r="C22" s="143" t="s">
        <v>17</v>
      </c>
      <c r="D22" s="144"/>
      <c r="E22" s="144"/>
      <c r="F22" s="145"/>
      <c r="G22" s="85" t="s">
        <v>18</v>
      </c>
    </row>
    <row r="23" spans="3:15" ht="21" thickBot="1" x14ac:dyDescent="0.3">
      <c r="C23" s="13"/>
      <c r="D23" s="13"/>
      <c r="E23" s="13"/>
      <c r="F23" s="13"/>
      <c r="G23" s="13"/>
      <c r="K23" s="143" t="s">
        <v>17</v>
      </c>
      <c r="L23" s="144"/>
      <c r="M23" s="144"/>
      <c r="N23" s="145"/>
      <c r="O23" s="85" t="s">
        <v>18</v>
      </c>
    </row>
    <row r="24" spans="3:15" ht="15.75" thickBot="1" x14ac:dyDescent="0.3">
      <c r="C24" s="146" t="s">
        <v>19</v>
      </c>
      <c r="D24" s="147"/>
      <c r="E24" s="147"/>
      <c r="F24" s="147"/>
      <c r="G24" s="148"/>
      <c r="K24" s="13"/>
      <c r="L24" s="13"/>
      <c r="M24" s="13"/>
      <c r="N24" s="13"/>
      <c r="O24" s="13"/>
    </row>
    <row r="25" spans="3:15" x14ac:dyDescent="0.25">
      <c r="C25" s="149" t="s">
        <v>20</v>
      </c>
      <c r="D25" s="150"/>
      <c r="E25" s="150"/>
      <c r="F25" s="150"/>
      <c r="G25" s="88" t="s">
        <v>19</v>
      </c>
      <c r="K25" s="146" t="s">
        <v>19</v>
      </c>
      <c r="L25" s="147"/>
      <c r="M25" s="147"/>
      <c r="N25" s="147"/>
      <c r="O25" s="148"/>
    </row>
    <row r="26" spans="3:15" x14ac:dyDescent="0.25">
      <c r="C26" s="154" t="s">
        <v>21</v>
      </c>
      <c r="D26" s="155"/>
      <c r="E26" s="155"/>
      <c r="F26" s="155"/>
      <c r="G26" s="58">
        <f>IF(G22="No",0,IF(G20&gt;=10000,G20*15%,0))</f>
        <v>0</v>
      </c>
      <c r="K26" s="149" t="s">
        <v>20</v>
      </c>
      <c r="L26" s="150"/>
      <c r="M26" s="150"/>
      <c r="N26" s="150"/>
      <c r="O26" s="88" t="s">
        <v>19</v>
      </c>
    </row>
    <row r="27" spans="3:15" x14ac:dyDescent="0.25">
      <c r="C27" s="154" t="s">
        <v>22</v>
      </c>
      <c r="D27" s="155"/>
      <c r="E27" s="155"/>
      <c r="F27" s="155"/>
      <c r="G27" s="58">
        <f>IF(G22="No",0,IF(G20&gt;=10000,G20*45%,0))</f>
        <v>0</v>
      </c>
      <c r="K27" s="154" t="s">
        <v>21</v>
      </c>
      <c r="L27" s="155"/>
      <c r="M27" s="155"/>
      <c r="N27" s="155"/>
      <c r="O27" s="58">
        <f>FLOOR(CEILING(IF(O23="No",0,IF(O21&gt;=10000,O21*15%,0))*1,1)*1,1)</f>
        <v>0</v>
      </c>
    </row>
    <row r="28" spans="3:15" x14ac:dyDescent="0.25">
      <c r="C28" s="154" t="s">
        <v>23</v>
      </c>
      <c r="D28" s="155"/>
      <c r="E28" s="155"/>
      <c r="F28" s="155"/>
      <c r="G28" s="58">
        <f>IF(G22="No",0,IF(G20&gt;=10000,G20*75%,0))</f>
        <v>0</v>
      </c>
      <c r="K28" s="154" t="s">
        <v>22</v>
      </c>
      <c r="L28" s="155"/>
      <c r="M28" s="155"/>
      <c r="N28" s="155"/>
      <c r="O28" s="58">
        <f>FLOOR(CEILING(IF(O23="No",0,IF(O21&gt;=10000,O21*45%,0))*1,1)*1,1)</f>
        <v>0</v>
      </c>
    </row>
    <row r="29" spans="3:15" x14ac:dyDescent="0.25">
      <c r="C29" s="154" t="s">
        <v>24</v>
      </c>
      <c r="D29" s="155"/>
      <c r="E29" s="155"/>
      <c r="F29" s="155"/>
      <c r="G29" s="58">
        <f>IF(G22="No",0,IF(G20&gt;=10000,G20*100%,0))</f>
        <v>0</v>
      </c>
      <c r="K29" s="154" t="s">
        <v>23</v>
      </c>
      <c r="L29" s="155"/>
      <c r="M29" s="155"/>
      <c r="N29" s="155"/>
      <c r="O29" s="58">
        <f>FLOOR(CEILING(IF(O23="No",0,IF(O21&gt;=10000,O21*75%,0))*1,1)*1,1)</f>
        <v>0</v>
      </c>
    </row>
    <row r="30" spans="3:15" x14ac:dyDescent="0.25">
      <c r="C30" s="86"/>
      <c r="D30" s="13"/>
      <c r="E30" s="13"/>
      <c r="F30" s="13"/>
      <c r="G30" s="13"/>
      <c r="K30" s="154" t="s">
        <v>24</v>
      </c>
      <c r="L30" s="155"/>
      <c r="M30" s="155"/>
      <c r="N30" s="155"/>
      <c r="O30" s="58">
        <f>FLOOR(CEILING(IF(O23="No",0,IF(O21&gt;=10000,O21*100%,0))*1,1)*1,1)</f>
        <v>0</v>
      </c>
    </row>
    <row r="31" spans="3:15" ht="15.75" thickBot="1" x14ac:dyDescent="0.3">
      <c r="C31" s="13"/>
      <c r="D31" s="13"/>
      <c r="E31" s="13"/>
      <c r="F31" s="13"/>
      <c r="G31" s="13"/>
      <c r="K31" s="156" t="s">
        <v>68</v>
      </c>
      <c r="L31" s="157"/>
      <c r="M31" s="157"/>
      <c r="N31" s="157"/>
      <c r="O31" s="91">
        <f>O30</f>
        <v>0</v>
      </c>
    </row>
    <row r="32" spans="3:15" ht="15.75" thickBot="1" x14ac:dyDescent="0.3">
      <c r="C32" s="151" t="s">
        <v>25</v>
      </c>
      <c r="D32" s="152"/>
      <c r="E32" s="152"/>
      <c r="F32" s="152"/>
      <c r="G32" s="153"/>
      <c r="K32" s="13"/>
      <c r="L32" s="13"/>
      <c r="M32" s="13"/>
      <c r="N32" s="13"/>
      <c r="O32" s="13"/>
    </row>
    <row r="33" spans="3:15" x14ac:dyDescent="0.25">
      <c r="C33" s="149" t="s">
        <v>20</v>
      </c>
      <c r="D33" s="150"/>
      <c r="E33" s="150"/>
      <c r="F33" s="150"/>
      <c r="G33" s="88" t="s">
        <v>26</v>
      </c>
      <c r="K33" s="151" t="s">
        <v>25</v>
      </c>
      <c r="L33" s="152"/>
      <c r="M33" s="152"/>
      <c r="N33" s="152"/>
      <c r="O33" s="153"/>
    </row>
    <row r="34" spans="3:15" x14ac:dyDescent="0.25">
      <c r="C34" s="154" t="s">
        <v>27</v>
      </c>
      <c r="D34" s="155"/>
      <c r="E34" s="155"/>
      <c r="F34" s="155"/>
      <c r="G34" s="58">
        <f>G26</f>
        <v>0</v>
      </c>
      <c r="K34" s="149" t="s">
        <v>20</v>
      </c>
      <c r="L34" s="150"/>
      <c r="M34" s="150"/>
      <c r="N34" s="150"/>
      <c r="O34" s="88" t="s">
        <v>26</v>
      </c>
    </row>
    <row r="35" spans="3:15" x14ac:dyDescent="0.25">
      <c r="C35" s="154" t="s">
        <v>28</v>
      </c>
      <c r="D35" s="155"/>
      <c r="E35" s="155"/>
      <c r="F35" s="155"/>
      <c r="G35" s="58">
        <f>G27-SUM(G34)</f>
        <v>0</v>
      </c>
      <c r="K35" s="154" t="s">
        <v>27</v>
      </c>
      <c r="L35" s="155"/>
      <c r="M35" s="155"/>
      <c r="N35" s="155"/>
      <c r="O35" s="58">
        <f>O27</f>
        <v>0</v>
      </c>
    </row>
    <row r="36" spans="3:15" x14ac:dyDescent="0.25">
      <c r="C36" s="154" t="s">
        <v>29</v>
      </c>
      <c r="D36" s="155"/>
      <c r="E36" s="155"/>
      <c r="F36" s="155"/>
      <c r="G36" s="58">
        <f>G28-SUM(G34:G35)</f>
        <v>0</v>
      </c>
      <c r="K36" s="154" t="s">
        <v>28</v>
      </c>
      <c r="L36" s="155"/>
      <c r="M36" s="155"/>
      <c r="N36" s="155"/>
      <c r="O36" s="58">
        <f>O28-SUM(O35)</f>
        <v>0</v>
      </c>
    </row>
    <row r="37" spans="3:15" ht="15.75" thickBot="1" x14ac:dyDescent="0.3">
      <c r="C37" s="156" t="s">
        <v>30</v>
      </c>
      <c r="D37" s="157"/>
      <c r="E37" s="157"/>
      <c r="F37" s="157"/>
      <c r="G37" s="89">
        <f>G29-SUM(G34:G36)</f>
        <v>0</v>
      </c>
      <c r="K37" s="154" t="s">
        <v>29</v>
      </c>
      <c r="L37" s="155"/>
      <c r="M37" s="155"/>
      <c r="N37" s="155"/>
      <c r="O37" s="58">
        <f>O29-SUM(O35:O36)</f>
        <v>0</v>
      </c>
    </row>
    <row r="38" spans="3:15" x14ac:dyDescent="0.25">
      <c r="K38" s="154" t="s">
        <v>30</v>
      </c>
      <c r="L38" s="155"/>
      <c r="M38" s="155"/>
      <c r="N38" s="155"/>
      <c r="O38" s="58">
        <f>O30-SUM(O35:O37)</f>
        <v>0</v>
      </c>
    </row>
    <row r="39" spans="3:15" ht="15.75" thickBot="1" x14ac:dyDescent="0.3">
      <c r="K39" s="156" t="s">
        <v>69</v>
      </c>
      <c r="L39" s="157"/>
      <c r="M39" s="157"/>
      <c r="N39" s="157"/>
      <c r="O39" s="92">
        <v>0</v>
      </c>
    </row>
  </sheetData>
  <sheetProtection password="9B0D" sheet="1" objects="1" scenarios="1" selectLockedCells="1"/>
  <mergeCells count="62">
    <mergeCell ref="C15:E15"/>
    <mergeCell ref="C3:G3"/>
    <mergeCell ref="C4:E4"/>
    <mergeCell ref="C5:F5"/>
    <mergeCell ref="C6:F6"/>
    <mergeCell ref="C7:F7"/>
    <mergeCell ref="C8:E8"/>
    <mergeCell ref="C34:F34"/>
    <mergeCell ref="C35:F35"/>
    <mergeCell ref="C36:F36"/>
    <mergeCell ref="C37:F37"/>
    <mergeCell ref="C24:G24"/>
    <mergeCell ref="C25:F25"/>
    <mergeCell ref="C26:F26"/>
    <mergeCell ref="C27:F27"/>
    <mergeCell ref="C28:F28"/>
    <mergeCell ref="C29:F29"/>
    <mergeCell ref="K16:M16"/>
    <mergeCell ref="K6:N6"/>
    <mergeCell ref="K7:N7"/>
    <mergeCell ref="C32:G32"/>
    <mergeCell ref="C33:F33"/>
    <mergeCell ref="C16:F16"/>
    <mergeCell ref="C17:E17"/>
    <mergeCell ref="C18:F19"/>
    <mergeCell ref="G18:G19"/>
    <mergeCell ref="C20:F20"/>
    <mergeCell ref="C22:F22"/>
    <mergeCell ref="C9:E11"/>
    <mergeCell ref="F9:F11"/>
    <mergeCell ref="C12:E12"/>
    <mergeCell ref="C13:E13"/>
    <mergeCell ref="C14:E14"/>
    <mergeCell ref="K37:N37"/>
    <mergeCell ref="K38:N38"/>
    <mergeCell ref="K39:N39"/>
    <mergeCell ref="K27:N27"/>
    <mergeCell ref="K28:N28"/>
    <mergeCell ref="K29:N29"/>
    <mergeCell ref="K30:N30"/>
    <mergeCell ref="K31:N31"/>
    <mergeCell ref="K26:N26"/>
    <mergeCell ref="K33:O33"/>
    <mergeCell ref="K34:N34"/>
    <mergeCell ref="K35:N35"/>
    <mergeCell ref="K36:N36"/>
    <mergeCell ref="C2:G2"/>
    <mergeCell ref="K2:O2"/>
    <mergeCell ref="K18:M18"/>
    <mergeCell ref="K23:N23"/>
    <mergeCell ref="K25:O25"/>
    <mergeCell ref="K19:N20"/>
    <mergeCell ref="O19:O20"/>
    <mergeCell ref="K21:N21"/>
    <mergeCell ref="K8:M8"/>
    <mergeCell ref="K3:O3"/>
    <mergeCell ref="K4:M4"/>
    <mergeCell ref="K5:N5"/>
    <mergeCell ref="K13:N13"/>
    <mergeCell ref="K14:M14"/>
    <mergeCell ref="K17:N17"/>
    <mergeCell ref="K15:M15"/>
  </mergeCells>
  <conditionalFormatting sqref="G5:G6">
    <cfRule type="expression" dxfId="9" priority="5">
      <formula>#REF!=0</formula>
    </cfRule>
    <cfRule type="cellIs" dxfId="8" priority="6" operator="greaterThan">
      <formula>#REF!&gt;0</formula>
    </cfRule>
  </conditionalFormatting>
  <conditionalFormatting sqref="O5:O6">
    <cfRule type="expression" dxfId="7" priority="1">
      <formula>#REF!=0</formula>
    </cfRule>
    <cfRule type="cellIs" dxfId="6" priority="2" operator="greaterThan">
      <formula>#REF!&gt;0</formula>
    </cfRule>
  </conditionalFormatting>
  <dataValidations count="5">
    <dataValidation type="list" allowBlank="1" showInputMessage="1" showErrorMessage="1" sqref="F4" xr:uid="{EC5F90C9-3ABA-42F7-96F4-BA676797488B}">
      <formula1>"SELECT,2018-19,2019-20"</formula1>
    </dataValidation>
    <dataValidation type="list" allowBlank="1" showInputMessage="1" showErrorMessage="1" sqref="F9:F12" xr:uid="{33E25467-24AA-4A53-B4BE-93B0A9CF7E96}">
      <formula1>"Select,Yes,No"</formula1>
    </dataValidation>
    <dataValidation type="list" allowBlank="1" showErrorMessage="1" promptTitle="select assessment year" prompt="select assessment year" sqref="N4" xr:uid="{7B06B8B1-38A4-4E8E-B67A-AAC7EFFD6285}">
      <formula1>"SELECT,2018-19,2019-20"</formula1>
    </dataValidation>
    <dataValidation type="list" allowBlank="1" showInputMessage="1" showErrorMessage="1" sqref="O4" xr:uid="{CABF9C5E-F32E-4591-8E9A-269259BB48A4}">
      <formula1>"Status,Individual,Senior Citizen,Super Senior Citizen"</formula1>
    </dataValidation>
    <dataValidation type="list" allowBlank="1" showInputMessage="1" showErrorMessage="1" sqref="O23 G22" xr:uid="{10E09AC2-7BD2-4A92-B2BE-F83BE45D45FB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7798-C1FA-46CF-A1F0-06217E7BB570}">
  <sheetPr>
    <tabColor rgb="FF92D050"/>
  </sheetPr>
  <dimension ref="D1:T50"/>
  <sheetViews>
    <sheetView workbookViewId="0"/>
  </sheetViews>
  <sheetFormatPr defaultRowHeight="15" x14ac:dyDescent="0.25"/>
  <cols>
    <col min="1" max="5" width="9.140625" style="84"/>
    <col min="6" max="9" width="18.7109375" style="84" customWidth="1"/>
    <col min="10" max="10" width="20.7109375" style="84" customWidth="1"/>
    <col min="11" max="12" width="18.7109375" style="84" customWidth="1"/>
    <col min="13" max="13" width="13.28515625" style="84" customWidth="1"/>
    <col min="14" max="14" width="10.140625" style="84" bestFit="1" customWidth="1"/>
    <col min="15" max="16" width="8.85546875" style="84" bestFit="1" customWidth="1"/>
    <col min="17" max="17" width="8.42578125" style="84" bestFit="1" customWidth="1"/>
    <col min="18" max="19" width="8.7109375" style="84" bestFit="1" customWidth="1"/>
    <col min="20" max="16384" width="9.140625" style="84"/>
  </cols>
  <sheetData>
    <row r="1" spans="4:20" x14ac:dyDescent="0.25">
      <c r="D1" s="13"/>
      <c r="E1" s="13"/>
      <c r="F1" s="13"/>
      <c r="G1" s="13"/>
      <c r="H1" s="13"/>
      <c r="I1" s="13"/>
      <c r="J1" s="13"/>
      <c r="K1" s="13"/>
      <c r="N1" s="13"/>
    </row>
    <row r="2" spans="4:20" ht="15.75" thickBot="1" x14ac:dyDescent="0.3">
      <c r="D2" s="13"/>
      <c r="E2" s="13"/>
      <c r="F2" s="13"/>
      <c r="G2" s="13"/>
      <c r="H2" s="13"/>
      <c r="I2" s="13"/>
      <c r="J2" s="13"/>
      <c r="K2" s="13"/>
      <c r="N2" s="13"/>
    </row>
    <row r="3" spans="4:20" ht="15.75" x14ac:dyDescent="0.25">
      <c r="D3" s="13"/>
      <c r="E3" s="13"/>
      <c r="F3" s="207" t="s">
        <v>0</v>
      </c>
      <c r="G3" s="208"/>
      <c r="H3" s="208"/>
      <c r="I3" s="208"/>
      <c r="J3" s="209"/>
      <c r="K3" s="12"/>
      <c r="L3" s="12"/>
      <c r="M3" s="12"/>
      <c r="N3" s="13"/>
      <c r="O3" s="13"/>
      <c r="P3" s="13"/>
      <c r="Q3" s="13"/>
      <c r="R3" s="13"/>
      <c r="S3" s="13"/>
      <c r="T3" s="13"/>
    </row>
    <row r="4" spans="4:20" ht="15.75" x14ac:dyDescent="0.25">
      <c r="D4" s="13"/>
      <c r="E4" s="13"/>
      <c r="F4" s="251" t="s">
        <v>1</v>
      </c>
      <c r="G4" s="252"/>
      <c r="H4" s="252"/>
      <c r="I4" s="82" t="s">
        <v>2</v>
      </c>
      <c r="J4" s="1" t="s">
        <v>3</v>
      </c>
      <c r="K4" s="14"/>
      <c r="M4" s="14"/>
      <c r="N4" s="13"/>
      <c r="O4" s="15"/>
      <c r="P4" s="15"/>
      <c r="Q4" s="15"/>
      <c r="R4" s="15"/>
      <c r="S4" s="15"/>
      <c r="T4" s="13"/>
    </row>
    <row r="5" spans="4:20" ht="18" x14ac:dyDescent="0.25">
      <c r="D5" s="13"/>
      <c r="E5" s="13"/>
      <c r="F5" s="253" t="s">
        <v>4</v>
      </c>
      <c r="G5" s="254"/>
      <c r="H5" s="254"/>
      <c r="I5" s="255"/>
      <c r="J5" s="56">
        <v>0</v>
      </c>
      <c r="K5" s="13"/>
      <c r="M5" s="13"/>
      <c r="T5" s="13"/>
    </row>
    <row r="6" spans="4:20" x14ac:dyDescent="0.25">
      <c r="D6" s="13"/>
      <c r="E6" s="13"/>
      <c r="F6" s="256" t="s">
        <v>5</v>
      </c>
      <c r="G6" s="257"/>
      <c r="H6" s="257"/>
      <c r="I6" s="258"/>
      <c r="J6" s="56">
        <v>0</v>
      </c>
      <c r="K6" s="16"/>
      <c r="M6" s="13"/>
      <c r="T6" s="13"/>
    </row>
    <row r="7" spans="4:20" ht="15.75" x14ac:dyDescent="0.25">
      <c r="D7" s="13"/>
      <c r="E7" s="13"/>
      <c r="F7" s="259" t="s">
        <v>6</v>
      </c>
      <c r="G7" s="260"/>
      <c r="H7" s="260"/>
      <c r="I7" s="261"/>
      <c r="J7" s="62">
        <f>J5-J6</f>
        <v>0</v>
      </c>
      <c r="K7" s="17"/>
      <c r="M7" s="16"/>
      <c r="T7" s="13"/>
    </row>
    <row r="8" spans="4:20" ht="15.75" x14ac:dyDescent="0.25">
      <c r="D8" s="13"/>
      <c r="E8" s="13"/>
      <c r="F8" s="212" t="s">
        <v>7</v>
      </c>
      <c r="G8" s="213"/>
      <c r="H8" s="232"/>
      <c r="I8" s="2" t="s">
        <v>8</v>
      </c>
      <c r="J8" s="3"/>
      <c r="K8" s="18"/>
      <c r="M8" s="17"/>
      <c r="T8" s="13"/>
    </row>
    <row r="9" spans="4:20" x14ac:dyDescent="0.25">
      <c r="D9" s="13"/>
      <c r="E9" s="13"/>
      <c r="F9" s="233" t="s">
        <v>9</v>
      </c>
      <c r="G9" s="234"/>
      <c r="H9" s="235"/>
      <c r="I9" s="199" t="s">
        <v>10</v>
      </c>
      <c r="J9" s="3"/>
      <c r="K9" s="18"/>
      <c r="M9" s="18"/>
      <c r="T9" s="13"/>
    </row>
    <row r="10" spans="4:20" x14ac:dyDescent="0.25">
      <c r="D10" s="13"/>
      <c r="E10" s="13"/>
      <c r="F10" s="236"/>
      <c r="G10" s="237"/>
      <c r="H10" s="238"/>
      <c r="I10" s="200"/>
      <c r="J10" s="3"/>
      <c r="K10" s="18"/>
      <c r="M10" s="19"/>
      <c r="T10" s="13"/>
    </row>
    <row r="11" spans="4:20" x14ac:dyDescent="0.25">
      <c r="D11" s="13"/>
      <c r="E11" s="13"/>
      <c r="F11" s="239"/>
      <c r="G11" s="240"/>
      <c r="H11" s="241"/>
      <c r="I11" s="201"/>
      <c r="J11" s="3"/>
      <c r="K11" s="18"/>
      <c r="M11" s="20"/>
      <c r="T11" s="13"/>
    </row>
    <row r="12" spans="4:20" x14ac:dyDescent="0.25">
      <c r="D12" s="13"/>
      <c r="E12" s="13"/>
      <c r="F12" s="242" t="s">
        <v>11</v>
      </c>
      <c r="G12" s="243"/>
      <c r="H12" s="244"/>
      <c r="I12" s="93" t="s">
        <v>10</v>
      </c>
      <c r="J12" s="3"/>
      <c r="K12" s="18"/>
      <c r="M12" s="18"/>
      <c r="N12" s="13"/>
      <c r="O12" s="22"/>
      <c r="P12" s="22"/>
      <c r="Q12" s="22"/>
      <c r="R12" s="22"/>
      <c r="S12" s="22"/>
      <c r="T12" s="13"/>
    </row>
    <row r="13" spans="4:20" x14ac:dyDescent="0.25">
      <c r="D13" s="13"/>
      <c r="E13" s="13"/>
      <c r="F13" s="245" t="s">
        <v>12</v>
      </c>
      <c r="G13" s="246"/>
      <c r="H13" s="247"/>
      <c r="I13" s="4">
        <f>IF(I9="Yes",25%,IF(I12="Yes",25%,30%))</f>
        <v>0.3</v>
      </c>
      <c r="J13" s="70">
        <f>J7*I13</f>
        <v>0</v>
      </c>
      <c r="K13" s="19"/>
      <c r="M13" s="18"/>
      <c r="N13" s="13"/>
      <c r="O13" s="22"/>
      <c r="P13" s="22"/>
      <c r="Q13" s="22"/>
      <c r="R13" s="22"/>
      <c r="S13" s="22"/>
      <c r="T13" s="13"/>
    </row>
    <row r="14" spans="4:20" x14ac:dyDescent="0.25">
      <c r="D14" s="13"/>
      <c r="E14" s="13"/>
      <c r="F14" s="166" t="s">
        <v>13</v>
      </c>
      <c r="G14" s="167"/>
      <c r="H14" s="167"/>
      <c r="I14" s="168"/>
      <c r="J14" s="71">
        <f>J13</f>
        <v>0</v>
      </c>
      <c r="K14" s="23"/>
      <c r="M14" s="18"/>
      <c r="N14" s="13"/>
      <c r="O14" s="22"/>
      <c r="P14" s="22"/>
      <c r="Q14" s="22"/>
      <c r="R14" s="22"/>
      <c r="S14" s="22"/>
      <c r="T14" s="13"/>
    </row>
    <row r="15" spans="4:20" x14ac:dyDescent="0.25">
      <c r="D15" s="13"/>
      <c r="E15" s="13"/>
      <c r="F15" s="140" t="s">
        <v>14</v>
      </c>
      <c r="G15" s="141"/>
      <c r="H15" s="142"/>
      <c r="I15" s="25">
        <f>IF(I4="SELECT","SELECT AY",IF(I4="2018-19",3%,4%))</f>
        <v>0.04</v>
      </c>
      <c r="J15" s="67">
        <f>J14*I15</f>
        <v>0</v>
      </c>
      <c r="K15" s="20"/>
      <c r="M15" s="26"/>
      <c r="N15" s="13"/>
      <c r="O15" s="22"/>
      <c r="P15" s="22"/>
      <c r="Q15" s="22"/>
      <c r="R15" s="22"/>
      <c r="S15" s="22"/>
      <c r="T15" s="13"/>
    </row>
    <row r="16" spans="4:20" x14ac:dyDescent="0.25">
      <c r="D16" s="13"/>
      <c r="E16" s="13"/>
      <c r="F16" s="158" t="s">
        <v>15</v>
      </c>
      <c r="G16" s="159"/>
      <c r="H16" s="159"/>
      <c r="I16" s="159"/>
      <c r="J16" s="162">
        <v>0</v>
      </c>
      <c r="K16" s="20"/>
      <c r="M16" s="15"/>
      <c r="N16" s="13"/>
      <c r="O16" s="22"/>
      <c r="P16" s="22"/>
      <c r="Q16" s="22"/>
      <c r="R16" s="22"/>
      <c r="S16" s="22"/>
      <c r="T16" s="13"/>
    </row>
    <row r="17" spans="4:20" x14ac:dyDescent="0.25">
      <c r="D17" s="13"/>
      <c r="E17" s="13"/>
      <c r="F17" s="160"/>
      <c r="G17" s="161"/>
      <c r="H17" s="161"/>
      <c r="I17" s="161"/>
      <c r="J17" s="163"/>
      <c r="K17" s="20"/>
      <c r="M17" s="21"/>
      <c r="N17" s="13"/>
      <c r="O17" s="22"/>
      <c r="P17" s="22"/>
      <c r="Q17" s="22"/>
      <c r="R17" s="22"/>
      <c r="S17" s="22"/>
      <c r="T17" s="13"/>
    </row>
    <row r="18" spans="4:20" ht="16.5" thickBot="1" x14ac:dyDescent="0.3">
      <c r="D18" s="13"/>
      <c r="E18" s="13"/>
      <c r="F18" s="230" t="s">
        <v>16</v>
      </c>
      <c r="G18" s="231"/>
      <c r="H18" s="231"/>
      <c r="I18" s="231"/>
      <c r="J18" s="94">
        <f>MAX(0,J14+J15)-J16</f>
        <v>0</v>
      </c>
      <c r="K18" s="26"/>
      <c r="M18" s="21"/>
      <c r="N18" s="13"/>
      <c r="O18" s="22"/>
      <c r="P18" s="22"/>
      <c r="Q18" s="22"/>
      <c r="R18" s="22"/>
      <c r="S18" s="22"/>
      <c r="T18" s="13"/>
    </row>
    <row r="19" spans="4:20" ht="15.75" thickBot="1" x14ac:dyDescent="0.3">
      <c r="D19" s="13"/>
      <c r="E19" s="13"/>
      <c r="F19" s="221" t="s">
        <v>34</v>
      </c>
      <c r="G19" s="222"/>
      <c r="H19" s="222"/>
      <c r="I19" s="222"/>
      <c r="J19" s="223"/>
      <c r="K19" s="26"/>
      <c r="M19" s="23"/>
      <c r="N19" s="13"/>
      <c r="O19" s="24"/>
      <c r="P19" s="24"/>
      <c r="Q19" s="24"/>
      <c r="R19" s="24"/>
      <c r="S19" s="24"/>
      <c r="T19" s="13"/>
    </row>
    <row r="20" spans="4:20" ht="15.75" thickBot="1" x14ac:dyDescent="0.3">
      <c r="D20" s="13"/>
      <c r="E20" s="13"/>
      <c r="F20" s="224"/>
      <c r="G20" s="225"/>
      <c r="H20" s="28" t="s">
        <v>31</v>
      </c>
      <c r="I20" s="29"/>
      <c r="J20" s="30"/>
      <c r="K20" s="26"/>
      <c r="M20" s="20"/>
      <c r="N20" s="13"/>
      <c r="O20" s="22"/>
      <c r="P20" s="22"/>
      <c r="Q20" s="22"/>
      <c r="R20" s="22"/>
      <c r="S20" s="22"/>
      <c r="T20" s="13"/>
    </row>
    <row r="21" spans="4:20" x14ac:dyDescent="0.25">
      <c r="D21" s="13"/>
      <c r="E21" s="13"/>
      <c r="F21" s="31" t="s">
        <v>35</v>
      </c>
      <c r="G21" s="32"/>
      <c r="H21" s="52" t="s">
        <v>36</v>
      </c>
      <c r="I21" s="33"/>
      <c r="J21" s="30"/>
      <c r="K21" s="26"/>
      <c r="M21" s="20"/>
      <c r="N21" s="13"/>
      <c r="O21" s="22"/>
      <c r="P21" s="22"/>
      <c r="Q21" s="22"/>
      <c r="R21" s="22"/>
      <c r="S21" s="22"/>
      <c r="T21" s="13"/>
    </row>
    <row r="22" spans="4:20" x14ac:dyDescent="0.25">
      <c r="D22" s="13"/>
      <c r="E22" s="13"/>
      <c r="F22" s="34" t="s">
        <v>37</v>
      </c>
      <c r="G22" s="35"/>
      <c r="H22" s="53" t="s">
        <v>36</v>
      </c>
      <c r="I22" s="33"/>
      <c r="J22" s="30"/>
      <c r="K22" s="26"/>
      <c r="M22" s="20"/>
      <c r="N22" s="13"/>
      <c r="O22" s="22"/>
      <c r="P22" s="22"/>
      <c r="Q22" s="22"/>
      <c r="R22" s="22"/>
      <c r="S22" s="22"/>
      <c r="T22" s="13"/>
    </row>
    <row r="23" spans="4:20" ht="15.75" thickBot="1" x14ac:dyDescent="0.3">
      <c r="D23" s="13"/>
      <c r="E23" s="13"/>
      <c r="F23" s="36" t="s">
        <v>38</v>
      </c>
      <c r="G23" s="37"/>
      <c r="H23" s="54" t="s">
        <v>36</v>
      </c>
      <c r="I23" s="33"/>
      <c r="J23" s="30"/>
      <c r="K23" s="26"/>
      <c r="M23" s="26"/>
      <c r="N23" s="13"/>
      <c r="O23" s="27"/>
      <c r="P23" s="27"/>
      <c r="Q23" s="27"/>
      <c r="R23" s="27"/>
      <c r="S23" s="27"/>
      <c r="T23" s="13"/>
    </row>
    <row r="24" spans="4:20" ht="15.75" thickBot="1" x14ac:dyDescent="0.3">
      <c r="D24" s="13"/>
      <c r="E24" s="13"/>
      <c r="F24" s="226"/>
      <c r="G24" s="227"/>
      <c r="H24" s="227"/>
      <c r="I24" s="38" t="s">
        <v>39</v>
      </c>
      <c r="J24" s="30"/>
      <c r="K24" s="13"/>
      <c r="M24" s="26"/>
      <c r="N24" s="13"/>
      <c r="O24" s="27"/>
      <c r="P24" s="27"/>
      <c r="Q24" s="27"/>
      <c r="R24" s="27"/>
      <c r="S24" s="27"/>
      <c r="T24" s="13"/>
    </row>
    <row r="25" spans="4:20" x14ac:dyDescent="0.25">
      <c r="D25" s="13"/>
      <c r="E25" s="13"/>
      <c r="F25" s="228" t="s">
        <v>41</v>
      </c>
      <c r="G25" s="229"/>
      <c r="H25" s="229"/>
      <c r="I25" s="95">
        <v>0</v>
      </c>
      <c r="J25" s="39"/>
      <c r="K25" s="13"/>
      <c r="M25" s="26"/>
      <c r="N25" s="13"/>
      <c r="O25" s="27"/>
      <c r="P25" s="27"/>
      <c r="Q25" s="27"/>
      <c r="R25" s="27"/>
      <c r="S25" s="27"/>
      <c r="T25" s="13"/>
    </row>
    <row r="26" spans="4:20" x14ac:dyDescent="0.25">
      <c r="D26" s="13"/>
      <c r="E26" s="13"/>
      <c r="F26" s="210" t="s">
        <v>43</v>
      </c>
      <c r="G26" s="211"/>
      <c r="H26" s="211"/>
      <c r="I26" s="96">
        <v>0</v>
      </c>
      <c r="J26" s="39"/>
      <c r="K26" s="13"/>
      <c r="M26" s="26"/>
      <c r="N26" s="13"/>
      <c r="O26" s="27"/>
      <c r="P26" s="27"/>
      <c r="Q26" s="27"/>
      <c r="R26" s="27"/>
      <c r="S26" s="27"/>
      <c r="T26" s="13"/>
    </row>
    <row r="27" spans="4:20" x14ac:dyDescent="0.25">
      <c r="D27" s="13"/>
      <c r="E27" s="13"/>
      <c r="F27" s="210" t="s">
        <v>45</v>
      </c>
      <c r="G27" s="211"/>
      <c r="H27" s="211"/>
      <c r="I27" s="96">
        <v>0</v>
      </c>
      <c r="J27" s="39"/>
      <c r="K27" s="13"/>
      <c r="M27" s="26"/>
      <c r="N27" s="13"/>
      <c r="O27" s="27"/>
      <c r="P27" s="27"/>
      <c r="Q27" s="27"/>
      <c r="R27" s="27"/>
      <c r="S27" s="27"/>
      <c r="T27" s="13"/>
    </row>
    <row r="28" spans="4:20" ht="15.75" thickBot="1" x14ac:dyDescent="0.3">
      <c r="D28" s="13"/>
      <c r="E28" s="13"/>
      <c r="F28" s="210" t="s">
        <v>47</v>
      </c>
      <c r="G28" s="211"/>
      <c r="H28" s="211"/>
      <c r="I28" s="96">
        <v>0</v>
      </c>
      <c r="J28" s="40">
        <f>IF(H23="NO",0,SUM(I25:I28))</f>
        <v>0</v>
      </c>
      <c r="K28" s="13"/>
      <c r="M28" s="26"/>
      <c r="N28" s="13"/>
      <c r="O28" s="27"/>
      <c r="P28" s="27"/>
      <c r="Q28" s="27"/>
      <c r="R28" s="27"/>
      <c r="S28" s="27"/>
      <c r="T28" s="13"/>
    </row>
    <row r="29" spans="4:20" ht="15.75" thickBot="1" x14ac:dyDescent="0.3">
      <c r="D29" s="13"/>
      <c r="E29" s="13"/>
      <c r="F29" s="212" t="s">
        <v>49</v>
      </c>
      <c r="G29" s="213"/>
      <c r="H29" s="213"/>
      <c r="I29" s="213"/>
      <c r="J29" s="41">
        <f>J18-J28</f>
        <v>0</v>
      </c>
      <c r="K29" s="26"/>
      <c r="M29" s="26"/>
      <c r="N29" s="13"/>
      <c r="O29" s="27"/>
      <c r="P29" s="27"/>
      <c r="Q29" s="27"/>
      <c r="R29" s="27"/>
      <c r="S29" s="27"/>
      <c r="T29" s="13"/>
    </row>
    <row r="30" spans="4:20" x14ac:dyDescent="0.25">
      <c r="D30" s="13"/>
      <c r="E30" s="13"/>
      <c r="F30" s="125"/>
      <c r="G30" s="126"/>
      <c r="H30" s="126"/>
      <c r="I30" s="124"/>
      <c r="J30" s="123"/>
      <c r="K30" s="27"/>
      <c r="M30" s="26"/>
      <c r="N30" s="13"/>
      <c r="O30" s="27"/>
      <c r="P30" s="27"/>
      <c r="Q30" s="27"/>
      <c r="R30" s="27"/>
      <c r="S30" s="27"/>
      <c r="T30" s="13"/>
    </row>
    <row r="31" spans="4:20" x14ac:dyDescent="0.25">
      <c r="D31" s="13"/>
      <c r="E31" s="13"/>
      <c r="F31" s="125"/>
      <c r="G31" s="126"/>
      <c r="H31" s="126"/>
      <c r="I31" s="124"/>
      <c r="J31" s="123"/>
      <c r="K31" s="27"/>
      <c r="M31" s="26"/>
      <c r="N31" s="13"/>
      <c r="O31" s="27"/>
      <c r="P31" s="27"/>
      <c r="Q31" s="27"/>
      <c r="R31" s="27"/>
      <c r="S31" s="27"/>
      <c r="T31" s="13"/>
    </row>
    <row r="32" spans="4:20" x14ac:dyDescent="0.25">
      <c r="D32" s="13"/>
      <c r="E32" s="13"/>
      <c r="F32" s="42"/>
      <c r="G32" s="43" t="s">
        <v>50</v>
      </c>
      <c r="H32" s="43" t="s">
        <v>51</v>
      </c>
      <c r="I32" s="44" t="s">
        <v>52</v>
      </c>
      <c r="J32" s="39"/>
      <c r="K32" s="27"/>
      <c r="M32" s="26"/>
      <c r="N32" s="13"/>
      <c r="O32" s="27"/>
      <c r="P32" s="27"/>
      <c r="Q32" s="27"/>
      <c r="R32" s="27"/>
      <c r="S32" s="27"/>
      <c r="T32" s="13"/>
    </row>
    <row r="33" spans="4:20" x14ac:dyDescent="0.25">
      <c r="D33" s="13"/>
      <c r="E33" s="13"/>
      <c r="F33" s="46" t="s">
        <v>53</v>
      </c>
      <c r="G33" s="97">
        <v>43738</v>
      </c>
      <c r="H33" s="97">
        <v>43738</v>
      </c>
      <c r="I33" s="47">
        <f>IF(H33-G33&lt;=0,0,MONTH(H33-G33))</f>
        <v>0</v>
      </c>
      <c r="J33" s="5">
        <f>IF(H21="YES",ROUNDDOWN(J18*0.01*I33,0.1),0)</f>
        <v>0</v>
      </c>
      <c r="K33" s="27"/>
      <c r="M33" s="26"/>
      <c r="N33" s="13"/>
      <c r="O33" s="27"/>
      <c r="P33" s="27"/>
      <c r="Q33" s="27"/>
      <c r="R33" s="27"/>
      <c r="S33" s="27"/>
      <c r="T33" s="13"/>
    </row>
    <row r="34" spans="4:20" x14ac:dyDescent="0.25">
      <c r="D34" s="13"/>
      <c r="E34" s="13"/>
      <c r="F34" s="46" t="s">
        <v>54</v>
      </c>
      <c r="G34" s="97">
        <v>43555</v>
      </c>
      <c r="H34" s="97">
        <v>43733</v>
      </c>
      <c r="I34" s="47">
        <f>IF(H34-G34&lt;=0,0,MONTH(H34-G34))</f>
        <v>6</v>
      </c>
      <c r="J34" s="5">
        <f>MAX(0,(IF(H22="YES",ROUNDDOWN(J29,-2)*0.01*I34,0)))</f>
        <v>0</v>
      </c>
      <c r="K34" s="27"/>
      <c r="M34" s="26"/>
      <c r="N34" s="13"/>
      <c r="O34" s="27"/>
      <c r="P34" s="27"/>
      <c r="Q34" s="27"/>
      <c r="R34" s="27"/>
      <c r="S34" s="27"/>
      <c r="T34" s="13"/>
    </row>
    <row r="35" spans="4:20" ht="15.75" thickBot="1" x14ac:dyDescent="0.3">
      <c r="D35" s="13"/>
      <c r="E35" s="13"/>
      <c r="F35" s="214" t="s">
        <v>55</v>
      </c>
      <c r="G35" s="215"/>
      <c r="H35" s="215"/>
      <c r="I35" s="215"/>
      <c r="J35" s="49">
        <f>IF(H23="YES",ROUND(K50,0.1),0)</f>
        <v>0</v>
      </c>
      <c r="K35" s="27"/>
      <c r="M35" s="26"/>
      <c r="N35" s="13"/>
      <c r="O35" s="27"/>
      <c r="P35" s="27"/>
      <c r="Q35" s="27"/>
      <c r="R35" s="27"/>
      <c r="S35" s="27"/>
      <c r="T35" s="13"/>
    </row>
    <row r="36" spans="4:20" ht="15.75" thickBot="1" x14ac:dyDescent="0.3">
      <c r="D36" s="13"/>
      <c r="E36" s="13"/>
      <c r="F36" s="216" t="s">
        <v>56</v>
      </c>
      <c r="G36" s="217"/>
      <c r="H36" s="217"/>
      <c r="I36" s="218"/>
      <c r="J36" s="41">
        <f>SUM(J33:J35)</f>
        <v>0</v>
      </c>
      <c r="K36" s="13"/>
      <c r="M36" s="27"/>
      <c r="N36" s="27"/>
      <c r="O36" s="13"/>
    </row>
    <row r="37" spans="4:20" ht="15.75" thickBot="1" x14ac:dyDescent="0.3">
      <c r="D37" s="13"/>
      <c r="E37" s="13"/>
      <c r="F37" s="219"/>
      <c r="G37" s="220"/>
      <c r="H37" s="220"/>
      <c r="I37" s="127"/>
      <c r="J37" s="128"/>
      <c r="K37" s="13"/>
      <c r="M37" s="45"/>
      <c r="N37" s="45"/>
      <c r="O37" s="13"/>
    </row>
    <row r="38" spans="4:20" ht="18.75" thickBot="1" x14ac:dyDescent="0.3">
      <c r="D38" s="13"/>
      <c r="E38" s="13"/>
      <c r="F38" s="202" t="str">
        <f>IF(J38&gt;0,"PAYABLE",IF(J38&lt;0,"REFUND",IF(J38=0,"NIL")))</f>
        <v>NIL</v>
      </c>
      <c r="G38" s="203"/>
      <c r="H38" s="203"/>
      <c r="I38" s="204"/>
      <c r="J38" s="51">
        <f>ROUNDDOWN((J29+J36),-1)</f>
        <v>0</v>
      </c>
      <c r="K38" s="13"/>
      <c r="M38" s="48"/>
      <c r="N38" s="13"/>
      <c r="O38" s="13"/>
    </row>
    <row r="39" spans="4:20" ht="15.75" thickBot="1" x14ac:dyDescent="0.3">
      <c r="F39" s="129"/>
      <c r="G39" s="129"/>
      <c r="H39" s="129"/>
      <c r="I39" s="129"/>
      <c r="J39" s="129"/>
      <c r="M39" s="48"/>
      <c r="N39" s="48"/>
      <c r="O39" s="13"/>
    </row>
    <row r="40" spans="4:20" ht="15.75" x14ac:dyDescent="0.25">
      <c r="F40" s="129"/>
      <c r="G40" s="129"/>
      <c r="H40" s="207" t="s">
        <v>40</v>
      </c>
      <c r="I40" s="208"/>
      <c r="J40" s="209"/>
      <c r="M40" s="48"/>
      <c r="N40" s="48"/>
      <c r="O40" s="13"/>
    </row>
    <row r="41" spans="4:20" x14ac:dyDescent="0.25">
      <c r="F41" s="129"/>
      <c r="G41" s="129"/>
      <c r="H41" s="205" t="s">
        <v>42</v>
      </c>
      <c r="I41" s="206"/>
      <c r="J41" s="130">
        <f>H46</f>
        <v>0</v>
      </c>
      <c r="M41" s="48"/>
      <c r="N41" s="48"/>
      <c r="O41" s="13"/>
    </row>
    <row r="42" spans="4:20" x14ac:dyDescent="0.25">
      <c r="F42" s="129"/>
      <c r="G42" s="129"/>
      <c r="H42" s="205" t="s">
        <v>44</v>
      </c>
      <c r="I42" s="206"/>
      <c r="J42" s="130">
        <f>H47-J41</f>
        <v>0</v>
      </c>
      <c r="M42" s="13"/>
      <c r="N42" s="13"/>
      <c r="O42" s="13"/>
      <c r="P42" s="13"/>
      <c r="Q42" s="13"/>
      <c r="R42" s="50"/>
      <c r="S42" s="50"/>
      <c r="T42" s="13"/>
    </row>
    <row r="43" spans="4:20" x14ac:dyDescent="0.25">
      <c r="F43" s="129"/>
      <c r="G43" s="129"/>
      <c r="H43" s="205" t="s">
        <v>46</v>
      </c>
      <c r="I43" s="206"/>
      <c r="J43" s="130">
        <f>H48-H47</f>
        <v>0</v>
      </c>
      <c r="M43" s="122"/>
      <c r="N43" s="13"/>
      <c r="O43" s="13"/>
      <c r="P43" s="13"/>
      <c r="Q43" s="13"/>
      <c r="R43" s="13"/>
      <c r="S43" s="13"/>
      <c r="T43" s="13"/>
    </row>
    <row r="44" spans="4:20" ht="15.75" thickBot="1" x14ac:dyDescent="0.3">
      <c r="F44" s="129"/>
      <c r="G44" s="129"/>
      <c r="H44" s="262" t="s">
        <v>48</v>
      </c>
      <c r="I44" s="263"/>
      <c r="J44" s="131">
        <f>H49-H48</f>
        <v>0</v>
      </c>
    </row>
    <row r="46" spans="4:20" hidden="1" x14ac:dyDescent="0.25">
      <c r="F46" s="8">
        <v>43266</v>
      </c>
      <c r="G46" s="9">
        <v>0.15</v>
      </c>
      <c r="H46" s="10">
        <f>IF($J18&gt;=10000,$J18*G46,0)</f>
        <v>0</v>
      </c>
      <c r="I46" s="10">
        <f>I25</f>
        <v>0</v>
      </c>
      <c r="J46" s="10">
        <f>IF(I46&gt;H46,0,(J18*0.15)-I46)</f>
        <v>0</v>
      </c>
      <c r="K46" s="10">
        <f>J46*0.01*3</f>
        <v>0</v>
      </c>
    </row>
    <row r="47" spans="4:20" hidden="1" x14ac:dyDescent="0.25">
      <c r="F47" s="8">
        <v>43358</v>
      </c>
      <c r="G47" s="9">
        <v>0.45</v>
      </c>
      <c r="H47" s="10">
        <f>IF($J18&gt;=10000,$J18*G47,0)</f>
        <v>0</v>
      </c>
      <c r="I47" s="10">
        <f>I46+I26</f>
        <v>0</v>
      </c>
      <c r="J47" s="10">
        <f>IF(I47&gt;H47,0,(J18*0.45)-I47)</f>
        <v>0</v>
      </c>
      <c r="K47" s="10">
        <f>J47*0.01*3</f>
        <v>0</v>
      </c>
    </row>
    <row r="48" spans="4:20" hidden="1" x14ac:dyDescent="0.25">
      <c r="F48" s="8">
        <v>43449</v>
      </c>
      <c r="G48" s="9">
        <v>0.75</v>
      </c>
      <c r="H48" s="10">
        <f>IF($J18&gt;=10000,$J18*G48,0)</f>
        <v>0</v>
      </c>
      <c r="I48" s="10">
        <f>I47+I27</f>
        <v>0</v>
      </c>
      <c r="J48" s="10">
        <f>IF(I48&gt;H48,0,(J18*0.75)-I48)</f>
        <v>0</v>
      </c>
      <c r="K48" s="10">
        <f>J48*0.01*3</f>
        <v>0</v>
      </c>
    </row>
    <row r="49" spans="6:11" hidden="1" x14ac:dyDescent="0.25">
      <c r="F49" s="8">
        <v>43539</v>
      </c>
      <c r="G49" s="9">
        <v>1</v>
      </c>
      <c r="H49" s="10">
        <f>IF($J18&gt;=10000,$J18*G49,0)</f>
        <v>0</v>
      </c>
      <c r="I49" s="10">
        <f>I48+I28</f>
        <v>0</v>
      </c>
      <c r="J49" s="10">
        <f>IF(I49&gt;H49,0,J18-I49)</f>
        <v>0</v>
      </c>
      <c r="K49" s="10">
        <f>J49*0.01</f>
        <v>0</v>
      </c>
    </row>
    <row r="50" spans="6:11" hidden="1" x14ac:dyDescent="0.25">
      <c r="F50" s="248" t="s">
        <v>33</v>
      </c>
      <c r="G50" s="249"/>
      <c r="H50" s="249"/>
      <c r="I50" s="249"/>
      <c r="J50" s="250"/>
      <c r="K50" s="11">
        <f>SUM(K46:K49)</f>
        <v>0</v>
      </c>
    </row>
  </sheetData>
  <sheetProtection password="9B0D" sheet="1" objects="1" scenarios="1" selectLockedCells="1"/>
  <mergeCells count="33">
    <mergeCell ref="F50:J50"/>
    <mergeCell ref="F3:J3"/>
    <mergeCell ref="F4:H4"/>
    <mergeCell ref="F5:I5"/>
    <mergeCell ref="F6:I6"/>
    <mergeCell ref="F7:I7"/>
    <mergeCell ref="H43:I43"/>
    <mergeCell ref="H44:I44"/>
    <mergeCell ref="F8:H8"/>
    <mergeCell ref="F9:H11"/>
    <mergeCell ref="I9:I11"/>
    <mergeCell ref="F12:H12"/>
    <mergeCell ref="F13:H13"/>
    <mergeCell ref="F14:I14"/>
    <mergeCell ref="F15:H15"/>
    <mergeCell ref="F16:I17"/>
    <mergeCell ref="J16:J17"/>
    <mergeCell ref="F18:I18"/>
    <mergeCell ref="F19:J19"/>
    <mergeCell ref="F20:G20"/>
    <mergeCell ref="F24:H24"/>
    <mergeCell ref="F25:H25"/>
    <mergeCell ref="F26:H26"/>
    <mergeCell ref="F38:I38"/>
    <mergeCell ref="H41:I41"/>
    <mergeCell ref="H42:I42"/>
    <mergeCell ref="H40:J40"/>
    <mergeCell ref="F27:H27"/>
    <mergeCell ref="F28:H28"/>
    <mergeCell ref="F29:I29"/>
    <mergeCell ref="F35:I35"/>
    <mergeCell ref="F36:I36"/>
    <mergeCell ref="F37:H37"/>
  </mergeCells>
  <conditionalFormatting sqref="J5 J6:K6">
    <cfRule type="expression" dxfId="5" priority="3">
      <formula>#REF!=0</formula>
    </cfRule>
    <cfRule type="cellIs" dxfId="4" priority="4" operator="greaterThan">
      <formula>#REF!&gt;0</formula>
    </cfRule>
  </conditionalFormatting>
  <conditionalFormatting sqref="M7">
    <cfRule type="expression" dxfId="3" priority="1">
      <formula>#REF!=0</formula>
    </cfRule>
    <cfRule type="cellIs" dxfId="2" priority="2" operator="greaterThan">
      <formula>#REF!&gt;0</formula>
    </cfRule>
  </conditionalFormatting>
  <dataValidations count="3">
    <dataValidation type="list" allowBlank="1" showInputMessage="1" showErrorMessage="1" sqref="I4" xr:uid="{3B189F46-D871-48C7-8507-2BBA66BBF46C}">
      <formula1>"SELECT,2018-19,2019-20"</formula1>
    </dataValidation>
    <dataValidation type="list" allowBlank="1" showInputMessage="1" showErrorMessage="1" sqref="I9:I12" xr:uid="{F6CC3B4F-EEE8-4F64-8ED7-493EEF911BB7}">
      <formula1>"Select,Yes,No"</formula1>
    </dataValidation>
    <dataValidation type="list" allowBlank="1" showInputMessage="1" showErrorMessage="1" sqref="H21:H23" xr:uid="{023B0AEE-4F75-49A7-A5DB-DE0760677163}">
      <formula1>"YES,NO"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BD9A-4ED7-4AE9-9BD0-934EEE318489}">
  <sheetPr>
    <tabColor rgb="FF92D050"/>
  </sheetPr>
  <dimension ref="C2:O41"/>
  <sheetViews>
    <sheetView workbookViewId="0"/>
  </sheetViews>
  <sheetFormatPr defaultRowHeight="15" x14ac:dyDescent="0.25"/>
  <cols>
    <col min="1" max="2" width="9.140625" style="84"/>
    <col min="3" max="6" width="18.7109375" style="84" customWidth="1"/>
    <col min="7" max="7" width="20.7109375" style="84" customWidth="1"/>
    <col min="8" max="9" width="9.140625" style="84"/>
    <col min="10" max="15" width="21.5703125" style="84" hidden="1" customWidth="1"/>
    <col min="16" max="16384" width="9.140625" style="84"/>
  </cols>
  <sheetData>
    <row r="2" spans="3:15" ht="15.75" thickBot="1" x14ac:dyDescent="0.3"/>
    <row r="3" spans="3:15" ht="15.75" x14ac:dyDescent="0.25">
      <c r="C3" s="169" t="s">
        <v>71</v>
      </c>
      <c r="D3" s="170"/>
      <c r="E3" s="170"/>
      <c r="F3" s="170"/>
      <c r="G3" s="171"/>
    </row>
    <row r="4" spans="3:15" ht="15.75" x14ac:dyDescent="0.25">
      <c r="C4" s="172" t="s">
        <v>1</v>
      </c>
      <c r="D4" s="173"/>
      <c r="E4" s="173"/>
      <c r="F4" s="82" t="s">
        <v>67</v>
      </c>
      <c r="G4" s="83" t="s">
        <v>57</v>
      </c>
      <c r="H4" s="16"/>
    </row>
    <row r="5" spans="3:15" x14ac:dyDescent="0.25">
      <c r="C5" s="174" t="s">
        <v>79</v>
      </c>
      <c r="D5" s="175"/>
      <c r="E5" s="175"/>
      <c r="F5" s="176"/>
      <c r="G5" s="81">
        <v>0</v>
      </c>
      <c r="H5" s="16"/>
    </row>
    <row r="6" spans="3:15" x14ac:dyDescent="0.25">
      <c r="C6" s="184" t="s">
        <v>58</v>
      </c>
      <c r="D6" s="185"/>
      <c r="E6" s="185"/>
      <c r="F6" s="186"/>
      <c r="G6" s="81">
        <v>0</v>
      </c>
      <c r="H6" s="16"/>
      <c r="J6" s="98"/>
      <c r="K6" s="7"/>
      <c r="L6" s="7"/>
      <c r="M6" s="7"/>
      <c r="N6" s="7"/>
      <c r="O6" s="99"/>
    </row>
    <row r="7" spans="3:15" ht="15.75" x14ac:dyDescent="0.25">
      <c r="C7" s="187" t="s">
        <v>6</v>
      </c>
      <c r="D7" s="188"/>
      <c r="E7" s="188"/>
      <c r="F7" s="189"/>
      <c r="G7" s="72">
        <f>G5-G6</f>
        <v>0</v>
      </c>
      <c r="H7" s="17"/>
      <c r="J7" s="100">
        <v>43266</v>
      </c>
      <c r="K7" s="9">
        <v>0.15</v>
      </c>
      <c r="L7" s="10">
        <f>IF($G21&gt;=10000,$G21*K7,0)</f>
        <v>0</v>
      </c>
      <c r="M7" s="10">
        <f>F27</f>
        <v>0</v>
      </c>
      <c r="N7" s="10">
        <f>IF(M7&gt;L7,0,(G21*0.15)-M7)</f>
        <v>0</v>
      </c>
      <c r="O7" s="101">
        <f>N7*0.01*3</f>
        <v>0</v>
      </c>
    </row>
    <row r="8" spans="3:15" x14ac:dyDescent="0.25">
      <c r="C8" s="166" t="s">
        <v>59</v>
      </c>
      <c r="D8" s="167"/>
      <c r="E8" s="168"/>
      <c r="F8" s="63" t="s">
        <v>8</v>
      </c>
      <c r="G8" s="77" t="s">
        <v>39</v>
      </c>
      <c r="H8" s="18"/>
      <c r="J8" s="100">
        <v>43358</v>
      </c>
      <c r="K8" s="9">
        <v>0.45</v>
      </c>
      <c r="L8" s="10">
        <f>IF($G21&gt;=10000,$G21*K8,0)</f>
        <v>0</v>
      </c>
      <c r="M8" s="10">
        <f>F28</f>
        <v>0</v>
      </c>
      <c r="N8" s="10">
        <f>IF(M8&gt;L8,0,(G21*0.45)-M8)</f>
        <v>0</v>
      </c>
      <c r="O8" s="101">
        <f>N8*0.01*3</f>
        <v>0</v>
      </c>
    </row>
    <row r="9" spans="3:15" x14ac:dyDescent="0.25">
      <c r="C9" s="90">
        <v>0</v>
      </c>
      <c r="D9" s="78">
        <v>250000</v>
      </c>
      <c r="E9" s="79">
        <v>0</v>
      </c>
      <c r="F9" s="55" t="s">
        <v>60</v>
      </c>
      <c r="G9" s="5">
        <f>0</f>
        <v>0</v>
      </c>
      <c r="H9" s="19"/>
      <c r="J9" s="100">
        <v>43449</v>
      </c>
      <c r="K9" s="9">
        <v>0.75</v>
      </c>
      <c r="L9" s="10">
        <f>IF($G21&gt;=10000,$G21*K9,0)</f>
        <v>0</v>
      </c>
      <c r="M9" s="10">
        <f>F29</f>
        <v>0</v>
      </c>
      <c r="N9" s="10">
        <f>IF(M9&gt;L9,0,(G21*0.75)-M9)</f>
        <v>0</v>
      </c>
      <c r="O9" s="101">
        <f>N9*0.01*3</f>
        <v>0</v>
      </c>
    </row>
    <row r="10" spans="3:15" x14ac:dyDescent="0.25">
      <c r="C10" s="64">
        <v>250000</v>
      </c>
      <c r="D10" s="65">
        <v>500000</v>
      </c>
      <c r="E10" s="65">
        <f>IF(G7&gt;D10,D10-C10,G7-C10)</f>
        <v>-250000</v>
      </c>
      <c r="F10" s="4">
        <v>0.05</v>
      </c>
      <c r="G10" s="74">
        <f>MAX(0,E10*F10)</f>
        <v>0</v>
      </c>
      <c r="H10" s="20"/>
      <c r="J10" s="100">
        <v>43539</v>
      </c>
      <c r="K10" s="9">
        <v>1</v>
      </c>
      <c r="L10" s="10">
        <f>IF($G21&gt;=10000,$G21*K10,0)</f>
        <v>0</v>
      </c>
      <c r="M10" s="10">
        <f>F30</f>
        <v>0</v>
      </c>
      <c r="N10" s="10">
        <f>IF(M10&gt;L10,0,G21-M10)</f>
        <v>0</v>
      </c>
      <c r="O10" s="101">
        <f>N10*0.01</f>
        <v>0</v>
      </c>
    </row>
    <row r="11" spans="3:15" ht="15.75" thickBot="1" x14ac:dyDescent="0.3">
      <c r="C11" s="64">
        <v>500000</v>
      </c>
      <c r="D11" s="65">
        <v>1000000</v>
      </c>
      <c r="E11" s="65">
        <f>IF(G7&gt;D11,D11-C11,G7-C11)</f>
        <v>-500000</v>
      </c>
      <c r="F11" s="4">
        <v>0.2</v>
      </c>
      <c r="G11" s="74">
        <f>MAX(0,E11*F11)</f>
        <v>0</v>
      </c>
      <c r="H11" s="18"/>
      <c r="J11" s="264" t="s">
        <v>33</v>
      </c>
      <c r="K11" s="265"/>
      <c r="L11" s="265"/>
      <c r="M11" s="265"/>
      <c r="N11" s="266"/>
      <c r="O11" s="102">
        <f>SUM(O7:O10)</f>
        <v>0</v>
      </c>
    </row>
    <row r="12" spans="3:15" x14ac:dyDescent="0.25">
      <c r="C12" s="64">
        <v>1000000</v>
      </c>
      <c r="D12" s="65" t="s">
        <v>61</v>
      </c>
      <c r="E12" s="65">
        <f>IF(G7&gt;D12,D12-C12,G7-C12)</f>
        <v>-1000000</v>
      </c>
      <c r="F12" s="4">
        <v>0.3</v>
      </c>
      <c r="G12" s="74">
        <f>IF((G7&gt;1000000),(G7-1000000)*30%,0)</f>
        <v>0</v>
      </c>
      <c r="H12" s="18"/>
    </row>
    <row r="13" spans="3:15" ht="15.75" x14ac:dyDescent="0.25">
      <c r="C13" s="172" t="s">
        <v>13</v>
      </c>
      <c r="D13" s="173"/>
      <c r="E13" s="173"/>
      <c r="F13" s="177"/>
      <c r="G13" s="39">
        <f>SUM(G10:G12)</f>
        <v>0</v>
      </c>
      <c r="H13" s="18"/>
    </row>
    <row r="14" spans="3:15" x14ac:dyDescent="0.25">
      <c r="C14" s="140" t="s">
        <v>62</v>
      </c>
      <c r="D14" s="141"/>
      <c r="E14" s="142"/>
      <c r="F14" s="6">
        <f>IF(G4="Senior Citizen",2500,0)</f>
        <v>0</v>
      </c>
      <c r="G14" s="80"/>
      <c r="H14" s="26"/>
    </row>
    <row r="15" spans="3:15" x14ac:dyDescent="0.25">
      <c r="C15" s="140" t="s">
        <v>63</v>
      </c>
      <c r="D15" s="141"/>
      <c r="E15" s="142"/>
      <c r="F15" s="6">
        <f>IF(G4="Super Senior Citizen",12500,0)</f>
        <v>0</v>
      </c>
      <c r="G15" s="76"/>
      <c r="H15" s="15"/>
    </row>
    <row r="16" spans="3:15" x14ac:dyDescent="0.25">
      <c r="C16" s="181" t="s">
        <v>64</v>
      </c>
      <c r="D16" s="182"/>
      <c r="E16" s="183"/>
      <c r="F16" s="6">
        <f>IF(G7&lt;=350000,2500,0)</f>
        <v>2500</v>
      </c>
      <c r="G16" s="76">
        <f>F14+F15+F16</f>
        <v>2500</v>
      </c>
      <c r="H16" s="21"/>
    </row>
    <row r="17" spans="3:8" x14ac:dyDescent="0.25">
      <c r="C17" s="178" t="s">
        <v>65</v>
      </c>
      <c r="D17" s="179"/>
      <c r="E17" s="179"/>
      <c r="F17" s="180"/>
      <c r="G17" s="66">
        <f>FLOOR(CEILING(IF((G13-G16)&lt;0,0,(G13-G16)),5),10)</f>
        <v>0</v>
      </c>
      <c r="H17" s="21"/>
    </row>
    <row r="18" spans="3:8" x14ac:dyDescent="0.25">
      <c r="C18" s="140" t="s">
        <v>14</v>
      </c>
      <c r="D18" s="141"/>
      <c r="E18" s="142"/>
      <c r="F18" s="25">
        <f>IF(F4="SELECT","SELECT AY",IF(F4="2018-19",3%,4%))</f>
        <v>0.03</v>
      </c>
      <c r="G18" s="67">
        <f>ROUND(_xlfn.IFS(F4="2018-19",(G17*3/100),F4="2019-20",(G17*4/100)),0)</f>
        <v>0</v>
      </c>
      <c r="H18" s="23"/>
    </row>
    <row r="19" spans="3:8" x14ac:dyDescent="0.25">
      <c r="C19" s="158" t="s">
        <v>66</v>
      </c>
      <c r="D19" s="159"/>
      <c r="E19" s="159"/>
      <c r="F19" s="159"/>
      <c r="G19" s="162">
        <v>0</v>
      </c>
      <c r="H19" s="20"/>
    </row>
    <row r="20" spans="3:8" x14ac:dyDescent="0.25">
      <c r="C20" s="160"/>
      <c r="D20" s="161"/>
      <c r="E20" s="161"/>
      <c r="F20" s="161"/>
      <c r="G20" s="163"/>
      <c r="H20" s="20"/>
    </row>
    <row r="21" spans="3:8" ht="16.5" thickBot="1" x14ac:dyDescent="0.3">
      <c r="C21" s="164" t="s">
        <v>16</v>
      </c>
      <c r="D21" s="165"/>
      <c r="E21" s="165"/>
      <c r="F21" s="165"/>
      <c r="G21" s="68">
        <f>MAX(0,G17+G18)-G19</f>
        <v>0</v>
      </c>
      <c r="H21" s="20"/>
    </row>
    <row r="22" spans="3:8" ht="16.5" thickTop="1" thickBot="1" x14ac:dyDescent="0.3">
      <c r="C22" s="103"/>
      <c r="D22" s="104"/>
      <c r="E22" s="105" t="s">
        <v>31</v>
      </c>
      <c r="F22" s="106"/>
      <c r="G22" s="117"/>
      <c r="H22" s="26"/>
    </row>
    <row r="23" spans="3:8" x14ac:dyDescent="0.25">
      <c r="C23" s="107" t="s">
        <v>35</v>
      </c>
      <c r="D23" s="108"/>
      <c r="E23" s="52" t="s">
        <v>36</v>
      </c>
      <c r="F23" s="116"/>
      <c r="G23" s="117"/>
      <c r="H23" s="26"/>
    </row>
    <row r="24" spans="3:8" x14ac:dyDescent="0.25">
      <c r="C24" s="110" t="s">
        <v>37</v>
      </c>
      <c r="D24" s="61"/>
      <c r="E24" s="53" t="s">
        <v>36</v>
      </c>
      <c r="F24" s="116"/>
      <c r="G24" s="117"/>
      <c r="H24" s="26"/>
    </row>
    <row r="25" spans="3:8" x14ac:dyDescent="0.25">
      <c r="C25" s="111" t="s">
        <v>38</v>
      </c>
      <c r="D25" s="112"/>
      <c r="E25" s="54" t="s">
        <v>36</v>
      </c>
      <c r="F25" s="116"/>
      <c r="G25" s="117"/>
      <c r="H25" s="26"/>
    </row>
    <row r="26" spans="3:8" x14ac:dyDescent="0.25">
      <c r="C26" s="267"/>
      <c r="D26" s="268"/>
      <c r="E26" s="269"/>
      <c r="F26" s="113" t="s">
        <v>39</v>
      </c>
      <c r="G26" s="117"/>
      <c r="H26" s="26"/>
    </row>
    <row r="27" spans="3:8" x14ac:dyDescent="0.25">
      <c r="C27" s="210" t="s">
        <v>41</v>
      </c>
      <c r="D27" s="211"/>
      <c r="E27" s="211"/>
      <c r="F27" s="96">
        <v>0</v>
      </c>
      <c r="G27" s="132"/>
      <c r="H27" s="26"/>
    </row>
    <row r="28" spans="3:8" x14ac:dyDescent="0.25">
      <c r="C28" s="210" t="s">
        <v>43</v>
      </c>
      <c r="D28" s="211"/>
      <c r="E28" s="211"/>
      <c r="F28" s="96">
        <v>0</v>
      </c>
      <c r="G28" s="132"/>
      <c r="H28" s="26"/>
    </row>
    <row r="29" spans="3:8" x14ac:dyDescent="0.25">
      <c r="C29" s="210" t="s">
        <v>45</v>
      </c>
      <c r="D29" s="211"/>
      <c r="E29" s="211"/>
      <c r="F29" s="96">
        <v>0</v>
      </c>
      <c r="G29" s="132"/>
      <c r="H29" s="26"/>
    </row>
    <row r="30" spans="3:8" x14ac:dyDescent="0.25">
      <c r="C30" s="210" t="s">
        <v>47</v>
      </c>
      <c r="D30" s="211"/>
      <c r="E30" s="211"/>
      <c r="F30" s="96">
        <v>0</v>
      </c>
      <c r="G30" s="132"/>
      <c r="H30" s="26"/>
    </row>
    <row r="31" spans="3:8" x14ac:dyDescent="0.25">
      <c r="C31" s="210" t="s">
        <v>77</v>
      </c>
      <c r="D31" s="211"/>
      <c r="E31" s="211"/>
      <c r="F31" s="96">
        <v>0</v>
      </c>
      <c r="G31" s="60">
        <f>IF(E25="NO",0,SUM(F27:F31))</f>
        <v>0</v>
      </c>
      <c r="H31" s="26"/>
    </row>
    <row r="32" spans="3:8" x14ac:dyDescent="0.25">
      <c r="C32" s="275" t="s">
        <v>78</v>
      </c>
      <c r="D32" s="276"/>
      <c r="E32" s="276"/>
      <c r="F32" s="277"/>
      <c r="G32" s="60">
        <f>G21-G31</f>
        <v>0</v>
      </c>
      <c r="H32" s="26"/>
    </row>
    <row r="33" spans="3:8" x14ac:dyDescent="0.25">
      <c r="C33" s="114"/>
      <c r="D33" s="115"/>
      <c r="E33" s="115"/>
      <c r="F33" s="116"/>
      <c r="G33" s="117"/>
      <c r="H33" s="26"/>
    </row>
    <row r="34" spans="3:8" x14ac:dyDescent="0.25">
      <c r="C34" s="114"/>
      <c r="D34" s="115"/>
      <c r="E34" s="115"/>
      <c r="F34" s="116"/>
      <c r="G34" s="117"/>
      <c r="H34" s="26"/>
    </row>
    <row r="35" spans="3:8" x14ac:dyDescent="0.25">
      <c r="C35" s="57"/>
      <c r="D35" s="118" t="s">
        <v>50</v>
      </c>
      <c r="E35" s="118" t="s">
        <v>51</v>
      </c>
      <c r="F35" s="113" t="s">
        <v>52</v>
      </c>
      <c r="G35" s="60"/>
      <c r="H35" s="13"/>
    </row>
    <row r="36" spans="3:8" x14ac:dyDescent="0.25">
      <c r="C36" s="46" t="s">
        <v>53</v>
      </c>
      <c r="D36" s="97">
        <v>43738</v>
      </c>
      <c r="E36" s="97">
        <v>43738</v>
      </c>
      <c r="F36" s="119">
        <f>IF(E36-D36&lt;=0,0,MONTH(E36-D36))</f>
        <v>0</v>
      </c>
      <c r="G36" s="59">
        <f>IF(E23="YES",ROUND(G21*0.01*F36,0.1),0)</f>
        <v>0</v>
      </c>
      <c r="H36" s="13"/>
    </row>
    <row r="37" spans="3:8" x14ac:dyDescent="0.25">
      <c r="C37" s="46" t="s">
        <v>54</v>
      </c>
      <c r="D37" s="97">
        <v>43555</v>
      </c>
      <c r="E37" s="97">
        <v>43738</v>
      </c>
      <c r="F37" s="119">
        <f>IF(E37-D37&lt;=0,0,MONTH(E37-D37))</f>
        <v>7</v>
      </c>
      <c r="G37" s="59">
        <f>IF(E24="YES",ROUNDDOWN(G32,-2)*0.01*F37,0)</f>
        <v>0</v>
      </c>
      <c r="H37" s="13"/>
    </row>
    <row r="38" spans="3:8" x14ac:dyDescent="0.25">
      <c r="C38" s="278" t="s">
        <v>55</v>
      </c>
      <c r="D38" s="279"/>
      <c r="E38" s="279"/>
      <c r="F38" s="279"/>
      <c r="G38" s="59">
        <f>IF(E25="YES",ROUND(O11,0.1),0)</f>
        <v>0</v>
      </c>
      <c r="H38" s="13"/>
    </row>
    <row r="39" spans="3:8" x14ac:dyDescent="0.25">
      <c r="C39" s="270"/>
      <c r="D39" s="271"/>
      <c r="E39" s="271"/>
      <c r="F39" s="109"/>
      <c r="G39" s="60">
        <f>SUM(G36:G38)</f>
        <v>0</v>
      </c>
      <c r="H39" s="13"/>
    </row>
    <row r="40" spans="3:8" ht="15.75" thickBot="1" x14ac:dyDescent="0.3">
      <c r="C40" s="270"/>
      <c r="D40" s="271"/>
      <c r="E40" s="271"/>
      <c r="F40" s="109"/>
      <c r="G40" s="120"/>
      <c r="H40" s="13"/>
    </row>
    <row r="41" spans="3:8" ht="18.75" thickBot="1" x14ac:dyDescent="0.3">
      <c r="C41" s="272" t="str">
        <f>IF(G41&gt;0,"PAYABLE",IF(G41&lt;0,"REFUND",IF(G41=0,"NIL")))</f>
        <v>NIL</v>
      </c>
      <c r="D41" s="273"/>
      <c r="E41" s="273"/>
      <c r="F41" s="274"/>
      <c r="G41" s="121">
        <f>ROUNDDOWN((G32+G39),-1)</f>
        <v>0</v>
      </c>
      <c r="H41" s="122"/>
    </row>
  </sheetData>
  <sheetProtection password="9B0D" sheet="1" objects="1" scenarios="1" selectLockedCells="1"/>
  <mergeCells count="27">
    <mergeCell ref="C39:E39"/>
    <mergeCell ref="C40:E40"/>
    <mergeCell ref="C41:F41"/>
    <mergeCell ref="C28:E28"/>
    <mergeCell ref="C29:E29"/>
    <mergeCell ref="C30:E30"/>
    <mergeCell ref="C31:E31"/>
    <mergeCell ref="C32:F32"/>
    <mergeCell ref="C38:F38"/>
    <mergeCell ref="J11:N11"/>
    <mergeCell ref="C15:E15"/>
    <mergeCell ref="C16:E16"/>
    <mergeCell ref="C26:E26"/>
    <mergeCell ref="C27:E27"/>
    <mergeCell ref="G19:G20"/>
    <mergeCell ref="C21:F21"/>
    <mergeCell ref="C3:G3"/>
    <mergeCell ref="C8:E8"/>
    <mergeCell ref="C13:F13"/>
    <mergeCell ref="C14:E14"/>
    <mergeCell ref="C17:F17"/>
    <mergeCell ref="C19:F20"/>
    <mergeCell ref="C18:E18"/>
    <mergeCell ref="C4:E4"/>
    <mergeCell ref="C5:F5"/>
    <mergeCell ref="C6:F6"/>
    <mergeCell ref="C7:F7"/>
  </mergeCells>
  <conditionalFormatting sqref="H4:H6 G5:G6">
    <cfRule type="expression" dxfId="1" priority="3">
      <formula>#REF!=0</formula>
    </cfRule>
    <cfRule type="cellIs" dxfId="0" priority="4" operator="greaterThan">
      <formula>#REF!&gt;0</formula>
    </cfRule>
  </conditionalFormatting>
  <dataValidations count="3">
    <dataValidation type="list" allowBlank="1" showInputMessage="1" showErrorMessage="1" sqref="G4" xr:uid="{95920F1B-D29D-42A7-879E-4DDE554BC750}">
      <formula1>"Status,Individual,Senior Citizen,Super Senior Citizen"</formula1>
    </dataValidation>
    <dataValidation type="list" allowBlank="1" showInputMessage="1" showErrorMessage="1" sqref="E23:E25" xr:uid="{023B0AEE-4F75-49A7-A5DB-DE0760677163}">
      <formula1>"YES,NO"</formula1>
    </dataValidation>
    <dataValidation type="list" allowBlank="1" showErrorMessage="1" promptTitle="select assessment year" prompt="select assessment year" sqref="F4" xr:uid="{635CBBCF-7E93-4404-8CD1-275409AB2B11}">
      <formula1>"SELECT,2018-19,2019-20"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Advance Tax Calculator</vt:lpstr>
      <vt:lpstr>ADV TAX COMPUTATION-COMPANIES</vt:lpstr>
      <vt:lpstr>ADV TAX COMPUTATION-INDIVIDUAL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2019-01-30T09:56:20Z</dcterms:modified>
</cp:coreProperties>
</file>