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filterPrivacy="1"/>
  <xr:revisionPtr revIDLastSave="0" documentId="13_ncr:1_{1FE24FF1-B6B5-4F9B-979A-681BE8978648}" xr6:coauthVersionLast="40" xr6:coauthVersionMax="40" xr10:uidLastSave="{00000000-0000-0000-0000-000000000000}"/>
  <bookViews>
    <workbookView xWindow="0" yWindow="0" windowWidth="22260" windowHeight="12645" xr2:uid="{00000000-000D-0000-FFFF-FFFF00000000}"/>
  </bookViews>
  <sheets>
    <sheet name="Master Data" sheetId="4" r:id="rId1"/>
    <sheet name="Salary Statement" sheetId="1" r:id="rId2"/>
    <sheet name="Computation" sheetId="3" r:id="rId3"/>
    <sheet name="FORM 16B" sheetId="5" r:id="rId4"/>
  </sheets>
  <externalReferences>
    <externalReference r:id="rId5"/>
  </externalReferences>
  <definedNames>
    <definedName name="all_list">'[1]Tax Computation &amp; CTC Structure'!$L$30:$L$46</definedName>
    <definedName name="Annual_CTC">#REF!</definedName>
    <definedName name="Basic">#REF!</definedName>
    <definedName name="bonus_paid">#REF!</definedName>
    <definedName name="Effectivedate">#REF!</definedName>
    <definedName name="ESI_Ap">#REF!</definedName>
    <definedName name="Gratuity_Ap">#REF!</definedName>
    <definedName name="Gross_Annual">#REF!</definedName>
    <definedName name="Gross_Monthly">#REF!</definedName>
    <definedName name="PF_Ap">#REF!</definedName>
    <definedName name="PPF">'[1]Tax Computation &amp; CTC Structure'!$D$35</definedName>
    <definedName name="_xlnm.Print_Area" localSheetId="2">Computation!$A$1:$D$64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3" l="1"/>
  <c r="H11" i="1"/>
  <c r="G21" i="5"/>
  <c r="G58" i="5"/>
  <c r="C58" i="5"/>
  <c r="C57" i="5"/>
  <c r="C56" i="5"/>
  <c r="A53" i="5"/>
  <c r="G33" i="5" l="1"/>
  <c r="G32" i="5"/>
  <c r="G31" i="5"/>
  <c r="I31" i="5" l="1"/>
  <c r="K31" i="5" s="1"/>
  <c r="G27" i="5"/>
  <c r="G23" i="5"/>
  <c r="G10" i="5"/>
  <c r="I7" i="5"/>
  <c r="E7" i="5"/>
  <c r="A7" i="5"/>
  <c r="G5" i="5"/>
  <c r="D5" i="5"/>
  <c r="A5" i="5"/>
  <c r="G3" i="5"/>
  <c r="A3" i="5"/>
  <c r="L3" i="1"/>
  <c r="K3" i="1"/>
  <c r="K2" i="1"/>
  <c r="K1" i="1"/>
  <c r="B2" i="1"/>
  <c r="B1" i="1"/>
  <c r="I33" i="5"/>
  <c r="K33" i="5" s="1"/>
  <c r="I32" i="5"/>
  <c r="K32" i="5" s="1"/>
  <c r="I27" i="5"/>
  <c r="K27" i="5" s="1"/>
  <c r="I24" i="5"/>
  <c r="I15" i="5"/>
  <c r="K34" i="5" l="1"/>
  <c r="C7" i="1"/>
  <c r="C8" i="1" s="1"/>
  <c r="C9" i="1" s="1"/>
  <c r="C10" i="1" s="1"/>
  <c r="C11" i="1" s="1"/>
  <c r="C12" i="1" s="1"/>
  <c r="C13" i="1" s="1"/>
  <c r="C14" i="1" s="1"/>
  <c r="C15" i="1" s="1"/>
  <c r="C16" i="1" s="1"/>
  <c r="C17" i="1" s="1"/>
  <c r="C18" i="1" l="1"/>
  <c r="C25" i="3"/>
  <c r="C24" i="3"/>
  <c r="D23" i="3" s="1"/>
  <c r="C54" i="3" l="1"/>
  <c r="I7" i="1" l="1"/>
  <c r="I8" i="1" s="1"/>
  <c r="I9" i="1" s="1"/>
  <c r="I10" i="1" s="1"/>
  <c r="I11" i="1" s="1"/>
  <c r="I12" i="1" s="1"/>
  <c r="I13" i="1" s="1"/>
  <c r="I14" i="1" s="1"/>
  <c r="I15" i="1" s="1"/>
  <c r="I16" i="1" s="1"/>
  <c r="I17" i="1" s="1"/>
  <c r="H7" i="1"/>
  <c r="H8" i="1" s="1"/>
  <c r="H9" i="1" s="1"/>
  <c r="H10" i="1" s="1"/>
  <c r="H12" i="1" s="1"/>
  <c r="H13" i="1" s="1"/>
  <c r="H14" i="1" s="1"/>
  <c r="H15" i="1" s="1"/>
  <c r="H16" i="1" s="1"/>
  <c r="H17" i="1" s="1"/>
  <c r="G7" i="1"/>
  <c r="G8" i="1" s="1"/>
  <c r="G11" i="1" s="1"/>
  <c r="G12" i="1" s="1"/>
  <c r="G13" i="1" s="1"/>
  <c r="G14" i="1" s="1"/>
  <c r="G15" i="1" s="1"/>
  <c r="G16" i="1" s="1"/>
  <c r="F7" i="1"/>
  <c r="F8" i="1" s="1"/>
  <c r="F9" i="1" s="1"/>
  <c r="F10" i="1" s="1"/>
  <c r="F11" i="1" s="1"/>
  <c r="F12" i="1" s="1"/>
  <c r="F13" i="1" s="1"/>
  <c r="F14" i="1" s="1"/>
  <c r="F15" i="1" s="1"/>
  <c r="F16" i="1" s="1"/>
  <c r="F17" i="1" s="1"/>
  <c r="E7" i="1"/>
  <c r="E8" i="1" s="1"/>
  <c r="E9" i="1" s="1"/>
  <c r="E10" i="1" s="1"/>
  <c r="E11" i="1" s="1"/>
  <c r="E12" i="1" s="1"/>
  <c r="E13" i="1" s="1"/>
  <c r="E14" i="1" s="1"/>
  <c r="E15" i="1" s="1"/>
  <c r="E16" i="1" s="1"/>
  <c r="E17" i="1" s="1"/>
  <c r="D7" i="1"/>
  <c r="D8" i="1" s="1"/>
  <c r="D9" i="1" s="1"/>
  <c r="D10" i="1" s="1"/>
  <c r="D11" i="1" s="1"/>
  <c r="D12" i="1" s="1"/>
  <c r="D13" i="1" s="1"/>
  <c r="D14" i="1" s="1"/>
  <c r="D15" i="1" s="1"/>
  <c r="D16" i="1" s="1"/>
  <c r="D17" i="1" s="1"/>
  <c r="B7" i="1"/>
  <c r="B8" i="1" l="1"/>
  <c r="D18" i="1"/>
  <c r="C27" i="3"/>
  <c r="B9" i="1" l="1"/>
  <c r="B3" i="3"/>
  <c r="B2" i="3"/>
  <c r="B1" i="3"/>
  <c r="A3" i="3"/>
  <c r="A2" i="3"/>
  <c r="F25" i="1"/>
  <c r="B10" i="1" l="1"/>
  <c r="C53" i="3"/>
  <c r="C52" i="3"/>
  <c r="C51" i="3"/>
  <c r="C50" i="3"/>
  <c r="C49" i="3"/>
  <c r="C48" i="3"/>
  <c r="C47" i="3"/>
  <c r="C46" i="3"/>
  <c r="G38" i="5" s="1"/>
  <c r="I38" i="5" s="1"/>
  <c r="K38" i="5" s="1"/>
  <c r="K39" i="5" s="1"/>
  <c r="D44" i="3"/>
  <c r="D43" i="3"/>
  <c r="D27" i="3"/>
  <c r="C15" i="3"/>
  <c r="D15" i="3" s="1"/>
  <c r="C12" i="3"/>
  <c r="C11" i="3"/>
  <c r="B11" i="1" l="1"/>
  <c r="D45" i="3"/>
  <c r="B12" i="1" l="1"/>
  <c r="H18" i="1"/>
  <c r="G18" i="1"/>
  <c r="E18" i="1"/>
  <c r="B13" i="1" l="1"/>
  <c r="K18" i="1"/>
  <c r="L18" i="1"/>
  <c r="B13" i="3" s="1"/>
  <c r="C13" i="3" s="1"/>
  <c r="I18" i="1"/>
  <c r="F18" i="1"/>
  <c r="B10" i="3"/>
  <c r="C10" i="3" s="1"/>
  <c r="J13" i="1"/>
  <c r="J12" i="1"/>
  <c r="J11" i="1"/>
  <c r="J10" i="1"/>
  <c r="J9" i="1"/>
  <c r="J8" i="1"/>
  <c r="J7" i="1"/>
  <c r="J6" i="1"/>
  <c r="B14" i="1" l="1"/>
  <c r="B15" i="1" l="1"/>
  <c r="J14" i="1"/>
  <c r="B16" i="1" l="1"/>
  <c r="J15" i="1"/>
  <c r="B17" i="1" l="1"/>
  <c r="J16" i="1"/>
  <c r="B18" i="1"/>
  <c r="B8" i="3" s="1"/>
  <c r="C9" i="3" l="1"/>
  <c r="J17" i="1"/>
  <c r="J18" i="1" s="1"/>
  <c r="B4" i="3" s="1"/>
  <c r="D4" i="3" s="1"/>
  <c r="C6" i="3" l="1"/>
  <c r="D5" i="3" l="1"/>
  <c r="D14" i="3" s="1"/>
  <c r="D26" i="3" s="1"/>
  <c r="D55" i="3" s="1"/>
  <c r="D58" i="3" s="1"/>
  <c r="G17" i="5"/>
  <c r="I19" i="5" s="1"/>
  <c r="K25" i="5" s="1"/>
  <c r="K28" i="5" s="1"/>
  <c r="K41" i="5" s="1"/>
  <c r="K44" i="5" s="1"/>
  <c r="F23" i="1" l="1"/>
  <c r="D27" i="1" s="1"/>
  <c r="F27" i="1" s="1"/>
  <c r="D56" i="3"/>
  <c r="D26" i="1" l="1"/>
  <c r="F26" i="1" s="1"/>
  <c r="D28" i="1"/>
  <c r="F28" i="1"/>
  <c r="F29" i="1" l="1"/>
  <c r="D57" i="3"/>
  <c r="D59" i="3" s="1"/>
  <c r="D60" i="3" s="1"/>
  <c r="D62" i="3" s="1"/>
  <c r="D64" i="3" s="1"/>
  <c r="M6" i="1" s="1"/>
  <c r="N6" i="1" s="1"/>
  <c r="O6" i="1" s="1"/>
  <c r="K43" i="5"/>
  <c r="K45" i="5" s="1"/>
  <c r="K46" i="5" s="1"/>
  <c r="K47" i="5" s="1"/>
  <c r="K49" i="5" s="1"/>
  <c r="K51" i="5" s="1"/>
  <c r="M7" i="1" l="1"/>
  <c r="N7" i="1" s="1"/>
  <c r="O7" i="1" s="1"/>
  <c r="M8" i="1" l="1"/>
  <c r="N8" i="1" s="1"/>
  <c r="O8" i="1" s="1"/>
  <c r="M9" i="1" l="1"/>
  <c r="N9" i="1" s="1"/>
  <c r="O9" i="1" s="1"/>
  <c r="M10" i="1" l="1"/>
  <c r="N10" i="1" s="1"/>
  <c r="O10" i="1" s="1"/>
  <c r="M11" i="1" l="1"/>
  <c r="N11" i="1" s="1"/>
  <c r="O11" i="1" s="1"/>
  <c r="M12" i="1" l="1"/>
  <c r="N12" i="1" s="1"/>
  <c r="M13" i="1"/>
  <c r="N13" i="1" s="1"/>
  <c r="O12" i="1" l="1"/>
  <c r="M14" i="1"/>
  <c r="N14" i="1" s="1"/>
  <c r="O13" i="1"/>
  <c r="M15" i="1" l="1"/>
  <c r="N15" i="1" s="1"/>
  <c r="O14" i="1"/>
  <c r="M16" i="1" l="1"/>
  <c r="N16" i="1" s="1"/>
  <c r="M17" i="1" l="1"/>
  <c r="O16" i="1"/>
  <c r="O15" i="1"/>
  <c r="N17" i="1" l="1"/>
  <c r="N18" i="1" s="1"/>
  <c r="M18" i="1"/>
  <c r="O17" i="1" l="1"/>
  <c r="O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8ECD391B-CEF7-4058-A6BA-8E4C7691519B}">
      <text>
        <r>
          <rPr>
            <b/>
            <sz val="8"/>
            <color indexed="81"/>
            <rFont val="Tahoma"/>
            <family val="2"/>
          </rPr>
          <t>ACCOUNTS:</t>
        </r>
        <r>
          <rPr>
            <sz val="8"/>
            <color indexed="81"/>
            <rFont val="Tahoma"/>
            <family val="2"/>
          </rPr>
          <t xml:space="preserve">
Total Annual Income</t>
        </r>
      </text>
    </comment>
    <comment ref="C6" authorId="0" shapeId="0" xr:uid="{54942275-C28F-4B3A-A754-CFB3D4C196A3}">
      <text>
        <r>
          <rPr>
            <b/>
            <sz val="8"/>
            <color indexed="81"/>
            <rFont val="Tahoma"/>
            <family val="2"/>
          </rPr>
          <t>ACCOUNTS:
Least of Below 3 criteria</t>
        </r>
      </text>
    </comment>
    <comment ref="C8" authorId="0" shapeId="0" xr:uid="{DDB4BFCF-D9EA-4DD4-BEE3-CCB7EB52D2C9}">
      <text>
        <r>
          <rPr>
            <b/>
            <sz val="8"/>
            <color indexed="81"/>
            <rFont val="Tahoma"/>
            <family val="2"/>
          </rPr>
          <t>ACCOUNTS:
40% of (basic+DA) for Non Metro &amp; 50% for Metro</t>
        </r>
      </text>
    </comment>
    <comment ref="C9" authorId="0" shapeId="0" xr:uid="{064CC4F8-750E-432B-BC7D-025912D952A6}">
      <text>
        <r>
          <rPr>
            <b/>
            <sz val="8"/>
            <color indexed="81"/>
            <rFont val="Tahoma"/>
            <family val="2"/>
          </rPr>
          <t>ACCOUNTS:
Rent Paid - 10% of Basic</t>
        </r>
      </text>
    </comment>
    <comment ref="B24" authorId="0" shapeId="0" xr:uid="{3A5E2AA6-9667-4692-B6B8-463FEB7B1563}">
      <text>
        <r>
          <rPr>
            <b/>
            <sz val="11"/>
            <color indexed="8"/>
            <rFont val="Calibri"/>
            <family val="2"/>
          </rPr>
          <t>ACCOUNTS:</t>
        </r>
        <r>
          <rPr>
            <b/>
            <sz val="8"/>
            <color indexed="81"/>
            <rFont val="Tahoma"/>
            <family val="2"/>
          </rPr>
          <t xml:space="preserve">
Budget 2017 has interest exemption to Rs 2 lakh irrespctive of its rented or self occupied</t>
        </r>
      </text>
    </comment>
    <comment ref="B25" authorId="0" shapeId="0" xr:uid="{1D92886C-B85A-4B93-BBEC-B3A31A428071}">
      <text>
        <r>
          <rPr>
            <b/>
            <sz val="8"/>
            <color indexed="81"/>
            <rFont val="Tahoma"/>
            <family val="2"/>
          </rPr>
          <t>ACCOUNTS:</t>
        </r>
        <r>
          <rPr>
            <sz val="8"/>
            <color indexed="81"/>
            <rFont val="Tahoma"/>
            <family val="2"/>
          </rPr>
          <t xml:space="preserve">
Deduction up to Rs 30,000 is allowed on the interest payment for loan taken for Home Improvement</t>
        </r>
      </text>
    </comment>
    <comment ref="B39" authorId="0" shapeId="0" xr:uid="{769CD24C-593D-4970-BEB2-C8FC58B942E3}">
      <text>
        <r>
          <rPr>
            <b/>
            <sz val="8"/>
            <color indexed="81"/>
            <rFont val="Tahoma"/>
            <family val="2"/>
          </rPr>
          <t>ACCOUNTS:</t>
        </r>
        <r>
          <rPr>
            <sz val="8"/>
            <color indexed="81"/>
            <rFont val="Tahoma"/>
            <family val="2"/>
          </rPr>
          <t xml:space="preserve">
50% of invested amount is eligible for Tax Deduction</t>
        </r>
      </text>
    </comment>
    <comment ref="B44" authorId="0" shapeId="0" xr:uid="{3CC7DA3C-2A13-4D6C-85F2-FC6C23919853}">
      <text>
        <r>
          <rPr>
            <b/>
            <sz val="8"/>
            <color indexed="81"/>
            <rFont val="Tahoma"/>
            <family val="2"/>
          </rPr>
          <t>ACCOUNTS:</t>
        </r>
        <r>
          <rPr>
            <sz val="8"/>
            <color indexed="81"/>
            <rFont val="Tahoma"/>
            <family val="2"/>
          </rPr>
          <t xml:space="preserve">
50% of invested amount is eligible for Tax Deduction</t>
        </r>
      </text>
    </comment>
    <comment ref="B46" authorId="0" shapeId="0" xr:uid="{28894CBC-6BD1-40AD-87A4-6AC8441D7800}">
      <text>
        <r>
          <rPr>
            <b/>
            <sz val="8"/>
            <color indexed="81"/>
            <rFont val="Tahoma"/>
            <family val="2"/>
          </rPr>
          <t>ACCOUNTS:
Self here includes spouse &amp; children</t>
        </r>
      </text>
    </comment>
    <comment ref="B49" authorId="0" shapeId="0" xr:uid="{1DF9F452-B598-4045-9437-DF5B8AD11329}">
      <text>
        <r>
          <rPr>
            <b/>
            <sz val="8"/>
            <color indexed="81"/>
            <rFont val="Tahoma"/>
            <family val="2"/>
          </rPr>
          <t>ACCOUNTS:</t>
        </r>
        <r>
          <rPr>
            <sz val="8"/>
            <color indexed="81"/>
            <rFont val="Tahoma"/>
            <family val="2"/>
          </rPr>
          <t xml:space="preserve">
Deduction in respect of maintenance including medical treatment of dependent who is a person with disability. Maximum deduction Rs. 125,000/- in case of severe disability (more than 80%) and Rs. 75,000/- in other cases.</t>
        </r>
      </text>
    </comment>
    <comment ref="B50" authorId="0" shapeId="0" xr:uid="{B476675D-CBDC-471B-8D38-133B0385FED0}">
      <text>
        <r>
          <rPr>
            <b/>
            <sz val="8"/>
            <color indexed="81"/>
            <rFont val="Tahoma"/>
            <family val="2"/>
          </rPr>
          <t>ACCOUNTS:</t>
        </r>
        <r>
          <rPr>
            <sz val="8"/>
            <color indexed="81"/>
            <rFont val="Tahoma"/>
            <family val="2"/>
          </rPr>
          <t xml:space="preserve">
For senior citizens the deduction amount is up to Rs 1,00,000;  while for all others its Rs 40,000
</t>
        </r>
      </text>
    </comment>
    <comment ref="B52" authorId="0" shapeId="0" xr:uid="{1DDF5015-719C-4451-A702-7C21E6DC9FC0}">
      <text>
        <r>
          <rPr>
            <b/>
            <sz val="8"/>
            <color indexed="81"/>
            <rFont val="Tahoma"/>
            <family val="2"/>
          </rPr>
          <t>ACCOUNTS:</t>
        </r>
        <r>
          <rPr>
            <sz val="8"/>
            <color indexed="81"/>
            <rFont val="Tahoma"/>
            <family val="2"/>
          </rPr>
          <t xml:space="preserve">
For paying rent in case you do not receive HRA</t>
        </r>
      </text>
    </comment>
    <comment ref="B53" authorId="0" shapeId="0" xr:uid="{E048782D-DE70-45F2-954C-B6AA9A35B643}">
      <text>
        <r>
          <rPr>
            <b/>
            <sz val="8"/>
            <color indexed="81"/>
            <rFont val="Tahoma"/>
            <family val="2"/>
          </rPr>
          <t>ACCOUNTS:</t>
        </r>
        <r>
          <rPr>
            <sz val="8"/>
            <color indexed="81"/>
            <rFont val="Tahoma"/>
            <family val="2"/>
          </rPr>
          <t xml:space="preserve">
Deduction of Rs. 75,000 (Rs 1,25,000 in case of severe disability) to an individual who suffers from physical disability.</t>
        </r>
      </text>
    </comment>
    <comment ref="B54" authorId="0" shapeId="0" xr:uid="{9C5C1164-5D8F-438F-B349-10237A318CC5}">
      <text>
        <r>
          <rPr>
            <b/>
            <sz val="9"/>
            <color indexed="81"/>
            <rFont val="Tahoma"/>
            <family val="2"/>
          </rPr>
          <t>Author:
as per budget 2018 interest u/s 80TTA has been increased to Rs50000 for Senior citizen</t>
        </r>
      </text>
    </comment>
  </commentList>
</comments>
</file>

<file path=xl/sharedStrings.xml><?xml version="1.0" encoding="utf-8"?>
<sst xmlns="http://schemas.openxmlformats.org/spreadsheetml/2006/main" count="207" uniqueCount="187">
  <si>
    <t>Basic</t>
  </si>
  <si>
    <t>HRA</t>
  </si>
  <si>
    <t>Conveyance Allowance</t>
  </si>
  <si>
    <t>Gross Pay</t>
  </si>
  <si>
    <t>Professional Tax</t>
  </si>
  <si>
    <t>Income tax</t>
  </si>
  <si>
    <t>Total Deductions</t>
  </si>
  <si>
    <t>Net Pay</t>
  </si>
  <si>
    <t>Month</t>
  </si>
  <si>
    <t>Provident Fund</t>
  </si>
  <si>
    <t>Living Allowance</t>
  </si>
  <si>
    <t>LTA</t>
  </si>
  <si>
    <t>Male</t>
  </si>
  <si>
    <t>Income Tax</t>
  </si>
  <si>
    <t>City of Residence</t>
  </si>
  <si>
    <t>Rent Paid</t>
  </si>
  <si>
    <t>Trivandrum</t>
  </si>
  <si>
    <t>A. EPF &amp; VPF Contribution</t>
  </si>
  <si>
    <t>B. Public Provident Fund (PPF)</t>
  </si>
  <si>
    <t>C. Senior Citizen’s Saving Scheme (SCSS)</t>
  </si>
  <si>
    <t>D. N.S.C (Investment + accrued Interest before Maturity Year)</t>
  </si>
  <si>
    <t>E. Tax Saving Fixed Deposit (5 Years and above)</t>
  </si>
  <si>
    <t>F. Tax Savings Bonds</t>
  </si>
  <si>
    <t>G. E.L.S.S (Tax Saving Mutual Fund)</t>
  </si>
  <si>
    <t>H. Life Insurance Premiums</t>
  </si>
  <si>
    <t>I. New Pension Scheme (NPS) (u/s 80CCC)</t>
  </si>
  <si>
    <t>J. Pension Plan from Insurance Companies/Mutual Funds (u/s 80CCC)</t>
  </si>
  <si>
    <t>K. 80 CCD Central Govt. Employees Pension Plan (u/s 80CCD)</t>
  </si>
  <si>
    <t>L. Housing. Loan (Principal Repayment)</t>
  </si>
  <si>
    <t xml:space="preserve">M. Sukanya Samriddhi Account </t>
  </si>
  <si>
    <t>N. Stamp Duty &amp; Registration Charges</t>
  </si>
  <si>
    <t>O. Tuition fees for 2 children</t>
  </si>
  <si>
    <t>Gross Total Income</t>
  </si>
  <si>
    <t>Gross Annual Income/Salary (with all allowances)</t>
  </si>
  <si>
    <t>Basic Salary (Basic+DA)</t>
  </si>
  <si>
    <t>H.R.A received</t>
  </si>
  <si>
    <t>(iii) Any Other Exempted Receipts/ allowances</t>
  </si>
  <si>
    <t>(iv) Professional Tax</t>
  </si>
  <si>
    <t>Income under the head salaries</t>
  </si>
  <si>
    <t>Add: Any other income from other sources</t>
  </si>
  <si>
    <t>1. Interest received from following Investments</t>
  </si>
  <si>
    <t>a. Bank ( Saving /FD /Rec )</t>
  </si>
  <si>
    <t>b. N.S.C.(accrued/ Recd )</t>
  </si>
  <si>
    <t>c. Post Ofice M.I.S (6 yrs.)</t>
  </si>
  <si>
    <t>d. Post Office Recring Deposit (5 yrs.)</t>
  </si>
  <si>
    <t>2. Any Other Income</t>
  </si>
  <si>
    <t>3. Any Other Income</t>
  </si>
  <si>
    <t>Less: Exemption on Home Loan Interest (Sec 24)</t>
  </si>
  <si>
    <t>Loss from house property (Section 24)</t>
  </si>
  <si>
    <t>Interest paid on Home Improvement Loan (max 30,000)</t>
  </si>
  <si>
    <t>Less: Deduction under Sec 80C (Max Rs.1,50,000/-)</t>
  </si>
  <si>
    <t>Less: Additional Deduction under Sec 80CCD NPS (Max Rs 50,000/-)</t>
  </si>
  <si>
    <t>Less: Deduction under RGESS Sec 80CCG (Max Rs. 50,000/-)</t>
  </si>
  <si>
    <t>Less: Deduction under chapter VI A</t>
  </si>
  <si>
    <t>A. 80 D Medical Insurance premiums (for Self )</t>
  </si>
  <si>
    <t>B. 80 D Medical Insurance premiums (for Parents)</t>
  </si>
  <si>
    <t>C. 80 E Int Paid on Education Loan</t>
  </si>
  <si>
    <t>D. 80 DD Medical Treatment of handicapped Dependent</t>
  </si>
  <si>
    <t>E. 80DDB Expenditure on Selected Medical Treatment for self/ dependent</t>
  </si>
  <si>
    <t>F. 80G, 80GGA, 80GGC Donation to approved funds</t>
  </si>
  <si>
    <t>H. 80U For Physically Disable Assesse</t>
  </si>
  <si>
    <t>Total Income</t>
  </si>
  <si>
    <t>Tax Rebate of Rs. 2,500 (For Income of less than 3.5 lakhs)</t>
  </si>
  <si>
    <t>Total Tax Payable</t>
  </si>
  <si>
    <t>Net Tax Payable</t>
  </si>
  <si>
    <t>Slab</t>
  </si>
  <si>
    <t>Rate</t>
  </si>
  <si>
    <t>Amount</t>
  </si>
  <si>
    <t>Up To 250000</t>
  </si>
  <si>
    <t>Nil</t>
  </si>
  <si>
    <t>Calculation of Income Tax</t>
  </si>
  <si>
    <t>1000000 &amp; above</t>
  </si>
  <si>
    <t>Tax Deducted Till Now</t>
  </si>
  <si>
    <t>Tax to be Deducted</t>
  </si>
  <si>
    <t>No of Months</t>
  </si>
  <si>
    <t>TDS Per Month</t>
  </si>
  <si>
    <t>Less: Allowances exempt u/s 10</t>
  </si>
  <si>
    <t>Name:</t>
  </si>
  <si>
    <t>Designation:</t>
  </si>
  <si>
    <t>Gender:</t>
  </si>
  <si>
    <t>EMP Code:</t>
  </si>
  <si>
    <t>PAN No:</t>
  </si>
  <si>
    <t>Period:</t>
  </si>
  <si>
    <t>(i) H.R.A. exemption</t>
  </si>
  <si>
    <r>
      <t xml:space="preserve">Tax Surcharge @ 10% (For Income of more than 50 Lakhs) </t>
    </r>
    <r>
      <rPr>
        <sz val="10"/>
        <rFont val="Arial"/>
        <family val="2"/>
      </rPr>
      <t>(Budget 2017)</t>
    </r>
  </si>
  <si>
    <r>
      <t>I. 80TTA (Rs 50,000 for Senior Citizens &amp; Rs 10,000 for others)</t>
    </r>
    <r>
      <rPr>
        <sz val="10"/>
        <color theme="1"/>
        <rFont val="Calibri"/>
        <family val="2"/>
        <scheme val="minor"/>
      </rPr>
      <t xml:space="preserve"> </t>
    </r>
    <r>
      <rPr>
        <b/>
        <sz val="10"/>
        <rFont val="Arial"/>
        <family val="2"/>
      </rPr>
      <t>(Budget 2018)</t>
    </r>
  </si>
  <si>
    <r>
      <t xml:space="preserve">G. 80GG For Rent in case of NO HRA Component </t>
    </r>
    <r>
      <rPr>
        <sz val="9"/>
        <rFont val="Arial"/>
        <family val="2"/>
      </rPr>
      <t>(Budget 2016)</t>
    </r>
  </si>
  <si>
    <r>
      <t>(ii) Standard Deduction for Salaried &amp; Pensioner (Rs 40,000) (</t>
    </r>
    <r>
      <rPr>
        <sz val="11"/>
        <color theme="1"/>
        <rFont val="Calibri"/>
        <family val="2"/>
        <scheme val="minor"/>
      </rPr>
      <t>Budget 2018</t>
    </r>
    <r>
      <rPr>
        <b/>
        <sz val="10"/>
        <rFont val="Arial"/>
        <family val="2"/>
      </rPr>
      <t>)</t>
    </r>
  </si>
  <si>
    <t>Add; Edn Cess + Health Cess @ 4% (Budget 2018)</t>
  </si>
  <si>
    <t>Incentive</t>
  </si>
  <si>
    <t>DA</t>
  </si>
  <si>
    <t>XYZ</t>
  </si>
  <si>
    <t>XXXXX1234X</t>
  </si>
  <si>
    <t>FORM</t>
  </si>
  <si>
    <t>Employee Details</t>
  </si>
  <si>
    <t>Name of the employee:</t>
  </si>
  <si>
    <t>XXXX</t>
  </si>
  <si>
    <t>PAN of the Employee:</t>
  </si>
  <si>
    <t>XXXXX5689X</t>
  </si>
  <si>
    <t>Employee Code:</t>
  </si>
  <si>
    <t>OO21</t>
  </si>
  <si>
    <t>Period of Employment (from)</t>
  </si>
  <si>
    <t>Period of Employment (to)</t>
  </si>
  <si>
    <t>Employer Details</t>
  </si>
  <si>
    <t>XYZ AND COMPANY</t>
  </si>
  <si>
    <t>PAN of the Deductor:</t>
  </si>
  <si>
    <t>TAN of the Deductor:</t>
  </si>
  <si>
    <t>XXXX21544X</t>
  </si>
  <si>
    <t>Financial Year:</t>
  </si>
  <si>
    <t>2018-19</t>
  </si>
  <si>
    <t>Assessment Year:</t>
  </si>
  <si>
    <t>2019-20</t>
  </si>
  <si>
    <t>Signatory Details</t>
  </si>
  <si>
    <t>Father Name:</t>
  </si>
  <si>
    <t>DIRECTOR</t>
  </si>
  <si>
    <t>Place:</t>
  </si>
  <si>
    <t>Date:</t>
  </si>
  <si>
    <t>PART B (Annexure)</t>
  </si>
  <si>
    <t>Name and address of the Employer</t>
  </si>
  <si>
    <t>Name and address of the Employee</t>
  </si>
  <si>
    <t>PAN of the Deductor</t>
  </si>
  <si>
    <t>TAN of the Deductor</t>
  </si>
  <si>
    <t>PAN of the Employee</t>
  </si>
  <si>
    <t>Employee Reference No.Provided by the Employer (IF AVAILABLE)</t>
  </si>
  <si>
    <t>Assessment Year</t>
  </si>
  <si>
    <t>Period with the Employer (From)</t>
  </si>
  <si>
    <t>Period with the Employer (To)</t>
  </si>
  <si>
    <t>Details Of Salary Paid And Any Other Income And Tax Deducted</t>
  </si>
  <si>
    <t>1. Gross Salary</t>
  </si>
  <si>
    <t>Rs</t>
  </si>
  <si>
    <t>(a)</t>
  </si>
  <si>
    <t>Salary as per provisions contained in section 17 (1)</t>
  </si>
  <si>
    <t>(b)</t>
  </si>
  <si>
    <t>Value of perquisites under section 17 (2)</t>
  </si>
  <si>
    <t>(as per Form No. 12 BA, wherever applicable)</t>
  </si>
  <si>
    <t>(c)</t>
  </si>
  <si>
    <t>Profits in lieu of Salary under section 17 (3)</t>
  </si>
  <si>
    <t>(d)</t>
  </si>
  <si>
    <t>Total</t>
  </si>
  <si>
    <t>2. Less : Allowance to the extent exempt under section 10</t>
  </si>
  <si>
    <t>H.R.A. exemption</t>
  </si>
  <si>
    <t>3. Balance (1-2)</t>
  </si>
  <si>
    <t xml:space="preserve">4. Deductions :          </t>
  </si>
  <si>
    <t>Standard Deduction</t>
  </si>
  <si>
    <t>Entertainment Allowance</t>
  </si>
  <si>
    <t>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</si>
  <si>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</si>
  <si>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</si>
  <si>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</si>
  <si>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</si>
  <si>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</si>
  <si>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</si>
  <si>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</si>
  <si>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</si>
  <si>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</si>
  <si>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</si>
  <si>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</si>
  <si>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Section 80C</t>
  </si>
  <si>
    <t>Section 80CCC</t>
  </si>
  <si>
    <t>Section 80CCD</t>
  </si>
  <si>
    <t xml:space="preserve">Aggregate amount deductible under the three sections </t>
  </si>
  <si>
    <t>i.e.80C, 80CCC and 80CCD</t>
  </si>
  <si>
    <t>(B)</t>
  </si>
  <si>
    <t>Other Sections Under Chapter VIA</t>
  </si>
  <si>
    <t>10. Aggregate of deductible amount under chapter VI-A</t>
  </si>
  <si>
    <t>11. Total Income (8-10 )</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</si>
  <si>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</si>
  <si>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</si>
  <si>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</si>
  <si>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</si>
  <si>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</si>
  <si>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</si>
  <si>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</si>
  <si>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</si>
  <si>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</si>
  <si>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Verification</t>
  </si>
  <si>
    <t>Place</t>
  </si>
  <si>
    <t>(signature of the person responsible for deduction of tax)</t>
  </si>
  <si>
    <t>Date</t>
  </si>
  <si>
    <t>Designation</t>
  </si>
  <si>
    <t>Address of the company:</t>
  </si>
  <si>
    <t>Special Allowance</t>
  </si>
  <si>
    <t>XXX</t>
  </si>
  <si>
    <t>Instruction:</t>
  </si>
  <si>
    <t>Fill only those cells which have no colour</t>
  </si>
  <si>
    <t>Nothing should be filled in FORM 16B</t>
  </si>
  <si>
    <t>Non 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</si>
</sst>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0.0"/>
    <numFmt numFmtId="166" formatCode="_(* #,##0.00_);_(* \(#,##0.00\);_(* &quot;-&quot;??_);_(@_)"/>
    <numFmt numFmtId="167" formatCode="_(* #,##0_);_(* \(#,##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name val="Verdana"/>
      <family val="2"/>
    </font>
    <font>
      <b/>
      <sz val="10"/>
      <name val="Arial"/>
      <family val="2"/>
    </font>
    <font>
      <sz val="10"/>
      <name val="Arial"/>
      <family val="2"/>
    </font>
    <font>
      <sz val="10"/>
      <color indexed="8"/>
      <name val="Arial"/>
      <family val="2"/>
    </font>
    <font>
      <sz val="12"/>
      <color indexed="8"/>
      <name val="Arial"/>
      <family val="2"/>
    </font>
    <font>
      <b/>
      <sz val="11"/>
      <name val="Arial"/>
      <family val="2"/>
    </font>
    <font>
      <b/>
      <sz val="14"/>
      <name val="Calibri"/>
      <family val="2"/>
    </font>
    <font>
      <b/>
      <sz val="12"/>
      <name val="Calibri"/>
      <family val="2"/>
    </font>
    <font>
      <b/>
      <sz val="8"/>
      <color indexed="81"/>
      <name val="Tahoma"/>
      <family val="2"/>
    </font>
    <font>
      <sz val="8"/>
      <color indexed="81"/>
      <name val="Tahoma"/>
      <family val="2"/>
    </font>
    <font>
      <b/>
      <sz val="11"/>
      <color indexed="8"/>
      <name val="Calibri"/>
      <family val="2"/>
    </font>
    <font>
      <b/>
      <sz val="10"/>
      <color rgb="FF000000"/>
      <name val="Arial"/>
      <family val="2"/>
    </font>
    <font>
      <sz val="11"/>
      <name val="Arial"/>
      <family val="2"/>
    </font>
    <font>
      <b/>
      <sz val="11"/>
      <color rgb="FF000000"/>
      <name val="Arial"/>
      <family val="2"/>
    </font>
    <font>
      <sz val="11"/>
      <color rgb="FF000000"/>
      <name val="Arial"/>
      <family val="2"/>
    </font>
    <font>
      <sz val="11"/>
      <color theme="1"/>
      <name val="Arial"/>
      <family val="2"/>
    </font>
    <font>
      <b/>
      <sz val="11"/>
      <color theme="1"/>
      <name val="Arial"/>
      <family val="2"/>
    </font>
    <font>
      <sz val="10"/>
      <color theme="1"/>
      <name val="Calibri"/>
      <family val="2"/>
      <scheme val="minor"/>
    </font>
    <font>
      <sz val="9"/>
      <name val="Arial"/>
      <family val="2"/>
    </font>
    <font>
      <sz val="11"/>
      <color rgb="FFFF0000"/>
      <name val="Calibri"/>
      <family val="2"/>
      <scheme val="minor"/>
    </font>
    <font>
      <b/>
      <sz val="9"/>
      <color indexed="81"/>
      <name val="Tahoma"/>
      <family val="2"/>
    </font>
    <font>
      <b/>
      <sz val="14"/>
      <color theme="1"/>
      <name val="Calibri"/>
      <family val="2"/>
      <scheme val="minor"/>
    </font>
    <font>
      <sz val="11"/>
      <name val="Calibri"/>
      <family val="2"/>
      <scheme val="minor"/>
    </font>
    <font>
      <b/>
      <i/>
      <sz val="10"/>
      <name val="Arial"/>
      <family val="2"/>
    </font>
    <font>
      <sz val="8"/>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indexed="9"/>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indexed="64"/>
      </right>
      <top/>
      <bottom style="thin">
        <color auto="1"/>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double">
        <color indexed="63"/>
      </left>
      <right style="medium">
        <color indexed="64"/>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thin">
        <color indexed="23"/>
      </left>
      <right style="thin">
        <color indexed="23"/>
      </right>
      <top style="thin">
        <color indexed="23"/>
      </top>
      <bottom style="thin">
        <color indexed="23"/>
      </bottom>
      <diagonal/>
    </border>
    <border>
      <left style="thin">
        <color indexed="63"/>
      </left>
      <right style="medium">
        <color indexed="64"/>
      </right>
      <top style="thin">
        <color indexed="63"/>
      </top>
      <bottom style="thin">
        <color indexed="63"/>
      </bottom>
      <diagonal/>
    </border>
    <border>
      <left style="medium">
        <color indexed="64"/>
      </left>
      <right/>
      <top/>
      <bottom style="thin">
        <color indexed="56"/>
      </bottom>
      <diagonal/>
    </border>
    <border>
      <left/>
      <right/>
      <top/>
      <bottom style="thin">
        <color indexed="56"/>
      </bottom>
      <diagonal/>
    </border>
    <border>
      <left style="medium">
        <color indexed="64"/>
      </left>
      <right/>
      <top/>
      <bottom style="medium">
        <color indexed="64"/>
      </bottom>
      <diagonal/>
    </border>
    <border>
      <left/>
      <right/>
      <top/>
      <bottom style="medium">
        <color indexed="64"/>
      </bottom>
      <diagonal/>
    </border>
    <border>
      <left style="double">
        <color indexed="63"/>
      </left>
      <right style="medium">
        <color indexed="64"/>
      </right>
      <top style="double">
        <color indexed="63"/>
      </top>
      <bottom style="medium">
        <color indexed="64"/>
      </bottom>
      <diagonal/>
    </border>
    <border>
      <left style="thin">
        <color indexed="23"/>
      </left>
      <right style="thin">
        <color indexed="23"/>
      </right>
      <top/>
      <bottom style="thin">
        <color indexed="23"/>
      </bottom>
      <diagonal/>
    </border>
    <border>
      <left style="medium">
        <color indexed="64"/>
      </left>
      <right/>
      <top style="medium">
        <color indexed="64"/>
      </top>
      <bottom/>
      <diagonal/>
    </border>
    <border>
      <left style="thin">
        <color indexed="23"/>
      </left>
      <right style="thin">
        <color indexed="23"/>
      </right>
      <top style="medium">
        <color indexed="64"/>
      </top>
      <bottom style="thin">
        <color indexed="23"/>
      </bottom>
      <diagonal/>
    </border>
    <border>
      <left/>
      <right/>
      <top style="medium">
        <color indexed="64"/>
      </top>
      <bottom/>
      <diagonal/>
    </border>
    <border>
      <left style="double">
        <color indexed="63"/>
      </left>
      <right style="medium">
        <color indexed="64"/>
      </right>
      <top style="medium">
        <color indexed="64"/>
      </top>
      <bottom style="double">
        <color indexed="63"/>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3"/>
      </left>
      <right style="thin">
        <color indexed="63"/>
      </right>
      <top/>
      <bottom style="thin">
        <color indexed="63"/>
      </bottom>
      <diagonal/>
    </border>
    <border>
      <left style="medium">
        <color indexed="64"/>
      </left>
      <right style="thin">
        <color indexed="23"/>
      </right>
      <top style="medium">
        <color indexed="64"/>
      </top>
      <bottom style="thin">
        <color indexed="23"/>
      </bottom>
      <diagonal/>
    </border>
    <border>
      <left style="thin">
        <color indexed="63"/>
      </left>
      <right style="medium">
        <color indexed="64"/>
      </right>
      <top style="medium">
        <color indexed="64"/>
      </top>
      <bottom style="thin">
        <color indexed="63"/>
      </bottom>
      <diagonal/>
    </border>
    <border>
      <left style="medium">
        <color indexed="64"/>
      </left>
      <right style="thin">
        <color indexed="23"/>
      </right>
      <top style="thin">
        <color indexed="23"/>
      </top>
      <bottom style="thin">
        <color indexed="23"/>
      </bottom>
      <diagonal/>
    </border>
    <border>
      <left style="medium">
        <color indexed="64"/>
      </left>
      <right style="thin">
        <color indexed="23"/>
      </right>
      <top style="thin">
        <color indexed="23"/>
      </top>
      <bottom style="medium">
        <color indexed="64"/>
      </bottom>
      <diagonal/>
    </border>
    <border>
      <left style="thin">
        <color indexed="63"/>
      </left>
      <right style="medium">
        <color indexed="64"/>
      </right>
      <top style="thin">
        <color indexed="63"/>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43" fontId="1" fillId="0" borderId="0" applyFont="0" applyFill="0" applyBorder="0" applyAlignment="0" applyProtection="0"/>
    <xf numFmtId="0" fontId="4" fillId="0" borderId="0"/>
    <xf numFmtId="0" fontId="7" fillId="0" borderId="0">
      <alignment vertical="top"/>
    </xf>
    <xf numFmtId="166" fontId="6" fillId="0" borderId="0" applyFont="0" applyFill="0" applyBorder="0" applyAlignment="0" applyProtection="0"/>
  </cellStyleXfs>
  <cellXfs count="196">
    <xf numFmtId="0" fontId="0" fillId="0" borderId="0" xfId="0"/>
    <xf numFmtId="164" fontId="16" fillId="0" borderId="11" xfId="1" applyNumberFormat="1" applyFont="1" applyFill="1" applyBorder="1" applyAlignment="1" applyProtection="1">
      <alignment vertical="center"/>
      <protection locked="0"/>
    </xf>
    <xf numFmtId="164" fontId="19" fillId="0" borderId="0" xfId="1" applyNumberFormat="1" applyFont="1" applyFill="1" applyBorder="1" applyAlignment="1" applyProtection="1">
      <alignment vertical="center"/>
      <protection locked="0"/>
    </xf>
    <xf numFmtId="164" fontId="16" fillId="0" borderId="18" xfId="1" applyNumberFormat="1" applyFont="1" applyFill="1" applyBorder="1" applyAlignment="1" applyProtection="1">
      <alignment vertical="center"/>
      <protection locked="0"/>
    </xf>
    <xf numFmtId="0" fontId="0" fillId="0" borderId="0" xfId="0" applyProtection="1">
      <protection locked="0"/>
    </xf>
    <xf numFmtId="0" fontId="0" fillId="0" borderId="1" xfId="0" applyBorder="1" applyProtection="1">
      <protection locked="0"/>
    </xf>
    <xf numFmtId="14" fontId="0" fillId="0" borderId="1" xfId="0" applyNumberFormat="1" applyBorder="1" applyAlignment="1" applyProtection="1">
      <alignment horizontal="left"/>
      <protection locked="0"/>
    </xf>
    <xf numFmtId="0" fontId="26" fillId="0" borderId="1" xfId="0" applyFont="1" applyBorder="1" applyAlignment="1" applyProtection="1">
      <alignment horizontal="left" vertical="top" wrapText="1"/>
      <protection locked="0"/>
    </xf>
    <xf numFmtId="0" fontId="26" fillId="0" borderId="1" xfId="0" applyFont="1" applyBorder="1" applyAlignment="1" applyProtection="1">
      <alignment horizontal="left"/>
      <protection locked="0"/>
    </xf>
    <xf numFmtId="0" fontId="0" fillId="0" borderId="1" xfId="0" applyFont="1" applyBorder="1" applyProtection="1">
      <protection locked="0"/>
    </xf>
    <xf numFmtId="0" fontId="26" fillId="0" borderId="1" xfId="0" applyFont="1" applyFill="1" applyBorder="1" applyAlignment="1" applyProtection="1">
      <alignment horizontal="left"/>
      <protection locked="0"/>
    </xf>
    <xf numFmtId="15" fontId="0" fillId="0" borderId="1" xfId="0" applyNumberFormat="1" applyFont="1" applyBorder="1" applyAlignment="1" applyProtection="1">
      <alignment horizontal="left"/>
      <protection locked="0"/>
    </xf>
    <xf numFmtId="0" fontId="26" fillId="2" borderId="1" xfId="0" applyFont="1" applyFill="1" applyBorder="1" applyAlignment="1" applyProtection="1">
      <alignment horizontal="left"/>
    </xf>
    <xf numFmtId="0" fontId="26" fillId="2" borderId="1" xfId="0" applyFont="1" applyFill="1" applyBorder="1" applyAlignment="1" applyProtection="1">
      <alignment horizontal="left" vertical="center"/>
    </xf>
    <xf numFmtId="0" fontId="0" fillId="0" borderId="0" xfId="0" applyProtection="1"/>
    <xf numFmtId="0" fontId="17" fillId="2" borderId="1" xfId="0" applyFont="1" applyFill="1" applyBorder="1" applyAlignment="1" applyProtection="1">
      <alignment vertical="center"/>
    </xf>
    <xf numFmtId="43" fontId="15" fillId="2" borderId="35" xfId="1" applyFont="1" applyFill="1" applyBorder="1" applyAlignment="1" applyProtection="1"/>
    <xf numFmtId="0" fontId="9" fillId="2" borderId="1" xfId="0" applyFont="1" applyFill="1" applyBorder="1" applyAlignment="1" applyProtection="1">
      <alignment horizontal="center"/>
    </xf>
    <xf numFmtId="43" fontId="17" fillId="2" borderId="35" xfId="1" applyFont="1" applyFill="1" applyBorder="1" applyAlignment="1" applyProtection="1">
      <alignment horizontal="center"/>
    </xf>
    <xf numFmtId="0" fontId="18" fillId="2" borderId="5" xfId="0" applyFont="1" applyFill="1" applyBorder="1" applyAlignment="1" applyProtection="1"/>
    <xf numFmtId="0" fontId="16" fillId="2" borderId="1" xfId="0" applyFont="1" applyFill="1" applyBorder="1" applyAlignment="1" applyProtection="1">
      <alignment horizontal="center"/>
    </xf>
    <xf numFmtId="43" fontId="16" fillId="2" borderId="35" xfId="1" applyFont="1" applyFill="1" applyBorder="1" applyProtection="1"/>
    <xf numFmtId="164" fontId="16" fillId="2" borderId="34" xfId="1" applyNumberFormat="1" applyFont="1" applyFill="1" applyBorder="1" applyAlignment="1" applyProtection="1">
      <alignment horizontal="center"/>
    </xf>
    <xf numFmtId="164" fontId="16" fillId="2" borderId="1" xfId="1" applyNumberFormat="1" applyFont="1" applyFill="1" applyBorder="1" applyAlignment="1" applyProtection="1">
      <alignment horizontal="center"/>
    </xf>
    <xf numFmtId="9" fontId="16" fillId="2" borderId="1" xfId="0" applyNumberFormat="1" applyFont="1" applyFill="1" applyBorder="1" applyAlignment="1" applyProtection="1">
      <alignment horizontal="center"/>
    </xf>
    <xf numFmtId="43" fontId="0" fillId="2" borderId="35" xfId="1" applyFont="1" applyFill="1" applyBorder="1" applyAlignment="1" applyProtection="1"/>
    <xf numFmtId="164" fontId="16" fillId="2" borderId="34" xfId="1" applyNumberFormat="1" applyFont="1" applyFill="1" applyBorder="1" applyAlignment="1" applyProtection="1"/>
    <xf numFmtId="0" fontId="9" fillId="2" borderId="36" xfId="0" applyFont="1" applyFill="1" applyBorder="1" applyAlignment="1" applyProtection="1"/>
    <xf numFmtId="0" fontId="9" fillId="2" borderId="37" xfId="0" applyFont="1" applyFill="1" applyBorder="1" applyAlignment="1" applyProtection="1"/>
    <xf numFmtId="43" fontId="9" fillId="2" borderId="38" xfId="1" applyFont="1" applyFill="1" applyBorder="1" applyProtection="1"/>
    <xf numFmtId="17" fontId="0" fillId="0" borderId="0" xfId="0" applyNumberFormat="1" applyProtection="1">
      <protection locked="0"/>
    </xf>
    <xf numFmtId="43" fontId="0" fillId="0" borderId="0" xfId="2" applyFont="1" applyBorder="1" applyProtection="1">
      <protection locked="0"/>
    </xf>
    <xf numFmtId="43" fontId="0" fillId="0" borderId="0" xfId="1" applyFont="1" applyProtection="1">
      <protection locked="0"/>
    </xf>
    <xf numFmtId="43" fontId="0" fillId="0" borderId="0" xfId="1" applyFont="1" applyAlignment="1" applyProtection="1">
      <alignment horizontal="center"/>
      <protection locked="0"/>
    </xf>
    <xf numFmtId="43" fontId="2" fillId="0" borderId="0" xfId="2" applyFont="1" applyBorder="1" applyProtection="1">
      <protection locked="0"/>
    </xf>
    <xf numFmtId="43" fontId="0" fillId="0" borderId="0" xfId="1" applyFont="1" applyFill="1" applyProtection="1">
      <protection locked="0"/>
    </xf>
    <xf numFmtId="43" fontId="0" fillId="0" borderId="0" xfId="2" applyFont="1" applyProtection="1">
      <protection locked="0"/>
    </xf>
    <xf numFmtId="43" fontId="2" fillId="0" borderId="0" xfId="2" applyFont="1" applyProtection="1">
      <protection locked="0"/>
    </xf>
    <xf numFmtId="0" fontId="0" fillId="0" borderId="4" xfId="0" applyBorder="1" applyProtection="1">
      <protection locked="0"/>
    </xf>
    <xf numFmtId="43" fontId="2" fillId="0" borderId="4" xfId="2" applyFont="1" applyBorder="1" applyProtection="1">
      <protection locked="0"/>
    </xf>
    <xf numFmtId="0" fontId="0" fillId="0" borderId="0" xfId="0" applyBorder="1" applyProtection="1">
      <protection locked="0"/>
    </xf>
    <xf numFmtId="0" fontId="17" fillId="0" borderId="0" xfId="0" applyFont="1" applyBorder="1" applyAlignment="1" applyProtection="1">
      <protection locked="0"/>
    </xf>
    <xf numFmtId="0" fontId="17" fillId="0" borderId="0" xfId="0" applyFont="1" applyBorder="1" applyAlignment="1" applyProtection="1">
      <alignment vertical="center"/>
      <protection locked="0"/>
    </xf>
    <xf numFmtId="0" fontId="18" fillId="0" borderId="0" xfId="0" applyFont="1" applyBorder="1" applyAlignment="1" applyProtection="1">
      <protection locked="0"/>
    </xf>
    <xf numFmtId="0" fontId="9" fillId="0" borderId="0" xfId="0" applyFont="1" applyBorder="1" applyAlignment="1" applyProtection="1">
      <protection locked="0"/>
    </xf>
    <xf numFmtId="0" fontId="8" fillId="0" borderId="0" xfId="4" applyFont="1" applyBorder="1" applyAlignment="1" applyProtection="1">
      <alignment horizontal="left" vertical="top" readingOrder="1"/>
      <protection locked="0"/>
    </xf>
    <xf numFmtId="0" fontId="8" fillId="0" borderId="0" xfId="4" applyFont="1" applyBorder="1" applyProtection="1">
      <alignment vertical="top"/>
      <protection locked="0"/>
    </xf>
    <xf numFmtId="4" fontId="8" fillId="0" borderId="0" xfId="4" applyNumberFormat="1" applyFont="1" applyBorder="1" applyAlignment="1" applyProtection="1">
      <alignment horizontal="right" vertical="top" readingOrder="1"/>
      <protection locked="0"/>
    </xf>
    <xf numFmtId="0" fontId="0" fillId="2" borderId="0" xfId="0" applyFill="1" applyProtection="1"/>
    <xf numFmtId="0" fontId="0" fillId="2" borderId="0" xfId="0" applyFill="1" applyAlignment="1" applyProtection="1">
      <alignment horizontal="left"/>
    </xf>
    <xf numFmtId="14" fontId="0" fillId="2" borderId="0" xfId="0" applyNumberFormat="1" applyFill="1" applyAlignment="1" applyProtection="1">
      <alignment horizontal="left"/>
    </xf>
    <xf numFmtId="43" fontId="2" fillId="2" borderId="0" xfId="2" applyFont="1" applyFill="1" applyBorder="1" applyProtection="1"/>
    <xf numFmtId="43" fontId="2" fillId="2" borderId="4" xfId="2" applyFont="1" applyFill="1" applyBorder="1" applyProtection="1"/>
    <xf numFmtId="43" fontId="3" fillId="2" borderId="0" xfId="1" applyFont="1" applyFill="1" applyBorder="1" applyAlignment="1" applyProtection="1">
      <alignment horizontal="center" vertical="center"/>
    </xf>
    <xf numFmtId="0" fontId="23" fillId="0" borderId="0" xfId="0" applyFont="1" applyProtection="1">
      <protection locked="0"/>
    </xf>
    <xf numFmtId="164" fontId="19" fillId="0" borderId="21" xfId="1" applyNumberFormat="1" applyFont="1" applyFill="1" applyBorder="1" applyAlignment="1" applyProtection="1">
      <alignment vertical="center"/>
      <protection locked="0"/>
    </xf>
    <xf numFmtId="164" fontId="16" fillId="0" borderId="10" xfId="1" applyNumberFormat="1" applyFont="1" applyFill="1" applyBorder="1" applyAlignment="1" applyProtection="1">
      <alignment vertical="center"/>
      <protection locked="0"/>
    </xf>
    <xf numFmtId="164" fontId="19" fillId="0" borderId="2" xfId="1" applyNumberFormat="1" applyFont="1" applyBorder="1" applyAlignment="1" applyProtection="1">
      <alignment horizontal="right"/>
      <protection locked="0"/>
    </xf>
    <xf numFmtId="164" fontId="16" fillId="0" borderId="30" xfId="1" applyNumberFormat="1" applyFont="1" applyFill="1" applyBorder="1" applyAlignment="1" applyProtection="1">
      <alignment vertical="center"/>
      <protection locked="0"/>
    </xf>
    <xf numFmtId="165" fontId="0" fillId="0" borderId="0" xfId="0" applyNumberFormat="1" applyProtection="1">
      <protection locked="0"/>
    </xf>
    <xf numFmtId="3" fontId="0" fillId="0" borderId="0" xfId="0" applyNumberFormat="1" applyProtection="1">
      <protection locked="0"/>
    </xf>
    <xf numFmtId="164" fontId="9" fillId="0" borderId="14" xfId="1" applyNumberFormat="1" applyFont="1" applyFill="1" applyBorder="1" applyAlignment="1" applyProtection="1">
      <alignment vertical="center"/>
      <protection locked="0"/>
    </xf>
    <xf numFmtId="164" fontId="0" fillId="0" borderId="0" xfId="0" applyNumberFormat="1" applyProtection="1">
      <protection locked="0"/>
    </xf>
    <xf numFmtId="164" fontId="9" fillId="0" borderId="0" xfId="1" applyNumberFormat="1" applyFont="1" applyFill="1" applyBorder="1" applyAlignment="1" applyProtection="1">
      <alignment vertical="center"/>
      <protection locked="0"/>
    </xf>
    <xf numFmtId="164" fontId="16" fillId="0" borderId="8" xfId="1" applyNumberFormat="1" applyFont="1" applyFill="1" applyBorder="1" applyAlignment="1" applyProtection="1">
      <alignment vertical="center"/>
      <protection locked="0"/>
    </xf>
    <xf numFmtId="43" fontId="0" fillId="0" borderId="0" xfId="0" applyNumberFormat="1" applyProtection="1">
      <protection locked="0"/>
    </xf>
    <xf numFmtId="164" fontId="9" fillId="0" borderId="8" xfId="1" applyNumberFormat="1" applyFont="1" applyFill="1" applyBorder="1" applyAlignment="1" applyProtection="1">
      <alignment vertical="center"/>
      <protection locked="0"/>
    </xf>
    <xf numFmtId="164" fontId="19" fillId="0" borderId="16" xfId="1" applyNumberFormat="1" applyFont="1" applyBorder="1" applyProtection="1">
      <protection locked="0"/>
    </xf>
    <xf numFmtId="0" fontId="2" fillId="2" borderId="19" xfId="0" applyFont="1" applyFill="1" applyBorder="1" applyProtection="1"/>
    <xf numFmtId="0" fontId="2" fillId="2" borderId="7" xfId="0" applyFont="1" applyFill="1" applyBorder="1" applyProtection="1"/>
    <xf numFmtId="0" fontId="2" fillId="2" borderId="15" xfId="0" applyFont="1" applyFill="1" applyBorder="1" applyProtection="1"/>
    <xf numFmtId="164" fontId="16" fillId="2" borderId="20" xfId="1" applyNumberFormat="1" applyFont="1" applyFill="1" applyBorder="1" applyAlignment="1" applyProtection="1">
      <alignment vertical="center"/>
    </xf>
    <xf numFmtId="164" fontId="16" fillId="2" borderId="22" xfId="1" applyNumberFormat="1" applyFont="1" applyFill="1" applyBorder="1" applyAlignment="1" applyProtection="1">
      <alignment vertical="center"/>
    </xf>
    <xf numFmtId="164" fontId="16" fillId="2" borderId="8" xfId="1" applyNumberFormat="1" applyFont="1" applyFill="1" applyBorder="1" applyAlignment="1" applyProtection="1">
      <alignment vertical="center"/>
    </xf>
    <xf numFmtId="164" fontId="9" fillId="2" borderId="9" xfId="1" applyNumberFormat="1" applyFont="1" applyFill="1" applyBorder="1" applyAlignment="1" applyProtection="1">
      <alignment vertical="center"/>
    </xf>
    <xf numFmtId="164" fontId="16" fillId="2" borderId="28" xfId="1" applyNumberFormat="1" applyFont="1" applyFill="1" applyBorder="1" applyAlignment="1" applyProtection="1">
      <alignment vertical="center"/>
    </xf>
    <xf numFmtId="164" fontId="9" fillId="2" borderId="29" xfId="1" applyNumberFormat="1" applyFont="1" applyFill="1" applyBorder="1" applyAlignment="1" applyProtection="1">
      <alignment vertical="center"/>
    </xf>
    <xf numFmtId="164" fontId="9" fillId="2" borderId="12" xfId="1" applyNumberFormat="1" applyFont="1" applyFill="1" applyBorder="1" applyAlignment="1" applyProtection="1">
      <alignment vertical="center"/>
    </xf>
    <xf numFmtId="164" fontId="9" fillId="2" borderId="32" xfId="1" applyNumberFormat="1" applyFont="1" applyFill="1" applyBorder="1" applyAlignment="1" applyProtection="1">
      <alignment vertical="center"/>
    </xf>
    <xf numFmtId="164" fontId="16" fillId="2" borderId="31" xfId="1" applyNumberFormat="1" applyFont="1" applyFill="1" applyBorder="1" applyAlignment="1" applyProtection="1">
      <alignment vertical="center"/>
    </xf>
    <xf numFmtId="164" fontId="9" fillId="2" borderId="27" xfId="1" applyNumberFormat="1" applyFont="1" applyFill="1" applyBorder="1" applyAlignment="1" applyProtection="1">
      <alignment vertical="center"/>
    </xf>
    <xf numFmtId="164" fontId="9" fillId="2" borderId="8" xfId="1" applyNumberFormat="1" applyFont="1" applyFill="1" applyBorder="1" applyAlignment="1" applyProtection="1">
      <alignment vertical="center"/>
    </xf>
    <xf numFmtId="164" fontId="20" fillId="2" borderId="17" xfId="1" applyNumberFormat="1" applyFont="1" applyFill="1" applyBorder="1" applyProtection="1"/>
    <xf numFmtId="0" fontId="9" fillId="0" borderId="19" xfId="0" applyFont="1" applyFill="1" applyBorder="1" applyAlignment="1" applyProtection="1">
      <alignment vertical="center"/>
    </xf>
    <xf numFmtId="0" fontId="9" fillId="0" borderId="7" xfId="0" applyFont="1" applyFill="1" applyBorder="1" applyAlignment="1" applyProtection="1">
      <alignment vertical="center"/>
    </xf>
    <xf numFmtId="0" fontId="5" fillId="0" borderId="7" xfId="0" applyFont="1" applyFill="1" applyBorder="1" applyAlignment="1" applyProtection="1">
      <alignment vertical="center"/>
    </xf>
    <xf numFmtId="0" fontId="0" fillId="0" borderId="7" xfId="0" applyFont="1" applyFill="1" applyBorder="1" applyAlignment="1" applyProtection="1">
      <alignment horizontal="left" vertical="center" indent="2"/>
    </xf>
    <xf numFmtId="0" fontId="5" fillId="0" borderId="7" xfId="0" applyFont="1" applyFill="1" applyBorder="1" applyAlignment="1" applyProtection="1">
      <alignment horizontal="left" vertical="center" indent="2"/>
    </xf>
    <xf numFmtId="0" fontId="0" fillId="0" borderId="7" xfId="0" applyFont="1" applyFill="1" applyBorder="1" applyAlignment="1" applyProtection="1">
      <alignment horizontal="left" vertical="center" wrapText="1" indent="2"/>
    </xf>
    <xf numFmtId="0" fontId="10" fillId="0" borderId="13" xfId="0" applyNumberFormat="1" applyFont="1" applyFill="1" applyBorder="1" applyAlignment="1" applyProtection="1">
      <alignment vertical="center"/>
    </xf>
    <xf numFmtId="0" fontId="10" fillId="0" borderId="7" xfId="0" applyNumberFormat="1" applyFont="1" applyFill="1" applyBorder="1" applyAlignment="1" applyProtection="1">
      <alignment vertical="center"/>
    </xf>
    <xf numFmtId="0" fontId="11" fillId="0" borderId="7" xfId="0" applyNumberFormat="1" applyFont="1" applyFill="1" applyBorder="1" applyAlignment="1" applyProtection="1">
      <alignment vertical="center"/>
    </xf>
    <xf numFmtId="0" fontId="10" fillId="0" borderId="15" xfId="0" applyNumberFormat="1" applyFont="1" applyFill="1" applyBorder="1" applyAlignment="1" applyProtection="1">
      <alignment vertical="center"/>
    </xf>
    <xf numFmtId="167" fontId="5" fillId="3" borderId="48" xfId="5" applyNumberFormat="1" applyFont="1" applyFill="1" applyBorder="1" applyProtection="1"/>
    <xf numFmtId="0" fontId="0" fillId="0" borderId="50" xfId="0" applyBorder="1" applyProtection="1"/>
    <xf numFmtId="167" fontId="5" fillId="3" borderId="46" xfId="5" applyNumberFormat="1" applyFont="1" applyFill="1" applyBorder="1" applyProtection="1"/>
    <xf numFmtId="0" fontId="0" fillId="0" borderId="0" xfId="0" applyBorder="1" applyProtection="1"/>
    <xf numFmtId="0" fontId="2" fillId="0" borderId="46" xfId="0" applyFont="1" applyBorder="1" applyAlignment="1" applyProtection="1">
      <alignment horizontal="left"/>
    </xf>
    <xf numFmtId="0" fontId="2" fillId="0" borderId="0" xfId="0" applyFont="1" applyBorder="1" applyProtection="1"/>
    <xf numFmtId="0" fontId="0" fillId="0" borderId="46" xfId="0" applyBorder="1" applyProtection="1"/>
    <xf numFmtId="0" fontId="2" fillId="0" borderId="46" xfId="0" applyFont="1" applyBorder="1" applyProtection="1"/>
    <xf numFmtId="167" fontId="27" fillId="3" borderId="46" xfId="5" applyNumberFormat="1" applyFont="1" applyFill="1" applyBorder="1" applyProtection="1"/>
    <xf numFmtId="0" fontId="0" fillId="0" borderId="46" xfId="0" applyBorder="1" applyAlignment="1" applyProtection="1">
      <alignment horizontal="right"/>
    </xf>
    <xf numFmtId="0" fontId="2" fillId="0" borderId="46" xfId="0" applyFont="1" applyBorder="1" applyAlignment="1" applyProtection="1">
      <alignment vertical="top"/>
    </xf>
    <xf numFmtId="0" fontId="0" fillId="0" borderId="46" xfId="0" applyBorder="1" applyAlignment="1" applyProtection="1">
      <alignment horizontal="left" indent="3"/>
    </xf>
    <xf numFmtId="43" fontId="0" fillId="0" borderId="0" xfId="1" applyFont="1" applyBorder="1" applyAlignment="1" applyProtection="1"/>
    <xf numFmtId="0" fontId="2" fillId="0" borderId="48" xfId="0" applyFont="1" applyBorder="1" applyProtection="1"/>
    <xf numFmtId="0" fontId="2" fillId="0" borderId="46" xfId="0" applyFont="1" applyBorder="1" applyAlignment="1" applyProtection="1">
      <alignment horizontal="center" vertical="center"/>
    </xf>
    <xf numFmtId="0" fontId="0" fillId="0" borderId="45" xfId="0" applyBorder="1" applyProtection="1"/>
    <xf numFmtId="0" fontId="0" fillId="0" borderId="6" xfId="0" applyBorder="1" applyProtection="1"/>
    <xf numFmtId="0" fontId="2" fillId="0" borderId="46" xfId="0" applyFont="1" applyBorder="1" applyAlignment="1" applyProtection="1">
      <alignment horizontal="center"/>
    </xf>
    <xf numFmtId="0" fontId="28" fillId="0" borderId="0" xfId="0" applyFont="1" applyProtection="1"/>
    <xf numFmtId="0" fontId="25" fillId="2" borderId="1" xfId="0" applyFont="1" applyFill="1" applyBorder="1" applyAlignment="1" applyProtection="1">
      <alignment horizontal="center"/>
    </xf>
    <xf numFmtId="0" fontId="17" fillId="2" borderId="39" xfId="0" applyFont="1" applyFill="1" applyBorder="1" applyAlignment="1" applyProtection="1">
      <alignment horizontal="center"/>
    </xf>
    <xf numFmtId="0" fontId="17" fillId="2" borderId="24" xfId="0" applyFont="1" applyFill="1" applyBorder="1" applyAlignment="1" applyProtection="1">
      <alignment horizontal="center"/>
    </xf>
    <xf numFmtId="0" fontId="17" fillId="2" borderId="40" xfId="0" applyFont="1" applyFill="1" applyBorder="1" applyAlignment="1" applyProtection="1">
      <alignment horizontal="center"/>
    </xf>
    <xf numFmtId="0" fontId="17" fillId="2" borderId="41" xfId="0" applyFont="1" applyFill="1" applyBorder="1" applyAlignment="1" applyProtection="1">
      <alignment horizontal="center" vertical="center"/>
    </xf>
    <xf numFmtId="0" fontId="17" fillId="2" borderId="6" xfId="0" applyFont="1" applyFill="1" applyBorder="1" applyAlignment="1" applyProtection="1">
      <alignment horizontal="center" vertical="center"/>
    </xf>
    <xf numFmtId="0" fontId="17" fillId="2" borderId="5" xfId="0" applyFont="1" applyFill="1" applyBorder="1" applyAlignment="1" applyProtection="1">
      <alignment horizontal="center" vertical="center"/>
    </xf>
    <xf numFmtId="0" fontId="17" fillId="2" borderId="41" xfId="0" applyFont="1" applyFill="1" applyBorder="1" applyAlignment="1" applyProtection="1">
      <alignment horizontal="center"/>
    </xf>
    <xf numFmtId="0" fontId="17" fillId="2" borderId="6" xfId="0" applyFont="1" applyFill="1" applyBorder="1" applyAlignment="1" applyProtection="1">
      <alignment horizontal="center"/>
    </xf>
    <xf numFmtId="0" fontId="17" fillId="2" borderId="5" xfId="0" applyFont="1" applyFill="1" applyBorder="1" applyAlignment="1" applyProtection="1">
      <alignment horizontal="center"/>
    </xf>
    <xf numFmtId="0" fontId="18" fillId="2" borderId="41" xfId="0" applyFont="1" applyFill="1" applyBorder="1" applyAlignment="1" applyProtection="1">
      <alignment horizontal="center"/>
    </xf>
    <xf numFmtId="0" fontId="18" fillId="2" borderId="6" xfId="0" applyFont="1" applyFill="1" applyBorder="1" applyAlignment="1" applyProtection="1">
      <alignment horizont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3" fillId="0" borderId="33"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2" fillId="2" borderId="21" xfId="0" applyFont="1" applyFill="1" applyBorder="1" applyAlignment="1" applyProtection="1">
      <alignment horizontal="left"/>
    </xf>
    <xf numFmtId="0" fontId="2" fillId="2" borderId="25" xfId="0" applyFont="1" applyFill="1" applyBorder="1" applyAlignment="1" applyProtection="1">
      <alignment horizontal="left"/>
    </xf>
    <xf numFmtId="0" fontId="2" fillId="2" borderId="0" xfId="0" applyFont="1" applyFill="1" applyBorder="1" applyAlignment="1" applyProtection="1">
      <alignment horizontal="left"/>
    </xf>
    <xf numFmtId="0" fontId="2" fillId="2" borderId="10" xfId="0" applyFont="1" applyFill="1" applyBorder="1" applyAlignment="1" applyProtection="1">
      <alignment horizontal="left"/>
    </xf>
    <xf numFmtId="0" fontId="2" fillId="2" borderId="16" xfId="0" applyFont="1" applyFill="1" applyBorder="1" applyAlignment="1" applyProtection="1">
      <alignment horizontal="left"/>
    </xf>
    <xf numFmtId="0" fontId="2" fillId="2" borderId="26" xfId="0" applyFont="1" applyFill="1" applyBorder="1" applyAlignment="1" applyProtection="1">
      <alignment horizontal="left"/>
    </xf>
    <xf numFmtId="0" fontId="0" fillId="0" borderId="1" xfId="0" applyFill="1" applyBorder="1" applyAlignment="1" applyProtection="1">
      <alignment horizontal="center"/>
    </xf>
    <xf numFmtId="0" fontId="2" fillId="0" borderId="1" xfId="0" applyFont="1" applyBorder="1" applyAlignment="1" applyProtection="1">
      <alignment horizontal="center"/>
    </xf>
    <xf numFmtId="0" fontId="2" fillId="0" borderId="42" xfId="0" applyFont="1" applyFill="1" applyBorder="1" applyAlignment="1" applyProtection="1">
      <alignment horizontal="center"/>
    </xf>
    <xf numFmtId="0" fontId="2" fillId="0" borderId="43" xfId="0" applyFont="1" applyFill="1" applyBorder="1" applyAlignment="1" applyProtection="1">
      <alignment horizontal="center"/>
    </xf>
    <xf numFmtId="0" fontId="2" fillId="0" borderId="44" xfId="0" applyFont="1" applyFill="1" applyBorder="1" applyAlignment="1" applyProtection="1">
      <alignment horizontal="center"/>
    </xf>
    <xf numFmtId="0" fontId="2" fillId="0" borderId="1" xfId="0" applyFont="1" applyFill="1" applyBorder="1" applyAlignment="1" applyProtection="1">
      <alignment horizontal="center"/>
    </xf>
    <xf numFmtId="0" fontId="0" fillId="0" borderId="1" xfId="0" applyFill="1" applyBorder="1" applyAlignment="1" applyProtection="1">
      <alignment horizontal="left" vertical="center" wrapText="1"/>
    </xf>
    <xf numFmtId="0" fontId="0" fillId="0" borderId="1" xfId="0" applyFill="1" applyBorder="1" applyAlignment="1" applyProtection="1">
      <alignment horizontal="left" vertical="top"/>
    </xf>
    <xf numFmtId="0" fontId="2" fillId="0" borderId="1" xfId="0" applyFont="1" applyFill="1" applyBorder="1" applyAlignment="1" applyProtection="1">
      <alignment horizontal="center" vertical="top"/>
    </xf>
    <xf numFmtId="0" fontId="2" fillId="0" borderId="1" xfId="0" applyFont="1" applyFill="1" applyBorder="1" applyAlignment="1" applyProtection="1">
      <alignment horizontal="center" vertical="top" wrapText="1"/>
    </xf>
    <xf numFmtId="43" fontId="0" fillId="0" borderId="42" xfId="1" applyFont="1" applyBorder="1" applyAlignment="1" applyProtection="1">
      <alignment horizontal="center"/>
    </xf>
    <xf numFmtId="43" fontId="0" fillId="0" borderId="44" xfId="1" applyFont="1" applyBorder="1" applyAlignment="1" applyProtection="1">
      <alignment horizontal="center"/>
    </xf>
    <xf numFmtId="43" fontId="0" fillId="0" borderId="46" xfId="1" applyFont="1" applyBorder="1" applyAlignment="1" applyProtection="1">
      <alignment horizontal="center"/>
    </xf>
    <xf numFmtId="43" fontId="0" fillId="0" borderId="47" xfId="1" applyFont="1" applyBorder="1" applyAlignment="1" applyProtection="1">
      <alignment horizontal="center"/>
    </xf>
    <xf numFmtId="0" fontId="0" fillId="0" borderId="1" xfId="0" applyBorder="1" applyAlignment="1" applyProtection="1">
      <alignment horizontal="center"/>
    </xf>
    <xf numFmtId="14" fontId="0" fillId="0" borderId="1" xfId="0" applyNumberFormat="1" applyBorder="1" applyAlignment="1" applyProtection="1">
      <alignment horizontal="center"/>
    </xf>
    <xf numFmtId="0" fontId="2" fillId="0" borderId="45" xfId="0" applyFont="1" applyBorder="1" applyAlignment="1" applyProtection="1">
      <alignment horizontal="left"/>
    </xf>
    <xf numFmtId="0" fontId="2" fillId="0" borderId="6" xfId="0" applyFont="1" applyBorder="1" applyAlignment="1" applyProtection="1">
      <alignment horizontal="left"/>
    </xf>
    <xf numFmtId="0" fontId="2" fillId="0" borderId="5" xfId="0" applyFont="1" applyBorder="1" applyAlignment="1" applyProtection="1">
      <alignment horizontal="left"/>
    </xf>
    <xf numFmtId="43" fontId="2" fillId="0" borderId="23" xfId="1" applyFont="1" applyBorder="1" applyAlignment="1" applyProtection="1">
      <alignment horizontal="center"/>
    </xf>
    <xf numFmtId="43" fontId="0" fillId="0" borderId="48" xfId="1" applyFont="1" applyBorder="1" applyAlignment="1" applyProtection="1">
      <alignment horizontal="center"/>
    </xf>
    <xf numFmtId="43" fontId="0" fillId="0" borderId="49" xfId="1" applyFont="1" applyBorder="1" applyAlignment="1" applyProtection="1">
      <alignment horizontal="center"/>
    </xf>
    <xf numFmtId="0" fontId="0" fillId="0" borderId="46" xfId="0" applyBorder="1" applyAlignment="1" applyProtection="1">
      <alignment horizontal="center"/>
    </xf>
    <xf numFmtId="0" fontId="0" fillId="0" borderId="47" xfId="0" applyBorder="1" applyAlignment="1" applyProtection="1">
      <alignment horizontal="center"/>
    </xf>
    <xf numFmtId="0" fontId="0" fillId="0" borderId="0" xfId="0" applyBorder="1" applyAlignment="1" applyProtection="1">
      <alignment horizontal="center"/>
    </xf>
    <xf numFmtId="43" fontId="2" fillId="0" borderId="46" xfId="1" applyFont="1" applyBorder="1" applyAlignment="1" applyProtection="1">
      <alignment horizontal="center"/>
    </xf>
    <xf numFmtId="43" fontId="2" fillId="0" borderId="47" xfId="1" applyFont="1" applyBorder="1" applyAlignment="1" applyProtection="1">
      <alignment horizontal="center"/>
    </xf>
    <xf numFmtId="43" fontId="2" fillId="0" borderId="48" xfId="1" applyFont="1" applyBorder="1" applyAlignment="1" applyProtection="1">
      <alignment horizontal="center"/>
    </xf>
    <xf numFmtId="43" fontId="2" fillId="0" borderId="49" xfId="1" applyFont="1" applyBorder="1" applyAlignment="1" applyProtection="1">
      <alignment horizontal="center"/>
    </xf>
    <xf numFmtId="43" fontId="2" fillId="0" borderId="42" xfId="1" applyFont="1" applyBorder="1" applyAlignment="1" applyProtection="1">
      <alignment horizontal="center"/>
    </xf>
    <xf numFmtId="43" fontId="2" fillId="0" borderId="44" xfId="1" applyFont="1" applyBorder="1" applyAlignment="1" applyProtection="1">
      <alignment horizontal="center"/>
    </xf>
    <xf numFmtId="43" fontId="0" fillId="0" borderId="45" xfId="1" applyFont="1" applyBorder="1" applyAlignment="1" applyProtection="1">
      <alignment horizontal="center"/>
    </xf>
    <xf numFmtId="43" fontId="0" fillId="0" borderId="5" xfId="1" applyFont="1" applyBorder="1" applyAlignment="1" applyProtection="1">
      <alignment horizontal="center"/>
    </xf>
    <xf numFmtId="43" fontId="1" fillId="0" borderId="46" xfId="1" applyFont="1" applyBorder="1" applyAlignment="1" applyProtection="1">
      <alignment horizontal="center"/>
    </xf>
    <xf numFmtId="43" fontId="1" fillId="0" borderId="47" xfId="1" applyFont="1" applyBorder="1" applyAlignment="1" applyProtection="1">
      <alignment horizontal="center"/>
    </xf>
    <xf numFmtId="43" fontId="1" fillId="0" borderId="46" xfId="1" applyFont="1" applyBorder="1" applyAlignment="1" applyProtection="1">
      <alignment horizontal="center"/>
      <protection locked="0"/>
    </xf>
    <xf numFmtId="43" fontId="1" fillId="0" borderId="47" xfId="1" applyFont="1" applyBorder="1" applyAlignment="1" applyProtection="1">
      <alignment horizontal="center"/>
      <protection locked="0"/>
    </xf>
    <xf numFmtId="167" fontId="5" fillId="3" borderId="1" xfId="5" applyNumberFormat="1" applyFont="1" applyFill="1" applyBorder="1" applyAlignment="1" applyProtection="1">
      <alignment horizontal="left"/>
    </xf>
    <xf numFmtId="0" fontId="0" fillId="0" borderId="45" xfId="0" applyBorder="1" applyAlignment="1" applyProtection="1">
      <alignment horizontal="left"/>
    </xf>
    <xf numFmtId="0" fontId="0" fillId="0" borderId="6" xfId="0" applyBorder="1" applyAlignment="1" applyProtection="1">
      <alignment horizontal="left"/>
    </xf>
    <xf numFmtId="0" fontId="0" fillId="0" borderId="5" xfId="0" applyBorder="1" applyAlignment="1" applyProtection="1">
      <alignment horizontal="left"/>
    </xf>
    <xf numFmtId="0" fontId="2" fillId="0" borderId="46" xfId="0" applyFont="1" applyBorder="1" applyAlignment="1" applyProtection="1">
      <alignment horizontal="center"/>
    </xf>
    <xf numFmtId="0" fontId="2" fillId="0" borderId="0" xfId="0" applyFont="1" applyBorder="1" applyAlignment="1" applyProtection="1">
      <alignment horizontal="center"/>
    </xf>
    <xf numFmtId="0" fontId="2" fillId="0" borderId="47" xfId="0" applyFont="1" applyBorder="1" applyAlignment="1" applyProtection="1">
      <alignment horizontal="center"/>
    </xf>
    <xf numFmtId="0" fontId="0" fillId="0" borderId="42" xfId="0" applyBorder="1" applyAlignment="1" applyProtection="1">
      <alignment horizontal="left" vertical="center" wrapText="1"/>
    </xf>
    <xf numFmtId="0" fontId="0" fillId="0" borderId="43" xfId="0" applyBorder="1" applyAlignment="1" applyProtection="1">
      <alignment horizontal="left" vertical="center" wrapText="1"/>
    </xf>
    <xf numFmtId="0" fontId="0" fillId="0" borderId="44" xfId="0" applyBorder="1" applyAlignment="1" applyProtection="1">
      <alignment horizontal="left" vertical="center" wrapText="1"/>
    </xf>
    <xf numFmtId="0" fontId="0" fillId="0" borderId="46"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47" xfId="0" applyBorder="1" applyAlignment="1" applyProtection="1">
      <alignment horizontal="left" vertical="center" wrapText="1"/>
    </xf>
    <xf numFmtId="0" fontId="0" fillId="0" borderId="48" xfId="0" applyBorder="1" applyAlignment="1" applyProtection="1">
      <alignment horizontal="left" vertical="center" wrapText="1"/>
    </xf>
    <xf numFmtId="0" fontId="0" fillId="0" borderId="50" xfId="0" applyBorder="1" applyAlignment="1" applyProtection="1">
      <alignment horizontal="left" vertical="center" wrapText="1"/>
    </xf>
    <xf numFmtId="0" fontId="0" fillId="0" borderId="49" xfId="0" applyBorder="1" applyAlignment="1" applyProtection="1">
      <alignment horizontal="left" vertical="center" wrapText="1"/>
    </xf>
    <xf numFmtId="15" fontId="0" fillId="0" borderId="1" xfId="0" applyNumberFormat="1" applyBorder="1" applyAlignment="1" applyProtection="1">
      <alignment horizontal="center"/>
    </xf>
  </cellXfs>
  <cellStyles count="6">
    <cellStyle name="Comma" xfId="1" builtinId="3"/>
    <cellStyle name="Comma 2" xfId="2" xr:uid="{C294434E-5670-4387-A043-8D8F103493E5}"/>
    <cellStyle name="Comma_From 16" xfId="5" xr:uid="{361293B7-B793-4FA3-B9C6-1A565A9A08B1}"/>
    <cellStyle name="Normal" xfId="0" builtinId="0"/>
    <cellStyle name="Normal 3" xfId="3" xr:uid="{CEAAD43E-DA39-4675-BD01-8768FC4CDBD5}"/>
    <cellStyle name="Normal_YTD" xfId="4" xr:uid="{039C5E29-34EE-496E-81F9-DB484F9C3E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thers/Income-Tax-CTC-Structure-and-PaySlip-Computation-2018-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omputation &amp; CTC Structure"/>
      <sheetName val="Welcome"/>
      <sheetName val="PaySlip"/>
    </sheetNames>
    <sheetDataSet>
      <sheetData sheetId="0">
        <row r="30">
          <cell r="L30" t="str">
            <v>Conveyance Allowance</v>
          </cell>
        </row>
        <row r="31">
          <cell r="L31" t="str">
            <v>Special Allowance</v>
          </cell>
        </row>
        <row r="32">
          <cell r="L32" t="str">
            <v>Other Allowance</v>
          </cell>
        </row>
        <row r="33">
          <cell r="L33" t="str">
            <v>Medical Allowance</v>
          </cell>
        </row>
        <row r="34">
          <cell r="L34" t="str">
            <v>LTA Reimbursement</v>
          </cell>
        </row>
        <row r="35">
          <cell r="D35">
            <v>0</v>
          </cell>
          <cell r="L35" t="str">
            <v>Car Reimbursement</v>
          </cell>
        </row>
        <row r="36">
          <cell r="L36" t="str">
            <v>Driver Reimbursement</v>
          </cell>
        </row>
        <row r="37">
          <cell r="L37" t="str">
            <v>Washing Reimbursement</v>
          </cell>
        </row>
        <row r="38">
          <cell r="L38" t="str">
            <v>Uniform Reimbursement</v>
          </cell>
        </row>
        <row r="39">
          <cell r="L39" t="str">
            <v>Professional Development</v>
          </cell>
        </row>
        <row r="40">
          <cell r="L40" t="str">
            <v>Entertainment Reimbursement</v>
          </cell>
        </row>
        <row r="41">
          <cell r="L41" t="str">
            <v>Child Education Allowance</v>
          </cell>
        </row>
        <row r="42">
          <cell r="L42" t="str">
            <v>Hostel Allowance</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C406-2FD6-4678-97D2-0F5F7B6DA0F4}">
  <dimension ref="A2:F23"/>
  <sheetViews>
    <sheetView tabSelected="1" workbookViewId="0"/>
  </sheetViews>
  <sheetFormatPr defaultRowHeight="15" x14ac:dyDescent="0.25"/>
  <cols>
    <col min="1" max="1" width="36.28515625" style="4" customWidth="1"/>
    <col min="2" max="2" width="43.85546875" style="4" customWidth="1"/>
    <col min="3" max="16384" width="9.140625" style="4"/>
  </cols>
  <sheetData>
    <row r="2" spans="1:6" ht="18.75" x14ac:dyDescent="0.3">
      <c r="A2" s="112" t="s">
        <v>94</v>
      </c>
      <c r="B2" s="112"/>
    </row>
    <row r="3" spans="1:6" x14ac:dyDescent="0.25">
      <c r="A3" s="12" t="s">
        <v>95</v>
      </c>
      <c r="B3" s="5" t="s">
        <v>96</v>
      </c>
      <c r="E3" s="14" t="s">
        <v>183</v>
      </c>
      <c r="F3" s="14"/>
    </row>
    <row r="4" spans="1:6" x14ac:dyDescent="0.25">
      <c r="A4" s="12" t="s">
        <v>97</v>
      </c>
      <c r="B4" s="5" t="s">
        <v>98</v>
      </c>
      <c r="E4" s="14">
        <v>1</v>
      </c>
      <c r="F4" s="14" t="s">
        <v>184</v>
      </c>
    </row>
    <row r="5" spans="1:6" x14ac:dyDescent="0.25">
      <c r="A5" s="12" t="s">
        <v>78</v>
      </c>
      <c r="B5" s="5" t="s">
        <v>91</v>
      </c>
      <c r="E5" s="14">
        <v>2</v>
      </c>
      <c r="F5" s="14" t="s">
        <v>185</v>
      </c>
    </row>
    <row r="6" spans="1:6" x14ac:dyDescent="0.25">
      <c r="A6" s="12" t="s">
        <v>99</v>
      </c>
      <c r="B6" s="5" t="s">
        <v>100</v>
      </c>
    </row>
    <row r="7" spans="1:6" x14ac:dyDescent="0.25">
      <c r="A7" s="12" t="s">
        <v>101</v>
      </c>
      <c r="B7" s="6">
        <v>43191</v>
      </c>
    </row>
    <row r="8" spans="1:6" x14ac:dyDescent="0.25">
      <c r="A8" s="12" t="s">
        <v>102</v>
      </c>
      <c r="B8" s="6">
        <v>43555</v>
      </c>
    </row>
    <row r="9" spans="1:6" x14ac:dyDescent="0.25">
      <c r="A9" s="5"/>
      <c r="B9" s="5"/>
    </row>
    <row r="10" spans="1:6" ht="18.75" x14ac:dyDescent="0.3">
      <c r="A10" s="112" t="s">
        <v>103</v>
      </c>
      <c r="B10" s="112"/>
    </row>
    <row r="11" spans="1:6" ht="63" customHeight="1" x14ac:dyDescent="0.25">
      <c r="A11" s="13" t="s">
        <v>180</v>
      </c>
      <c r="B11" s="7" t="s">
        <v>104</v>
      </c>
    </row>
    <row r="12" spans="1:6" x14ac:dyDescent="0.25">
      <c r="A12" s="12" t="s">
        <v>105</v>
      </c>
      <c r="B12" s="8" t="s">
        <v>92</v>
      </c>
    </row>
    <row r="13" spans="1:6" x14ac:dyDescent="0.25">
      <c r="A13" s="12" t="s">
        <v>106</v>
      </c>
      <c r="B13" s="8" t="s">
        <v>107</v>
      </c>
    </row>
    <row r="14" spans="1:6" x14ac:dyDescent="0.25">
      <c r="A14" s="12" t="s">
        <v>108</v>
      </c>
      <c r="B14" s="8" t="s">
        <v>109</v>
      </c>
    </row>
    <row r="15" spans="1:6" x14ac:dyDescent="0.25">
      <c r="A15" s="12" t="s">
        <v>110</v>
      </c>
      <c r="B15" s="9" t="s">
        <v>111</v>
      </c>
    </row>
    <row r="16" spans="1:6" x14ac:dyDescent="0.25">
      <c r="A16" s="10"/>
      <c r="B16" s="9"/>
    </row>
    <row r="17" spans="1:2" ht="18.75" x14ac:dyDescent="0.3">
      <c r="A17" s="112" t="s">
        <v>112</v>
      </c>
      <c r="B17" s="112"/>
    </row>
    <row r="18" spans="1:2" x14ac:dyDescent="0.25">
      <c r="A18" s="12" t="s">
        <v>77</v>
      </c>
      <c r="B18" s="9" t="s">
        <v>182</v>
      </c>
    </row>
    <row r="19" spans="1:2" x14ac:dyDescent="0.25">
      <c r="A19" s="12" t="s">
        <v>113</v>
      </c>
      <c r="B19" s="9" t="s">
        <v>96</v>
      </c>
    </row>
    <row r="20" spans="1:2" x14ac:dyDescent="0.25">
      <c r="A20" s="12" t="s">
        <v>78</v>
      </c>
      <c r="B20" s="9" t="s">
        <v>114</v>
      </c>
    </row>
    <row r="21" spans="1:2" x14ac:dyDescent="0.25">
      <c r="A21" s="12" t="s">
        <v>115</v>
      </c>
      <c r="B21" s="9" t="s">
        <v>16</v>
      </c>
    </row>
    <row r="22" spans="1:2" x14ac:dyDescent="0.25">
      <c r="A22" s="12" t="s">
        <v>116</v>
      </c>
      <c r="B22" s="11">
        <v>43646</v>
      </c>
    </row>
    <row r="23" spans="1:2" x14ac:dyDescent="0.25">
      <c r="B23" s="111"/>
    </row>
  </sheetData>
  <sheetProtection password="9B0D" sheet="1" objects="1" scenarios="1" selectLockedCells="1"/>
  <mergeCells count="3">
    <mergeCell ref="A2:B2"/>
    <mergeCell ref="A10:B10"/>
    <mergeCell ref="A17:B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zoomScaleNormal="100" workbookViewId="0">
      <selection activeCell="D1" sqref="D1"/>
    </sheetView>
  </sheetViews>
  <sheetFormatPr defaultRowHeight="15" x14ac:dyDescent="0.25"/>
  <cols>
    <col min="1" max="1" width="11.5703125" style="4" bestFit="1" customWidth="1"/>
    <col min="2" max="15" width="12.7109375" style="4" customWidth="1"/>
    <col min="16" max="16" width="66" style="4" bestFit="1" customWidth="1"/>
    <col min="17" max="17" width="12.7109375" style="4" customWidth="1"/>
    <col min="18" max="16384" width="9.140625" style="4"/>
  </cols>
  <sheetData>
    <row r="1" spans="1:15" x14ac:dyDescent="0.25">
      <c r="A1" s="14" t="s">
        <v>77</v>
      </c>
      <c r="B1" s="48" t="str">
        <f>'Master Data'!B3</f>
        <v>XXXX</v>
      </c>
      <c r="C1" s="14"/>
      <c r="J1" s="14" t="s">
        <v>80</v>
      </c>
      <c r="K1" s="49" t="str">
        <f>'Master Data'!B6</f>
        <v>OO21</v>
      </c>
      <c r="L1" s="14"/>
    </row>
    <row r="2" spans="1:15" x14ac:dyDescent="0.25">
      <c r="A2" s="14" t="s">
        <v>78</v>
      </c>
      <c r="B2" s="48" t="str">
        <f>'Master Data'!B5</f>
        <v>XYZ</v>
      </c>
      <c r="C2" s="14"/>
      <c r="J2" s="14" t="s">
        <v>81</v>
      </c>
      <c r="K2" s="48" t="str">
        <f>'Master Data'!B4</f>
        <v>XXXXX5689X</v>
      </c>
      <c r="L2" s="14"/>
    </row>
    <row r="3" spans="1:15" x14ac:dyDescent="0.25">
      <c r="A3" s="14" t="s">
        <v>79</v>
      </c>
      <c r="B3" s="14" t="s">
        <v>12</v>
      </c>
      <c r="C3" s="14"/>
      <c r="J3" s="14" t="s">
        <v>82</v>
      </c>
      <c r="K3" s="50">
        <f>'Master Data'!B7</f>
        <v>43191</v>
      </c>
      <c r="L3" s="50">
        <f>'Master Data'!B8</f>
        <v>43555</v>
      </c>
    </row>
    <row r="4" spans="1:15" x14ac:dyDescent="0.25">
      <c r="A4" s="130" t="s">
        <v>8</v>
      </c>
      <c r="B4" s="131" t="s">
        <v>0</v>
      </c>
      <c r="C4" s="134" t="s">
        <v>90</v>
      </c>
      <c r="D4" s="131" t="s">
        <v>1</v>
      </c>
      <c r="E4" s="126" t="s">
        <v>10</v>
      </c>
      <c r="F4" s="132" t="s">
        <v>2</v>
      </c>
      <c r="G4" s="126" t="s">
        <v>89</v>
      </c>
      <c r="H4" s="126" t="s">
        <v>11</v>
      </c>
      <c r="I4" s="126" t="s">
        <v>181</v>
      </c>
      <c r="J4" s="133" t="s">
        <v>3</v>
      </c>
      <c r="K4" s="126" t="s">
        <v>9</v>
      </c>
      <c r="L4" s="126" t="s">
        <v>4</v>
      </c>
      <c r="M4" s="128" t="s">
        <v>5</v>
      </c>
      <c r="N4" s="126" t="s">
        <v>6</v>
      </c>
      <c r="O4" s="124" t="s">
        <v>7</v>
      </c>
    </row>
    <row r="5" spans="1:15" x14ac:dyDescent="0.25">
      <c r="A5" s="130"/>
      <c r="B5" s="131"/>
      <c r="C5" s="135"/>
      <c r="D5" s="131"/>
      <c r="E5" s="127"/>
      <c r="F5" s="132"/>
      <c r="G5" s="127"/>
      <c r="H5" s="127"/>
      <c r="I5" s="127"/>
      <c r="J5" s="133"/>
      <c r="K5" s="127"/>
      <c r="L5" s="127"/>
      <c r="M5" s="129"/>
      <c r="N5" s="127"/>
      <c r="O5" s="125"/>
    </row>
    <row r="6" spans="1:15" x14ac:dyDescent="0.25">
      <c r="A6" s="30">
        <v>43191</v>
      </c>
      <c r="B6" s="31">
        <v>25000</v>
      </c>
      <c r="C6" s="31">
        <v>15000</v>
      </c>
      <c r="D6" s="32">
        <v>15000</v>
      </c>
      <c r="E6" s="33">
        <v>0</v>
      </c>
      <c r="F6" s="32">
        <v>0</v>
      </c>
      <c r="G6" s="32">
        <v>0</v>
      </c>
      <c r="H6" s="32">
        <v>0</v>
      </c>
      <c r="I6" s="32">
        <v>5000</v>
      </c>
      <c r="J6" s="51">
        <f t="shared" ref="J6:J17" si="0">SUM(B6:I6)</f>
        <v>60000</v>
      </c>
      <c r="K6" s="34">
        <v>0</v>
      </c>
      <c r="L6" s="35">
        <v>0</v>
      </c>
      <c r="M6" s="36">
        <f>ROUND((Computation!D64),0.1)</f>
        <v>4203</v>
      </c>
      <c r="N6" s="37">
        <f>L6+M6+K6</f>
        <v>4203</v>
      </c>
      <c r="O6" s="53">
        <f t="shared" ref="O6:O17" si="1">J6-N6</f>
        <v>55797</v>
      </c>
    </row>
    <row r="7" spans="1:15" x14ac:dyDescent="0.25">
      <c r="A7" s="30">
        <v>43221</v>
      </c>
      <c r="B7" s="31">
        <f t="shared" ref="B7:I7" si="2">B6</f>
        <v>25000</v>
      </c>
      <c r="C7" s="31">
        <f>C6</f>
        <v>15000</v>
      </c>
      <c r="D7" s="32">
        <f t="shared" si="2"/>
        <v>15000</v>
      </c>
      <c r="E7" s="33">
        <f t="shared" si="2"/>
        <v>0</v>
      </c>
      <c r="F7" s="32">
        <f t="shared" si="2"/>
        <v>0</v>
      </c>
      <c r="G7" s="32">
        <f t="shared" si="2"/>
        <v>0</v>
      </c>
      <c r="H7" s="32">
        <f t="shared" si="2"/>
        <v>0</v>
      </c>
      <c r="I7" s="32">
        <f t="shared" si="2"/>
        <v>5000</v>
      </c>
      <c r="J7" s="51">
        <f t="shared" si="0"/>
        <v>60000</v>
      </c>
      <c r="K7" s="34">
        <v>0</v>
      </c>
      <c r="L7" s="35">
        <v>0</v>
      </c>
      <c r="M7" s="36">
        <f>M6</f>
        <v>4203</v>
      </c>
      <c r="N7" s="37">
        <f t="shared" ref="N7:N17" si="3">L7+M7+K7</f>
        <v>4203</v>
      </c>
      <c r="O7" s="53">
        <f t="shared" si="1"/>
        <v>55797</v>
      </c>
    </row>
    <row r="8" spans="1:15" x14ac:dyDescent="0.25">
      <c r="A8" s="30">
        <v>43252</v>
      </c>
      <c r="B8" s="31">
        <f t="shared" ref="B8:C17" si="4">B7</f>
        <v>25000</v>
      </c>
      <c r="C8" s="31">
        <f>C7</f>
        <v>15000</v>
      </c>
      <c r="D8" s="32">
        <f t="shared" ref="D8:D17" si="5">D7</f>
        <v>15000</v>
      </c>
      <c r="E8" s="33">
        <f t="shared" ref="E8:E17" si="6">E7</f>
        <v>0</v>
      </c>
      <c r="F8" s="32">
        <f t="shared" ref="F8:F17" si="7">F7</f>
        <v>0</v>
      </c>
      <c r="G8" s="32">
        <f t="shared" ref="G8:G16" si="8">G7</f>
        <v>0</v>
      </c>
      <c r="H8" s="32">
        <f t="shared" ref="H8:H17" si="9">H7</f>
        <v>0</v>
      </c>
      <c r="I8" s="32">
        <f t="shared" ref="I8:I17" si="10">I7</f>
        <v>5000</v>
      </c>
      <c r="J8" s="51">
        <f t="shared" si="0"/>
        <v>60000</v>
      </c>
      <c r="K8" s="34">
        <v>0</v>
      </c>
      <c r="L8" s="35">
        <v>0</v>
      </c>
      <c r="M8" s="36">
        <f t="shared" ref="M8:M17" si="11">M7</f>
        <v>4203</v>
      </c>
      <c r="N8" s="37">
        <f t="shared" si="3"/>
        <v>4203</v>
      </c>
      <c r="O8" s="53">
        <f t="shared" si="1"/>
        <v>55797</v>
      </c>
    </row>
    <row r="9" spans="1:15" x14ac:dyDescent="0.25">
      <c r="A9" s="30">
        <v>43282</v>
      </c>
      <c r="B9" s="31">
        <f t="shared" si="4"/>
        <v>25000</v>
      </c>
      <c r="C9" s="31">
        <f t="shared" si="4"/>
        <v>15000</v>
      </c>
      <c r="D9" s="32">
        <f t="shared" si="5"/>
        <v>15000</v>
      </c>
      <c r="E9" s="33">
        <f t="shared" si="6"/>
        <v>0</v>
      </c>
      <c r="F9" s="32">
        <f t="shared" si="7"/>
        <v>0</v>
      </c>
      <c r="G9" s="32">
        <v>0</v>
      </c>
      <c r="H9" s="32">
        <f t="shared" si="9"/>
        <v>0</v>
      </c>
      <c r="I9" s="32">
        <f t="shared" si="10"/>
        <v>5000</v>
      </c>
      <c r="J9" s="51">
        <f t="shared" si="0"/>
        <v>60000</v>
      </c>
      <c r="K9" s="34">
        <v>0</v>
      </c>
      <c r="L9" s="35">
        <v>0</v>
      </c>
      <c r="M9" s="36">
        <f t="shared" si="11"/>
        <v>4203</v>
      </c>
      <c r="N9" s="37">
        <f t="shared" si="3"/>
        <v>4203</v>
      </c>
      <c r="O9" s="53">
        <f t="shared" si="1"/>
        <v>55797</v>
      </c>
    </row>
    <row r="10" spans="1:15" x14ac:dyDescent="0.25">
      <c r="A10" s="30">
        <v>43313</v>
      </c>
      <c r="B10" s="31">
        <f t="shared" si="4"/>
        <v>25000</v>
      </c>
      <c r="C10" s="31">
        <f t="shared" si="4"/>
        <v>15000</v>
      </c>
      <c r="D10" s="32">
        <f t="shared" si="5"/>
        <v>15000</v>
      </c>
      <c r="E10" s="33">
        <f t="shared" si="6"/>
        <v>0</v>
      </c>
      <c r="F10" s="32">
        <f t="shared" si="7"/>
        <v>0</v>
      </c>
      <c r="G10" s="32">
        <v>0</v>
      </c>
      <c r="H10" s="32">
        <f t="shared" si="9"/>
        <v>0</v>
      </c>
      <c r="I10" s="32">
        <f t="shared" si="10"/>
        <v>5000</v>
      </c>
      <c r="J10" s="51">
        <f t="shared" si="0"/>
        <v>60000</v>
      </c>
      <c r="K10" s="34">
        <v>0</v>
      </c>
      <c r="L10" s="35">
        <v>0</v>
      </c>
      <c r="M10" s="36">
        <f t="shared" si="11"/>
        <v>4203</v>
      </c>
      <c r="N10" s="37">
        <f t="shared" si="3"/>
        <v>4203</v>
      </c>
      <c r="O10" s="53">
        <f t="shared" si="1"/>
        <v>55797</v>
      </c>
    </row>
    <row r="11" spans="1:15" x14ac:dyDescent="0.25">
      <c r="A11" s="30">
        <v>43344</v>
      </c>
      <c r="B11" s="31">
        <f t="shared" si="4"/>
        <v>25000</v>
      </c>
      <c r="C11" s="31">
        <f t="shared" si="4"/>
        <v>15000</v>
      </c>
      <c r="D11" s="32">
        <f t="shared" si="5"/>
        <v>15000</v>
      </c>
      <c r="E11" s="33">
        <f t="shared" si="6"/>
        <v>0</v>
      </c>
      <c r="F11" s="32">
        <f t="shared" si="7"/>
        <v>0</v>
      </c>
      <c r="G11" s="32">
        <f t="shared" si="8"/>
        <v>0</v>
      </c>
      <c r="H11" s="32">
        <f>H10</f>
        <v>0</v>
      </c>
      <c r="I11" s="32">
        <f t="shared" si="10"/>
        <v>5000</v>
      </c>
      <c r="J11" s="51">
        <f t="shared" si="0"/>
        <v>60000</v>
      </c>
      <c r="K11" s="34">
        <v>0</v>
      </c>
      <c r="L11" s="35">
        <v>0</v>
      </c>
      <c r="M11" s="36">
        <f t="shared" si="11"/>
        <v>4203</v>
      </c>
      <c r="N11" s="37">
        <f t="shared" si="3"/>
        <v>4203</v>
      </c>
      <c r="O11" s="53">
        <f t="shared" si="1"/>
        <v>55797</v>
      </c>
    </row>
    <row r="12" spans="1:15" x14ac:dyDescent="0.25">
      <c r="A12" s="30">
        <v>43374</v>
      </c>
      <c r="B12" s="31">
        <f t="shared" si="4"/>
        <v>25000</v>
      </c>
      <c r="C12" s="31">
        <f t="shared" si="4"/>
        <v>15000</v>
      </c>
      <c r="D12" s="32">
        <f t="shared" si="5"/>
        <v>15000</v>
      </c>
      <c r="E12" s="33">
        <f t="shared" si="6"/>
        <v>0</v>
      </c>
      <c r="F12" s="32">
        <f t="shared" si="7"/>
        <v>0</v>
      </c>
      <c r="G12" s="32">
        <f t="shared" si="8"/>
        <v>0</v>
      </c>
      <c r="H12" s="32">
        <f t="shared" si="9"/>
        <v>0</v>
      </c>
      <c r="I12" s="32">
        <f t="shared" si="10"/>
        <v>5000</v>
      </c>
      <c r="J12" s="51">
        <f t="shared" si="0"/>
        <v>60000</v>
      </c>
      <c r="K12" s="34">
        <v>0</v>
      </c>
      <c r="L12" s="35">
        <v>0</v>
      </c>
      <c r="M12" s="36">
        <f t="shared" si="11"/>
        <v>4203</v>
      </c>
      <c r="N12" s="37">
        <f t="shared" si="3"/>
        <v>4203</v>
      </c>
      <c r="O12" s="53">
        <f t="shared" si="1"/>
        <v>55797</v>
      </c>
    </row>
    <row r="13" spans="1:15" x14ac:dyDescent="0.25">
      <c r="A13" s="30">
        <v>43405</v>
      </c>
      <c r="B13" s="31">
        <f t="shared" si="4"/>
        <v>25000</v>
      </c>
      <c r="C13" s="31">
        <f t="shared" si="4"/>
        <v>15000</v>
      </c>
      <c r="D13" s="32">
        <f t="shared" si="5"/>
        <v>15000</v>
      </c>
      <c r="E13" s="33">
        <f t="shared" si="6"/>
        <v>0</v>
      </c>
      <c r="F13" s="32">
        <f t="shared" si="7"/>
        <v>0</v>
      </c>
      <c r="G13" s="32">
        <f t="shared" si="8"/>
        <v>0</v>
      </c>
      <c r="H13" s="32">
        <f t="shared" si="9"/>
        <v>0</v>
      </c>
      <c r="I13" s="32">
        <f t="shared" si="10"/>
        <v>5000</v>
      </c>
      <c r="J13" s="51">
        <f t="shared" si="0"/>
        <v>60000</v>
      </c>
      <c r="K13" s="34">
        <v>0</v>
      </c>
      <c r="L13" s="35">
        <v>0</v>
      </c>
      <c r="M13" s="36">
        <f t="shared" si="11"/>
        <v>4203</v>
      </c>
      <c r="N13" s="37">
        <f t="shared" si="3"/>
        <v>4203</v>
      </c>
      <c r="O13" s="53">
        <f t="shared" si="1"/>
        <v>55797</v>
      </c>
    </row>
    <row r="14" spans="1:15" x14ac:dyDescent="0.25">
      <c r="A14" s="30">
        <v>43435</v>
      </c>
      <c r="B14" s="31">
        <f t="shared" si="4"/>
        <v>25000</v>
      </c>
      <c r="C14" s="31">
        <f t="shared" si="4"/>
        <v>15000</v>
      </c>
      <c r="D14" s="32">
        <f t="shared" si="5"/>
        <v>15000</v>
      </c>
      <c r="E14" s="33">
        <f t="shared" si="6"/>
        <v>0</v>
      </c>
      <c r="F14" s="32">
        <f t="shared" si="7"/>
        <v>0</v>
      </c>
      <c r="G14" s="32">
        <f t="shared" si="8"/>
        <v>0</v>
      </c>
      <c r="H14" s="32">
        <f t="shared" si="9"/>
        <v>0</v>
      </c>
      <c r="I14" s="32">
        <f t="shared" si="10"/>
        <v>5000</v>
      </c>
      <c r="J14" s="51">
        <f t="shared" si="0"/>
        <v>60000</v>
      </c>
      <c r="K14" s="34">
        <v>0</v>
      </c>
      <c r="L14" s="35">
        <v>0</v>
      </c>
      <c r="M14" s="36">
        <f t="shared" si="11"/>
        <v>4203</v>
      </c>
      <c r="N14" s="37">
        <f t="shared" si="3"/>
        <v>4203</v>
      </c>
      <c r="O14" s="53">
        <f t="shared" si="1"/>
        <v>55797</v>
      </c>
    </row>
    <row r="15" spans="1:15" x14ac:dyDescent="0.25">
      <c r="A15" s="30">
        <v>43466</v>
      </c>
      <c r="B15" s="31">
        <f t="shared" si="4"/>
        <v>25000</v>
      </c>
      <c r="C15" s="31">
        <f t="shared" si="4"/>
        <v>15000</v>
      </c>
      <c r="D15" s="32">
        <f t="shared" si="5"/>
        <v>15000</v>
      </c>
      <c r="E15" s="33">
        <f t="shared" si="6"/>
        <v>0</v>
      </c>
      <c r="F15" s="32">
        <f t="shared" si="7"/>
        <v>0</v>
      </c>
      <c r="G15" s="32">
        <f t="shared" si="8"/>
        <v>0</v>
      </c>
      <c r="H15" s="32">
        <f t="shared" si="9"/>
        <v>0</v>
      </c>
      <c r="I15" s="32">
        <f t="shared" si="10"/>
        <v>5000</v>
      </c>
      <c r="J15" s="51">
        <f t="shared" si="0"/>
        <v>60000</v>
      </c>
      <c r="K15" s="34">
        <v>0</v>
      </c>
      <c r="L15" s="35">
        <v>0</v>
      </c>
      <c r="M15" s="36">
        <f t="shared" si="11"/>
        <v>4203</v>
      </c>
      <c r="N15" s="37">
        <f t="shared" si="3"/>
        <v>4203</v>
      </c>
      <c r="O15" s="53">
        <f t="shared" si="1"/>
        <v>55797</v>
      </c>
    </row>
    <row r="16" spans="1:15" x14ac:dyDescent="0.25">
      <c r="A16" s="30">
        <v>43497</v>
      </c>
      <c r="B16" s="31">
        <f t="shared" si="4"/>
        <v>25000</v>
      </c>
      <c r="C16" s="31">
        <f t="shared" si="4"/>
        <v>15000</v>
      </c>
      <c r="D16" s="32">
        <f t="shared" si="5"/>
        <v>15000</v>
      </c>
      <c r="E16" s="33">
        <f t="shared" si="6"/>
        <v>0</v>
      </c>
      <c r="F16" s="32">
        <f t="shared" si="7"/>
        <v>0</v>
      </c>
      <c r="G16" s="32">
        <f t="shared" si="8"/>
        <v>0</v>
      </c>
      <c r="H16" s="32">
        <f t="shared" si="9"/>
        <v>0</v>
      </c>
      <c r="I16" s="32">
        <f t="shared" si="10"/>
        <v>5000</v>
      </c>
      <c r="J16" s="51">
        <f t="shared" si="0"/>
        <v>60000</v>
      </c>
      <c r="K16" s="34">
        <v>0</v>
      </c>
      <c r="L16" s="35">
        <v>0</v>
      </c>
      <c r="M16" s="36">
        <f t="shared" si="11"/>
        <v>4203</v>
      </c>
      <c r="N16" s="37">
        <f t="shared" si="3"/>
        <v>4203</v>
      </c>
      <c r="O16" s="53">
        <f t="shared" si="1"/>
        <v>55797</v>
      </c>
    </row>
    <row r="17" spans="1:15" x14ac:dyDescent="0.25">
      <c r="A17" s="30">
        <v>43525</v>
      </c>
      <c r="B17" s="31">
        <f t="shared" si="4"/>
        <v>25000</v>
      </c>
      <c r="C17" s="31">
        <f t="shared" si="4"/>
        <v>15000</v>
      </c>
      <c r="D17" s="32">
        <f t="shared" si="5"/>
        <v>15000</v>
      </c>
      <c r="E17" s="33">
        <f t="shared" si="6"/>
        <v>0</v>
      </c>
      <c r="F17" s="32">
        <f t="shared" si="7"/>
        <v>0</v>
      </c>
      <c r="G17" s="32">
        <v>0</v>
      </c>
      <c r="H17" s="32">
        <f t="shared" si="9"/>
        <v>0</v>
      </c>
      <c r="I17" s="32">
        <f t="shared" si="10"/>
        <v>5000</v>
      </c>
      <c r="J17" s="51">
        <f t="shared" si="0"/>
        <v>60000</v>
      </c>
      <c r="K17" s="34">
        <v>0</v>
      </c>
      <c r="L17" s="35">
        <v>0</v>
      </c>
      <c r="M17" s="36">
        <f t="shared" si="11"/>
        <v>4203</v>
      </c>
      <c r="N17" s="37">
        <f t="shared" si="3"/>
        <v>4203</v>
      </c>
      <c r="O17" s="53">
        <f t="shared" si="1"/>
        <v>55797</v>
      </c>
    </row>
    <row r="18" spans="1:15" ht="15.75" thickBot="1" x14ac:dyDescent="0.3">
      <c r="A18" s="38"/>
      <c r="B18" s="39">
        <f>SUM(B6:B17)</f>
        <v>300000</v>
      </c>
      <c r="C18" s="39">
        <f>SUM(C6:C17)</f>
        <v>180000</v>
      </c>
      <c r="D18" s="39">
        <f>SUM(D6:D17)</f>
        <v>180000</v>
      </c>
      <c r="E18" s="39">
        <f t="shared" ref="E18:O18" si="12">SUM(E6:E17)</f>
        <v>0</v>
      </c>
      <c r="F18" s="39">
        <f t="shared" si="12"/>
        <v>0</v>
      </c>
      <c r="G18" s="39">
        <f t="shared" si="12"/>
        <v>0</v>
      </c>
      <c r="H18" s="39">
        <f t="shared" si="12"/>
        <v>0</v>
      </c>
      <c r="I18" s="39">
        <f t="shared" si="12"/>
        <v>60000</v>
      </c>
      <c r="J18" s="52">
        <f t="shared" si="12"/>
        <v>720000</v>
      </c>
      <c r="K18" s="39">
        <f t="shared" si="12"/>
        <v>0</v>
      </c>
      <c r="L18" s="39">
        <f t="shared" si="12"/>
        <v>0</v>
      </c>
      <c r="M18" s="39">
        <f t="shared" si="12"/>
        <v>50436</v>
      </c>
      <c r="N18" s="39">
        <f t="shared" si="12"/>
        <v>50436</v>
      </c>
      <c r="O18" s="52">
        <f t="shared" si="12"/>
        <v>669564</v>
      </c>
    </row>
    <row r="19" spans="1:15" ht="15.75" thickTop="1" x14ac:dyDescent="0.25"/>
    <row r="21" spans="1:15" ht="15.75" thickBot="1" x14ac:dyDescent="0.3">
      <c r="A21" s="40"/>
    </row>
    <row r="22" spans="1:15" x14ac:dyDescent="0.25">
      <c r="A22" s="41"/>
      <c r="B22" s="113" t="s">
        <v>70</v>
      </c>
      <c r="C22" s="114"/>
      <c r="D22" s="114"/>
      <c r="E22" s="114"/>
      <c r="F22" s="115"/>
    </row>
    <row r="23" spans="1:15" x14ac:dyDescent="0.25">
      <c r="A23" s="42"/>
      <c r="B23" s="116" t="s">
        <v>61</v>
      </c>
      <c r="C23" s="117"/>
      <c r="D23" s="118"/>
      <c r="E23" s="15"/>
      <c r="F23" s="16">
        <f>Computation!D55</f>
        <v>680000</v>
      </c>
    </row>
    <row r="24" spans="1:15" x14ac:dyDescent="0.25">
      <c r="A24" s="41"/>
      <c r="B24" s="119" t="s">
        <v>65</v>
      </c>
      <c r="C24" s="120"/>
      <c r="D24" s="121"/>
      <c r="E24" s="17" t="s">
        <v>66</v>
      </c>
      <c r="F24" s="18" t="s">
        <v>67</v>
      </c>
    </row>
    <row r="25" spans="1:15" x14ac:dyDescent="0.25">
      <c r="A25" s="43"/>
      <c r="B25" s="122" t="s">
        <v>68</v>
      </c>
      <c r="C25" s="123"/>
      <c r="D25" s="19"/>
      <c r="E25" s="20" t="s">
        <v>69</v>
      </c>
      <c r="F25" s="21">
        <f>0</f>
        <v>0</v>
      </c>
    </row>
    <row r="26" spans="1:15" x14ac:dyDescent="0.25">
      <c r="A26" s="40"/>
      <c r="B26" s="22">
        <v>250000</v>
      </c>
      <c r="C26" s="23">
        <v>500000</v>
      </c>
      <c r="D26" s="23">
        <f>IF(F23&gt;C26,C26-B26,F23-B26)</f>
        <v>250000</v>
      </c>
      <c r="E26" s="24">
        <v>0.05</v>
      </c>
      <c r="F26" s="25">
        <f>MAX(0,D26*E26)</f>
        <v>12500</v>
      </c>
    </row>
    <row r="27" spans="1:15" x14ac:dyDescent="0.25">
      <c r="A27" s="40"/>
      <c r="B27" s="22">
        <v>500000</v>
      </c>
      <c r="C27" s="23">
        <v>1000000</v>
      </c>
      <c r="D27" s="23">
        <f>IF(F23&gt;C27,C27-B27,F23-B27)</f>
        <v>180000</v>
      </c>
      <c r="E27" s="24">
        <v>0.2</v>
      </c>
      <c r="F27" s="25">
        <f>MAX(0,D27*E27)</f>
        <v>36000</v>
      </c>
    </row>
    <row r="28" spans="1:15" x14ac:dyDescent="0.25">
      <c r="A28" s="40"/>
      <c r="B28" s="26" t="s">
        <v>71</v>
      </c>
      <c r="C28" s="23"/>
      <c r="D28" s="23">
        <f>IF(F23&gt;=1000000,F23-1000000,0)</f>
        <v>0</v>
      </c>
      <c r="E28" s="24">
        <v>0.3</v>
      </c>
      <c r="F28" s="25">
        <f>IF((F23&gt;1000000),(F23-1000000)*30%,0)</f>
        <v>0</v>
      </c>
    </row>
    <row r="29" spans="1:15" ht="15.75" thickBot="1" x14ac:dyDescent="0.3">
      <c r="A29" s="44"/>
      <c r="B29" s="27" t="s">
        <v>13</v>
      </c>
      <c r="C29" s="28"/>
      <c r="D29" s="28"/>
      <c r="E29" s="28"/>
      <c r="F29" s="29">
        <f>SUM(F26:F28)</f>
        <v>48500</v>
      </c>
    </row>
    <row r="30" spans="1:15" x14ac:dyDescent="0.25">
      <c r="A30" s="40"/>
      <c r="F30" s="32"/>
    </row>
    <row r="36" spans="5:8" x14ac:dyDescent="0.25">
      <c r="E36" s="45"/>
      <c r="F36" s="45"/>
      <c r="G36" s="46"/>
      <c r="H36" s="47"/>
    </row>
    <row r="37" spans="5:8" x14ac:dyDescent="0.25">
      <c r="E37" s="45"/>
      <c r="F37" s="45"/>
      <c r="G37" s="46"/>
      <c r="H37" s="47"/>
    </row>
    <row r="38" spans="5:8" x14ac:dyDescent="0.25">
      <c r="E38" s="45"/>
      <c r="F38" s="45"/>
      <c r="G38" s="46"/>
      <c r="H38" s="47"/>
    </row>
    <row r="39" spans="5:8" x14ac:dyDescent="0.25">
      <c r="E39" s="45"/>
      <c r="F39" s="45"/>
      <c r="G39" s="46"/>
      <c r="H39" s="47"/>
    </row>
    <row r="40" spans="5:8" x14ac:dyDescent="0.25">
      <c r="E40" s="45"/>
      <c r="F40" s="46"/>
      <c r="G40" s="46"/>
      <c r="H40" s="47"/>
    </row>
    <row r="41" spans="5:8" x14ac:dyDescent="0.25">
      <c r="E41" s="45"/>
      <c r="F41" s="46"/>
      <c r="G41" s="46"/>
      <c r="H41" s="47"/>
    </row>
    <row r="42" spans="5:8" x14ac:dyDescent="0.25">
      <c r="E42" s="45"/>
      <c r="F42" s="46"/>
      <c r="G42" s="46"/>
      <c r="H42" s="47"/>
    </row>
    <row r="43" spans="5:8" x14ac:dyDescent="0.25">
      <c r="E43" s="45"/>
      <c r="F43" s="46"/>
      <c r="G43" s="46"/>
      <c r="H43" s="47"/>
    </row>
    <row r="44" spans="5:8" x14ac:dyDescent="0.25">
      <c r="E44" s="45"/>
      <c r="F44" s="46"/>
      <c r="G44" s="46"/>
      <c r="H44" s="47"/>
    </row>
    <row r="45" spans="5:8" x14ac:dyDescent="0.25">
      <c r="E45" s="45"/>
      <c r="F45" s="46"/>
      <c r="G45" s="46"/>
      <c r="H45" s="47"/>
    </row>
    <row r="46" spans="5:8" x14ac:dyDescent="0.25">
      <c r="E46" s="45"/>
      <c r="F46" s="46"/>
      <c r="G46" s="46"/>
      <c r="H46" s="47"/>
    </row>
    <row r="47" spans="5:8" x14ac:dyDescent="0.25">
      <c r="E47" s="45"/>
      <c r="F47" s="46"/>
      <c r="G47" s="46"/>
      <c r="H47" s="47"/>
    </row>
  </sheetData>
  <sheetProtection password="9B0D" sheet="1" objects="1" scenarios="1" selectLockedCells="1"/>
  <mergeCells count="19">
    <mergeCell ref="A4:A5"/>
    <mergeCell ref="K4:K5"/>
    <mergeCell ref="E4:E5"/>
    <mergeCell ref="G4:G5"/>
    <mergeCell ref="H4:H5"/>
    <mergeCell ref="B4:B5"/>
    <mergeCell ref="D4:D5"/>
    <mergeCell ref="F4:F5"/>
    <mergeCell ref="I4:I5"/>
    <mergeCell ref="J4:J5"/>
    <mergeCell ref="C4:C5"/>
    <mergeCell ref="B22:F22"/>
    <mergeCell ref="B23:D23"/>
    <mergeCell ref="B24:D24"/>
    <mergeCell ref="B25:C25"/>
    <mergeCell ref="O4:O5"/>
    <mergeCell ref="L4:L5"/>
    <mergeCell ref="M4:M5"/>
    <mergeCell ref="N4:N5"/>
  </mergeCells>
  <dataValidations count="1">
    <dataValidation type="list" allowBlank="1" showInputMessage="1" showErrorMessage="1" sqref="B3:C3" xr:uid="{0CFD150F-08E9-4438-BC95-1CA4ED14C1BE}">
      <formula1>"Male,Female"</formula1>
    </dataValidation>
  </dataValidations>
  <pageMargins left="0.70866141732283472" right="0.19685039370078741"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2568-688D-461A-B56C-F947E39D7B8B}">
  <dimension ref="A1:G67"/>
  <sheetViews>
    <sheetView zoomScaleNormal="100" workbookViewId="0">
      <selection activeCell="E1" sqref="E1"/>
    </sheetView>
  </sheetViews>
  <sheetFormatPr defaultRowHeight="15" x14ac:dyDescent="0.25"/>
  <cols>
    <col min="1" max="1" width="72.85546875" style="4" bestFit="1" customWidth="1"/>
    <col min="2" max="5" width="13.28515625" style="4" customWidth="1"/>
    <col min="6" max="6" width="10" style="4" customWidth="1"/>
    <col min="7" max="7" width="9.140625" style="4" customWidth="1"/>
    <col min="8" max="16384" width="9.140625" style="4"/>
  </cols>
  <sheetData>
    <row r="1" spans="1:7" x14ac:dyDescent="0.25">
      <c r="A1" s="68" t="s">
        <v>93</v>
      </c>
      <c r="B1" s="136" t="str">
        <f>'Salary Statement'!B1</f>
        <v>XXXX</v>
      </c>
      <c r="C1" s="136"/>
      <c r="D1" s="137"/>
    </row>
    <row r="2" spans="1:7" x14ac:dyDescent="0.25">
      <c r="A2" s="69" t="str">
        <f>'Salary Statement'!A2</f>
        <v>Designation:</v>
      </c>
      <c r="B2" s="138" t="str">
        <f>'Salary Statement'!B2</f>
        <v>XYZ</v>
      </c>
      <c r="C2" s="138"/>
      <c r="D2" s="139"/>
    </row>
    <row r="3" spans="1:7" ht="15.75" thickBot="1" x14ac:dyDescent="0.3">
      <c r="A3" s="70" t="str">
        <f>'Salary Statement'!J2</f>
        <v>PAN No:</v>
      </c>
      <c r="B3" s="140" t="str">
        <f>'Salary Statement'!K2</f>
        <v>XXXXX5689X</v>
      </c>
      <c r="C3" s="140"/>
      <c r="D3" s="141"/>
      <c r="F3" s="54"/>
    </row>
    <row r="4" spans="1:7" ht="15.75" thickBot="1" x14ac:dyDescent="0.3">
      <c r="A4" s="83" t="s">
        <v>33</v>
      </c>
      <c r="B4" s="71">
        <f>'Salary Statement'!J18</f>
        <v>720000</v>
      </c>
      <c r="C4" s="55"/>
      <c r="D4" s="72">
        <f>B4</f>
        <v>720000</v>
      </c>
    </row>
    <row r="5" spans="1:7" ht="16.5" thickTop="1" thickBot="1" x14ac:dyDescent="0.3">
      <c r="A5" s="84" t="s">
        <v>76</v>
      </c>
      <c r="B5" s="2"/>
      <c r="C5" s="2"/>
      <c r="D5" s="73">
        <f>-SUM(C6,C11,C12,C13)</f>
        <v>-40000</v>
      </c>
    </row>
    <row r="6" spans="1:7" ht="15.75" thickTop="1" x14ac:dyDescent="0.25">
      <c r="A6" s="85" t="s">
        <v>83</v>
      </c>
      <c r="B6" s="2"/>
      <c r="C6" s="74">
        <f>MAX(MIN(C8:C10),0)</f>
        <v>0</v>
      </c>
      <c r="D6" s="56"/>
    </row>
    <row r="7" spans="1:7" ht="15.75" thickBot="1" x14ac:dyDescent="0.3">
      <c r="A7" s="86" t="s">
        <v>14</v>
      </c>
      <c r="B7" s="57" t="s">
        <v>186</v>
      </c>
      <c r="C7" s="2"/>
      <c r="D7" s="56"/>
    </row>
    <row r="8" spans="1:7" x14ac:dyDescent="0.25">
      <c r="A8" s="86" t="s">
        <v>34</v>
      </c>
      <c r="B8" s="75">
        <f>'Salary Statement'!B18+'Salary Statement'!C18</f>
        <v>480000</v>
      </c>
      <c r="C8" s="76">
        <f>IF(B7="Metro",(B8*0.5),(B8*0.4))</f>
        <v>192000</v>
      </c>
      <c r="D8" s="56"/>
    </row>
    <row r="9" spans="1:7" x14ac:dyDescent="0.25">
      <c r="A9" s="86" t="s">
        <v>15</v>
      </c>
      <c r="B9" s="58">
        <v>0</v>
      </c>
      <c r="C9" s="77">
        <f>B9-0.1*B8</f>
        <v>-48000</v>
      </c>
      <c r="D9" s="56"/>
      <c r="F9" s="59"/>
    </row>
    <row r="10" spans="1:7" ht="15.75" thickBot="1" x14ac:dyDescent="0.3">
      <c r="A10" s="86" t="s">
        <v>35</v>
      </c>
      <c r="B10" s="79">
        <f>'Salary Statement'!D18</f>
        <v>180000</v>
      </c>
      <c r="C10" s="78">
        <f>B10</f>
        <v>180000</v>
      </c>
      <c r="D10" s="56"/>
    </row>
    <row r="11" spans="1:7" x14ac:dyDescent="0.25">
      <c r="A11" s="85" t="s">
        <v>87</v>
      </c>
      <c r="B11" s="3">
        <v>40000</v>
      </c>
      <c r="C11" s="80">
        <f>MAX(MIN(B11,40000),0)</f>
        <v>40000</v>
      </c>
      <c r="D11" s="56"/>
    </row>
    <row r="12" spans="1:7" x14ac:dyDescent="0.25">
      <c r="A12" s="85" t="s">
        <v>36</v>
      </c>
      <c r="B12" s="1">
        <v>0</v>
      </c>
      <c r="C12" s="74">
        <f>B12</f>
        <v>0</v>
      </c>
      <c r="D12" s="56"/>
      <c r="G12" s="60"/>
    </row>
    <row r="13" spans="1:7" ht="15.75" thickBot="1" x14ac:dyDescent="0.3">
      <c r="A13" s="85" t="s">
        <v>37</v>
      </c>
      <c r="B13" s="1">
        <f>'Salary Statement'!L18</f>
        <v>0</v>
      </c>
      <c r="C13" s="74">
        <f>B13</f>
        <v>0</v>
      </c>
      <c r="D13" s="56"/>
    </row>
    <row r="14" spans="1:7" ht="16.5" thickTop="1" thickBot="1" x14ac:dyDescent="0.3">
      <c r="A14" s="84" t="s">
        <v>38</v>
      </c>
      <c r="B14" s="2"/>
      <c r="C14" s="2"/>
      <c r="D14" s="73">
        <f>SUM(D4:D5)</f>
        <v>680000</v>
      </c>
    </row>
    <row r="15" spans="1:7" ht="16.5" thickTop="1" thickBot="1" x14ac:dyDescent="0.3">
      <c r="A15" s="84" t="s">
        <v>39</v>
      </c>
      <c r="B15" s="2"/>
      <c r="C15" s="74">
        <f>SUM(B17:B22)</f>
        <v>0</v>
      </c>
      <c r="D15" s="73">
        <f>C15</f>
        <v>0</v>
      </c>
    </row>
    <row r="16" spans="1:7" ht="15.75" thickTop="1" x14ac:dyDescent="0.25">
      <c r="A16" s="85" t="s">
        <v>40</v>
      </c>
      <c r="B16" s="2"/>
      <c r="C16" s="2"/>
      <c r="D16" s="56"/>
    </row>
    <row r="17" spans="1:6" x14ac:dyDescent="0.25">
      <c r="A17" s="86" t="s">
        <v>41</v>
      </c>
      <c r="B17" s="1">
        <v>0</v>
      </c>
      <c r="C17" s="2"/>
      <c r="D17" s="56"/>
    </row>
    <row r="18" spans="1:6" x14ac:dyDescent="0.25">
      <c r="A18" s="86" t="s">
        <v>42</v>
      </c>
      <c r="B18" s="1">
        <v>0</v>
      </c>
      <c r="C18" s="2"/>
      <c r="D18" s="56"/>
    </row>
    <row r="19" spans="1:6" x14ac:dyDescent="0.25">
      <c r="A19" s="86" t="s">
        <v>43</v>
      </c>
      <c r="B19" s="1">
        <v>0</v>
      </c>
      <c r="C19" s="2"/>
      <c r="D19" s="56"/>
    </row>
    <row r="20" spans="1:6" x14ac:dyDescent="0.25">
      <c r="A20" s="86" t="s">
        <v>44</v>
      </c>
      <c r="B20" s="1">
        <v>0</v>
      </c>
      <c r="C20" s="2"/>
      <c r="D20" s="56"/>
    </row>
    <row r="21" spans="1:6" x14ac:dyDescent="0.25">
      <c r="A21" s="85" t="s">
        <v>45</v>
      </c>
      <c r="B21" s="1">
        <v>0</v>
      </c>
      <c r="C21" s="2"/>
      <c r="D21" s="56"/>
    </row>
    <row r="22" spans="1:6" ht="15.75" thickBot="1" x14ac:dyDescent="0.3">
      <c r="A22" s="85" t="s">
        <v>46</v>
      </c>
      <c r="B22" s="1">
        <v>0</v>
      </c>
      <c r="C22" s="2"/>
      <c r="D22" s="56"/>
    </row>
    <row r="23" spans="1:6" ht="16.5" thickTop="1" thickBot="1" x14ac:dyDescent="0.3">
      <c r="A23" s="84" t="s">
        <v>47</v>
      </c>
      <c r="B23" s="2"/>
      <c r="C23" s="2"/>
      <c r="D23" s="73">
        <f>IF(SUM(C24:C25)&gt;200000,-200000,-SUM(C24:C25))</f>
        <v>0</v>
      </c>
    </row>
    <row r="24" spans="1:6" ht="15.75" thickTop="1" x14ac:dyDescent="0.25">
      <c r="A24" s="87" t="s">
        <v>48</v>
      </c>
      <c r="B24" s="1">
        <v>0</v>
      </c>
      <c r="C24" s="74">
        <f>B24</f>
        <v>0</v>
      </c>
      <c r="D24" s="56"/>
    </row>
    <row r="25" spans="1:6" ht="15.75" thickBot="1" x14ac:dyDescent="0.3">
      <c r="A25" s="87" t="s">
        <v>49</v>
      </c>
      <c r="B25" s="1">
        <v>0</v>
      </c>
      <c r="C25" s="74">
        <f>IF(B25&gt;30000,30000,B25)</f>
        <v>0</v>
      </c>
      <c r="D25" s="56"/>
    </row>
    <row r="26" spans="1:6" ht="16.5" thickTop="1" thickBot="1" x14ac:dyDescent="0.3">
      <c r="A26" s="84" t="s">
        <v>32</v>
      </c>
      <c r="B26" s="2"/>
      <c r="C26" s="2"/>
      <c r="D26" s="73">
        <f>SUM(D23,D14,D15)</f>
        <v>680000</v>
      </c>
    </row>
    <row r="27" spans="1:6" ht="16.5" thickTop="1" thickBot="1" x14ac:dyDescent="0.3">
      <c r="A27" s="84" t="s">
        <v>50</v>
      </c>
      <c r="B27" s="2"/>
      <c r="C27" s="74">
        <f>IF(SUM(B28:B42)&gt;150001,150000,SUM(B28:B42))</f>
        <v>0</v>
      </c>
      <c r="D27" s="73">
        <f>-C27</f>
        <v>0</v>
      </c>
    </row>
    <row r="28" spans="1:6" ht="15.75" thickTop="1" x14ac:dyDescent="0.25">
      <c r="A28" s="86" t="s">
        <v>17</v>
      </c>
      <c r="B28" s="1">
        <v>0</v>
      </c>
      <c r="C28" s="2"/>
      <c r="D28" s="56"/>
    </row>
    <row r="29" spans="1:6" x14ac:dyDescent="0.25">
      <c r="A29" s="86" t="s">
        <v>18</v>
      </c>
      <c r="B29" s="1">
        <v>0</v>
      </c>
      <c r="C29" s="2"/>
      <c r="D29" s="56"/>
      <c r="F29" s="40"/>
    </row>
    <row r="30" spans="1:6" x14ac:dyDescent="0.25">
      <c r="A30" s="86" t="s">
        <v>19</v>
      </c>
      <c r="B30" s="1">
        <v>0</v>
      </c>
      <c r="C30" s="2"/>
      <c r="D30" s="56"/>
    </row>
    <row r="31" spans="1:6" x14ac:dyDescent="0.25">
      <c r="A31" s="86" t="s">
        <v>20</v>
      </c>
      <c r="B31" s="1">
        <v>0</v>
      </c>
      <c r="C31" s="2"/>
      <c r="D31" s="56"/>
    </row>
    <row r="32" spans="1:6" x14ac:dyDescent="0.25">
      <c r="A32" s="86" t="s">
        <v>21</v>
      </c>
      <c r="B32" s="1">
        <v>0</v>
      </c>
      <c r="C32" s="2"/>
      <c r="D32" s="56"/>
    </row>
    <row r="33" spans="1:4" x14ac:dyDescent="0.25">
      <c r="A33" s="86" t="s">
        <v>22</v>
      </c>
      <c r="B33" s="1">
        <v>0</v>
      </c>
      <c r="C33" s="2"/>
      <c r="D33" s="56"/>
    </row>
    <row r="34" spans="1:4" x14ac:dyDescent="0.25">
      <c r="A34" s="86" t="s">
        <v>23</v>
      </c>
      <c r="B34" s="1">
        <v>0</v>
      </c>
      <c r="C34" s="2"/>
      <c r="D34" s="56"/>
    </row>
    <row r="35" spans="1:4" x14ac:dyDescent="0.25">
      <c r="A35" s="86" t="s">
        <v>24</v>
      </c>
      <c r="B35" s="1">
        <v>0</v>
      </c>
      <c r="C35" s="2"/>
      <c r="D35" s="56"/>
    </row>
    <row r="36" spans="1:4" x14ac:dyDescent="0.25">
      <c r="A36" s="86" t="s">
        <v>25</v>
      </c>
      <c r="B36" s="1">
        <v>0</v>
      </c>
      <c r="C36" s="2"/>
      <c r="D36" s="56"/>
    </row>
    <row r="37" spans="1:4" x14ac:dyDescent="0.25">
      <c r="A37" s="86" t="s">
        <v>26</v>
      </c>
      <c r="B37" s="1">
        <v>0</v>
      </c>
      <c r="C37" s="2"/>
      <c r="D37" s="56"/>
    </row>
    <row r="38" spans="1:4" x14ac:dyDescent="0.25">
      <c r="A38" s="86" t="s">
        <v>27</v>
      </c>
      <c r="B38" s="1">
        <v>0</v>
      </c>
      <c r="C38" s="2"/>
      <c r="D38" s="56"/>
    </row>
    <row r="39" spans="1:4" x14ac:dyDescent="0.25">
      <c r="A39" s="88" t="s">
        <v>28</v>
      </c>
      <c r="B39" s="1">
        <v>0</v>
      </c>
      <c r="C39" s="2"/>
      <c r="D39" s="56"/>
    </row>
    <row r="40" spans="1:4" x14ac:dyDescent="0.25">
      <c r="A40" s="88" t="s">
        <v>29</v>
      </c>
      <c r="B40" s="1"/>
      <c r="C40" s="2"/>
      <c r="D40" s="56"/>
    </row>
    <row r="41" spans="1:4" x14ac:dyDescent="0.25">
      <c r="A41" s="88" t="s">
        <v>30</v>
      </c>
      <c r="B41" s="1">
        <v>0</v>
      </c>
      <c r="C41" s="2"/>
      <c r="D41" s="56"/>
    </row>
    <row r="42" spans="1:4" ht="15.75" thickBot="1" x14ac:dyDescent="0.3">
      <c r="A42" s="86" t="s">
        <v>31</v>
      </c>
      <c r="B42" s="1">
        <v>0</v>
      </c>
      <c r="C42" s="2"/>
      <c r="D42" s="56"/>
    </row>
    <row r="43" spans="1:4" ht="16.5" thickTop="1" thickBot="1" x14ac:dyDescent="0.3">
      <c r="A43" s="84" t="s">
        <v>51</v>
      </c>
      <c r="B43" s="1">
        <v>0</v>
      </c>
      <c r="C43" s="2"/>
      <c r="D43" s="73">
        <f>-MIN(B43,50000)</f>
        <v>0</v>
      </c>
    </row>
    <row r="44" spans="1:4" ht="16.5" thickTop="1" thickBot="1" x14ac:dyDescent="0.3">
      <c r="A44" s="84" t="s">
        <v>52</v>
      </c>
      <c r="B44" s="1">
        <v>0</v>
      </c>
      <c r="C44" s="2"/>
      <c r="D44" s="73">
        <f>-MIN(B44,50000)/2</f>
        <v>0</v>
      </c>
    </row>
    <row r="45" spans="1:4" ht="16.5" thickTop="1" thickBot="1" x14ac:dyDescent="0.3">
      <c r="A45" s="84" t="s">
        <v>53</v>
      </c>
      <c r="B45" s="2"/>
      <c r="C45" s="2"/>
      <c r="D45" s="73">
        <f>-SUM(C46:C54)</f>
        <v>0</v>
      </c>
    </row>
    <row r="46" spans="1:4" ht="15.75" thickTop="1" x14ac:dyDescent="0.25">
      <c r="A46" s="86" t="s">
        <v>54</v>
      </c>
      <c r="B46" s="1">
        <v>0</v>
      </c>
      <c r="C46" s="74">
        <f>IF(B46&gt;25001,25000,B46)</f>
        <v>0</v>
      </c>
      <c r="D46" s="56"/>
    </row>
    <row r="47" spans="1:4" x14ac:dyDescent="0.25">
      <c r="A47" s="86" t="s">
        <v>55</v>
      </c>
      <c r="B47" s="1">
        <v>0</v>
      </c>
      <c r="C47" s="74">
        <f>IF(B47&gt;50001,50000,B47)</f>
        <v>0</v>
      </c>
      <c r="D47" s="56"/>
    </row>
    <row r="48" spans="1:4" x14ac:dyDescent="0.25">
      <c r="A48" s="86" t="s">
        <v>56</v>
      </c>
      <c r="B48" s="1">
        <v>0</v>
      </c>
      <c r="C48" s="74">
        <f>B48</f>
        <v>0</v>
      </c>
      <c r="D48" s="56"/>
    </row>
    <row r="49" spans="1:6" x14ac:dyDescent="0.25">
      <c r="A49" s="86" t="s">
        <v>57</v>
      </c>
      <c r="B49" s="1">
        <v>0</v>
      </c>
      <c r="C49" s="74">
        <f>IF(B49&gt;125001,125000,B49)</f>
        <v>0</v>
      </c>
      <c r="D49" s="56"/>
    </row>
    <row r="50" spans="1:6" x14ac:dyDescent="0.25">
      <c r="A50" s="86" t="s">
        <v>58</v>
      </c>
      <c r="B50" s="1">
        <v>0</v>
      </c>
      <c r="C50" s="74">
        <f>IF(B50&gt;100001,100000,B50)</f>
        <v>0</v>
      </c>
      <c r="D50" s="56"/>
    </row>
    <row r="51" spans="1:6" x14ac:dyDescent="0.25">
      <c r="A51" s="86" t="s">
        <v>59</v>
      </c>
      <c r="B51" s="1">
        <v>0</v>
      </c>
      <c r="C51" s="74">
        <f>B51</f>
        <v>0</v>
      </c>
      <c r="D51" s="56"/>
      <c r="F51" s="40"/>
    </row>
    <row r="52" spans="1:6" x14ac:dyDescent="0.25">
      <c r="A52" s="86" t="s">
        <v>86</v>
      </c>
      <c r="B52" s="1">
        <v>0</v>
      </c>
      <c r="C52" s="74">
        <f>IF(B52&gt;60001,60000,B52)</f>
        <v>0</v>
      </c>
      <c r="D52" s="56"/>
    </row>
    <row r="53" spans="1:6" x14ac:dyDescent="0.25">
      <c r="A53" s="86" t="s">
        <v>60</v>
      </c>
      <c r="B53" s="1">
        <v>0</v>
      </c>
      <c r="C53" s="74">
        <f>IF(B53&gt;125001,125000,B53)</f>
        <v>0</v>
      </c>
      <c r="D53" s="56"/>
    </row>
    <row r="54" spans="1:6" x14ac:dyDescent="0.25">
      <c r="A54" s="86" t="s">
        <v>85</v>
      </c>
      <c r="B54" s="1">
        <v>0</v>
      </c>
      <c r="C54" s="74">
        <f>IF(B54&gt;50001,50000,B54)</f>
        <v>0</v>
      </c>
      <c r="D54" s="56"/>
    </row>
    <row r="55" spans="1:6" x14ac:dyDescent="0.25">
      <c r="A55" s="84" t="s">
        <v>61</v>
      </c>
      <c r="B55" s="2"/>
      <c r="C55" s="2"/>
      <c r="D55" s="77">
        <f>SUM(D26,D27,D43,D44,D45)</f>
        <v>680000</v>
      </c>
      <c r="F55" s="60"/>
    </row>
    <row r="56" spans="1:6" x14ac:dyDescent="0.25">
      <c r="A56" s="84" t="s">
        <v>62</v>
      </c>
      <c r="B56" s="2"/>
      <c r="C56" s="2"/>
      <c r="D56" s="77">
        <f>-IF(D55&lt;=350000,2500,0)</f>
        <v>0</v>
      </c>
    </row>
    <row r="57" spans="1:6" x14ac:dyDescent="0.25">
      <c r="A57" s="85" t="s">
        <v>63</v>
      </c>
      <c r="B57" s="2"/>
      <c r="C57" s="2"/>
      <c r="D57" s="77">
        <f>IF('Salary Statement'!F29+Computation!D56&lt;0,0,('Salary Statement'!F29+Computation!D56))</f>
        <v>48500</v>
      </c>
    </row>
    <row r="58" spans="1:6" x14ac:dyDescent="0.25">
      <c r="A58" s="84" t="s">
        <v>84</v>
      </c>
      <c r="B58" s="2"/>
      <c r="C58" s="2"/>
      <c r="D58" s="77">
        <f>IF(SUM(D55)&gt;=5000000,D57*10%,0)</f>
        <v>0</v>
      </c>
    </row>
    <row r="59" spans="1:6" ht="15.75" thickBot="1" x14ac:dyDescent="0.3">
      <c r="A59" s="85" t="s">
        <v>88</v>
      </c>
      <c r="B59" s="2"/>
      <c r="C59" s="2"/>
      <c r="D59" s="77">
        <f>0.04*SUM(D57,D58)</f>
        <v>1940</v>
      </c>
    </row>
    <row r="60" spans="1:6" ht="20.25" thickTop="1" thickBot="1" x14ac:dyDescent="0.3">
      <c r="A60" s="89" t="s">
        <v>64</v>
      </c>
      <c r="B60" s="61"/>
      <c r="C60" s="61"/>
      <c r="D60" s="81">
        <f>SUM(D57:D59)</f>
        <v>50440</v>
      </c>
      <c r="E60" s="62"/>
    </row>
    <row r="61" spans="1:6" ht="20.25" thickTop="1" thickBot="1" x14ac:dyDescent="0.3">
      <c r="A61" s="90" t="s">
        <v>72</v>
      </c>
      <c r="B61" s="63"/>
      <c r="C61" s="63"/>
      <c r="D61" s="64">
        <v>0</v>
      </c>
    </row>
    <row r="62" spans="1:6" ht="20.25" thickTop="1" thickBot="1" x14ac:dyDescent="0.3">
      <c r="A62" s="90" t="s">
        <v>73</v>
      </c>
      <c r="B62" s="63"/>
      <c r="C62" s="63"/>
      <c r="D62" s="81">
        <f>D60-D61</f>
        <v>50440</v>
      </c>
      <c r="F62" s="65"/>
    </row>
    <row r="63" spans="1:6" ht="17.25" thickTop="1" thickBot="1" x14ac:dyDescent="0.3">
      <c r="A63" s="91" t="s">
        <v>74</v>
      </c>
      <c r="B63" s="63"/>
      <c r="C63" s="63"/>
      <c r="D63" s="66">
        <v>12</v>
      </c>
      <c r="F63" s="65"/>
    </row>
    <row r="64" spans="1:6" ht="20.25" thickTop="1" thickBot="1" x14ac:dyDescent="0.3">
      <c r="A64" s="92" t="s">
        <v>75</v>
      </c>
      <c r="B64" s="67"/>
      <c r="C64" s="67"/>
      <c r="D64" s="82">
        <f>ROUNDUP((D62/D63),1)</f>
        <v>4203.4000000000005</v>
      </c>
    </row>
    <row r="65" spans="1:4" x14ac:dyDescent="0.25">
      <c r="A65" s="40"/>
      <c r="B65" s="40"/>
      <c r="C65" s="40"/>
      <c r="D65" s="40"/>
    </row>
    <row r="66" spans="1:4" x14ac:dyDescent="0.25">
      <c r="A66" s="40"/>
      <c r="B66" s="40"/>
      <c r="C66" s="40"/>
      <c r="D66" s="40"/>
    </row>
    <row r="67" spans="1:4" x14ac:dyDescent="0.25">
      <c r="A67" s="40"/>
      <c r="B67" s="40"/>
      <c r="C67" s="40"/>
      <c r="D67" s="40"/>
    </row>
  </sheetData>
  <sheetProtection password="9B0D" sheet="1" objects="1" scenarios="1" selectLockedCells="1"/>
  <mergeCells count="3">
    <mergeCell ref="B1:D1"/>
    <mergeCell ref="B2:D2"/>
    <mergeCell ref="B3:D3"/>
  </mergeCells>
  <dataValidations count="1">
    <dataValidation type="list" allowBlank="1" showInputMessage="1" showErrorMessage="1" sqref="B7" xr:uid="{0BC2D5CF-FA4D-42FD-9C1F-3698F3275C18}">
      <formula1>"Metro,Non Metro"</formula1>
    </dataValidation>
  </dataValidations>
  <pageMargins left="0.70866141732283472" right="0.26" top="0.31" bottom="0.4" header="0.31496062992125984" footer="0.31496062992125984"/>
  <pageSetup paperSize="9" scale="8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B80C4-0D4C-4F01-A98A-0978DC7663CC}">
  <dimension ref="A1:L58"/>
  <sheetViews>
    <sheetView zoomScaleNormal="100" workbookViewId="0">
      <selection activeCell="N4" sqref="N4"/>
    </sheetView>
  </sheetViews>
  <sheetFormatPr defaultRowHeight="15" x14ac:dyDescent="0.25"/>
  <cols>
    <col min="1" max="16384" width="9.140625" style="4"/>
  </cols>
  <sheetData>
    <row r="1" spans="1:12" x14ac:dyDescent="0.25">
      <c r="A1" s="144" t="s">
        <v>117</v>
      </c>
      <c r="B1" s="145"/>
      <c r="C1" s="145"/>
      <c r="D1" s="145"/>
      <c r="E1" s="145"/>
      <c r="F1" s="145"/>
      <c r="G1" s="145"/>
      <c r="H1" s="145"/>
      <c r="I1" s="145"/>
      <c r="J1" s="145"/>
      <c r="K1" s="145"/>
      <c r="L1" s="146"/>
    </row>
    <row r="2" spans="1:12" x14ac:dyDescent="0.25">
      <c r="A2" s="147" t="s">
        <v>118</v>
      </c>
      <c r="B2" s="147"/>
      <c r="C2" s="147"/>
      <c r="D2" s="147"/>
      <c r="E2" s="147"/>
      <c r="F2" s="147"/>
      <c r="G2" s="147" t="s">
        <v>119</v>
      </c>
      <c r="H2" s="147"/>
      <c r="I2" s="147"/>
      <c r="J2" s="147"/>
      <c r="K2" s="147"/>
      <c r="L2" s="147"/>
    </row>
    <row r="3" spans="1:12" ht="68.25" customHeight="1" x14ac:dyDescent="0.25">
      <c r="A3" s="148" t="str">
        <f>'Master Data'!B11</f>
        <v>XYZ AND COMPANY</v>
      </c>
      <c r="B3" s="148"/>
      <c r="C3" s="148"/>
      <c r="D3" s="148"/>
      <c r="E3" s="148"/>
      <c r="F3" s="148"/>
      <c r="G3" s="149" t="str">
        <f>'Master Data'!B3</f>
        <v>XXXX</v>
      </c>
      <c r="H3" s="149"/>
      <c r="I3" s="149"/>
      <c r="J3" s="149"/>
      <c r="K3" s="149"/>
      <c r="L3" s="149"/>
    </row>
    <row r="4" spans="1:12" x14ac:dyDescent="0.25">
      <c r="A4" s="150" t="s">
        <v>120</v>
      </c>
      <c r="B4" s="150"/>
      <c r="C4" s="150"/>
      <c r="D4" s="150" t="s">
        <v>121</v>
      </c>
      <c r="E4" s="150"/>
      <c r="F4" s="150"/>
      <c r="G4" s="150" t="s">
        <v>122</v>
      </c>
      <c r="H4" s="150"/>
      <c r="I4" s="150"/>
      <c r="J4" s="151" t="s">
        <v>123</v>
      </c>
      <c r="K4" s="151"/>
      <c r="L4" s="151"/>
    </row>
    <row r="5" spans="1:12" x14ac:dyDescent="0.25">
      <c r="A5" s="142" t="str">
        <f>'Master Data'!B12</f>
        <v>XXXXX1234X</v>
      </c>
      <c r="B5" s="142"/>
      <c r="C5" s="142"/>
      <c r="D5" s="142" t="str">
        <f>'Master Data'!B13</f>
        <v>XXXX21544X</v>
      </c>
      <c r="E5" s="142"/>
      <c r="F5" s="142"/>
      <c r="G5" s="142" t="str">
        <f>'Master Data'!B4</f>
        <v>XXXXX5689X</v>
      </c>
      <c r="H5" s="142"/>
      <c r="I5" s="142"/>
      <c r="J5" s="142"/>
      <c r="K5" s="142"/>
      <c r="L5" s="142"/>
    </row>
    <row r="6" spans="1:12" x14ac:dyDescent="0.25">
      <c r="A6" s="143" t="s">
        <v>124</v>
      </c>
      <c r="B6" s="143"/>
      <c r="C6" s="143"/>
      <c r="D6" s="143"/>
      <c r="E6" s="143" t="s">
        <v>125</v>
      </c>
      <c r="F6" s="143"/>
      <c r="G6" s="143"/>
      <c r="H6" s="143"/>
      <c r="I6" s="143" t="s">
        <v>126</v>
      </c>
      <c r="J6" s="143"/>
      <c r="K6" s="143"/>
      <c r="L6" s="143"/>
    </row>
    <row r="7" spans="1:12" x14ac:dyDescent="0.25">
      <c r="A7" s="156" t="str">
        <f>'Master Data'!B15</f>
        <v>2019-20</v>
      </c>
      <c r="B7" s="156"/>
      <c r="C7" s="156"/>
      <c r="D7" s="156"/>
      <c r="E7" s="157">
        <f>'Salary Statement'!K3</f>
        <v>43191</v>
      </c>
      <c r="F7" s="156"/>
      <c r="G7" s="156"/>
      <c r="H7" s="156"/>
      <c r="I7" s="157">
        <f>'Salary Statement'!L3</f>
        <v>43555</v>
      </c>
      <c r="J7" s="156"/>
      <c r="K7" s="156"/>
      <c r="L7" s="156"/>
    </row>
    <row r="8" spans="1:12" x14ac:dyDescent="0.25">
      <c r="A8" s="158" t="s">
        <v>127</v>
      </c>
      <c r="B8" s="159"/>
      <c r="C8" s="159"/>
      <c r="D8" s="159"/>
      <c r="E8" s="159"/>
      <c r="F8" s="159"/>
      <c r="G8" s="159"/>
      <c r="H8" s="159"/>
      <c r="I8" s="159"/>
      <c r="J8" s="159"/>
      <c r="K8" s="159"/>
      <c r="L8" s="160"/>
    </row>
    <row r="9" spans="1:12" x14ac:dyDescent="0.25">
      <c r="A9" s="100" t="s">
        <v>128</v>
      </c>
      <c r="B9" s="96"/>
      <c r="C9" s="96"/>
      <c r="D9" s="96"/>
      <c r="E9" s="96"/>
      <c r="F9" s="96"/>
      <c r="G9" s="161" t="s">
        <v>129</v>
      </c>
      <c r="H9" s="161"/>
      <c r="I9" s="161" t="s">
        <v>129</v>
      </c>
      <c r="J9" s="161"/>
      <c r="K9" s="161" t="s">
        <v>129</v>
      </c>
      <c r="L9" s="161"/>
    </row>
    <row r="10" spans="1:12" x14ac:dyDescent="0.25">
      <c r="A10" s="104" t="s">
        <v>130</v>
      </c>
      <c r="B10" s="96" t="s">
        <v>131</v>
      </c>
      <c r="C10" s="96"/>
      <c r="D10" s="96"/>
      <c r="E10" s="96"/>
      <c r="F10" s="96"/>
      <c r="G10" s="152">
        <f>Computation!B4</f>
        <v>720000</v>
      </c>
      <c r="H10" s="153"/>
      <c r="I10" s="152"/>
      <c r="J10" s="153"/>
      <c r="K10" s="152"/>
      <c r="L10" s="153"/>
    </row>
    <row r="11" spans="1:12" x14ac:dyDescent="0.25">
      <c r="A11" s="104" t="s">
        <v>132</v>
      </c>
      <c r="B11" s="96" t="s">
        <v>133</v>
      </c>
      <c r="C11" s="96"/>
      <c r="D11" s="96"/>
      <c r="E11" s="96"/>
      <c r="F11" s="96"/>
      <c r="G11" s="154"/>
      <c r="H11" s="155"/>
      <c r="I11" s="154"/>
      <c r="J11" s="155"/>
      <c r="K11" s="154"/>
      <c r="L11" s="155"/>
    </row>
    <row r="12" spans="1:12" x14ac:dyDescent="0.25">
      <c r="A12" s="104"/>
      <c r="B12" s="96" t="s">
        <v>134</v>
      </c>
      <c r="C12" s="96"/>
      <c r="D12" s="96"/>
      <c r="E12" s="96"/>
      <c r="F12" s="96"/>
      <c r="G12" s="154">
        <v>0</v>
      </c>
      <c r="H12" s="155"/>
      <c r="I12" s="154"/>
      <c r="J12" s="155"/>
      <c r="K12" s="154"/>
      <c r="L12" s="155"/>
    </row>
    <row r="13" spans="1:12" x14ac:dyDescent="0.25">
      <c r="A13" s="104" t="s">
        <v>135</v>
      </c>
      <c r="B13" s="96" t="s">
        <v>136</v>
      </c>
      <c r="C13" s="96"/>
      <c r="D13" s="96"/>
      <c r="E13" s="96"/>
      <c r="F13" s="96"/>
      <c r="G13" s="154"/>
      <c r="H13" s="155"/>
      <c r="I13" s="154"/>
      <c r="J13" s="155"/>
      <c r="K13" s="154"/>
      <c r="L13" s="155"/>
    </row>
    <row r="14" spans="1:12" x14ac:dyDescent="0.25">
      <c r="A14" s="99"/>
      <c r="B14" s="96" t="s">
        <v>134</v>
      </c>
      <c r="C14" s="96"/>
      <c r="D14" s="96"/>
      <c r="E14" s="96"/>
      <c r="F14" s="96"/>
      <c r="G14" s="154">
        <v>0</v>
      </c>
      <c r="H14" s="155"/>
      <c r="I14" s="154"/>
      <c r="J14" s="155"/>
      <c r="K14" s="154"/>
      <c r="L14" s="155"/>
    </row>
    <row r="15" spans="1:12" x14ac:dyDescent="0.25">
      <c r="A15" s="104" t="s">
        <v>137</v>
      </c>
      <c r="B15" s="96" t="s">
        <v>138</v>
      </c>
      <c r="C15" s="96"/>
      <c r="D15" s="96"/>
      <c r="E15" s="96"/>
      <c r="F15" s="96"/>
      <c r="G15" s="154"/>
      <c r="H15" s="155"/>
      <c r="I15" s="154">
        <f>G10+G12+G14</f>
        <v>720000</v>
      </c>
      <c r="J15" s="155"/>
      <c r="K15" s="154"/>
      <c r="L15" s="155"/>
    </row>
    <row r="16" spans="1:12" x14ac:dyDescent="0.25">
      <c r="A16" s="100" t="s">
        <v>139</v>
      </c>
      <c r="B16" s="96"/>
      <c r="C16" s="96"/>
      <c r="D16" s="96"/>
      <c r="E16" s="96"/>
      <c r="F16" s="96"/>
      <c r="G16" s="154"/>
      <c r="H16" s="155"/>
      <c r="I16" s="154"/>
      <c r="J16" s="155"/>
      <c r="K16" s="154"/>
      <c r="L16" s="155"/>
    </row>
    <row r="17" spans="1:12" x14ac:dyDescent="0.25">
      <c r="A17" s="104" t="s">
        <v>130</v>
      </c>
      <c r="B17" s="40" t="s">
        <v>140</v>
      </c>
      <c r="C17" s="40"/>
      <c r="D17" s="40"/>
      <c r="E17" s="40"/>
      <c r="F17" s="40"/>
      <c r="G17" s="154">
        <f>Computation!C6</f>
        <v>0</v>
      </c>
      <c r="H17" s="155"/>
      <c r="I17" s="154"/>
      <c r="J17" s="155"/>
      <c r="K17" s="154"/>
      <c r="L17" s="155"/>
    </row>
    <row r="18" spans="1:12" x14ac:dyDescent="0.25">
      <c r="A18" s="104" t="s">
        <v>132</v>
      </c>
      <c r="B18" s="40"/>
      <c r="C18" s="40"/>
      <c r="D18" s="40"/>
      <c r="E18" s="40"/>
      <c r="F18" s="40"/>
      <c r="G18" s="162"/>
      <c r="H18" s="163"/>
      <c r="I18" s="164"/>
      <c r="J18" s="165"/>
      <c r="K18" s="154"/>
      <c r="L18" s="155"/>
    </row>
    <row r="19" spans="1:12" x14ac:dyDescent="0.25">
      <c r="A19" s="103" t="s">
        <v>141</v>
      </c>
      <c r="B19" s="96"/>
      <c r="C19" s="96"/>
      <c r="D19" s="96"/>
      <c r="E19" s="96"/>
      <c r="F19" s="96"/>
      <c r="G19" s="154"/>
      <c r="H19" s="155"/>
      <c r="I19" s="154">
        <f>I15-G17-G18</f>
        <v>720000</v>
      </c>
      <c r="J19" s="155"/>
      <c r="K19" s="154"/>
      <c r="L19" s="155"/>
    </row>
    <row r="20" spans="1:12" x14ac:dyDescent="0.25">
      <c r="A20" s="100" t="s">
        <v>142</v>
      </c>
      <c r="B20" s="96"/>
      <c r="C20" s="96"/>
      <c r="D20" s="96"/>
      <c r="E20" s="96"/>
      <c r="F20" s="96"/>
      <c r="G20" s="154"/>
      <c r="H20" s="155"/>
      <c r="I20" s="154"/>
      <c r="J20" s="155"/>
      <c r="K20" s="154"/>
      <c r="L20" s="155"/>
    </row>
    <row r="21" spans="1:12" x14ac:dyDescent="0.25">
      <c r="A21" s="104" t="s">
        <v>130</v>
      </c>
      <c r="B21" s="96" t="s">
        <v>143</v>
      </c>
      <c r="C21" s="96"/>
      <c r="D21" s="96"/>
      <c r="E21" s="105"/>
      <c r="F21" s="105"/>
      <c r="G21" s="154">
        <f>Computation!C11</f>
        <v>40000</v>
      </c>
      <c r="H21" s="155"/>
      <c r="I21" s="154"/>
      <c r="J21" s="155"/>
      <c r="K21" s="154"/>
      <c r="L21" s="155"/>
    </row>
    <row r="22" spans="1:12" x14ac:dyDescent="0.25">
      <c r="A22" s="104" t="s">
        <v>132</v>
      </c>
      <c r="B22" s="96" t="s">
        <v>144</v>
      </c>
      <c r="C22" s="96"/>
      <c r="D22" s="96"/>
      <c r="E22" s="105"/>
      <c r="F22" s="105"/>
      <c r="G22" s="154"/>
      <c r="H22" s="155"/>
      <c r="I22" s="154"/>
      <c r="J22" s="155"/>
      <c r="K22" s="154"/>
      <c r="L22" s="155"/>
    </row>
    <row r="23" spans="1:12" x14ac:dyDescent="0.25">
      <c r="A23" s="104" t="s">
        <v>135</v>
      </c>
      <c r="B23" s="96" t="s">
        <v>145</v>
      </c>
      <c r="C23" s="96"/>
      <c r="D23" s="96"/>
      <c r="E23" s="105"/>
      <c r="F23" s="105"/>
      <c r="G23" s="154">
        <f>Computation!C13</f>
        <v>0</v>
      </c>
      <c r="H23" s="155"/>
      <c r="I23" s="154"/>
      <c r="J23" s="155"/>
      <c r="K23" s="154"/>
      <c r="L23" s="155"/>
    </row>
    <row r="24" spans="1:12" x14ac:dyDescent="0.25">
      <c r="A24" s="100" t="s">
        <v>146</v>
      </c>
      <c r="B24" s="96"/>
      <c r="C24" s="96"/>
      <c r="D24" s="96"/>
      <c r="E24" s="96"/>
      <c r="F24" s="96"/>
      <c r="G24" s="154"/>
      <c r="H24" s="155"/>
      <c r="I24" s="162">
        <f>G21+G22+G23</f>
        <v>40000</v>
      </c>
      <c r="J24" s="163"/>
      <c r="K24" s="154"/>
      <c r="L24" s="155"/>
    </row>
    <row r="25" spans="1:12" x14ac:dyDescent="0.25">
      <c r="A25" s="100" t="s">
        <v>147</v>
      </c>
      <c r="B25" s="96"/>
      <c r="C25" s="96"/>
      <c r="D25" s="96"/>
      <c r="E25" s="96"/>
      <c r="F25" s="96"/>
      <c r="G25" s="154"/>
      <c r="H25" s="155"/>
      <c r="I25" s="154"/>
      <c r="J25" s="155"/>
      <c r="K25" s="154">
        <f>I19-I24</f>
        <v>680000</v>
      </c>
      <c r="L25" s="155"/>
    </row>
    <row r="26" spans="1:12" x14ac:dyDescent="0.25">
      <c r="A26" s="100" t="s">
        <v>148</v>
      </c>
      <c r="B26" s="96"/>
      <c r="C26" s="96"/>
      <c r="D26" s="96"/>
      <c r="E26" s="96"/>
      <c r="F26" s="96"/>
      <c r="G26" s="154"/>
      <c r="H26" s="155"/>
      <c r="I26" s="154"/>
      <c r="J26" s="155"/>
      <c r="K26" s="154">
        <v>0</v>
      </c>
      <c r="L26" s="155"/>
    </row>
    <row r="27" spans="1:12" x14ac:dyDescent="0.25">
      <c r="A27" s="99"/>
      <c r="B27" s="96" t="s">
        <v>149</v>
      </c>
      <c r="C27" s="96"/>
      <c r="D27" s="96"/>
      <c r="E27" s="96"/>
      <c r="F27" s="96"/>
      <c r="G27" s="154">
        <f>Computation!C24</f>
        <v>0</v>
      </c>
      <c r="H27" s="155"/>
      <c r="I27" s="154">
        <f>+G27</f>
        <v>0</v>
      </c>
      <c r="J27" s="155"/>
      <c r="K27" s="154">
        <f>IF(I27&gt;200000,200000,I27)</f>
        <v>0</v>
      </c>
      <c r="L27" s="155"/>
    </row>
    <row r="28" spans="1:12" x14ac:dyDescent="0.25">
      <c r="A28" s="106" t="s">
        <v>150</v>
      </c>
      <c r="B28" s="94"/>
      <c r="C28" s="94"/>
      <c r="D28" s="94"/>
      <c r="E28" s="94"/>
      <c r="F28" s="94"/>
      <c r="G28" s="162"/>
      <c r="H28" s="163"/>
      <c r="I28" s="162"/>
      <c r="J28" s="163"/>
      <c r="K28" s="169">
        <f>+K25+K26-K27</f>
        <v>680000</v>
      </c>
      <c r="L28" s="170"/>
    </row>
    <row r="29" spans="1:12" x14ac:dyDescent="0.25">
      <c r="A29" s="100" t="s">
        <v>151</v>
      </c>
      <c r="B29" s="96"/>
      <c r="C29" s="96"/>
      <c r="D29" s="96"/>
      <c r="E29" s="96"/>
      <c r="F29" s="96"/>
      <c r="G29" s="152"/>
      <c r="H29" s="153"/>
      <c r="I29" s="152"/>
      <c r="J29" s="153"/>
      <c r="K29" s="152"/>
      <c r="L29" s="153"/>
    </row>
    <row r="30" spans="1:12" x14ac:dyDescent="0.25">
      <c r="A30" s="107" t="s">
        <v>152</v>
      </c>
      <c r="B30" s="96" t="s">
        <v>153</v>
      </c>
      <c r="C30" s="96"/>
      <c r="D30" s="96"/>
      <c r="E30" s="166"/>
      <c r="F30" s="165"/>
      <c r="G30" s="167" t="s">
        <v>154</v>
      </c>
      <c r="H30" s="168"/>
      <c r="I30" s="167" t="s">
        <v>155</v>
      </c>
      <c r="J30" s="168"/>
      <c r="K30" s="167" t="s">
        <v>156</v>
      </c>
      <c r="L30" s="168"/>
    </row>
    <row r="31" spans="1:12" x14ac:dyDescent="0.25">
      <c r="A31" s="102" t="s">
        <v>130</v>
      </c>
      <c r="B31" s="96" t="s">
        <v>157</v>
      </c>
      <c r="C31" s="96"/>
      <c r="D31" s="96"/>
      <c r="E31" s="96"/>
      <c r="F31" s="96"/>
      <c r="G31" s="154">
        <f>SUM(Computation!B28:B35,Computation!B39:B42)</f>
        <v>0</v>
      </c>
      <c r="H31" s="155"/>
      <c r="I31" s="154">
        <f>+G31</f>
        <v>0</v>
      </c>
      <c r="J31" s="155"/>
      <c r="K31" s="154">
        <f>I31</f>
        <v>0</v>
      </c>
      <c r="L31" s="155"/>
    </row>
    <row r="32" spans="1:12" x14ac:dyDescent="0.25">
      <c r="A32" s="102" t="s">
        <v>132</v>
      </c>
      <c r="B32" s="96" t="s">
        <v>158</v>
      </c>
      <c r="C32" s="96"/>
      <c r="D32" s="96"/>
      <c r="E32" s="96"/>
      <c r="F32" s="96"/>
      <c r="G32" s="154">
        <f>SUM(Computation!B36:B37)</f>
        <v>0</v>
      </c>
      <c r="H32" s="155"/>
      <c r="I32" s="154">
        <f t="shared" ref="I32:I33" si="0">+G32</f>
        <v>0</v>
      </c>
      <c r="J32" s="155"/>
      <c r="K32" s="154">
        <f t="shared" ref="K32:K33" si="1">I32</f>
        <v>0</v>
      </c>
      <c r="L32" s="155"/>
    </row>
    <row r="33" spans="1:12" x14ac:dyDescent="0.25">
      <c r="A33" s="102" t="s">
        <v>135</v>
      </c>
      <c r="B33" s="96" t="s">
        <v>159</v>
      </c>
      <c r="C33" s="96"/>
      <c r="D33" s="96"/>
      <c r="E33" s="96"/>
      <c r="F33" s="96"/>
      <c r="G33" s="154">
        <f>Computation!B38</f>
        <v>0</v>
      </c>
      <c r="H33" s="155"/>
      <c r="I33" s="154">
        <f t="shared" si="0"/>
        <v>0</v>
      </c>
      <c r="J33" s="155"/>
      <c r="K33" s="154">
        <f t="shared" si="1"/>
        <v>0</v>
      </c>
      <c r="L33" s="155"/>
    </row>
    <row r="34" spans="1:12" x14ac:dyDescent="0.25">
      <c r="A34" s="100" t="s">
        <v>160</v>
      </c>
      <c r="B34" s="96"/>
      <c r="C34" s="96"/>
      <c r="D34" s="96"/>
      <c r="E34" s="96"/>
      <c r="F34" s="96"/>
      <c r="G34" s="154"/>
      <c r="H34" s="155"/>
      <c r="I34" s="154"/>
      <c r="J34" s="155"/>
      <c r="K34" s="171">
        <f>IF(SUM(K31:L33)&gt;150000,150000,SUM(K31:L33))</f>
        <v>0</v>
      </c>
      <c r="L34" s="172"/>
    </row>
    <row r="35" spans="1:12" x14ac:dyDescent="0.25">
      <c r="A35" s="100" t="s">
        <v>161</v>
      </c>
      <c r="B35" s="96"/>
      <c r="C35" s="96"/>
      <c r="D35" s="96"/>
      <c r="E35" s="96"/>
      <c r="F35" s="96"/>
      <c r="G35" s="154"/>
      <c r="H35" s="155"/>
      <c r="I35" s="154"/>
      <c r="J35" s="155"/>
      <c r="K35" s="154"/>
      <c r="L35" s="155"/>
    </row>
    <row r="36" spans="1:12" x14ac:dyDescent="0.25">
      <c r="A36" s="108"/>
      <c r="B36" s="109"/>
      <c r="C36" s="109"/>
      <c r="D36" s="109"/>
      <c r="E36" s="109"/>
      <c r="F36" s="109"/>
      <c r="G36" s="173"/>
      <c r="H36" s="174"/>
      <c r="I36" s="173"/>
      <c r="J36" s="174"/>
      <c r="K36" s="173"/>
      <c r="L36" s="174"/>
    </row>
    <row r="37" spans="1:12" x14ac:dyDescent="0.25">
      <c r="A37" s="110" t="s">
        <v>162</v>
      </c>
      <c r="B37" s="96" t="s">
        <v>163</v>
      </c>
      <c r="C37" s="96"/>
      <c r="D37" s="96"/>
      <c r="E37" s="96"/>
      <c r="F37" s="96"/>
      <c r="G37" s="167" t="s">
        <v>154</v>
      </c>
      <c r="H37" s="168"/>
      <c r="I37" s="167" t="s">
        <v>155</v>
      </c>
      <c r="J37" s="168"/>
      <c r="K37" s="167" t="s">
        <v>156</v>
      </c>
      <c r="L37" s="168"/>
    </row>
    <row r="38" spans="1:12" x14ac:dyDescent="0.25">
      <c r="A38" s="102" t="s">
        <v>130</v>
      </c>
      <c r="B38" s="40"/>
      <c r="C38" s="40"/>
      <c r="D38" s="40"/>
      <c r="E38" s="40"/>
      <c r="F38" s="40"/>
      <c r="G38" s="154">
        <f>SUM(Computation!C46:C54)</f>
        <v>0</v>
      </c>
      <c r="H38" s="155"/>
      <c r="I38" s="154">
        <f>+G38</f>
        <v>0</v>
      </c>
      <c r="J38" s="155"/>
      <c r="K38" s="154">
        <f>I38</f>
        <v>0</v>
      </c>
      <c r="L38" s="155"/>
    </row>
    <row r="39" spans="1:12" x14ac:dyDescent="0.25">
      <c r="A39" s="97" t="s">
        <v>164</v>
      </c>
      <c r="B39" s="98"/>
      <c r="C39" s="96"/>
      <c r="D39" s="96"/>
      <c r="E39" s="96"/>
      <c r="F39" s="96"/>
      <c r="G39" s="154"/>
      <c r="H39" s="155"/>
      <c r="I39" s="154"/>
      <c r="J39" s="155"/>
      <c r="K39" s="154">
        <f>SUM(K38:L38)</f>
        <v>0</v>
      </c>
      <c r="L39" s="155"/>
    </row>
    <row r="40" spans="1:12" x14ac:dyDescent="0.25">
      <c r="A40" s="99"/>
      <c r="B40" s="96"/>
      <c r="C40" s="96"/>
      <c r="D40" s="96"/>
      <c r="E40" s="96"/>
      <c r="F40" s="96"/>
      <c r="G40" s="154"/>
      <c r="H40" s="155"/>
      <c r="I40" s="154"/>
      <c r="J40" s="155"/>
      <c r="K40" s="154"/>
      <c r="L40" s="155"/>
    </row>
    <row r="41" spans="1:12" x14ac:dyDescent="0.25">
      <c r="A41" s="100" t="s">
        <v>165</v>
      </c>
      <c r="B41" s="96"/>
      <c r="C41" s="96"/>
      <c r="D41" s="96"/>
      <c r="E41" s="96"/>
      <c r="F41" s="96"/>
      <c r="G41" s="154"/>
      <c r="H41" s="155"/>
      <c r="I41" s="154"/>
      <c r="J41" s="155"/>
      <c r="K41" s="154">
        <f>K28-K34-K39</f>
        <v>680000</v>
      </c>
      <c r="L41" s="155"/>
    </row>
    <row r="42" spans="1:12" x14ac:dyDescent="0.25">
      <c r="A42" s="99"/>
      <c r="B42" s="96"/>
      <c r="C42" s="96"/>
      <c r="D42" s="96"/>
      <c r="E42" s="96"/>
      <c r="F42" s="96"/>
      <c r="G42" s="154"/>
      <c r="H42" s="155"/>
      <c r="I42" s="154"/>
      <c r="J42" s="155"/>
      <c r="K42" s="154"/>
      <c r="L42" s="155"/>
    </row>
    <row r="43" spans="1:12" x14ac:dyDescent="0.25">
      <c r="A43" s="95" t="s">
        <v>166</v>
      </c>
      <c r="B43" s="96"/>
      <c r="C43" s="96"/>
      <c r="D43" s="96"/>
      <c r="E43" s="96"/>
      <c r="F43" s="96"/>
      <c r="G43" s="154"/>
      <c r="H43" s="155"/>
      <c r="I43" s="154"/>
      <c r="J43" s="155"/>
      <c r="K43" s="152">
        <f>FLOOR(CEILING('Salary Statement'!F29,0.5),1)</f>
        <v>48500</v>
      </c>
      <c r="L43" s="153"/>
    </row>
    <row r="44" spans="1:12" x14ac:dyDescent="0.25">
      <c r="A44" s="101" t="s">
        <v>167</v>
      </c>
      <c r="B44" s="96"/>
      <c r="C44" s="96"/>
      <c r="D44" s="96"/>
      <c r="E44" s="96"/>
      <c r="F44" s="96"/>
      <c r="G44" s="154"/>
      <c r="H44" s="155"/>
      <c r="I44" s="154"/>
      <c r="J44" s="155"/>
      <c r="K44" s="154">
        <f>IF(K41&lt;=350000,2500,0)</f>
        <v>0</v>
      </c>
      <c r="L44" s="155"/>
    </row>
    <row r="45" spans="1:12" x14ac:dyDescent="0.25">
      <c r="A45" s="95" t="s">
        <v>168</v>
      </c>
      <c r="B45" s="96"/>
      <c r="C45" s="96"/>
      <c r="D45" s="96"/>
      <c r="E45" s="96"/>
      <c r="F45" s="96"/>
      <c r="G45" s="154"/>
      <c r="H45" s="155"/>
      <c r="I45" s="154"/>
      <c r="J45" s="155"/>
      <c r="K45" s="154">
        <f>IF(K43-K44&lt;0,0,K43-K44)</f>
        <v>48500</v>
      </c>
      <c r="L45" s="155"/>
    </row>
    <row r="46" spans="1:12" x14ac:dyDescent="0.25">
      <c r="A46" s="95" t="s">
        <v>169</v>
      </c>
      <c r="B46" s="96"/>
      <c r="C46" s="96"/>
      <c r="D46" s="96"/>
      <c r="E46" s="96"/>
      <c r="F46" s="96"/>
      <c r="G46" s="154"/>
      <c r="H46" s="155"/>
      <c r="I46" s="154"/>
      <c r="J46" s="155"/>
      <c r="K46" s="154">
        <f>ROUND(K45*0.04,0.1)</f>
        <v>1940</v>
      </c>
      <c r="L46" s="155"/>
    </row>
    <row r="47" spans="1:12" x14ac:dyDescent="0.25">
      <c r="A47" s="95" t="s">
        <v>170</v>
      </c>
      <c r="B47" s="96"/>
      <c r="C47" s="96"/>
      <c r="D47" s="96"/>
      <c r="E47" s="96"/>
      <c r="F47" s="96"/>
      <c r="G47" s="154"/>
      <c r="H47" s="155"/>
      <c r="I47" s="154"/>
      <c r="J47" s="155"/>
      <c r="K47" s="175">
        <f>K45+K46</f>
        <v>50440</v>
      </c>
      <c r="L47" s="176"/>
    </row>
    <row r="48" spans="1:12" x14ac:dyDescent="0.25">
      <c r="A48" s="95" t="s">
        <v>171</v>
      </c>
      <c r="B48" s="96"/>
      <c r="C48" s="96"/>
      <c r="D48" s="96"/>
      <c r="E48" s="96"/>
      <c r="F48" s="96"/>
      <c r="G48" s="154"/>
      <c r="H48" s="155"/>
      <c r="I48" s="154"/>
      <c r="J48" s="155"/>
      <c r="K48" s="154">
        <v>0</v>
      </c>
      <c r="L48" s="155"/>
    </row>
    <row r="49" spans="1:12" x14ac:dyDescent="0.25">
      <c r="A49" s="95" t="s">
        <v>172</v>
      </c>
      <c r="B49" s="96"/>
      <c r="C49" s="96"/>
      <c r="D49" s="96"/>
      <c r="E49" s="96"/>
      <c r="F49" s="96"/>
      <c r="G49" s="154"/>
      <c r="H49" s="155"/>
      <c r="I49" s="154"/>
      <c r="J49" s="155"/>
      <c r="K49" s="175">
        <f>K47-K48</f>
        <v>50440</v>
      </c>
      <c r="L49" s="176"/>
    </row>
    <row r="50" spans="1:12" x14ac:dyDescent="0.25">
      <c r="A50" s="95" t="s">
        <v>173</v>
      </c>
      <c r="B50" s="96"/>
      <c r="C50" s="96"/>
      <c r="D50" s="96"/>
      <c r="E50" s="96"/>
      <c r="F50" s="96"/>
      <c r="G50" s="154"/>
      <c r="H50" s="155"/>
      <c r="I50" s="154"/>
      <c r="J50" s="155"/>
      <c r="K50" s="177"/>
      <c r="L50" s="178"/>
    </row>
    <row r="51" spans="1:12" x14ac:dyDescent="0.25">
      <c r="A51" s="93" t="s">
        <v>174</v>
      </c>
      <c r="B51" s="94"/>
      <c r="C51" s="94"/>
      <c r="D51" s="94"/>
      <c r="E51" s="94"/>
      <c r="F51" s="94"/>
      <c r="G51" s="162"/>
      <c r="H51" s="163"/>
      <c r="I51" s="162"/>
      <c r="J51" s="163"/>
      <c r="K51" s="169">
        <f>K49-K50</f>
        <v>50440</v>
      </c>
      <c r="L51" s="170"/>
    </row>
    <row r="52" spans="1:12" x14ac:dyDescent="0.25">
      <c r="A52" s="183" t="s">
        <v>175</v>
      </c>
      <c r="B52" s="184"/>
      <c r="C52" s="184"/>
      <c r="D52" s="184"/>
      <c r="E52" s="184"/>
      <c r="F52" s="184"/>
      <c r="G52" s="184"/>
      <c r="H52" s="184"/>
      <c r="I52" s="184"/>
      <c r="J52" s="184"/>
      <c r="K52" s="184"/>
      <c r="L52" s="185"/>
    </row>
    <row r="53" spans="1:12" x14ac:dyDescent="0.25">
      <c r="A53" s="186" t="str">
        <f>"I, "&amp;'Master Data'!B18&amp;" son/daughter of "&amp;'Master Data'!B19&amp;" working in the capacity of "&amp;'Master Data'!B20&amp;" (designation) do hereby certify that the information given above is true, complete and correct and is based on the books of accounts, documents, TDS statements, and other available records."</f>
        <v>I, XXX son/daughter of XXXX working in the capacity of DIRECTOR (designation) do hereby certify that the information given above is true, complete and correct and is based on the books of accounts, documents, TDS statements, and other available records.</v>
      </c>
      <c r="B53" s="187"/>
      <c r="C53" s="187"/>
      <c r="D53" s="187"/>
      <c r="E53" s="187"/>
      <c r="F53" s="187"/>
      <c r="G53" s="187"/>
      <c r="H53" s="187"/>
      <c r="I53" s="187"/>
      <c r="J53" s="187"/>
      <c r="K53" s="187"/>
      <c r="L53" s="188"/>
    </row>
    <row r="54" spans="1:12" x14ac:dyDescent="0.25">
      <c r="A54" s="189"/>
      <c r="B54" s="190"/>
      <c r="C54" s="190"/>
      <c r="D54" s="190"/>
      <c r="E54" s="190"/>
      <c r="F54" s="190"/>
      <c r="G54" s="190"/>
      <c r="H54" s="190"/>
      <c r="I54" s="190"/>
      <c r="J54" s="190"/>
      <c r="K54" s="190"/>
      <c r="L54" s="191"/>
    </row>
    <row r="55" spans="1:12" x14ac:dyDescent="0.25">
      <c r="A55" s="192"/>
      <c r="B55" s="193"/>
      <c r="C55" s="193"/>
      <c r="D55" s="193"/>
      <c r="E55" s="193"/>
      <c r="F55" s="193"/>
      <c r="G55" s="193"/>
      <c r="H55" s="193"/>
      <c r="I55" s="193"/>
      <c r="J55" s="193"/>
      <c r="K55" s="193"/>
      <c r="L55" s="194"/>
    </row>
    <row r="56" spans="1:12" x14ac:dyDescent="0.25">
      <c r="A56" s="179" t="s">
        <v>176</v>
      </c>
      <c r="B56" s="179"/>
      <c r="C56" s="156" t="str">
        <f>'Master Data'!B21</f>
        <v>Trivandrum</v>
      </c>
      <c r="D56" s="156"/>
      <c r="E56" s="156"/>
      <c r="F56" s="156"/>
      <c r="G56" s="156" t="s">
        <v>177</v>
      </c>
      <c r="H56" s="156"/>
      <c r="I56" s="156"/>
      <c r="J56" s="156"/>
      <c r="K56" s="156"/>
      <c r="L56" s="156"/>
    </row>
    <row r="57" spans="1:12" x14ac:dyDescent="0.25">
      <c r="A57" s="179" t="s">
        <v>178</v>
      </c>
      <c r="B57" s="179"/>
      <c r="C57" s="195">
        <f>'Master Data'!B22</f>
        <v>43646</v>
      </c>
      <c r="D57" s="156"/>
      <c r="E57" s="156"/>
      <c r="F57" s="156"/>
      <c r="G57" s="156"/>
      <c r="H57" s="156"/>
      <c r="I57" s="156"/>
      <c r="J57" s="156"/>
      <c r="K57" s="156"/>
      <c r="L57" s="156"/>
    </row>
    <row r="58" spans="1:12" x14ac:dyDescent="0.25">
      <c r="A58" s="179" t="s">
        <v>179</v>
      </c>
      <c r="B58" s="179"/>
      <c r="C58" s="156" t="str">
        <f>'Master Data'!B20</f>
        <v>DIRECTOR</v>
      </c>
      <c r="D58" s="156"/>
      <c r="E58" s="156"/>
      <c r="F58" s="156"/>
      <c r="G58" s="180" t="str">
        <f>"Full Name: "&amp;'Master Data'!B18&amp;""</f>
        <v>Full Name: XXX</v>
      </c>
      <c r="H58" s="181"/>
      <c r="I58" s="181"/>
      <c r="J58" s="181"/>
      <c r="K58" s="181"/>
      <c r="L58" s="182"/>
    </row>
  </sheetData>
  <sheetProtection password="9B0D" sheet="1" objects="1" scenarios="1" selectLockedCells="1"/>
  <mergeCells count="160">
    <mergeCell ref="A58:B58"/>
    <mergeCell ref="C58:F58"/>
    <mergeCell ref="G58:L58"/>
    <mergeCell ref="A52:L52"/>
    <mergeCell ref="A53:L55"/>
    <mergeCell ref="A56:B56"/>
    <mergeCell ref="C56:F56"/>
    <mergeCell ref="G56:L57"/>
    <mergeCell ref="A57:B57"/>
    <mergeCell ref="C57:F57"/>
    <mergeCell ref="G50:H50"/>
    <mergeCell ref="I50:J50"/>
    <mergeCell ref="K50:L50"/>
    <mergeCell ref="G51:H51"/>
    <mergeCell ref="I51:J51"/>
    <mergeCell ref="K51:L51"/>
    <mergeCell ref="G48:H48"/>
    <mergeCell ref="I48:J48"/>
    <mergeCell ref="K48:L48"/>
    <mergeCell ref="G49:H49"/>
    <mergeCell ref="I49:J49"/>
    <mergeCell ref="K49:L49"/>
    <mergeCell ref="G46:H46"/>
    <mergeCell ref="I46:J46"/>
    <mergeCell ref="K46:L46"/>
    <mergeCell ref="G47:H47"/>
    <mergeCell ref="I47:J47"/>
    <mergeCell ref="K47:L47"/>
    <mergeCell ref="G44:H44"/>
    <mergeCell ref="I44:J44"/>
    <mergeCell ref="K44:L44"/>
    <mergeCell ref="G45:H45"/>
    <mergeCell ref="I45:J45"/>
    <mergeCell ref="K45:L45"/>
    <mergeCell ref="G42:H42"/>
    <mergeCell ref="I42:J42"/>
    <mergeCell ref="K42:L42"/>
    <mergeCell ref="G43:H43"/>
    <mergeCell ref="I43:J43"/>
    <mergeCell ref="K43:L43"/>
    <mergeCell ref="G40:H40"/>
    <mergeCell ref="I40:J40"/>
    <mergeCell ref="K40:L40"/>
    <mergeCell ref="G41:H41"/>
    <mergeCell ref="I41:J41"/>
    <mergeCell ref="K41:L41"/>
    <mergeCell ref="G38:H38"/>
    <mergeCell ref="I38:J38"/>
    <mergeCell ref="K38:L38"/>
    <mergeCell ref="G39:H39"/>
    <mergeCell ref="I39:J39"/>
    <mergeCell ref="K39:L39"/>
    <mergeCell ref="G36:H36"/>
    <mergeCell ref="I36:J36"/>
    <mergeCell ref="K36:L36"/>
    <mergeCell ref="G37:H37"/>
    <mergeCell ref="I37:J37"/>
    <mergeCell ref="K37:L37"/>
    <mergeCell ref="G34:H34"/>
    <mergeCell ref="I34:J34"/>
    <mergeCell ref="K34:L34"/>
    <mergeCell ref="G35:H35"/>
    <mergeCell ref="I35:J35"/>
    <mergeCell ref="K35:L35"/>
    <mergeCell ref="G32:H32"/>
    <mergeCell ref="I32:J32"/>
    <mergeCell ref="K32:L32"/>
    <mergeCell ref="G33:H33"/>
    <mergeCell ref="I33:J33"/>
    <mergeCell ref="K33:L33"/>
    <mergeCell ref="E30:F30"/>
    <mergeCell ref="G30:H30"/>
    <mergeCell ref="I30:J30"/>
    <mergeCell ref="K30:L30"/>
    <mergeCell ref="G31:H31"/>
    <mergeCell ref="I31:J31"/>
    <mergeCell ref="K31:L31"/>
    <mergeCell ref="G28:H28"/>
    <mergeCell ref="I28:J28"/>
    <mergeCell ref="K28:L28"/>
    <mergeCell ref="G29:H29"/>
    <mergeCell ref="I29:J29"/>
    <mergeCell ref="K29:L29"/>
    <mergeCell ref="G26:H26"/>
    <mergeCell ref="I26:J26"/>
    <mergeCell ref="K26:L26"/>
    <mergeCell ref="G27:H27"/>
    <mergeCell ref="I27:J27"/>
    <mergeCell ref="K27:L27"/>
    <mergeCell ref="G24:H24"/>
    <mergeCell ref="I24:J24"/>
    <mergeCell ref="K24:L24"/>
    <mergeCell ref="G25:H25"/>
    <mergeCell ref="I25:J25"/>
    <mergeCell ref="K25:L25"/>
    <mergeCell ref="G22:H22"/>
    <mergeCell ref="I22:J22"/>
    <mergeCell ref="K22:L22"/>
    <mergeCell ref="G23:H23"/>
    <mergeCell ref="I23:J23"/>
    <mergeCell ref="K23:L23"/>
    <mergeCell ref="G20:H20"/>
    <mergeCell ref="I20:J20"/>
    <mergeCell ref="K20:L20"/>
    <mergeCell ref="G21:H21"/>
    <mergeCell ref="I21:J21"/>
    <mergeCell ref="K21:L21"/>
    <mergeCell ref="G18:H18"/>
    <mergeCell ref="I18:J18"/>
    <mergeCell ref="K18:L18"/>
    <mergeCell ref="G19:H19"/>
    <mergeCell ref="I19:J19"/>
    <mergeCell ref="K19:L19"/>
    <mergeCell ref="G16:H16"/>
    <mergeCell ref="I16:J16"/>
    <mergeCell ref="K16:L16"/>
    <mergeCell ref="G17:H17"/>
    <mergeCell ref="I17:J17"/>
    <mergeCell ref="K17:L17"/>
    <mergeCell ref="G14:H14"/>
    <mergeCell ref="I14:J14"/>
    <mergeCell ref="K14:L14"/>
    <mergeCell ref="G15:H15"/>
    <mergeCell ref="I15:J15"/>
    <mergeCell ref="K15:L15"/>
    <mergeCell ref="G12:H12"/>
    <mergeCell ref="I12:J12"/>
    <mergeCell ref="K12:L12"/>
    <mergeCell ref="G13:H13"/>
    <mergeCell ref="I13:J13"/>
    <mergeCell ref="K13:L13"/>
    <mergeCell ref="G10:H10"/>
    <mergeCell ref="I10:J10"/>
    <mergeCell ref="K10:L10"/>
    <mergeCell ref="G11:H11"/>
    <mergeCell ref="I11:J11"/>
    <mergeCell ref="K11:L11"/>
    <mergeCell ref="A7:D7"/>
    <mergeCell ref="E7:H7"/>
    <mergeCell ref="I7:L7"/>
    <mergeCell ref="A8:L8"/>
    <mergeCell ref="G9:H9"/>
    <mergeCell ref="I9:J9"/>
    <mergeCell ref="K9:L9"/>
    <mergeCell ref="A5:C5"/>
    <mergeCell ref="D5:F5"/>
    <mergeCell ref="G5:I5"/>
    <mergeCell ref="J5:L5"/>
    <mergeCell ref="A6:D6"/>
    <mergeCell ref="E6:H6"/>
    <mergeCell ref="I6:L6"/>
    <mergeCell ref="A1:L1"/>
    <mergeCell ref="A2:F2"/>
    <mergeCell ref="G2:L2"/>
    <mergeCell ref="A3:F3"/>
    <mergeCell ref="G3:L3"/>
    <mergeCell ref="A4:C4"/>
    <mergeCell ref="D4:F4"/>
    <mergeCell ref="G4:I4"/>
    <mergeCell ref="J4:L4"/>
  </mergeCells>
  <pageMargins left="0.43307086614173229" right="0.15748031496062992" top="0.33" bottom="0.43307086614173229"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Master Data</vt:lpstr>
      <vt:lpstr>Salary Statement</vt:lpstr>
      <vt:lpstr>Computation</vt:lpstr>
      <vt:lpstr>FORM 16B</vt:lpstr>
      <vt:lpstr>Computation!Print_Area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2019-01-29T09:36:35Z</dcterms:modified>
</cp:coreProperties>
</file>