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75" windowWidth="20115" windowHeight="8505"/>
  </bookViews>
  <sheets>
    <sheet name="Income Tax Calculator" sheetId="6" r:id="rId1"/>
  </sheets>
  <calcPr calcId="125725"/>
</workbook>
</file>

<file path=xl/calcChain.xml><?xml version="1.0" encoding="utf-8"?>
<calcChain xmlns="http://schemas.openxmlformats.org/spreadsheetml/2006/main">
  <c r="Y13" i="6"/>
  <c r="U7" l="1"/>
  <c r="W7" s="1"/>
  <c r="AB7" s="1"/>
  <c r="U8"/>
  <c r="W8" s="1"/>
  <c r="AB8" s="1"/>
  <c r="U10"/>
  <c r="W10" s="1"/>
  <c r="AB10" s="1"/>
  <c r="U11"/>
  <c r="W11" s="1"/>
  <c r="AB11" s="1"/>
  <c r="U12"/>
  <c r="W12" s="1"/>
  <c r="AB12" s="1"/>
  <c r="U14"/>
  <c r="W14" s="1"/>
  <c r="AB14" s="1"/>
  <c r="U15"/>
  <c r="W15" s="1"/>
  <c r="AB15" s="1"/>
  <c r="U16"/>
  <c r="W16" s="1"/>
  <c r="AB16" s="1"/>
  <c r="U18"/>
  <c r="W18" s="1"/>
  <c r="AB18" s="1"/>
  <c r="U19"/>
  <c r="W19" s="1"/>
  <c r="AB19" s="1"/>
  <c r="U20"/>
  <c r="W20" s="1"/>
  <c r="AB20" s="1"/>
  <c r="U6"/>
  <c r="W6" s="1"/>
  <c r="AB6" s="1"/>
  <c r="D6" l="1"/>
  <c r="Z18" l="1"/>
  <c r="Z15"/>
  <c r="Z10"/>
  <c r="Z11"/>
  <c r="Z25"/>
  <c r="Z20"/>
  <c r="Z23"/>
  <c r="Z6"/>
  <c r="Z16"/>
  <c r="Z8"/>
  <c r="Z24"/>
  <c r="Z19"/>
  <c r="Z14"/>
  <c r="Z12"/>
  <c r="D8"/>
  <c r="Z7"/>
  <c r="P6" l="1"/>
  <c r="X12"/>
  <c r="X15"/>
  <c r="X16"/>
  <c r="X11"/>
  <c r="P7" l="1"/>
  <c r="Q7" s="1"/>
  <c r="P24"/>
  <c r="P25"/>
  <c r="P23"/>
  <c r="P19"/>
  <c r="Q19" s="1"/>
  <c r="P20"/>
  <c r="P18"/>
  <c r="P16"/>
  <c r="P15"/>
  <c r="P14"/>
  <c r="P11"/>
  <c r="P12"/>
  <c r="P10"/>
  <c r="P8"/>
  <c r="AC19" l="1"/>
  <c r="R7"/>
  <c r="AC7"/>
  <c r="R19"/>
  <c r="S19" s="1"/>
  <c r="T19" s="1"/>
  <c r="Q11"/>
  <c r="Q25"/>
  <c r="Q12"/>
  <c r="Q16"/>
  <c r="Q23"/>
  <c r="Q15"/>
  <c r="Q8"/>
  <c r="AC8" s="1"/>
  <c r="Q20"/>
  <c r="Q24"/>
  <c r="S7"/>
  <c r="T7" s="1"/>
  <c r="Q10"/>
  <c r="AC10" s="1"/>
  <c r="Q14"/>
  <c r="AC14" s="1"/>
  <c r="Q18"/>
  <c r="Q6"/>
  <c r="AC6" s="1"/>
  <c r="AC20" l="1"/>
  <c r="AC18"/>
  <c r="Y19"/>
  <c r="AC15"/>
  <c r="AC12"/>
  <c r="AC16"/>
  <c r="AC11"/>
  <c r="R6"/>
  <c r="R10"/>
  <c r="S10" s="1"/>
  <c r="T10" s="1"/>
  <c r="R15"/>
  <c r="S15" s="1"/>
  <c r="T15" s="1"/>
  <c r="R14"/>
  <c r="S14" s="1"/>
  <c r="T14" s="1"/>
  <c r="R16"/>
  <c r="S16" s="1"/>
  <c r="T16" s="1"/>
  <c r="R20"/>
  <c r="R18"/>
  <c r="S18" s="1"/>
  <c r="T18" s="1"/>
  <c r="R24"/>
  <c r="S24" s="1"/>
  <c r="T24" s="1"/>
  <c r="R11"/>
  <c r="R25"/>
  <c r="S25" s="1"/>
  <c r="T25" s="1"/>
  <c r="R23"/>
  <c r="S23" s="1"/>
  <c r="T23" s="1"/>
  <c r="R8"/>
  <c r="S8" s="1"/>
  <c r="T8" s="1"/>
  <c r="R12"/>
  <c r="S12" s="1"/>
  <c r="T12" s="1"/>
  <c r="Y18" l="1"/>
  <c r="Y23"/>
  <c r="Y16"/>
  <c r="Y15"/>
  <c r="Y12"/>
  <c r="S11"/>
  <c r="T11" s="1"/>
  <c r="Y11" s="1"/>
  <c r="S20"/>
  <c r="T20" s="1"/>
  <c r="Y20" s="1"/>
  <c r="Y25"/>
  <c r="Y24"/>
  <c r="S6"/>
  <c r="T6" s="1"/>
  <c r="H11"/>
  <c r="H12" s="1"/>
  <c r="D9" l="1"/>
  <c r="D10"/>
  <c r="D14"/>
  <c r="X14"/>
  <c r="Y14" s="1"/>
  <c r="D11"/>
  <c r="X10" l="1"/>
  <c r="Y10" s="1"/>
  <c r="X6"/>
  <c r="Y6" s="1"/>
  <c r="X7"/>
  <c r="Y7" s="1"/>
  <c r="X8"/>
  <c r="Y8" s="1"/>
  <c r="D15" l="1"/>
  <c r="D12"/>
  <c r="D13" s="1"/>
  <c r="D16" l="1"/>
</calcChain>
</file>

<file path=xl/sharedStrings.xml><?xml version="1.0" encoding="utf-8"?>
<sst xmlns="http://schemas.openxmlformats.org/spreadsheetml/2006/main" count="80" uniqueCount="44">
  <si>
    <t>Control</t>
  </si>
  <si>
    <t>Assessee</t>
  </si>
  <si>
    <t>FY</t>
  </si>
  <si>
    <t>AY</t>
  </si>
  <si>
    <t>Surcharge</t>
  </si>
  <si>
    <t>Surcharge Rate</t>
  </si>
  <si>
    <t>Individual below 60 Years of age</t>
  </si>
  <si>
    <t>2017-18</t>
  </si>
  <si>
    <t>2018-19</t>
  </si>
  <si>
    <t>Tax on Normal Rate</t>
  </si>
  <si>
    <t>2016-17</t>
  </si>
  <si>
    <t>2019-20</t>
  </si>
  <si>
    <t>Income Taxable @ Normal Rate</t>
  </si>
  <si>
    <t>Tax Payable on Taxable Income</t>
  </si>
  <si>
    <t>Less: Deducation U/s 87A</t>
  </si>
  <si>
    <t>Tax Payable After Rebate</t>
  </si>
  <si>
    <t>ADD: Cess</t>
  </si>
  <si>
    <t>Total Tax Payable</t>
  </si>
  <si>
    <t>Cess</t>
  </si>
  <si>
    <t>Deducation U/87A</t>
  </si>
  <si>
    <t>Individual above 60 Years of age but below 80 years</t>
  </si>
  <si>
    <t>Individual above  80 years</t>
  </si>
  <si>
    <t>Huf</t>
  </si>
  <si>
    <t>huf</t>
  </si>
  <si>
    <t>Firm</t>
  </si>
  <si>
    <t>Gross Total Income</t>
  </si>
  <si>
    <t xml:space="preserve">Less: Deduction Under Chapter VIA </t>
  </si>
  <si>
    <t>Total Income</t>
  </si>
  <si>
    <t>Add: Net Agriculture Income</t>
  </si>
  <si>
    <t>Aggregated Total Income</t>
  </si>
  <si>
    <t>Agri Income</t>
  </si>
  <si>
    <t>Basic Exemption</t>
  </si>
  <si>
    <t>Agri + Basic Exemption</t>
  </si>
  <si>
    <t>Less Deduction Under Section 10 (1)</t>
  </si>
  <si>
    <t>Marginal Relief</t>
  </si>
  <si>
    <t>Net Marginal Relief</t>
  </si>
  <si>
    <t>Less: Marginal Relief for Surcharge</t>
  </si>
  <si>
    <t>Less : Under section 10(1)</t>
  </si>
  <si>
    <t>Three Years Income Tax Calculator With Agriculture Income</t>
  </si>
  <si>
    <t>Click  below Images to Visit our Social Media Websites</t>
  </si>
  <si>
    <t>Mobile:9442744478</t>
  </si>
  <si>
    <t>E Mail:goodwilllearningworld@gmail.com</t>
  </si>
  <si>
    <t>Prepared by: Goodwill Learning World</t>
  </si>
  <si>
    <t>Enter Value  in Yellow Cells Only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</si>
</sst>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2"/>
      <color theme="5" tint="-0.499984740745262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color theme="5" tint="-0.49998474074526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43" fontId="3" fillId="3" borderId="1" xfId="1" applyFont="1" applyFill="1" applyBorder="1" applyAlignment="1" applyProtection="1">
      <alignment horizontal="left" vertical="center"/>
      <protection locked="0"/>
    </xf>
    <xf numFmtId="9" fontId="8" fillId="4" borderId="6" xfId="0" applyNumberFormat="1" applyFont="1" applyFill="1" applyBorder="1" applyAlignment="1" applyProtection="1">
      <alignment horizontal="center" vertical="center"/>
      <protection locked="0"/>
    </xf>
    <xf numFmtId="9" fontId="8" fillId="4" borderId="7" xfId="0" applyNumberFormat="1" applyFont="1" applyFill="1" applyBorder="1" applyAlignment="1" applyProtection="1">
      <alignment horizontal="center" vertical="center"/>
      <protection locked="0"/>
    </xf>
    <xf numFmtId="9" fontId="8" fillId="4" borderId="8" xfId="0" applyNumberFormat="1" applyFont="1" applyFill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43" fontId="3" fillId="0" borderId="0" xfId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43" fontId="3" fillId="0" borderId="0" xfId="0" applyNumberFormat="1" applyFont="1" applyFill="1" applyBorder="1" applyAlignment="1" applyProtection="1">
      <alignment vertical="center"/>
      <protection locked="0"/>
    </xf>
    <xf numFmtId="43" fontId="3" fillId="0" borderId="0" xfId="0" applyNumberFormat="1" applyFont="1" applyAlignment="1" applyProtection="1">
      <alignment vertical="center"/>
      <protection locked="0"/>
    </xf>
    <xf numFmtId="43" fontId="3" fillId="0" borderId="0" xfId="0" applyNumberFormat="1" applyFont="1" applyFill="1" applyAlignment="1" applyProtection="1">
      <alignment vertical="center"/>
      <protection locked="0"/>
    </xf>
    <xf numFmtId="43" fontId="3" fillId="0" borderId="0" xfId="1" applyFont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43" fontId="3" fillId="0" borderId="0" xfId="1" applyFont="1" applyFill="1" applyAlignment="1" applyProtection="1">
      <alignment vertical="center"/>
      <protection locked="0"/>
    </xf>
    <xf numFmtId="164" fontId="5" fillId="0" borderId="0" xfId="1" applyNumberFormat="1" applyFont="1" applyFill="1" applyBorder="1" applyAlignment="1" applyProtection="1">
      <alignment vertical="center"/>
      <protection locked="0"/>
    </xf>
    <xf numFmtId="43" fontId="3" fillId="2" borderId="1" xfId="1" applyFont="1" applyFill="1" applyBorder="1" applyAlignment="1" applyProtection="1">
      <alignment horizontal="left" vertical="center"/>
    </xf>
    <xf numFmtId="43" fontId="3" fillId="2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43" fontId="3" fillId="0" borderId="0" xfId="1" applyFont="1" applyFill="1" applyAlignment="1" applyProtection="1">
      <alignment vertical="center"/>
    </xf>
    <xf numFmtId="43" fontId="3" fillId="0" borderId="0" xfId="0" applyNumberFormat="1" applyFont="1" applyFill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left" vertical="center"/>
    </xf>
    <xf numFmtId="0" fontId="8" fillId="4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43" fontId="6" fillId="4" borderId="12" xfId="1" applyFont="1" applyFill="1" applyBorder="1" applyAlignment="1" applyProtection="1">
      <alignment horizontal="center" vertical="center"/>
    </xf>
    <xf numFmtId="43" fontId="6" fillId="4" borderId="4" xfId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vertical="center"/>
    </xf>
    <xf numFmtId="0" fontId="3" fillId="2" borderId="3" xfId="0" applyFont="1" applyFill="1" applyBorder="1" applyAlignment="1" applyProtection="1">
      <alignment vertical="center"/>
    </xf>
    <xf numFmtId="43" fontId="3" fillId="0" borderId="0" xfId="1" applyFont="1" applyFill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goodwill.learning.94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youtube.com/c/GoodwillLearningWorld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plus.google.com/103908866242705266082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419100</xdr:colOff>
      <xdr:row>4</xdr:row>
      <xdr:rowOff>142875</xdr:rowOff>
    </xdr:from>
    <xdr:to>
      <xdr:col>30</xdr:col>
      <xdr:colOff>171450</xdr:colOff>
      <xdr:row>5</xdr:row>
      <xdr:rowOff>219075</xdr:rowOff>
    </xdr:to>
    <xdr:pic>
      <xdr:nvPicPr>
        <xdr:cNvPr id="4" name="Picture 6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15175" y="1781175"/>
          <a:ext cx="390525" cy="390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495300</xdr:colOff>
      <xdr:row>4</xdr:row>
      <xdr:rowOff>142875</xdr:rowOff>
    </xdr:from>
    <xdr:to>
      <xdr:col>31</xdr:col>
      <xdr:colOff>257175</xdr:colOff>
      <xdr:row>5</xdr:row>
      <xdr:rowOff>228600</xdr:rowOff>
    </xdr:to>
    <xdr:pic>
      <xdr:nvPicPr>
        <xdr:cNvPr id="5" name="Picture 63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34300" y="1781175"/>
          <a:ext cx="400050" cy="400050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38100</xdr:colOff>
      <xdr:row>4</xdr:row>
      <xdr:rowOff>142875</xdr:rowOff>
    </xdr:from>
    <xdr:to>
      <xdr:col>32</xdr:col>
      <xdr:colOff>419100</xdr:colOff>
      <xdr:row>5</xdr:row>
      <xdr:rowOff>219075</xdr:rowOff>
    </xdr:to>
    <xdr:pic>
      <xdr:nvPicPr>
        <xdr:cNvPr id="6" name="Picture 6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362950" y="1781175"/>
          <a:ext cx="381000" cy="390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AS25"/>
  <sheetViews>
    <sheetView tabSelected="1" workbookViewId="0">
      <selection activeCell="D7" sqref="D7"/>
    </sheetView>
  </sheetViews>
  <sheetFormatPr defaultColWidth="0" defaultRowHeight="18.75" zeroHeight="1"/>
  <cols>
    <col min="1" max="1" width="5.85546875" style="10" customWidth="1"/>
    <col min="2" max="2" width="36.5703125" style="10" customWidth="1"/>
    <col min="3" max="3" width="8.5703125" style="17" customWidth="1"/>
    <col min="4" max="4" width="33.140625" style="10" customWidth="1"/>
    <col min="5" max="5" width="4.5703125" style="9" customWidth="1"/>
    <col min="6" max="6" width="36.85546875" style="10" customWidth="1"/>
    <col min="7" max="7" width="6.7109375" style="9" customWidth="1"/>
    <col min="8" max="8" width="7.28515625" style="18" hidden="1" customWidth="1"/>
    <col min="9" max="11" width="9.140625" style="9" hidden="1" customWidth="1"/>
    <col min="12" max="12" width="10.5703125" style="9" hidden="1" customWidth="1"/>
    <col min="13" max="13" width="40.28515625" style="9" hidden="1" customWidth="1"/>
    <col min="14" max="14" width="10.85546875" style="9" hidden="1" customWidth="1"/>
    <col min="15" max="15" width="13.140625" style="9" hidden="1" customWidth="1"/>
    <col min="16" max="16" width="18.85546875" style="9" hidden="1" customWidth="1"/>
    <col min="17" max="17" width="27.7109375" style="9" hidden="1" customWidth="1"/>
    <col min="18" max="21" width="18.7109375" style="9" hidden="1" customWidth="1"/>
    <col min="22" max="22" width="21.28515625" style="9" hidden="1" customWidth="1"/>
    <col min="23" max="23" width="27.28515625" style="9" hidden="1" customWidth="1"/>
    <col min="24" max="24" width="18.7109375" style="9" hidden="1" customWidth="1"/>
    <col min="25" max="25" width="17.42578125" style="9" hidden="1" customWidth="1"/>
    <col min="26" max="26" width="19.140625" style="9" hidden="1" customWidth="1"/>
    <col min="27" max="27" width="9.140625" style="9" hidden="1" customWidth="1"/>
    <col min="28" max="28" width="17.42578125" style="19" hidden="1" customWidth="1"/>
    <col min="29" max="29" width="14.5703125" style="9" hidden="1" customWidth="1"/>
    <col min="30" max="34" width="9.5703125" style="9" customWidth="1"/>
    <col min="35" max="35" width="6.140625" style="9" customWidth="1"/>
    <col min="36" max="39" width="9.140625" style="9" hidden="1" customWidth="1"/>
    <col min="40" max="45" width="0" style="9" hidden="1" customWidth="1"/>
    <col min="46" max="16384" width="9.140625" style="10" hidden="1"/>
  </cols>
  <sheetData>
    <row r="1" spans="1:34"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38" t="s">
        <v>37</v>
      </c>
      <c r="AC1" s="24"/>
    </row>
    <row r="2" spans="1:34" ht="27.75" customHeight="1">
      <c r="B2" s="30" t="s">
        <v>38</v>
      </c>
      <c r="C2" s="30"/>
      <c r="D2" s="30"/>
      <c r="E2" s="11"/>
      <c r="I2" s="24"/>
      <c r="J2" s="24"/>
      <c r="K2" s="24"/>
      <c r="L2" s="24" t="s">
        <v>0</v>
      </c>
      <c r="M2" s="24" t="s">
        <v>1</v>
      </c>
      <c r="N2" s="24" t="s">
        <v>2</v>
      </c>
      <c r="O2" s="24" t="s">
        <v>3</v>
      </c>
      <c r="P2" s="24" t="s">
        <v>12</v>
      </c>
      <c r="Q2" s="23" t="s">
        <v>9</v>
      </c>
      <c r="R2" s="24" t="s">
        <v>4</v>
      </c>
      <c r="S2" s="24" t="s">
        <v>34</v>
      </c>
      <c r="T2" s="24" t="s">
        <v>35</v>
      </c>
      <c r="U2" s="23" t="s">
        <v>30</v>
      </c>
      <c r="V2" s="23" t="s">
        <v>31</v>
      </c>
      <c r="W2" s="24" t="s">
        <v>32</v>
      </c>
      <c r="X2" s="24" t="s">
        <v>19</v>
      </c>
      <c r="Y2" s="23" t="s">
        <v>18</v>
      </c>
      <c r="Z2" s="24" t="s">
        <v>5</v>
      </c>
      <c r="AA2" s="24"/>
      <c r="AB2" s="38"/>
      <c r="AC2" s="24"/>
      <c r="AD2" s="31" t="s">
        <v>43</v>
      </c>
      <c r="AE2" s="31"/>
      <c r="AF2" s="31"/>
      <c r="AG2" s="31"/>
      <c r="AH2" s="31"/>
    </row>
    <row r="3" spans="1:34" ht="24.95" customHeight="1">
      <c r="H3" s="18">
        <v>4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5"/>
      <c r="AC3" s="24"/>
      <c r="AD3" s="32" t="s">
        <v>39</v>
      </c>
      <c r="AE3" s="32"/>
      <c r="AF3" s="32"/>
      <c r="AG3" s="32"/>
      <c r="AH3" s="32"/>
    </row>
    <row r="4" spans="1:34" ht="24.95" customHeight="1">
      <c r="B4" s="28" t="s">
        <v>25</v>
      </c>
      <c r="C4" s="28"/>
      <c r="D4" s="1">
        <v>5100000</v>
      </c>
      <c r="E4" s="8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5"/>
      <c r="AC4" s="24"/>
      <c r="AD4" s="33"/>
      <c r="AE4" s="33"/>
      <c r="AF4" s="33"/>
      <c r="AG4" s="33"/>
      <c r="AH4" s="33"/>
    </row>
    <row r="5" spans="1:34" ht="24.95" customHeight="1">
      <c r="B5" s="28" t="s">
        <v>26</v>
      </c>
      <c r="C5" s="28"/>
      <c r="D5" s="1"/>
      <c r="E5" s="8"/>
      <c r="F5" s="12"/>
      <c r="G5" s="13"/>
      <c r="I5" s="24"/>
      <c r="J5" s="24"/>
      <c r="K5" s="24"/>
      <c r="L5" s="24"/>
      <c r="M5" s="24"/>
      <c r="N5" s="24"/>
      <c r="O5" s="24"/>
      <c r="P5" s="24"/>
      <c r="Q5" s="24"/>
      <c r="R5" s="24"/>
      <c r="S5" s="26"/>
      <c r="T5" s="26"/>
      <c r="U5" s="26"/>
      <c r="V5" s="26"/>
      <c r="W5" s="26"/>
      <c r="X5" s="24"/>
      <c r="Y5" s="24"/>
      <c r="Z5" s="24"/>
      <c r="AA5" s="24"/>
      <c r="AB5" s="25"/>
      <c r="AC5" s="24"/>
      <c r="AD5" s="2"/>
      <c r="AE5" s="3"/>
      <c r="AF5" s="3"/>
      <c r="AG5" s="3"/>
      <c r="AH5" s="4"/>
    </row>
    <row r="6" spans="1:34" ht="24.95" customHeight="1">
      <c r="B6" s="28" t="s">
        <v>27</v>
      </c>
      <c r="C6" s="28"/>
      <c r="D6" s="21">
        <f>D4-D5</f>
        <v>5100000</v>
      </c>
      <c r="E6" s="8"/>
      <c r="I6" s="24">
        <v>0.05</v>
      </c>
      <c r="J6" s="24"/>
      <c r="K6" s="24"/>
      <c r="L6" s="24">
        <v>11</v>
      </c>
      <c r="M6" s="24" t="s">
        <v>6</v>
      </c>
      <c r="N6" s="24" t="s">
        <v>10</v>
      </c>
      <c r="O6" s="24" t="s">
        <v>7</v>
      </c>
      <c r="P6" s="26">
        <f>ROUND($D$8,-1)</f>
        <v>5100000</v>
      </c>
      <c r="Q6" s="26">
        <f>ROUND(IF(P6&lt;250001,"0",IF(P6&lt;500001,(P6-250000)*0.1,IF(P6&lt;1000000,(P6-500000)*0.2+25000,(P6-1000000)*0.3+125000))),0)</f>
        <v>1355000</v>
      </c>
      <c r="R6" s="26">
        <f>Q6*Z6</f>
        <v>0</v>
      </c>
      <c r="S6" s="26">
        <f>R6-(IF($D$8&gt;10000000,($D$8-10000000)))</f>
        <v>0</v>
      </c>
      <c r="T6" s="26">
        <f>IF(S6&gt;0,S6,0)</f>
        <v>0</v>
      </c>
      <c r="U6" s="26">
        <f>$D$7</f>
        <v>0</v>
      </c>
      <c r="V6" s="26">
        <v>250000</v>
      </c>
      <c r="W6" s="26">
        <f>U6+V6</f>
        <v>250000</v>
      </c>
      <c r="X6" s="27">
        <f>IF(D8&gt;500000,0,MIN(D9,5000))</f>
        <v>0</v>
      </c>
      <c r="Y6" s="26">
        <f>(Q6+R6-T6-X6-AC6)*3%</f>
        <v>40650</v>
      </c>
      <c r="Z6" s="24">
        <f>IF($D$6&gt;10000000,0.15,0)</f>
        <v>0</v>
      </c>
      <c r="AA6" s="24"/>
      <c r="AB6" s="25">
        <f>ROUND(IF(W6&lt;250001,"0",IF(W6&lt;500001,(W6-250000)*0.1,IF(W6&lt;1000000,(W6-500000)*0.2+25000,(W6-1000000)*0.3+125000))),0)</f>
        <v>0</v>
      </c>
      <c r="AC6" s="26">
        <f>MIN(Q6,AB6)</f>
        <v>0</v>
      </c>
      <c r="AD6" s="5"/>
      <c r="AE6" s="6"/>
      <c r="AF6" s="6"/>
      <c r="AG6" s="6"/>
      <c r="AH6" s="7"/>
    </row>
    <row r="7" spans="1:34" ht="24.95" customHeight="1">
      <c r="B7" s="28" t="s">
        <v>28</v>
      </c>
      <c r="C7" s="28"/>
      <c r="D7" s="1"/>
      <c r="E7" s="8"/>
      <c r="I7" s="24">
        <v>0.1</v>
      </c>
      <c r="J7" s="24"/>
      <c r="K7" s="24"/>
      <c r="L7" s="24">
        <v>12</v>
      </c>
      <c r="M7" s="24" t="s">
        <v>6</v>
      </c>
      <c r="N7" s="24" t="s">
        <v>7</v>
      </c>
      <c r="O7" s="24" t="s">
        <v>8</v>
      </c>
      <c r="P7" s="26">
        <f t="shared" ref="P7:P20" si="0">ROUND($D$8,-1)</f>
        <v>5100000</v>
      </c>
      <c r="Q7" s="26">
        <f>ROUND(IF(P7&lt;250001,"0",IF(P7&lt;500001,(P7-250000)*0.5,IF(P7&lt;1000000,(P7-500000)*0.2+12500,(P7-1000000)*0.3+112500))),0)</f>
        <v>1342500</v>
      </c>
      <c r="R7" s="26">
        <f t="shared" ref="R7:R8" si="1">Q7*Z7</f>
        <v>134250</v>
      </c>
      <c r="S7" s="26">
        <f>R7-(IF($D$8&gt;10000000,($D$8-10000000+(Q7*0.1)),IF($D$8&gt;5000000,($D$8-5000000))))</f>
        <v>34250</v>
      </c>
      <c r="T7" s="26">
        <f t="shared" ref="T7:T8" si="2">IF(S7&gt;0,S7,0)</f>
        <v>34250</v>
      </c>
      <c r="U7" s="26">
        <f t="shared" ref="U7:U20" si="3">$D$7</f>
        <v>0</v>
      </c>
      <c r="V7" s="26">
        <v>250000</v>
      </c>
      <c r="W7" s="26">
        <f t="shared" ref="W7:W20" si="4">U7+V7</f>
        <v>250000</v>
      </c>
      <c r="X7" s="27">
        <f>IF(D8&gt;350000,0,MIN(D9,2500))</f>
        <v>0</v>
      </c>
      <c r="Y7" s="26">
        <f t="shared" ref="Y7:Y15" si="5">(Q7+R7-T7-X7-AC7)*3%</f>
        <v>43275</v>
      </c>
      <c r="Z7" s="24">
        <f>IF($D$6&gt;10000000,0.15,IF($D$6&gt;5000000,0.1,0))</f>
        <v>0.1</v>
      </c>
      <c r="AA7" s="24"/>
      <c r="AB7" s="25">
        <f>ROUND(IF(W7&lt;250001,"0",IF(W7&lt;500001,(W7-250000)*0.5,IF(W7&lt;1000000,(W7-500000)*0.2+12500,(W7-1000000)*0.3+112500))),0)</f>
        <v>0</v>
      </c>
      <c r="AC7" s="26">
        <f t="shared" ref="AC7:AC20" si="6">MIN(Q7,AB7)</f>
        <v>0</v>
      </c>
      <c r="AD7" s="34" t="s">
        <v>41</v>
      </c>
      <c r="AE7" s="34"/>
      <c r="AF7" s="34"/>
      <c r="AG7" s="34"/>
      <c r="AH7" s="34"/>
    </row>
    <row r="8" spans="1:34" ht="24.95" customHeight="1">
      <c r="B8" s="28" t="s">
        <v>29</v>
      </c>
      <c r="C8" s="28"/>
      <c r="D8" s="22">
        <f>D6+D7</f>
        <v>5100000</v>
      </c>
      <c r="E8" s="14"/>
      <c r="I8" s="24">
        <v>0.15</v>
      </c>
      <c r="J8" s="24"/>
      <c r="K8" s="24"/>
      <c r="L8" s="24">
        <v>13</v>
      </c>
      <c r="M8" s="24" t="s">
        <v>6</v>
      </c>
      <c r="N8" s="24" t="s">
        <v>8</v>
      </c>
      <c r="O8" s="24" t="s">
        <v>11</v>
      </c>
      <c r="P8" s="26">
        <f t="shared" si="0"/>
        <v>5100000</v>
      </c>
      <c r="Q8" s="26">
        <f>ROUND(IF(P8&lt;250001,"0",IF(P8&lt;500001,(P8-250000)*0.5,IF(P8&lt;1000000,(P8-500000)*0.2+12500,(P8-1000000)*0.3+112500))),0)</f>
        <v>1342500</v>
      </c>
      <c r="R8" s="26">
        <f t="shared" si="1"/>
        <v>134250</v>
      </c>
      <c r="S8" s="26">
        <f>R8-(IF($D$8&gt;10000000,($D$8-10000000+(Q8*0.1)),IF($D$8&gt;5000000,($D$8-5000000))))</f>
        <v>34250</v>
      </c>
      <c r="T8" s="26">
        <f t="shared" si="2"/>
        <v>34250</v>
      </c>
      <c r="U8" s="26">
        <f t="shared" si="3"/>
        <v>0</v>
      </c>
      <c r="V8" s="26">
        <v>250000</v>
      </c>
      <c r="W8" s="26">
        <f t="shared" si="4"/>
        <v>250000</v>
      </c>
      <c r="X8" s="27">
        <f>IF(D8&gt;350000,0,MIN(D9,2500))</f>
        <v>0</v>
      </c>
      <c r="Y8" s="26">
        <f>(Q8+R8-T8-X8-AC8)*4%</f>
        <v>57700</v>
      </c>
      <c r="Z8" s="24">
        <f>IF($D$6&gt;10000000,0.15,IF($D$6&gt;5000000,0.1,0))</f>
        <v>0.1</v>
      </c>
      <c r="AA8" s="24"/>
      <c r="AB8" s="25">
        <f>ROUND(IF(W8&lt;250001,"0",IF(W8&lt;500001,(W8-250000)*0.5,IF(W8&lt;1000000,(W8-500000)*0.2+12500,(W8-1000000)*0.3+112500))),0)</f>
        <v>0</v>
      </c>
      <c r="AC8" s="26">
        <f t="shared" si="6"/>
        <v>0</v>
      </c>
      <c r="AD8" s="35"/>
      <c r="AE8" s="35"/>
      <c r="AF8" s="35"/>
      <c r="AG8" s="35"/>
      <c r="AH8" s="35"/>
    </row>
    <row r="9" spans="1:34" ht="24.95" customHeight="1">
      <c r="A9" s="15"/>
      <c r="B9" s="28" t="s">
        <v>13</v>
      </c>
      <c r="C9" s="28"/>
      <c r="D9" s="22">
        <f>VLOOKUP($H$12,$L$2:$AB$44,6,0)</f>
        <v>1342500</v>
      </c>
      <c r="E9" s="14"/>
      <c r="H9" s="18">
        <v>2</v>
      </c>
      <c r="I9" s="24">
        <v>0.2</v>
      </c>
      <c r="J9" s="24"/>
      <c r="K9" s="24"/>
      <c r="L9" s="24"/>
      <c r="M9" s="24"/>
      <c r="N9" s="24"/>
      <c r="O9" s="24"/>
      <c r="P9" s="24"/>
      <c r="Q9" s="26"/>
      <c r="R9" s="24"/>
      <c r="S9" s="26"/>
      <c r="T9" s="26"/>
      <c r="U9" s="26"/>
      <c r="V9" s="26"/>
      <c r="W9" s="26"/>
      <c r="X9" s="24"/>
      <c r="Y9" s="26"/>
      <c r="Z9" s="24"/>
      <c r="AA9" s="24"/>
      <c r="AB9" s="25"/>
      <c r="AC9" s="26"/>
      <c r="AD9" s="29" t="s">
        <v>40</v>
      </c>
      <c r="AE9" s="29"/>
      <c r="AF9" s="29"/>
      <c r="AG9" s="29"/>
      <c r="AH9" s="29"/>
    </row>
    <row r="10" spans="1:34" ht="24.95" customHeight="1">
      <c r="A10" s="17"/>
      <c r="B10" s="36" t="s">
        <v>33</v>
      </c>
      <c r="C10" s="37"/>
      <c r="D10" s="22">
        <f>VLOOKUP($H$12,$L$2:$AC$44,18,0)</f>
        <v>0</v>
      </c>
      <c r="E10" s="14"/>
      <c r="I10" s="24">
        <v>0.25</v>
      </c>
      <c r="J10" s="24"/>
      <c r="K10" s="24"/>
      <c r="L10" s="24">
        <v>21</v>
      </c>
      <c r="M10" s="24" t="s">
        <v>20</v>
      </c>
      <c r="N10" s="24" t="s">
        <v>10</v>
      </c>
      <c r="O10" s="24" t="s">
        <v>7</v>
      </c>
      <c r="P10" s="26">
        <f t="shared" si="0"/>
        <v>5100000</v>
      </c>
      <c r="Q10" s="26">
        <f>ROUND(IF(P10&lt;300001,"0",IF(P10&lt;500001,(P10-300000)*0.1,IF(P10&lt;1000000,(P10-500000)*0.2+20000,(P10-1000000)*0.3+120000))),0)</f>
        <v>1350000</v>
      </c>
      <c r="R10" s="26">
        <f t="shared" ref="R10:R12" si="7">Q10*Z10</f>
        <v>0</v>
      </c>
      <c r="S10" s="26">
        <f>R10-(IF($D$8&gt;10000000,($D$8-10000000)))</f>
        <v>0</v>
      </c>
      <c r="T10" s="26">
        <f t="shared" ref="T10:T12" si="8">IF(S10&gt;0,S10,0)</f>
        <v>0</v>
      </c>
      <c r="U10" s="26">
        <f t="shared" si="3"/>
        <v>0</v>
      </c>
      <c r="V10" s="26">
        <v>300000</v>
      </c>
      <c r="W10" s="26">
        <f t="shared" si="4"/>
        <v>300000</v>
      </c>
      <c r="X10" s="27">
        <f>IF(D8&gt;500000,0,MIN(D9,5000))</f>
        <v>0</v>
      </c>
      <c r="Y10" s="26">
        <f t="shared" si="5"/>
        <v>40500</v>
      </c>
      <c r="Z10" s="24">
        <f>IF($D$6&gt;10000000,0.15,0)</f>
        <v>0</v>
      </c>
      <c r="AA10" s="24"/>
      <c r="AB10" s="25">
        <f>ROUND(IF(W10&lt;300001,"0",IF(W10&lt;500001,(W10-300000)*0.1,IF(W10&lt;1000000,(W10-500000)*0.2+20000,(W10-1000000)*0.3+120000))),0)</f>
        <v>0</v>
      </c>
      <c r="AC10" s="26">
        <f t="shared" si="6"/>
        <v>0</v>
      </c>
      <c r="AD10" s="29" t="s">
        <v>42</v>
      </c>
      <c r="AE10" s="29"/>
      <c r="AF10" s="29"/>
      <c r="AG10" s="29"/>
      <c r="AH10" s="29"/>
    </row>
    <row r="11" spans="1:34" ht="24.95" customHeight="1">
      <c r="B11" s="28" t="s">
        <v>4</v>
      </c>
      <c r="C11" s="28"/>
      <c r="D11" s="22">
        <f>VLOOKUP($H$12,$L$2:$Y$44,7,0)</f>
        <v>134250</v>
      </c>
      <c r="E11" s="14"/>
      <c r="H11" s="18" t="str">
        <f>H3&amp;H9</f>
        <v>42</v>
      </c>
      <c r="I11" s="24">
        <v>0.3</v>
      </c>
      <c r="J11" s="24"/>
      <c r="K11" s="24"/>
      <c r="L11" s="24">
        <v>22</v>
      </c>
      <c r="M11" s="24" t="s">
        <v>20</v>
      </c>
      <c r="N11" s="24" t="s">
        <v>7</v>
      </c>
      <c r="O11" s="24" t="s">
        <v>8</v>
      </c>
      <c r="P11" s="26">
        <f t="shared" si="0"/>
        <v>5100000</v>
      </c>
      <c r="Q11" s="26">
        <f>ROUND(IF(P11&lt;300001,"0",IF(P11&lt;500001,(P11-300000)*0.5,IF(P11&lt;1000000,(P11-500000)*0.2+10000,(P11-1000000)*0.3+110000))),0)</f>
        <v>1340000</v>
      </c>
      <c r="R11" s="26">
        <f t="shared" si="7"/>
        <v>134000</v>
      </c>
      <c r="S11" s="26">
        <f>R11-(IF($D$8&gt;10000000,($D$8-10000000+(Q11*0.1)),IF($D$8&gt;5000000,($D$8-5000000))))</f>
        <v>34000</v>
      </c>
      <c r="T11" s="26">
        <f t="shared" si="8"/>
        <v>34000</v>
      </c>
      <c r="U11" s="26">
        <f t="shared" si="3"/>
        <v>0</v>
      </c>
      <c r="V11" s="26">
        <v>300000</v>
      </c>
      <c r="W11" s="26">
        <f t="shared" si="4"/>
        <v>300000</v>
      </c>
      <c r="X11" s="27">
        <f>IF(D8&gt;350000,0,MIN(D9,2500))</f>
        <v>0</v>
      </c>
      <c r="Y11" s="26">
        <f t="shared" si="5"/>
        <v>43200</v>
      </c>
      <c r="Z11" s="24">
        <f>IF($D$6&gt;10000000,0.15,IF($D$6&gt;5000000,0.1,0))</f>
        <v>0.1</v>
      </c>
      <c r="AA11" s="24"/>
      <c r="AB11" s="25">
        <f>ROUND(IF(W11&lt;300001,"0",IF(W11&lt;500001,(W11-300000)*0.5,IF(W11&lt;1000000,(W11-500000)*0.2+10000,(W11-1000000)*0.3+110000))),0)</f>
        <v>0</v>
      </c>
      <c r="AC11" s="26">
        <f t="shared" si="6"/>
        <v>0</v>
      </c>
      <c r="AD11" s="29"/>
      <c r="AE11" s="29"/>
      <c r="AF11" s="29"/>
      <c r="AG11" s="29"/>
      <c r="AH11" s="29"/>
    </row>
    <row r="12" spans="1:34" ht="24.95" customHeight="1">
      <c r="B12" s="28" t="s">
        <v>14</v>
      </c>
      <c r="C12" s="28"/>
      <c r="D12" s="22">
        <f>VLOOKUP($H$12,$L$2:$AB$44,13,0)</f>
        <v>0</v>
      </c>
      <c r="E12" s="14"/>
      <c r="H12" s="18">
        <f>ABS(H11)</f>
        <v>42</v>
      </c>
      <c r="I12" s="24"/>
      <c r="J12" s="24"/>
      <c r="K12" s="24"/>
      <c r="L12" s="24">
        <v>23</v>
      </c>
      <c r="M12" s="24" t="s">
        <v>20</v>
      </c>
      <c r="N12" s="24" t="s">
        <v>8</v>
      </c>
      <c r="O12" s="24" t="s">
        <v>11</v>
      </c>
      <c r="P12" s="26">
        <f t="shared" si="0"/>
        <v>5100000</v>
      </c>
      <c r="Q12" s="26">
        <f>ROUND(IF(P12&lt;300001,"0",IF(P12&lt;500001,(P12-300000)*0.5,IF(P12&lt;1000000,(P12-500000)*0.2+10000,(P12-1000000)*0.3+110000))),0)</f>
        <v>1340000</v>
      </c>
      <c r="R12" s="26">
        <f t="shared" si="7"/>
        <v>134000</v>
      </c>
      <c r="S12" s="26">
        <f>R12-(IF($D$8&gt;10000000,($D$8-10000000+(Q12*0.1)),IF($D$8&gt;5000000,($D$8-5000000))))</f>
        <v>34000</v>
      </c>
      <c r="T12" s="26">
        <f t="shared" si="8"/>
        <v>34000</v>
      </c>
      <c r="U12" s="26">
        <f t="shared" si="3"/>
        <v>0</v>
      </c>
      <c r="V12" s="26">
        <v>300000</v>
      </c>
      <c r="W12" s="26">
        <f t="shared" si="4"/>
        <v>300000</v>
      </c>
      <c r="X12" s="27">
        <f>IF(D8&gt;350000,0,MIN(D9,2500))</f>
        <v>0</v>
      </c>
      <c r="Y12" s="26">
        <f>(Q12+R12-T12-X12-AC12)*4%</f>
        <v>57600</v>
      </c>
      <c r="Z12" s="24">
        <f>IF($D$6&gt;10000000,0.15,IF($D$6&gt;5000000,0.1,0))</f>
        <v>0.1</v>
      </c>
      <c r="AA12" s="24"/>
      <c r="AB12" s="25">
        <f>ROUND(IF(W12&lt;300001,"0",IF(W12&lt;500001,(W12-300000)*0.5,IF(W12&lt;1000000,(W12-500000)*0.2+10000,(W12-1000000)*0.3+110000))),0)</f>
        <v>0</v>
      </c>
      <c r="AC12" s="26">
        <f t="shared" si="6"/>
        <v>0</v>
      </c>
    </row>
    <row r="13" spans="1:34" ht="24.95" customHeight="1">
      <c r="B13" s="28" t="s">
        <v>15</v>
      </c>
      <c r="C13" s="28"/>
      <c r="D13" s="22">
        <f>D9+D11-D12-D10</f>
        <v>1476750</v>
      </c>
      <c r="E13" s="14"/>
      <c r="H13" s="23"/>
      <c r="I13" s="24"/>
      <c r="J13" s="24"/>
      <c r="K13" s="24"/>
      <c r="L13" s="24"/>
      <c r="M13" s="24"/>
      <c r="N13" s="24"/>
      <c r="O13" s="24"/>
      <c r="P13" s="24"/>
      <c r="Q13" s="25"/>
      <c r="R13" s="26"/>
      <c r="S13" s="26"/>
      <c r="T13" s="24"/>
      <c r="U13" s="26"/>
      <c r="V13" s="24"/>
      <c r="W13" s="24"/>
      <c r="X13" s="24"/>
      <c r="Y13" s="26">
        <f t="shared" si="5"/>
        <v>0</v>
      </c>
      <c r="Z13" s="24"/>
      <c r="AA13" s="24"/>
      <c r="AB13" s="25"/>
      <c r="AC13" s="26"/>
    </row>
    <row r="14" spans="1:34" ht="24.95" customHeight="1">
      <c r="B14" s="28" t="s">
        <v>36</v>
      </c>
      <c r="C14" s="28"/>
      <c r="D14" s="22">
        <f>VLOOKUP($H$12,$L$2:$AB$44,9,0)</f>
        <v>34250</v>
      </c>
      <c r="E14" s="14"/>
      <c r="H14" s="23"/>
      <c r="I14" s="24"/>
      <c r="J14" s="24"/>
      <c r="K14" s="24"/>
      <c r="L14" s="24">
        <v>31</v>
      </c>
      <c r="M14" s="24" t="s">
        <v>21</v>
      </c>
      <c r="N14" s="24" t="s">
        <v>10</v>
      </c>
      <c r="O14" s="24" t="s">
        <v>7</v>
      </c>
      <c r="P14" s="26">
        <f t="shared" si="0"/>
        <v>5100000</v>
      </c>
      <c r="Q14" s="26">
        <f>ROUND(IF(P14&lt;500001,"0",IF(P14&lt;500001,(P14-500000)*0.1,IF(P14&lt;1000000,(P14-500000)*0.2,(P14-1000000)*0.3+100000))),0)</f>
        <v>1330000</v>
      </c>
      <c r="R14" s="26">
        <f t="shared" ref="R14:R16" si="9">Q14*Z14</f>
        <v>0</v>
      </c>
      <c r="S14" s="26">
        <f>R14-(IF($D$8&gt;10000000,($D$8-10000000)))</f>
        <v>0</v>
      </c>
      <c r="T14" s="26">
        <f t="shared" ref="T14:T16" si="10">IF(S14&gt;0,S14,0)</f>
        <v>0</v>
      </c>
      <c r="U14" s="26">
        <f t="shared" si="3"/>
        <v>0</v>
      </c>
      <c r="V14" s="26">
        <v>500000</v>
      </c>
      <c r="W14" s="26">
        <f t="shared" si="4"/>
        <v>500000</v>
      </c>
      <c r="X14" s="27">
        <f>IF(D8&gt;500000,0,MIN(D9,5000))</f>
        <v>0</v>
      </c>
      <c r="Y14" s="26">
        <f t="shared" si="5"/>
        <v>39900</v>
      </c>
      <c r="Z14" s="24">
        <f>IF($D$6&gt;10000000,0.15,0)</f>
        <v>0</v>
      </c>
      <c r="AA14" s="24"/>
      <c r="AB14" s="25">
        <f>ROUND(IF(W14&lt;500001,"0",IF(W14&lt;500001,(W14-500000)*0.1,IF(W14&lt;1000000,(W14-500000)*0.2,(W14-1000000)*0.3+100000))),0)</f>
        <v>0</v>
      </c>
      <c r="AC14" s="26">
        <f t="shared" si="6"/>
        <v>0</v>
      </c>
    </row>
    <row r="15" spans="1:34" ht="24.95" customHeight="1">
      <c r="B15" s="28" t="s">
        <v>16</v>
      </c>
      <c r="C15" s="28"/>
      <c r="D15" s="22">
        <f>VLOOKUP($H$12,$L$2:$AB$44,14,0)</f>
        <v>43275</v>
      </c>
      <c r="E15" s="14"/>
      <c r="F15" s="15"/>
      <c r="H15" s="23"/>
      <c r="I15" s="24"/>
      <c r="J15" s="24"/>
      <c r="K15" s="24"/>
      <c r="L15" s="24">
        <v>32</v>
      </c>
      <c r="M15" s="24" t="s">
        <v>21</v>
      </c>
      <c r="N15" s="24" t="s">
        <v>7</v>
      </c>
      <c r="O15" s="24" t="s">
        <v>8</v>
      </c>
      <c r="P15" s="26">
        <f t="shared" si="0"/>
        <v>5100000</v>
      </c>
      <c r="Q15" s="26">
        <f>ROUND(IF(P15&lt;500001,"0",IF(P15&lt;500001,(P15-500000)*0.1,IF(P15&lt;1000000,(P15-500000)*0.2,(P15-1000000)*0.3+100000))),0)</f>
        <v>1330000</v>
      </c>
      <c r="R15" s="26">
        <f t="shared" si="9"/>
        <v>133000</v>
      </c>
      <c r="S15" s="26">
        <f>R15-(IF($D$8&gt;10000000,($D$8-10000000+(Q15*0.1)),IF($D$8&gt;5000000,($D$8-5000000))))</f>
        <v>33000</v>
      </c>
      <c r="T15" s="26">
        <f t="shared" si="10"/>
        <v>33000</v>
      </c>
      <c r="U15" s="26">
        <f t="shared" si="3"/>
        <v>0</v>
      </c>
      <c r="V15" s="26">
        <v>500000</v>
      </c>
      <c r="W15" s="26">
        <f t="shared" si="4"/>
        <v>500000</v>
      </c>
      <c r="X15" s="27">
        <f>IF(D8&gt;350000,0,MIN(D9,2500))</f>
        <v>0</v>
      </c>
      <c r="Y15" s="26">
        <f t="shared" si="5"/>
        <v>42900</v>
      </c>
      <c r="Z15" s="24">
        <f>IF($D$6&gt;10000000,0.15,IF($D$6&gt;5000000,0.1,0))</f>
        <v>0.1</v>
      </c>
      <c r="AA15" s="24"/>
      <c r="AB15" s="25">
        <f>ROUND(IF(W15&lt;500001,"0",IF(W15&lt;500001,(W15-500000)*0.1,IF(W15&lt;1000000,(W15-500000)*0.2,(W15-1000000)*0.3+100000))),0)</f>
        <v>0</v>
      </c>
      <c r="AC15" s="26">
        <f t="shared" si="6"/>
        <v>0</v>
      </c>
    </row>
    <row r="16" spans="1:34" ht="24.95" customHeight="1">
      <c r="B16" s="28" t="s">
        <v>17</v>
      </c>
      <c r="C16" s="28"/>
      <c r="D16" s="22">
        <f>ROUND(D13-D14+D15,0)</f>
        <v>1485775</v>
      </c>
      <c r="E16" s="14"/>
      <c r="H16" s="23"/>
      <c r="I16" s="24"/>
      <c r="J16" s="24"/>
      <c r="K16" s="24"/>
      <c r="L16" s="24">
        <v>33</v>
      </c>
      <c r="M16" s="24" t="s">
        <v>21</v>
      </c>
      <c r="N16" s="24" t="s">
        <v>8</v>
      </c>
      <c r="O16" s="24" t="s">
        <v>11</v>
      </c>
      <c r="P16" s="26">
        <f t="shared" si="0"/>
        <v>5100000</v>
      </c>
      <c r="Q16" s="26">
        <f>ROUND(IF(P16&lt;500001,"0",IF(P16&lt;500001,(P16-500000)*0.1,IF(P16&lt;1000000,(P16-500000)*0.2,(P16-1000000)*0.3+100000))),0)</f>
        <v>1330000</v>
      </c>
      <c r="R16" s="26">
        <f t="shared" si="9"/>
        <v>133000</v>
      </c>
      <c r="S16" s="26">
        <f>R16-(IF($D$8&gt;10000000,($D$8-10000000+(Q16*0.1)),IF($D$8&gt;5000000,($D$8-5000000))))</f>
        <v>33000</v>
      </c>
      <c r="T16" s="26">
        <f t="shared" si="10"/>
        <v>33000</v>
      </c>
      <c r="U16" s="26">
        <f t="shared" si="3"/>
        <v>0</v>
      </c>
      <c r="V16" s="26">
        <v>500000</v>
      </c>
      <c r="W16" s="26">
        <f t="shared" si="4"/>
        <v>500000</v>
      </c>
      <c r="X16" s="27">
        <f>IF(D8&gt;350000,0,MIN(D9,2500))</f>
        <v>0</v>
      </c>
      <c r="Y16" s="26">
        <f>(Q16+R16-T16-X16-AC16)*4%</f>
        <v>57200</v>
      </c>
      <c r="Z16" s="24">
        <f>IF($D$6&gt;10000000,0.15,IF($D$6&gt;5000000,0.1,0))</f>
        <v>0.1</v>
      </c>
      <c r="AA16" s="24"/>
      <c r="AB16" s="25">
        <f>ROUND(IF(W16&lt;500001,"0",IF(W16&lt;500001,(W16-500000)*0.1,IF(W16&lt;1000000,(W16-500000)*0.2,(W16-1000000)*0.3+100000))),0)</f>
        <v>0</v>
      </c>
      <c r="AC16" s="26">
        <f t="shared" si="6"/>
        <v>0</v>
      </c>
    </row>
    <row r="17" spans="2:29" ht="24.95" customHeight="1">
      <c r="S17" s="16"/>
      <c r="U17" s="16"/>
      <c r="AC17" s="26"/>
    </row>
    <row r="18" spans="2:29" hidden="1">
      <c r="L18" s="9">
        <v>41</v>
      </c>
      <c r="M18" s="9" t="s">
        <v>22</v>
      </c>
      <c r="N18" s="9" t="s">
        <v>10</v>
      </c>
      <c r="O18" s="9" t="s">
        <v>7</v>
      </c>
      <c r="P18" s="16">
        <f t="shared" si="0"/>
        <v>5100000</v>
      </c>
      <c r="Q18" s="16">
        <f>ROUND(IF(P18&lt;250001,"0",IF(P18&lt;500001,(P18-250000)*0.1,IF(P18&lt;1000000,(P18-500000)*0.2+25000,(P18-1000000)*0.3+125000))),0)</f>
        <v>1355000</v>
      </c>
      <c r="R18" s="16">
        <f t="shared" ref="R18:R20" si="11">Q18*Z18</f>
        <v>0</v>
      </c>
      <c r="S18" s="16">
        <f>R18-(IF($D$8&gt;10000000,($D$8-10000000)))</f>
        <v>0</v>
      </c>
      <c r="T18" s="16">
        <f t="shared" ref="T18:T20" si="12">IF(S18&gt;0,S18,0)</f>
        <v>0</v>
      </c>
      <c r="U18" s="16">
        <f t="shared" si="3"/>
        <v>0</v>
      </c>
      <c r="V18" s="16">
        <v>250000</v>
      </c>
      <c r="W18" s="16">
        <f t="shared" si="4"/>
        <v>250000</v>
      </c>
      <c r="X18" s="20"/>
      <c r="Y18" s="16">
        <f>(Q18+R18-T18-X18-AC18)*3%</f>
        <v>40650</v>
      </c>
      <c r="Z18" s="9">
        <f>IF($D$6&gt;10000000,0.15,0)</f>
        <v>0</v>
      </c>
      <c r="AB18" s="19">
        <f>ROUND(IF(W18&lt;250001,"0",IF(W18&lt;500001,(W18-250000)*0.1,IF(W18&lt;1000000,(W18-500000)*0.2+25000,(W18-1000000)*0.3+125000))),0)</f>
        <v>0</v>
      </c>
      <c r="AC18" s="26">
        <f>MIN(Q18,AB18)</f>
        <v>0</v>
      </c>
    </row>
    <row r="19" spans="2:29" hidden="1">
      <c r="L19" s="9">
        <v>42</v>
      </c>
      <c r="M19" s="9" t="s">
        <v>23</v>
      </c>
      <c r="N19" s="9" t="s">
        <v>7</v>
      </c>
      <c r="O19" s="9" t="s">
        <v>8</v>
      </c>
      <c r="P19" s="16">
        <f t="shared" si="0"/>
        <v>5100000</v>
      </c>
      <c r="Q19" s="16">
        <f>ROUND(IF(P19&lt;250001,"0",IF(P19&lt;500001,(P19-250000)*0.5,IF(P19&lt;1000000,(P19-500000)*0.2+12500,(P19-1000000)*0.3+112500))),0)</f>
        <v>1342500</v>
      </c>
      <c r="R19" s="16">
        <f t="shared" si="11"/>
        <v>134250</v>
      </c>
      <c r="S19" s="16">
        <f>R19-(IF($D$8&gt;10000000,($D$8-10000000+(Q19*0.1)),IF($D$8&gt;5000000,($D$8-5000000))))</f>
        <v>34250</v>
      </c>
      <c r="T19" s="16">
        <f t="shared" si="12"/>
        <v>34250</v>
      </c>
      <c r="U19" s="16">
        <f t="shared" si="3"/>
        <v>0</v>
      </c>
      <c r="V19" s="16">
        <v>250000</v>
      </c>
      <c r="W19" s="16">
        <f t="shared" si="4"/>
        <v>250000</v>
      </c>
      <c r="X19" s="20"/>
      <c r="Y19" s="16">
        <f>(Q19+R19-T19-X19-AC19)*3%</f>
        <v>43275</v>
      </c>
      <c r="Z19" s="9">
        <f>IF($D$6&gt;10000000,0.15,IF($D$6&gt;5000000,0.1,0))</f>
        <v>0.1</v>
      </c>
      <c r="AB19" s="19">
        <f>ROUND(IF(W19&lt;250001,"0",IF(W19&lt;500001,(W19-250000)*0.5,IF(W19&lt;1000000,(W19-500000)*0.2+12500,(W19-1000000)*0.3+112500))),0)</f>
        <v>0</v>
      </c>
      <c r="AC19" s="26">
        <f t="shared" si="6"/>
        <v>0</v>
      </c>
    </row>
    <row r="20" spans="2:29" hidden="1">
      <c r="B20" s="15"/>
      <c r="L20" s="9">
        <v>43</v>
      </c>
      <c r="M20" s="9" t="s">
        <v>23</v>
      </c>
      <c r="N20" s="9" t="s">
        <v>8</v>
      </c>
      <c r="O20" s="9" t="s">
        <v>11</v>
      </c>
      <c r="P20" s="16">
        <f t="shared" si="0"/>
        <v>5100000</v>
      </c>
      <c r="Q20" s="16">
        <f>ROUND(IF(P20&lt;250001,"0",IF(P20&lt;500001,(P20-250000)*0.5,IF(P20&lt;1000000,(P20-500000)*0.2+12500,(P20-1000000)*0.3+112500))),0)</f>
        <v>1342500</v>
      </c>
      <c r="R20" s="16">
        <f t="shared" si="11"/>
        <v>134250</v>
      </c>
      <c r="S20" s="16">
        <f>R20-(IF($D$8&gt;10000000,($D$8-10000000+(Q20*0.1)),IF($D$8&gt;5000000,($D$8-5000000))))</f>
        <v>34250</v>
      </c>
      <c r="T20" s="16">
        <f t="shared" si="12"/>
        <v>34250</v>
      </c>
      <c r="U20" s="16">
        <f t="shared" si="3"/>
        <v>0</v>
      </c>
      <c r="V20" s="16">
        <v>250000</v>
      </c>
      <c r="W20" s="16">
        <f t="shared" si="4"/>
        <v>250000</v>
      </c>
      <c r="X20" s="20"/>
      <c r="Y20" s="16">
        <f>(Q20+R20-T20-X20-AC20)*4%</f>
        <v>57700</v>
      </c>
      <c r="Z20" s="9">
        <f>IF($D$6&gt;10000000,0.15,IF($D$6&gt;5000000,0.1,0))</f>
        <v>0.1</v>
      </c>
      <c r="AB20" s="19">
        <f>ROUND(IF(W20&lt;250001,"0",IF(W20&lt;500001,(W20-250000)*0.5,IF(W20&lt;1000000,(W20-500000)*0.2+12500,(W20-1000000)*0.3+112500))),0)</f>
        <v>0</v>
      </c>
      <c r="AC20" s="26">
        <f t="shared" si="6"/>
        <v>0</v>
      </c>
    </row>
    <row r="21" spans="2:29" hidden="1">
      <c r="B21" s="15"/>
      <c r="S21" s="16"/>
    </row>
    <row r="22" spans="2:29" hidden="1">
      <c r="B22" s="15"/>
      <c r="D22" s="15"/>
      <c r="E22" s="16"/>
      <c r="S22" s="16"/>
    </row>
    <row r="23" spans="2:29" hidden="1">
      <c r="C23" s="15"/>
      <c r="L23" s="9">
        <v>51</v>
      </c>
      <c r="M23" s="9" t="s">
        <v>24</v>
      </c>
      <c r="N23" s="9" t="s">
        <v>10</v>
      </c>
      <c r="O23" s="9" t="s">
        <v>7</v>
      </c>
      <c r="P23" s="16">
        <f t="shared" ref="P23:P25" si="13">ROUND($D$8,-1)</f>
        <v>5100000</v>
      </c>
      <c r="Q23" s="16">
        <f>P23*30%</f>
        <v>1530000</v>
      </c>
      <c r="R23" s="16">
        <f t="shared" ref="R23:R25" si="14">Q23*Z23</f>
        <v>0</v>
      </c>
      <c r="S23" s="16">
        <f t="shared" ref="S23:S25" si="15">R23-(IF($D$8&gt;10000000,($D$8-10000000)))</f>
        <v>0</v>
      </c>
      <c r="T23" s="16">
        <f t="shared" ref="T23:T25" si="16">IF(S23&gt;0,S23,0)</f>
        <v>0</v>
      </c>
      <c r="U23" s="16"/>
      <c r="V23" s="16"/>
      <c r="W23" s="16"/>
      <c r="X23" s="20"/>
      <c r="Y23" s="16">
        <f>(Q23+R23-T23-X23)*3%</f>
        <v>45900</v>
      </c>
      <c r="Z23" s="9">
        <f>IF($D$6&gt;10000000,0.12,0)</f>
        <v>0</v>
      </c>
    </row>
    <row r="24" spans="2:29" hidden="1">
      <c r="L24" s="9">
        <v>52</v>
      </c>
      <c r="M24" s="9" t="s">
        <v>24</v>
      </c>
      <c r="N24" s="9" t="s">
        <v>7</v>
      </c>
      <c r="O24" s="9" t="s">
        <v>8</v>
      </c>
      <c r="P24" s="16">
        <f t="shared" si="13"/>
        <v>5100000</v>
      </c>
      <c r="Q24" s="16">
        <f>P24*30%</f>
        <v>1530000</v>
      </c>
      <c r="R24" s="16">
        <f t="shared" si="14"/>
        <v>0</v>
      </c>
      <c r="S24" s="16">
        <f t="shared" si="15"/>
        <v>0</v>
      </c>
      <c r="T24" s="16">
        <f t="shared" si="16"/>
        <v>0</v>
      </c>
      <c r="U24" s="16"/>
      <c r="V24" s="16"/>
      <c r="W24" s="16"/>
      <c r="X24" s="20"/>
      <c r="Y24" s="16">
        <f t="shared" ref="Y23:Y24" si="17">(Q24+R24-T24-X24)*3%</f>
        <v>45900</v>
      </c>
      <c r="Z24" s="9">
        <f>IF($D$6&gt;10000000,0.12,0)</f>
        <v>0</v>
      </c>
    </row>
    <row r="25" spans="2:29" hidden="1">
      <c r="L25" s="9">
        <v>53</v>
      </c>
      <c r="M25" s="9" t="s">
        <v>24</v>
      </c>
      <c r="N25" s="9" t="s">
        <v>8</v>
      </c>
      <c r="O25" s="9" t="s">
        <v>11</v>
      </c>
      <c r="P25" s="16">
        <f t="shared" si="13"/>
        <v>5100000</v>
      </c>
      <c r="Q25" s="16">
        <f>P25*30%</f>
        <v>1530000</v>
      </c>
      <c r="R25" s="16">
        <f t="shared" si="14"/>
        <v>0</v>
      </c>
      <c r="S25" s="16">
        <f t="shared" si="15"/>
        <v>0</v>
      </c>
      <c r="T25" s="16">
        <f t="shared" si="16"/>
        <v>0</v>
      </c>
      <c r="U25" s="16"/>
      <c r="V25" s="16"/>
      <c r="W25" s="16"/>
      <c r="X25" s="20"/>
      <c r="Y25" s="16">
        <f>(Q25+R25-T25-X25)*4%</f>
        <v>61200</v>
      </c>
      <c r="Z25" s="9">
        <f>IF($D$6&gt;10000000,0.12,0)</f>
        <v>0</v>
      </c>
    </row>
  </sheetData>
  <sheetProtection password="EE5D" sheet="1" objects="1" scenarios="1" insertHyperlinks="0" selectLockedCells="1"/>
  <mergeCells count="20">
    <mergeCell ref="AD10:AH11"/>
    <mergeCell ref="B2:D2"/>
    <mergeCell ref="AD2:AH2"/>
    <mergeCell ref="AD3:AH4"/>
    <mergeCell ref="AD7:AH8"/>
    <mergeCell ref="AD9:AH9"/>
    <mergeCell ref="B5:C5"/>
    <mergeCell ref="B6:C6"/>
    <mergeCell ref="B7:C7"/>
    <mergeCell ref="B10:C10"/>
    <mergeCell ref="AB1:AB2"/>
    <mergeCell ref="B12:C12"/>
    <mergeCell ref="B13:C13"/>
    <mergeCell ref="B15:C15"/>
    <mergeCell ref="B16:C16"/>
    <mergeCell ref="B4:C4"/>
    <mergeCell ref="B8:C8"/>
    <mergeCell ref="B9:C9"/>
    <mergeCell ref="B11:C11"/>
    <mergeCell ref="B14:C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2018-02-21T00:54:09Z</dcterms:created>
  <dcterms:modified xsi:type="dcterms:W3CDTF">2018-04-10T04:46:41Z</dcterms:modified>
</cp:coreProperties>
</file>