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9440" windowHeight="7995" tabRatio="911" activeTab="2"/>
  </bookViews>
  <sheets>
    <sheet name="MASTER" sheetId="3" r:id="rId1"/>
    <sheet name="SALARY" sheetId="1" r:id="rId2"/>
    <sheet name="STAEMENT OF INCOME" sheetId="9" r:id="rId3"/>
  </sheets>
  <definedNames>
    <definedName name="_xlnm.Print_Area" localSheetId="0">MASTER!$A$1:$F$18</definedName>
    <definedName name="_xlnm.Print_Area" localSheetId="1">SALARY!$A$1:$AJ$131</definedName>
  </definedNames>
  <calcPr calcId="124519" fullPrecision="0"/>
</workbook>
</file>

<file path=xl/calcChain.xml><?xml version="1.0" encoding="utf-8"?>
<calcChain xmlns="http://schemas.openxmlformats.org/spreadsheetml/2006/main">
  <c r="H26" i="9"/>
  <c r="C43"/>
  <c r="C41"/>
  <c r="C40"/>
  <c r="C39"/>
  <c r="C33"/>
  <c r="C35"/>
  <c r="I37"/>
  <c r="I36"/>
  <c r="C34"/>
  <c r="C32"/>
  <c r="C27"/>
  <c r="C37"/>
  <c r="C36"/>
  <c r="H30"/>
  <c r="C29"/>
  <c r="C25"/>
  <c r="C24"/>
  <c r="A22"/>
  <c r="C16"/>
  <c r="C15"/>
  <c r="C14"/>
  <c r="C13"/>
  <c r="C12"/>
  <c r="C11"/>
  <c r="C10"/>
  <c r="C9"/>
  <c r="C6"/>
  <c r="B5"/>
  <c r="B4"/>
  <c r="I6"/>
  <c r="I5"/>
  <c r="I4"/>
  <c r="E25" i="1" l="1"/>
  <c r="C25"/>
  <c r="B25"/>
  <c r="H20" i="9" s="1"/>
  <c r="D16" i="1"/>
  <c r="F16" s="1"/>
  <c r="D17"/>
  <c r="F17" s="1"/>
  <c r="D18"/>
  <c r="F18" s="1"/>
  <c r="D19"/>
  <c r="F19" s="1"/>
  <c r="D20"/>
  <c r="F20" s="1"/>
  <c r="D21"/>
  <c r="F21" s="1"/>
  <c r="D22"/>
  <c r="F22" s="1"/>
  <c r="D23"/>
  <c r="F23" s="1"/>
  <c r="D24"/>
  <c r="F24" s="1"/>
  <c r="D15"/>
  <c r="F15" s="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136"/>
  <c r="AP137"/>
  <c r="AP138"/>
  <c r="AP139"/>
  <c r="O112"/>
  <c r="Q112"/>
  <c r="Q117" s="1"/>
  <c r="Q122" s="1"/>
  <c r="Q127" s="1"/>
  <c r="S112"/>
  <c r="U112"/>
  <c r="U117" s="1"/>
  <c r="U122" s="1"/>
  <c r="U127" s="1"/>
  <c r="W112"/>
  <c r="Y112"/>
  <c r="Y117" s="1"/>
  <c r="Y122" s="1"/>
  <c r="Y127" s="1"/>
  <c r="AA112"/>
  <c r="AC112"/>
  <c r="AC117" s="1"/>
  <c r="AC122" s="1"/>
  <c r="AC127" s="1"/>
  <c r="AE112"/>
  <c r="AG112"/>
  <c r="AG117" s="1"/>
  <c r="AG122" s="1"/>
  <c r="AG127" s="1"/>
  <c r="AI112"/>
  <c r="L113"/>
  <c r="P113"/>
  <c r="T113"/>
  <c r="X113"/>
  <c r="AB113"/>
  <c r="AF113"/>
  <c r="AJ113"/>
  <c r="I114"/>
  <c r="M114"/>
  <c r="Q114"/>
  <c r="U114"/>
  <c r="Y114"/>
  <c r="AC114"/>
  <c r="AG114"/>
  <c r="I115"/>
  <c r="M115"/>
  <c r="Q115"/>
  <c r="U115"/>
  <c r="Y115"/>
  <c r="AC115"/>
  <c r="AG115"/>
  <c r="I116"/>
  <c r="M116"/>
  <c r="Q116"/>
  <c r="U116"/>
  <c r="Y116"/>
  <c r="AC116"/>
  <c r="AG116"/>
  <c r="O117"/>
  <c r="S117"/>
  <c r="W117"/>
  <c r="AA117"/>
  <c r="AE117"/>
  <c r="AI117"/>
  <c r="L118"/>
  <c r="P118"/>
  <c r="T118"/>
  <c r="X118"/>
  <c r="AB118"/>
  <c r="AF118"/>
  <c r="AJ118"/>
  <c r="I119"/>
  <c r="M119"/>
  <c r="Q119"/>
  <c r="U119"/>
  <c r="Y119"/>
  <c r="AC119"/>
  <c r="AG119"/>
  <c r="I120"/>
  <c r="M120"/>
  <c r="Q120"/>
  <c r="U120"/>
  <c r="Y120"/>
  <c r="AC120"/>
  <c r="AG120"/>
  <c r="I121"/>
  <c r="M121"/>
  <c r="Q121"/>
  <c r="U121"/>
  <c r="Y121"/>
  <c r="AC121"/>
  <c r="AG121"/>
  <c r="O122"/>
  <c r="S122"/>
  <c r="W122"/>
  <c r="AA122"/>
  <c r="AE122"/>
  <c r="AI122"/>
  <c r="L123"/>
  <c r="P123"/>
  <c r="T123"/>
  <c r="X123"/>
  <c r="AB123"/>
  <c r="AF123"/>
  <c r="AJ123"/>
  <c r="AJ124" s="1"/>
  <c r="AJ125" s="1"/>
  <c r="AJ126" s="1"/>
  <c r="I124"/>
  <c r="M124"/>
  <c r="Q124"/>
  <c r="U124"/>
  <c r="Y124"/>
  <c r="AC124"/>
  <c r="I125"/>
  <c r="M125"/>
  <c r="Q125"/>
  <c r="U125"/>
  <c r="Y125"/>
  <c r="AC125"/>
  <c r="I126"/>
  <c r="M126"/>
  <c r="Q126"/>
  <c r="U126"/>
  <c r="Y126"/>
  <c r="AC126"/>
  <c r="O127"/>
  <c r="S127"/>
  <c r="W127"/>
  <c r="AA127"/>
  <c r="AE127"/>
  <c r="AI127"/>
  <c r="L128"/>
  <c r="P128"/>
  <c r="T128"/>
  <c r="X128"/>
  <c r="AB128"/>
  <c r="AF128"/>
  <c r="AJ128"/>
  <c r="AJ129" s="1"/>
  <c r="AJ130" s="1"/>
  <c r="AJ131" s="1"/>
  <c r="I129"/>
  <c r="M129"/>
  <c r="Q129"/>
  <c r="U129"/>
  <c r="Y129"/>
  <c r="AC129"/>
  <c r="I130"/>
  <c r="M130"/>
  <c r="Q130"/>
  <c r="U130"/>
  <c r="Y130"/>
  <c r="AC130"/>
  <c r="I131"/>
  <c r="M131"/>
  <c r="U131"/>
  <c r="Y131"/>
  <c r="AC131"/>
  <c r="G120"/>
  <c r="I42" i="9" s="1"/>
  <c r="H80" i="1"/>
  <c r="H79" s="1"/>
  <c r="H101"/>
  <c r="H103"/>
  <c r="H104"/>
  <c r="H105"/>
  <c r="H106"/>
  <c r="H107"/>
  <c r="G45"/>
  <c r="H45"/>
  <c r="G46"/>
  <c r="H46"/>
  <c r="G47"/>
  <c r="H47"/>
  <c r="G48"/>
  <c r="H48"/>
  <c r="G49"/>
  <c r="H49"/>
  <c r="J20"/>
  <c r="G50"/>
  <c r="H50"/>
  <c r="G51"/>
  <c r="H51"/>
  <c r="G52"/>
  <c r="H52"/>
  <c r="G53"/>
  <c r="H53"/>
  <c r="G54"/>
  <c r="H54"/>
  <c r="G55"/>
  <c r="H55"/>
  <c r="G56"/>
  <c r="H56"/>
  <c r="J27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H28"/>
  <c r="I26" i="9" s="1"/>
  <c r="I30" s="1"/>
  <c r="B40" i="1"/>
  <c r="F39"/>
  <c r="H25" i="9" s="1"/>
  <c r="N11" i="1"/>
  <c r="G102" s="1"/>
  <c r="N2" i="3"/>
  <c r="N3" s="1"/>
  <c r="N4" s="1"/>
  <c r="N5" s="1"/>
  <c r="N6" s="1"/>
  <c r="N7" s="1"/>
  <c r="M2"/>
  <c r="M3" s="1"/>
  <c r="M4" s="1"/>
  <c r="M5" s="1"/>
  <c r="B4"/>
  <c r="B3" i="9" s="1"/>
  <c r="K9" i="3"/>
  <c r="K10" s="1"/>
  <c r="K11" s="1"/>
  <c r="K12"/>
  <c r="K13" s="1"/>
  <c r="K7"/>
  <c r="AN111" i="1" s="1"/>
  <c r="H23" i="9" l="1"/>
  <c r="I25"/>
  <c r="G117" i="1"/>
  <c r="I35" i="9" s="1"/>
  <c r="H24"/>
  <c r="I24" s="1"/>
  <c r="J75" i="1"/>
  <c r="J73"/>
  <c r="J71"/>
  <c r="J69"/>
  <c r="J67"/>
  <c r="J65"/>
  <c r="J63"/>
  <c r="J61"/>
  <c r="J59"/>
  <c r="J57"/>
  <c r="J48"/>
  <c r="AB129"/>
  <c r="L129"/>
  <c r="L130" s="1"/>
  <c r="L131" s="1"/>
  <c r="AB119"/>
  <c r="L119"/>
  <c r="L120" s="1"/>
  <c r="L121" s="1"/>
  <c r="AF114"/>
  <c r="P114"/>
  <c r="F25"/>
  <c r="I20" i="9" s="1"/>
  <c r="AF119" i="1"/>
  <c r="AF120" s="1"/>
  <c r="AF121" s="1"/>
  <c r="P119"/>
  <c r="P120" s="1"/>
  <c r="P121" s="1"/>
  <c r="AJ114"/>
  <c r="AJ115" s="1"/>
  <c r="AJ116" s="1"/>
  <c r="T114"/>
  <c r="T124"/>
  <c r="T125" s="1"/>
  <c r="T126" s="1"/>
  <c r="T119"/>
  <c r="T120" s="1"/>
  <c r="T121" s="1"/>
  <c r="D25"/>
  <c r="T129"/>
  <c r="P129"/>
  <c r="P130" s="1"/>
  <c r="P131" s="1"/>
  <c r="AF124"/>
  <c r="AF125" s="1"/>
  <c r="AF126" s="1"/>
  <c r="P124"/>
  <c r="P125" s="1"/>
  <c r="P126" s="1"/>
  <c r="AB124"/>
  <c r="AB125" s="1"/>
  <c r="AB126" s="1"/>
  <c r="L114"/>
  <c r="L115" s="1"/>
  <c r="T130"/>
  <c r="T131" s="1"/>
  <c r="X129"/>
  <c r="X130" s="1"/>
  <c r="X131" s="1"/>
  <c r="L124"/>
  <c r="L125" s="1"/>
  <c r="L126" s="1"/>
  <c r="X114"/>
  <c r="X115" s="1"/>
  <c r="X116" s="1"/>
  <c r="AB130"/>
  <c r="AB131" s="1"/>
  <c r="X124"/>
  <c r="X125" s="1"/>
  <c r="X126" s="1"/>
  <c r="AJ119"/>
  <c r="AJ120" s="1"/>
  <c r="AJ121" s="1"/>
  <c r="X119"/>
  <c r="X120" s="1"/>
  <c r="X121" s="1"/>
  <c r="L116"/>
  <c r="J74"/>
  <c r="J72"/>
  <c r="J70"/>
  <c r="J68"/>
  <c r="J66"/>
  <c r="J64"/>
  <c r="J62"/>
  <c r="J60"/>
  <c r="I49"/>
  <c r="J47"/>
  <c r="AB120"/>
  <c r="AB121" s="1"/>
  <c r="AB114"/>
  <c r="AB115" s="1"/>
  <c r="AB116" s="1"/>
  <c r="G118"/>
  <c r="I34" i="9" s="1"/>
  <c r="AF129" i="1"/>
  <c r="AF130" s="1"/>
  <c r="AF131" s="1"/>
  <c r="AF115"/>
  <c r="AF116" s="1"/>
  <c r="P115"/>
  <c r="P116" s="1"/>
  <c r="T115"/>
  <c r="T116" s="1"/>
  <c r="AT114"/>
  <c r="AU114" s="1"/>
  <c r="I45"/>
  <c r="I52"/>
  <c r="I55"/>
  <c r="J58"/>
  <c r="H76"/>
  <c r="I46"/>
  <c r="I48"/>
  <c r="J46"/>
  <c r="J54"/>
  <c r="J49"/>
  <c r="I47"/>
  <c r="J45"/>
  <c r="H102"/>
  <c r="H109" s="1"/>
  <c r="G109"/>
  <c r="I56"/>
  <c r="I53"/>
  <c r="I54"/>
  <c r="I51"/>
  <c r="J55"/>
  <c r="J52"/>
  <c r="I50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J56"/>
  <c r="J53"/>
  <c r="J51"/>
  <c r="J50"/>
  <c r="M6" i="3"/>
  <c r="B14" s="1"/>
  <c r="AU113" i="1" s="1"/>
  <c r="AT113" s="1"/>
  <c r="K14" i="3"/>
  <c r="K15" s="1"/>
  <c r="B8" s="1"/>
  <c r="N7" i="1"/>
  <c r="H14" i="9" s="1"/>
  <c r="I14" s="1"/>
  <c r="N8" i="1"/>
  <c r="H15" i="9" s="1"/>
  <c r="I15" s="1"/>
  <c r="N12" i="1"/>
  <c r="G126" s="1"/>
  <c r="AV114" s="1"/>
  <c r="M10"/>
  <c r="L10"/>
  <c r="K10"/>
  <c r="J10"/>
  <c r="I10"/>
  <c r="H10"/>
  <c r="G10"/>
  <c r="F10"/>
  <c r="E10"/>
  <c r="D10"/>
  <c r="C10"/>
  <c r="B10"/>
  <c r="M9"/>
  <c r="L9"/>
  <c r="L13" s="1"/>
  <c r="K9"/>
  <c r="K13" s="1"/>
  <c r="J9"/>
  <c r="J13" s="1"/>
  <c r="I9"/>
  <c r="I13" s="1"/>
  <c r="H9"/>
  <c r="H13" s="1"/>
  <c r="G9"/>
  <c r="G13" s="1"/>
  <c r="F9"/>
  <c r="F13" s="1"/>
  <c r="E9"/>
  <c r="D9"/>
  <c r="D13" s="1"/>
  <c r="C9"/>
  <c r="C13" s="1"/>
  <c r="B9"/>
  <c r="B13" s="1"/>
  <c r="M6"/>
  <c r="L6"/>
  <c r="K6"/>
  <c r="J6"/>
  <c r="I6"/>
  <c r="H6"/>
  <c r="G6"/>
  <c r="F6"/>
  <c r="E6"/>
  <c r="D6"/>
  <c r="C6"/>
  <c r="B6"/>
  <c r="N5"/>
  <c r="H12" i="9" s="1"/>
  <c r="I12" s="1"/>
  <c r="N4" i="1"/>
  <c r="H11" i="9" s="1"/>
  <c r="I11" s="1"/>
  <c r="N3" i="1"/>
  <c r="H10" i="9" s="1"/>
  <c r="I10" s="1"/>
  <c r="N2" i="1"/>
  <c r="H9" i="9" s="1"/>
  <c r="I9" s="1"/>
  <c r="G112" i="1" l="1"/>
  <c r="I23" i="9"/>
  <c r="I27" s="1"/>
  <c r="H27"/>
  <c r="AV112" i="1"/>
  <c r="J76"/>
  <c r="G115" s="1"/>
  <c r="I76"/>
  <c r="G116" s="1"/>
  <c r="E13"/>
  <c r="M13"/>
  <c r="M7" i="3"/>
  <c r="N10" i="1"/>
  <c r="G83" s="1"/>
  <c r="N6"/>
  <c r="H13" i="9" s="1"/>
  <c r="I13" s="1"/>
  <c r="H98" i="1" l="1"/>
  <c r="G111" s="1"/>
  <c r="G98"/>
  <c r="H29" i="9" s="1"/>
  <c r="I29" s="1"/>
  <c r="N9" i="1"/>
  <c r="H16" i="9" l="1"/>
  <c r="G99" i="1"/>
  <c r="G113" s="1"/>
  <c r="N13"/>
  <c r="I16" i="9" l="1"/>
  <c r="I32" s="1"/>
  <c r="AB112" i="1"/>
  <c r="AQ116" s="1"/>
  <c r="L117"/>
  <c r="AQ119" s="1"/>
  <c r="X117"/>
  <c r="AQ122" s="1"/>
  <c r="T122"/>
  <c r="AQ128" s="1"/>
  <c r="AJ122"/>
  <c r="AQ132" s="1"/>
  <c r="T127"/>
  <c r="AQ135" s="1"/>
  <c r="AJ127"/>
  <c r="AQ139" s="1"/>
  <c r="T112"/>
  <c r="AQ114" s="1"/>
  <c r="AJ112"/>
  <c r="AQ118" s="1"/>
  <c r="AB122"/>
  <c r="AQ130" s="1"/>
  <c r="L112"/>
  <c r="AQ112" s="1"/>
  <c r="X112"/>
  <c r="AQ115" s="1"/>
  <c r="T117"/>
  <c r="AQ121" s="1"/>
  <c r="P122"/>
  <c r="AQ127" s="1"/>
  <c r="P127"/>
  <c r="AQ134" s="1"/>
  <c r="AF127"/>
  <c r="AQ138" s="1"/>
  <c r="P112"/>
  <c r="AQ113" s="1"/>
  <c r="AF112"/>
  <c r="AQ117" s="1"/>
  <c r="AB117"/>
  <c r="AQ123" s="1"/>
  <c r="L122"/>
  <c r="AQ126" s="1"/>
  <c r="X122"/>
  <c r="AQ129" s="1"/>
  <c r="L127"/>
  <c r="AQ133" s="1"/>
  <c r="X127"/>
  <c r="AQ136" s="1"/>
  <c r="P117"/>
  <c r="AQ120" s="1"/>
  <c r="AF117"/>
  <c r="AQ124" s="1"/>
  <c r="AB127"/>
  <c r="AQ137" s="1"/>
  <c r="AJ117"/>
  <c r="AQ125" s="1"/>
  <c r="AF122"/>
  <c r="AQ131" s="1"/>
  <c r="G114" l="1"/>
  <c r="I33" i="9" l="1"/>
  <c r="H120" i="1"/>
  <c r="G119" s="1"/>
  <c r="G121" l="1"/>
  <c r="K87" s="1"/>
  <c r="I38" i="9"/>
  <c r="K85" i="1" l="1"/>
  <c r="AZ115" s="1"/>
  <c r="BA115" s="1"/>
  <c r="AV113"/>
  <c r="G123" s="1"/>
  <c r="I40" i="9" s="1"/>
  <c r="G122" i="1"/>
  <c r="I39" i="9" s="1"/>
  <c r="K86" i="1"/>
  <c r="AZ116" l="1"/>
  <c r="BA116" s="1"/>
  <c r="AZ117"/>
  <c r="BA117" s="1"/>
  <c r="AT115" l="1"/>
  <c r="G124" s="1"/>
  <c r="G125" l="1"/>
  <c r="G127" s="1"/>
  <c r="I43" i="9" s="1"/>
  <c r="I41"/>
</calcChain>
</file>

<file path=xl/comments1.xml><?xml version="1.0" encoding="utf-8"?>
<comments xmlns="http://schemas.openxmlformats.org/spreadsheetml/2006/main">
  <authors>
    <author>zankar</author>
  </authors>
  <commentList>
    <comment ref="G123" authorId="0">
      <text>
        <r>
          <rPr>
            <sz val="8"/>
            <color indexed="81"/>
            <rFont val="Tahoma"/>
            <family val="2"/>
          </rPr>
          <t>Calculate interest in case of default in payment of advance tax as per IT Act. Round off interest amount to the nearest rupee</t>
        </r>
      </text>
    </comment>
    <comment ref="G124" authorId="0">
      <text>
        <r>
          <rPr>
            <sz val="8"/>
            <color indexed="81"/>
            <rFont val="Tahoma"/>
            <family val="2"/>
          </rPr>
          <t>Calculate interest in case of default in payment of appropriate instalment of advance tax as per IT Act. Round off interest amount to the nearest rupee.</t>
        </r>
      </text>
    </comment>
  </commentList>
</comments>
</file>

<file path=xl/sharedStrings.xml><?xml version="1.0" encoding="utf-8"?>
<sst xmlns="http://schemas.openxmlformats.org/spreadsheetml/2006/main" count="269" uniqueCount="170">
  <si>
    <t>MONTH</t>
  </si>
  <si>
    <t>Total</t>
  </si>
  <si>
    <t>Basic Salary</t>
  </si>
  <si>
    <t>HRA recd from Company</t>
  </si>
  <si>
    <t>Rent paid</t>
  </si>
  <si>
    <t>Conveyance allowance paid</t>
  </si>
  <si>
    <t>Conveyance allowance exempted</t>
  </si>
  <si>
    <t>Perquisties &amp; others income</t>
  </si>
  <si>
    <t>Other income</t>
  </si>
  <si>
    <t>Total gross salary</t>
  </si>
  <si>
    <t>EPF 12% of basic salary</t>
  </si>
  <si>
    <t>Total Income</t>
  </si>
  <si>
    <t>Tds deducted</t>
  </si>
  <si>
    <t>Net salary paid</t>
  </si>
  <si>
    <t>Deductions under chapter VI-A</t>
  </si>
  <si>
    <t>Amounts</t>
  </si>
  <si>
    <t>Less: Deduction u/s 80 D</t>
  </si>
  <si>
    <t>Medical Insurance Premium (Mediclaim) Deduction restricted Rs. 15,000/- (Additional Rs.15,000/- if paid for SC Parents)&amp; for Senior citizen Rs. 20,000/-</t>
  </si>
  <si>
    <t>Less: Deduction u/s 80 C/80CCC/80CCD</t>
  </si>
  <si>
    <t>Provident Fund Contribution (PF) - Previous Employer</t>
  </si>
  <si>
    <t xml:space="preserve">Provident Fund Contribution (PF) </t>
  </si>
  <si>
    <t>Insurance Premium (LIC)</t>
  </si>
  <si>
    <t>Public Provident Fund Contribution (PPF)</t>
  </si>
  <si>
    <t>National Savings Certificates (NSC)</t>
  </si>
  <si>
    <t>Repayment of Housing Loan - Principal Amount</t>
  </si>
  <si>
    <t>Tuition Fees (subject to maximum of  2 child)</t>
  </si>
  <si>
    <t>Unit Linked Insurance Plan (ULIP)</t>
  </si>
  <si>
    <t xml:space="preserve">Contribution to Pension Fund </t>
  </si>
  <si>
    <t>Annuity Plan of LIC</t>
  </si>
  <si>
    <t>Infrastructure / Tax Saving Bonds</t>
  </si>
  <si>
    <t>Fixed Deposit with Bank (Eligible for Tax Deduction)</t>
  </si>
  <si>
    <t>Deposit under Senior Citizens Saving Scheme Rules, 2004</t>
  </si>
  <si>
    <t>Time Deposits under P.O. time Deposit Rules, 1981</t>
  </si>
  <si>
    <t>Contribution to Mutual Fund Equity Linked Savings Scheme (ELSS)</t>
  </si>
  <si>
    <t>Net qualifiying amount (subject to maximum Rs. 1 Lac)</t>
  </si>
  <si>
    <t>Total Deductions 80C</t>
  </si>
  <si>
    <t xml:space="preserve"> Deductions</t>
  </si>
  <si>
    <t>Male</t>
  </si>
  <si>
    <t>Income From Others Sourse</t>
  </si>
  <si>
    <t>Income From</t>
  </si>
  <si>
    <t>Agariculture Income</t>
  </si>
  <si>
    <t>Exemptions</t>
  </si>
  <si>
    <t xml:space="preserve">INCOME FOR DIVIDEND </t>
  </si>
  <si>
    <t>Total Income Exemptions</t>
  </si>
  <si>
    <t>Capital Ganis</t>
  </si>
  <si>
    <t>Scrip Name</t>
  </si>
  <si>
    <t>Nos</t>
  </si>
  <si>
    <t>Purchase</t>
  </si>
  <si>
    <t>Selling</t>
  </si>
  <si>
    <t>LT/
ST</t>
  </si>
  <si>
    <t>Gains</t>
  </si>
  <si>
    <t>Long Term Tax Rate</t>
  </si>
  <si>
    <t>ShortTerm Tax Rate</t>
  </si>
  <si>
    <t>Price</t>
  </si>
  <si>
    <t>Date</t>
  </si>
  <si>
    <t>TOTAL</t>
  </si>
  <si>
    <t>Long Term Capital Gain</t>
  </si>
  <si>
    <t xml:space="preserve">Total </t>
  </si>
  <si>
    <t>Short Term Capital Gain</t>
  </si>
  <si>
    <t>Net Income</t>
  </si>
  <si>
    <t>Less:- DEDUCTIONS</t>
  </si>
  <si>
    <t xml:space="preserve">Tax payable on Total Income </t>
  </si>
  <si>
    <t>Tax Payable - Short Term Capital Gain @ 15%</t>
  </si>
  <si>
    <t>Tax Payable - Long Term Capital Gain @ 20%</t>
  </si>
  <si>
    <t>Less Tax :- Agariculture Income</t>
  </si>
  <si>
    <t xml:space="preserve">Less Tax :- Deduction Under Section 87A (f.y.2013-to </t>
  </si>
  <si>
    <t>Education Cess, including secondary and higher secondary cess on 8</t>
  </si>
  <si>
    <t>Less :- Advance Tax Paid</t>
  </si>
  <si>
    <t xml:space="preserve">Total tax and education cess (payable) </t>
  </si>
  <si>
    <t>Interest payable u/s 234 A</t>
  </si>
  <si>
    <t>Interest payable u/s 234 B</t>
  </si>
  <si>
    <t>Interest payable u/s 234 C</t>
  </si>
  <si>
    <t>Total Interest u/s 234A 234B 234C</t>
  </si>
  <si>
    <t xml:space="preserve"> Tds as per from 16</t>
  </si>
  <si>
    <t>Total Tax and Interest Payable</t>
  </si>
  <si>
    <t>2013-2014</t>
  </si>
  <si>
    <t>MALE</t>
  </si>
  <si>
    <t>2012-2013</t>
  </si>
  <si>
    <t>2011-2012</t>
  </si>
  <si>
    <t>2010-2011</t>
  </si>
  <si>
    <t>2009-2010</t>
  </si>
  <si>
    <t>2008-2009</t>
  </si>
  <si>
    <t>2007-2008</t>
  </si>
  <si>
    <t>Female</t>
  </si>
  <si>
    <t>2013-14</t>
  </si>
  <si>
    <t>2012-13</t>
  </si>
  <si>
    <t>2011-12</t>
  </si>
  <si>
    <t>2010-11</t>
  </si>
  <si>
    <t>FEMALE</t>
  </si>
  <si>
    <t>Senior Citizen</t>
  </si>
  <si>
    <t>Super Senior Citizen</t>
  </si>
  <si>
    <t>2009-10</t>
  </si>
  <si>
    <t>2008-09</t>
  </si>
  <si>
    <t>2007-08</t>
  </si>
  <si>
    <t>2014-2015</t>
  </si>
  <si>
    <t>NAME :-</t>
  </si>
  <si>
    <t>FATHER'S NAME :-</t>
  </si>
  <si>
    <t>DATE OF BIRTH :-</t>
  </si>
  <si>
    <t>INCOME TAX WARD :-</t>
  </si>
  <si>
    <t>ASSESSMENT YEAR :-</t>
  </si>
  <si>
    <t>PAN CARD NO :-</t>
  </si>
  <si>
    <t>FINANCAIL YEAR :-</t>
  </si>
  <si>
    <t>STATUS :-</t>
  </si>
  <si>
    <t>BANK</t>
  </si>
  <si>
    <t>BRANCH</t>
  </si>
  <si>
    <t>A/C NO.</t>
  </si>
  <si>
    <t>MICR CODE</t>
  </si>
  <si>
    <t>BANK DETAIL</t>
  </si>
  <si>
    <t>ADDRESS :-</t>
  </si>
  <si>
    <t>A.Y</t>
  </si>
  <si>
    <t>F.Y</t>
  </si>
  <si>
    <t>AGE:-</t>
  </si>
  <si>
    <t>FULL NAME:-</t>
  </si>
  <si>
    <t>SURENAME:-</t>
  </si>
  <si>
    <t>Name :-</t>
  </si>
  <si>
    <t>Address:-</t>
  </si>
  <si>
    <t>Pan Card:-</t>
  </si>
  <si>
    <t>Email ID:-</t>
  </si>
  <si>
    <t>Final Year:-</t>
  </si>
  <si>
    <t>Birth Of Date :-</t>
  </si>
  <si>
    <t>Ass. Year:-</t>
  </si>
  <si>
    <t>Income From Salary</t>
  </si>
  <si>
    <t>EMAIL.ID:-</t>
  </si>
  <si>
    <t>GANDHIDHAM,2-WARD</t>
  </si>
  <si>
    <t>pradipvashiyani15032013@gmail.com</t>
  </si>
  <si>
    <t>Due Date of Return Filling:-</t>
  </si>
  <si>
    <t>Return Filed On:-</t>
  </si>
  <si>
    <t>Tax Payable</t>
  </si>
  <si>
    <t>Paid</t>
  </si>
  <si>
    <t>Sep</t>
  </si>
  <si>
    <t>Dec</t>
  </si>
  <si>
    <t>March</t>
  </si>
  <si>
    <t>Advance Tax Payable</t>
  </si>
  <si>
    <t>Prof Tax</t>
  </si>
  <si>
    <t>Gross Net Income</t>
  </si>
  <si>
    <r>
      <rPr>
        <sz val="11"/>
        <color indexed="10"/>
        <rFont val="Tahoma"/>
        <family val="2"/>
      </rPr>
      <t>(80-TTA)</t>
    </r>
    <r>
      <rPr>
        <sz val="11"/>
        <color theme="1"/>
        <rFont val="Calibri"/>
        <family val="2"/>
        <scheme val="minor"/>
      </rPr>
      <t xml:space="preserve"> INTEREST RECD FROM BANK    </t>
    </r>
    <r>
      <rPr>
        <sz val="11"/>
        <color indexed="10"/>
        <rFont val="Tahoma"/>
        <family val="2"/>
      </rPr>
      <t>MAX RS.10,000/-</t>
    </r>
  </si>
  <si>
    <r>
      <rPr>
        <sz val="11"/>
        <color indexed="10"/>
        <rFont val="Tahoma"/>
        <family val="2"/>
      </rPr>
      <t xml:space="preserve">(80-G) </t>
    </r>
    <r>
      <rPr>
        <sz val="11"/>
        <color theme="1"/>
        <rFont val="Tahoma"/>
        <family val="2"/>
      </rPr>
      <t xml:space="preserve">Rajiv Gandhi Equity Savings Scheme   </t>
    </r>
    <r>
      <rPr>
        <sz val="11"/>
        <color indexed="10"/>
        <rFont val="Tahoma"/>
        <family val="2"/>
      </rPr>
      <t>50%  Allowed</t>
    </r>
  </si>
  <si>
    <r>
      <rPr>
        <sz val="11"/>
        <color indexed="10"/>
        <rFont val="Tahoma"/>
        <family val="2"/>
      </rPr>
      <t>(80-E)</t>
    </r>
    <r>
      <rPr>
        <sz val="11"/>
        <color theme="1"/>
        <rFont val="Tahoma"/>
        <family val="2"/>
      </rPr>
      <t xml:space="preserve"> Unterest Paid to Education Loan   </t>
    </r>
    <r>
      <rPr>
        <sz val="11"/>
        <color indexed="10"/>
        <rFont val="Tahoma"/>
        <family val="2"/>
      </rPr>
      <t>100%  Allowed</t>
    </r>
  </si>
  <si>
    <r>
      <rPr>
        <sz val="11"/>
        <color indexed="10"/>
        <rFont val="Tahoma"/>
        <family val="2"/>
      </rPr>
      <t xml:space="preserve">(80-G) </t>
    </r>
    <r>
      <rPr>
        <sz val="11"/>
        <color theme="1"/>
        <rFont val="Tahoma"/>
        <family val="2"/>
      </rPr>
      <t xml:space="preserve">Donations                                  </t>
    </r>
    <r>
      <rPr>
        <sz val="11"/>
        <color indexed="10"/>
        <rFont val="Tahoma"/>
        <family val="2"/>
      </rPr>
      <t>100%  Allowed</t>
    </r>
  </si>
  <si>
    <r>
      <rPr>
        <sz val="11"/>
        <color indexed="10"/>
        <rFont val="Tahoma"/>
        <family val="2"/>
      </rPr>
      <t>(80DD)</t>
    </r>
    <r>
      <rPr>
        <sz val="11"/>
        <color theme="1"/>
        <rFont val="Tahoma"/>
        <family val="2"/>
      </rPr>
      <t xml:space="preserve">  Maintenance of Handicapped Dependant  </t>
    </r>
    <r>
      <rPr>
        <sz val="11"/>
        <color indexed="10"/>
        <rFont val="Tahoma"/>
        <family val="2"/>
      </rPr>
      <t>MAX RS.50,000/-</t>
    </r>
  </si>
  <si>
    <r>
      <rPr>
        <sz val="11"/>
        <color indexed="10"/>
        <rFont val="Tahoma"/>
        <family val="2"/>
      </rPr>
      <t>(80DDB)</t>
    </r>
    <r>
      <rPr>
        <sz val="11"/>
        <color theme="1"/>
        <rFont val="Tahoma"/>
        <family val="2"/>
      </rPr>
      <t xml:space="preserve">  Medical Treatment for Specified diseases </t>
    </r>
    <r>
      <rPr>
        <sz val="11"/>
        <color indexed="10"/>
        <rFont val="Tahoma"/>
        <family val="2"/>
      </rPr>
      <t>MAX RS.60,000/-</t>
    </r>
  </si>
  <si>
    <r>
      <rPr>
        <sz val="11"/>
        <color indexed="10"/>
        <rFont val="Tahoma"/>
        <family val="2"/>
      </rPr>
      <t>(80GG)</t>
    </r>
    <r>
      <rPr>
        <sz val="11"/>
        <color theme="1"/>
        <rFont val="Tahoma"/>
        <family val="2"/>
      </rPr>
      <t xml:space="preserve"> Permanent Disability                                </t>
    </r>
    <r>
      <rPr>
        <sz val="11"/>
        <color indexed="10"/>
        <rFont val="Tahoma"/>
        <family val="2"/>
      </rPr>
      <t>MAX RS.75,000/-</t>
    </r>
  </si>
  <si>
    <t>INCOME FROM HOUSE PROPERTY</t>
  </si>
  <si>
    <t>TOTAL INCOME</t>
  </si>
  <si>
    <t>Rent Recived</t>
  </si>
  <si>
    <t>Tax Paid</t>
  </si>
  <si>
    <t>30% standred</t>
  </si>
  <si>
    <t>Name Income House Property</t>
  </si>
  <si>
    <t>Intrest Paid</t>
  </si>
  <si>
    <t>Income From SKY LINK</t>
  </si>
  <si>
    <t>Income From SHIV PETROLEUMS</t>
  </si>
  <si>
    <t>Income From ROHIT TOURS &amp; TRAVELS</t>
  </si>
  <si>
    <t>Income From SHARMA GEST HOUSE</t>
  </si>
  <si>
    <t>Income From TAX SAVAR</t>
  </si>
  <si>
    <t>Income From HUTCH TOWER</t>
  </si>
  <si>
    <t>Income From CLS IND</t>
  </si>
  <si>
    <t>Income From PARMANAD C SHARMA</t>
  </si>
  <si>
    <t>TAX SAVAR</t>
  </si>
  <si>
    <t>BSLPK9318P</t>
  </si>
  <si>
    <t xml:space="preserve">Statement Of Income </t>
  </si>
  <si>
    <t>Actuals</t>
  </si>
  <si>
    <t>Allowed</t>
  </si>
  <si>
    <t>Income House Property</t>
  </si>
  <si>
    <t>Income From House Property</t>
  </si>
  <si>
    <r>
      <t xml:space="preserve">Profession Tax                                       </t>
    </r>
    <r>
      <rPr>
        <sz val="11"/>
        <color indexed="10"/>
        <rFont val="Tahoma"/>
        <family val="2"/>
      </rPr>
      <t>MAX RS.2,500/-</t>
    </r>
  </si>
  <si>
    <t>Less: Deduction Others</t>
  </si>
  <si>
    <t>Add:- Education Cess</t>
  </si>
  <si>
    <t>Less :- Advance Tax Paid &amp; TDS From 16</t>
  </si>
  <si>
    <t>INTEREST RECD FROM BANK</t>
  </si>
  <si>
    <t>Income From C.L.S.R.</t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</si>
</sst>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_ * #,##0.00_ ;_ * \-#,##0.00_ ;_ * &quot;-&quot;??_ ;_ @_ "/>
    <numFmt numFmtId="165" formatCode="[$-409]mmm/yy;@"/>
    <numFmt numFmtId="166" formatCode="_(* #,##0_);_(* \(#,##0\);_(* &quot;-&quot;??_);_(@_)"/>
    <numFmt numFmtId="167" formatCode="&quot;$&quot;#,##0.00"/>
    <numFmt numFmtId="168" formatCode="[$-14009]dd/mm/yy;@"/>
    <numFmt numFmtId="169" formatCode="[$-14009]d\ mmmm\ yyyy;@"/>
    <numFmt numFmtId="170" formatCode="dd/mmm/yyyy"/>
    <numFmt numFmtId="171" formatCode="[$-F800]dddd\,\ mmmm\ dd\,\ yyyy"/>
    <numFmt numFmtId="172" formatCode="#,###,###"/>
    <numFmt numFmtId="173" formatCode="_ * #,##0_ ;_ * \-#,##0_ ;_ * &quot;-&quot;??_ ;_ @_ "/>
  </numFmts>
  <fonts count="43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FF0000"/>
      <name val="Tahoma"/>
      <family val="2"/>
    </font>
    <font>
      <sz val="11"/>
      <color indexed="10"/>
      <name val="Tahoma"/>
      <family val="2"/>
    </font>
    <font>
      <b/>
      <sz val="11"/>
      <name val="Times New Roman"/>
      <family val="1"/>
    </font>
    <font>
      <b/>
      <u/>
      <sz val="11"/>
      <color theme="1"/>
      <name val="Tahoma"/>
      <family val="2"/>
    </font>
    <font>
      <b/>
      <sz val="11"/>
      <color indexed="48"/>
      <name val="Times New Roman"/>
      <family val="1"/>
    </font>
    <font>
      <sz val="8"/>
      <color indexed="81"/>
      <name val="Tahoma"/>
      <family val="2"/>
    </font>
    <font>
      <sz val="8"/>
      <color theme="1"/>
      <name val="Tahoma"/>
      <family val="2"/>
    </font>
    <font>
      <u/>
      <sz val="10"/>
      <color theme="1"/>
      <name val="Tahoma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u/>
      <sz val="11"/>
      <color theme="10"/>
      <name val="Calibri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Tahoma"/>
      <family val="2"/>
    </font>
    <font>
      <b/>
      <u/>
      <sz val="11"/>
      <name val="Tahoma"/>
      <family val="2"/>
    </font>
    <font>
      <sz val="11"/>
      <name val="Tahoma"/>
      <family val="2"/>
    </font>
    <font>
      <b/>
      <sz val="10"/>
      <name val="Times New Roman"/>
      <family val="1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b/>
      <sz val="11"/>
      <color theme="1"/>
      <name val="Times New Roman"/>
      <family val="1"/>
    </font>
    <font>
      <b/>
      <i/>
      <u/>
      <sz val="14"/>
      <color theme="1"/>
      <name val="Calisto MT"/>
      <family val="1"/>
    </font>
    <font>
      <b/>
      <u/>
      <sz val="16"/>
      <color theme="1"/>
      <name val="Calisto MT"/>
      <family val="1"/>
    </font>
    <font>
      <sz val="11"/>
      <color theme="1"/>
      <name val="Calisto MT"/>
      <family val="1"/>
    </font>
    <font>
      <u/>
      <sz val="11"/>
      <color theme="1"/>
      <name val="Calisto MT"/>
      <family val="1"/>
    </font>
    <font>
      <u val="singleAccounting"/>
      <sz val="11"/>
      <color theme="1"/>
      <name val="Calisto MT"/>
      <family val="1"/>
    </font>
    <font>
      <b/>
      <sz val="11"/>
      <color theme="1"/>
      <name val="Calisto MT"/>
      <family val="1"/>
    </font>
    <font>
      <b/>
      <u/>
      <sz val="11"/>
      <color theme="1"/>
      <name val="Calisto MT"/>
      <family val="1"/>
    </font>
    <font>
      <u/>
      <sz val="14"/>
      <color theme="1"/>
      <name val="Calisto MT"/>
      <family val="1"/>
    </font>
    <font>
      <sz val="11"/>
      <color theme="9" tint="0.3999755851924192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CC47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0" fillId="0" borderId="5" xfId="0" applyBorder="1"/>
    <xf numFmtId="166" fontId="13" fillId="5" borderId="5" xfId="0" applyNumberFormat="1" applyFont="1" applyFill="1" applyBorder="1" applyAlignment="1">
      <alignment horizontal="center" vertical="center" readingOrder="1"/>
    </xf>
    <xf numFmtId="166" fontId="17" fillId="7" borderId="0" xfId="1" applyNumberFormat="1" applyFont="1" applyFill="1"/>
    <xf numFmtId="0" fontId="0" fillId="0" borderId="0" xfId="0" applyFont="1"/>
    <xf numFmtId="0" fontId="18" fillId="10" borderId="5" xfId="0" applyFont="1" applyFill="1" applyBorder="1"/>
    <xf numFmtId="0" fontId="18" fillId="10" borderId="5" xfId="0" applyFont="1" applyFill="1" applyBorder="1" applyAlignment="1">
      <alignment horizontal="left"/>
    </xf>
    <xf numFmtId="0" fontId="18" fillId="9" borderId="5" xfId="0" applyFont="1" applyFill="1" applyBorder="1"/>
    <xf numFmtId="0" fontId="18" fillId="9" borderId="0" xfId="0" applyFont="1" applyFill="1" applyBorder="1"/>
    <xf numFmtId="0" fontId="18" fillId="10" borderId="0" xfId="0" applyFont="1" applyFill="1" applyBorder="1"/>
    <xf numFmtId="0" fontId="17" fillId="10" borderId="0" xfId="0" applyFont="1" applyFill="1"/>
    <xf numFmtId="0" fontId="17" fillId="0" borderId="5" xfId="0" applyFont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43" fontId="17" fillId="0" borderId="5" xfId="1" applyNumberFormat="1" applyFont="1" applyBorder="1" applyAlignment="1">
      <alignment horizontal="center"/>
    </xf>
    <xf numFmtId="166" fontId="17" fillId="0" borderId="5" xfId="1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166" fontId="17" fillId="0" borderId="5" xfId="0" applyNumberFormat="1" applyFont="1" applyBorder="1" applyAlignment="1">
      <alignment horizontal="center"/>
    </xf>
    <xf numFmtId="0" fontId="17" fillId="9" borderId="5" xfId="0" applyFont="1" applyFill="1" applyBorder="1" applyAlignment="1">
      <alignment horizontal="center"/>
    </xf>
    <xf numFmtId="0" fontId="0" fillId="7" borderId="0" xfId="0" applyFill="1"/>
    <xf numFmtId="0" fontId="8" fillId="0" borderId="0" xfId="0" applyFont="1"/>
    <xf numFmtId="0" fontId="0" fillId="11" borderId="0" xfId="0" applyFill="1"/>
    <xf numFmtId="170" fontId="0" fillId="12" borderId="0" xfId="0" applyNumberFormat="1" applyFill="1"/>
    <xf numFmtId="22" fontId="0" fillId="0" borderId="0" xfId="0" applyNumberFormat="1"/>
    <xf numFmtId="2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Border="1"/>
    <xf numFmtId="0" fontId="0" fillId="0" borderId="18" xfId="0" applyBorder="1"/>
    <xf numFmtId="0" fontId="6" fillId="0" borderId="0" xfId="0" applyFont="1"/>
    <xf numFmtId="169" fontId="7" fillId="0" borderId="0" xfId="0" applyNumberFormat="1" applyFont="1" applyAlignment="1" applyProtection="1">
      <alignment horizontal="left"/>
      <protection locked="0"/>
    </xf>
    <xf numFmtId="0" fontId="21" fillId="0" borderId="0" xfId="2" applyAlignment="1" applyProtection="1">
      <protection locked="0"/>
    </xf>
    <xf numFmtId="0" fontId="0" fillId="0" borderId="0" xfId="0" applyProtection="1">
      <protection locked="0"/>
    </xf>
    <xf numFmtId="169" fontId="5" fillId="0" borderId="0" xfId="0" applyNumberFormat="1" applyFont="1" applyAlignment="1" applyProtection="1">
      <alignment horizontal="left"/>
      <protection locked="0"/>
    </xf>
    <xf numFmtId="0" fontId="5" fillId="0" borderId="0" xfId="0" applyFont="1"/>
    <xf numFmtId="14" fontId="0" fillId="0" borderId="0" xfId="0" applyNumberFormat="1"/>
    <xf numFmtId="0" fontId="8" fillId="0" borderId="5" xfId="0" applyFont="1" applyBorder="1" applyAlignment="1">
      <alignment horizontal="center"/>
    </xf>
    <xf numFmtId="14" fontId="19" fillId="0" borderId="5" xfId="0" applyNumberFormat="1" applyFont="1" applyBorder="1" applyAlignment="1">
      <alignment horizontal="center"/>
    </xf>
    <xf numFmtId="166" fontId="19" fillId="0" borderId="5" xfId="1" applyNumberFormat="1" applyFont="1" applyBorder="1" applyAlignment="1">
      <alignment horizontal="center"/>
    </xf>
    <xf numFmtId="166" fontId="20" fillId="0" borderId="5" xfId="1" applyNumberFormat="1" applyFont="1" applyBorder="1" applyAlignment="1">
      <alignment horizontal="center"/>
    </xf>
    <xf numFmtId="172" fontId="0" fillId="0" borderId="0" xfId="0" applyNumberFormat="1"/>
    <xf numFmtId="166" fontId="0" fillId="0" borderId="0" xfId="0" applyNumberFormat="1"/>
    <xf numFmtId="169" fontId="7" fillId="0" borderId="0" xfId="0" applyNumberFormat="1" applyFont="1" applyAlignment="1" applyProtection="1">
      <alignment horizontal="left"/>
    </xf>
    <xf numFmtId="0" fontId="3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/>
    </xf>
    <xf numFmtId="165" fontId="14" fillId="2" borderId="2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166" fontId="3" fillId="3" borderId="5" xfId="1" applyNumberFormat="1" applyFont="1" applyFill="1" applyBorder="1" applyProtection="1">
      <protection locked="0"/>
    </xf>
    <xf numFmtId="166" fontId="3" fillId="2" borderId="6" xfId="0" applyNumberFormat="1" applyFont="1" applyFill="1" applyBorder="1"/>
    <xf numFmtId="166" fontId="3" fillId="2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166" fontId="3" fillId="2" borderId="8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wrapText="1"/>
    </xf>
    <xf numFmtId="166" fontId="3" fillId="2" borderId="8" xfId="1" applyNumberFormat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left"/>
    </xf>
    <xf numFmtId="166" fontId="3" fillId="2" borderId="6" xfId="0" applyNumberFormat="1" applyFont="1" applyFill="1" applyBorder="1" applyAlignment="1">
      <alignment horizontal="center" vertical="center"/>
    </xf>
    <xf numFmtId="166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166" fontId="3" fillId="2" borderId="5" xfId="0" applyNumberFormat="1" applyFont="1" applyFill="1" applyBorder="1"/>
    <xf numFmtId="0" fontId="13" fillId="2" borderId="5" xfId="0" applyFont="1" applyFill="1" applyBorder="1" applyAlignment="1">
      <alignment vertical="center" readingOrder="1"/>
    </xf>
    <xf numFmtId="49" fontId="3" fillId="3" borderId="5" xfId="0" applyNumberFormat="1" applyFont="1" applyFill="1" applyBorder="1" applyAlignment="1">
      <alignment horizontal="center"/>
    </xf>
    <xf numFmtId="49" fontId="3" fillId="8" borderId="5" xfId="0" applyNumberFormat="1" applyFont="1" applyFill="1" applyBorder="1" applyProtection="1">
      <protection locked="0"/>
    </xf>
    <xf numFmtId="43" fontId="3" fillId="8" borderId="5" xfId="1" applyNumberFormat="1" applyFont="1" applyFill="1" applyBorder="1" applyProtection="1">
      <protection locked="0"/>
    </xf>
    <xf numFmtId="43" fontId="3" fillId="3" borderId="5" xfId="1" applyNumberFormat="1" applyFont="1" applyFill="1" applyBorder="1" applyProtection="1">
      <protection locked="0"/>
    </xf>
    <xf numFmtId="168" fontId="3" fillId="3" borderId="5" xfId="0" applyNumberFormat="1" applyFont="1" applyFill="1" applyBorder="1" applyProtection="1">
      <protection locked="0"/>
    </xf>
    <xf numFmtId="43" fontId="3" fillId="3" borderId="5" xfId="1" applyNumberFormat="1" applyFont="1" applyFill="1" applyBorder="1" applyAlignment="1" applyProtection="1">
      <alignment horizontal="center"/>
      <protection locked="0"/>
    </xf>
    <xf numFmtId="43" fontId="3" fillId="9" borderId="5" xfId="1" applyNumberFormat="1" applyFont="1" applyFill="1" applyBorder="1"/>
    <xf numFmtId="166" fontId="3" fillId="5" borderId="13" xfId="1" applyNumberFormat="1" applyFont="1" applyFill="1" applyBorder="1"/>
    <xf numFmtId="166" fontId="3" fillId="5" borderId="13" xfId="1" applyNumberFormat="1" applyFont="1" applyFill="1" applyBorder="1" applyProtection="1"/>
    <xf numFmtId="166" fontId="3" fillId="2" borderId="5" xfId="1" applyNumberFormat="1" applyFont="1" applyFill="1" applyBorder="1"/>
    <xf numFmtId="166" fontId="3" fillId="3" borderId="13" xfId="1" applyNumberFormat="1" applyFont="1" applyFill="1" applyBorder="1" applyProtection="1">
      <protection locked="0"/>
    </xf>
    <xf numFmtId="0" fontId="24" fillId="3" borderId="5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vertical="center"/>
    </xf>
    <xf numFmtId="172" fontId="25" fillId="2" borderId="10" xfId="0" applyNumberFormat="1" applyFont="1" applyFill="1" applyBorder="1" applyAlignment="1" applyProtection="1"/>
    <xf numFmtId="172" fontId="26" fillId="3" borderId="10" xfId="0" applyNumberFormat="1" applyFont="1" applyFill="1" applyBorder="1" applyAlignment="1" applyProtection="1">
      <protection locked="0"/>
    </xf>
    <xf numFmtId="0" fontId="25" fillId="2" borderId="5" xfId="0" applyFont="1" applyFill="1" applyBorder="1" applyAlignment="1">
      <alignment vertical="center"/>
    </xf>
    <xf numFmtId="172" fontId="25" fillId="2" borderId="5" xfId="0" applyNumberFormat="1" applyFont="1" applyFill="1" applyBorder="1" applyAlignment="1" applyProtection="1"/>
    <xf numFmtId="0" fontId="13" fillId="4" borderId="0" xfId="0" applyFont="1" applyFill="1" applyBorder="1" applyAlignment="1">
      <alignment horizontal="center" vertical="center" readingOrder="1"/>
    </xf>
    <xf numFmtId="43" fontId="3" fillId="2" borderId="5" xfId="0" applyNumberFormat="1" applyFont="1" applyFill="1" applyBorder="1"/>
    <xf numFmtId="1" fontId="3" fillId="5" borderId="13" xfId="0" applyNumberFormat="1" applyFont="1" applyFill="1" applyBorder="1"/>
    <xf numFmtId="1" fontId="3" fillId="5" borderId="5" xfId="0" applyNumberFormat="1" applyFont="1" applyFill="1" applyBorder="1"/>
    <xf numFmtId="166" fontId="3" fillId="3" borderId="13" xfId="1" applyNumberFormat="1" applyFont="1" applyFill="1" applyBorder="1" applyAlignment="1" applyProtection="1">
      <alignment horizontal="center" vertical="center"/>
      <protection locked="0"/>
    </xf>
    <xf numFmtId="166" fontId="27" fillId="3" borderId="13" xfId="0" applyNumberFormat="1" applyFont="1" applyFill="1" applyBorder="1" applyAlignment="1">
      <alignment vertical="center" readingOrder="1"/>
    </xf>
    <xf numFmtId="166" fontId="3" fillId="3" borderId="5" xfId="0" applyNumberFormat="1" applyFont="1" applyFill="1" applyBorder="1"/>
    <xf numFmtId="173" fontId="3" fillId="5" borderId="5" xfId="1" applyNumberFormat="1" applyFont="1" applyFill="1" applyBorder="1"/>
    <xf numFmtId="173" fontId="15" fillId="6" borderId="5" xfId="1" applyNumberFormat="1" applyFont="1" applyFill="1" applyBorder="1" applyAlignment="1">
      <alignment vertical="center"/>
    </xf>
    <xf numFmtId="173" fontId="15" fillId="2" borderId="5" xfId="1" applyNumberFormat="1" applyFont="1" applyFill="1" applyBorder="1" applyAlignment="1" applyProtection="1">
      <alignment vertical="center"/>
    </xf>
    <xf numFmtId="173" fontId="15" fillId="2" borderId="5" xfId="1" applyNumberFormat="1" applyFont="1" applyFill="1" applyBorder="1" applyAlignment="1">
      <alignment vertical="center"/>
    </xf>
    <xf numFmtId="173" fontId="15" fillId="3" borderId="5" xfId="1" applyNumberFormat="1" applyFont="1" applyFill="1" applyBorder="1" applyAlignment="1" applyProtection="1">
      <alignment vertical="center"/>
    </xf>
    <xf numFmtId="173" fontId="22" fillId="2" borderId="5" xfId="1" applyNumberFormat="1" applyFont="1" applyFill="1" applyBorder="1" applyAlignment="1" applyProtection="1">
      <alignment vertical="center" wrapText="1"/>
    </xf>
    <xf numFmtId="173" fontId="22" fillId="3" borderId="5" xfId="1" applyNumberFormat="1" applyFont="1" applyFill="1" applyBorder="1" applyAlignment="1" applyProtection="1">
      <alignment vertical="center" wrapText="1"/>
    </xf>
    <xf numFmtId="173" fontId="13" fillId="2" borderId="5" xfId="1" applyNumberFormat="1" applyFont="1" applyFill="1" applyBorder="1" applyAlignment="1">
      <alignment horizontal="center" vertical="center" readingOrder="1"/>
    </xf>
    <xf numFmtId="0" fontId="3" fillId="9" borderId="5" xfId="0" applyFont="1" applyFill="1" applyBorder="1" applyAlignment="1" applyProtection="1">
      <alignment horizontal="center"/>
    </xf>
    <xf numFmtId="0" fontId="28" fillId="5" borderId="5" xfId="0" applyFont="1" applyFill="1" applyBorder="1" applyAlignment="1">
      <alignment horizontal="center" vertical="center" readingOrder="1"/>
    </xf>
    <xf numFmtId="0" fontId="27" fillId="5" borderId="5" xfId="0" applyFont="1" applyFill="1" applyBorder="1" applyAlignment="1">
      <alignment horizontal="center" vertical="center" readingOrder="1"/>
    </xf>
    <xf numFmtId="166" fontId="29" fillId="3" borderId="5" xfId="1" applyNumberFormat="1" applyFont="1" applyFill="1" applyBorder="1" applyAlignment="1" applyProtection="1">
      <alignment horizontal="center" vertical="center" readingOrder="1"/>
      <protection locked="0"/>
    </xf>
    <xf numFmtId="166" fontId="29" fillId="5" borderId="5" xfId="1" applyNumberFormat="1" applyFont="1" applyFill="1" applyBorder="1" applyAlignment="1">
      <alignment horizontal="center" vertical="center" readingOrder="1"/>
    </xf>
    <xf numFmtId="0" fontId="29" fillId="2" borderId="11" xfId="0" applyFont="1" applyFill="1" applyBorder="1" applyAlignment="1" applyProtection="1">
      <alignment horizontal="left" vertical="center" readingOrder="1"/>
      <protection locked="0"/>
    </xf>
    <xf numFmtId="0" fontId="29" fillId="5" borderId="11" xfId="0" applyFont="1" applyFill="1" applyBorder="1" applyAlignment="1">
      <alignment horizontal="center" vertical="center" readingOrder="1"/>
    </xf>
    <xf numFmtId="0" fontId="0" fillId="9" borderId="0" xfId="0" applyFont="1" applyFill="1"/>
    <xf numFmtId="0" fontId="0" fillId="9" borderId="0" xfId="0" applyFill="1"/>
    <xf numFmtId="0" fontId="2" fillId="2" borderId="4" xfId="0" applyFont="1" applyFill="1" applyBorder="1" applyAlignment="1">
      <alignment horizontal="center" wrapText="1"/>
    </xf>
    <xf numFmtId="0" fontId="32" fillId="13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166" fontId="32" fillId="3" borderId="5" xfId="1" applyNumberFormat="1" applyFont="1" applyFill="1" applyBorder="1" applyAlignment="1" applyProtection="1">
      <alignment horizontal="center" vertical="center" readingOrder="1"/>
      <protection locked="0"/>
    </xf>
    <xf numFmtId="166" fontId="32" fillId="3" borderId="5" xfId="1" applyNumberFormat="1" applyFont="1" applyFill="1" applyBorder="1" applyProtection="1">
      <protection locked="0"/>
    </xf>
    <xf numFmtId="166" fontId="32" fillId="3" borderId="8" xfId="1" applyNumberFormat="1" applyFont="1" applyFill="1" applyBorder="1" applyAlignment="1" applyProtection="1">
      <alignment horizontal="center"/>
      <protection locked="0"/>
    </xf>
    <xf numFmtId="166" fontId="32" fillId="3" borderId="8" xfId="1" applyNumberFormat="1" applyFont="1" applyFill="1" applyBorder="1" applyAlignment="1" applyProtection="1">
      <alignment horizontal="center"/>
      <protection locked="0" hidden="1"/>
    </xf>
    <xf numFmtId="173" fontId="32" fillId="3" borderId="4" xfId="1" applyNumberFormat="1" applyFont="1" applyFill="1" applyBorder="1" applyAlignment="1" applyProtection="1">
      <alignment wrapText="1"/>
      <protection locked="0"/>
    </xf>
    <xf numFmtId="173" fontId="32" fillId="3" borderId="4" xfId="1" applyNumberFormat="1" applyFont="1" applyFill="1" applyBorder="1" applyAlignment="1" applyProtection="1">
      <alignment wrapText="1"/>
    </xf>
    <xf numFmtId="173" fontId="31" fillId="2" borderId="4" xfId="1" applyNumberFormat="1" applyFont="1" applyFill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35" fillId="0" borderId="2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36" fillId="0" borderId="20" xfId="0" applyFont="1" applyBorder="1" applyAlignment="1">
      <alignment horizontal="left" vertical="top"/>
    </xf>
    <xf numFmtId="0" fontId="36" fillId="0" borderId="18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36" fillId="0" borderId="11" xfId="0" applyFont="1" applyBorder="1"/>
    <xf numFmtId="0" fontId="0" fillId="0" borderId="12" xfId="0" applyBorder="1"/>
    <xf numFmtId="0" fontId="0" fillId="0" borderId="13" xfId="0" applyBorder="1"/>
    <xf numFmtId="0" fontId="36" fillId="0" borderId="14" xfId="0" applyFont="1" applyBorder="1"/>
    <xf numFmtId="0" fontId="36" fillId="0" borderId="5" xfId="0" applyFont="1" applyBorder="1"/>
    <xf numFmtId="0" fontId="39" fillId="0" borderId="5" xfId="0" applyFont="1" applyBorder="1"/>
    <xf numFmtId="0" fontId="0" fillId="0" borderId="21" xfId="0" applyBorder="1"/>
    <xf numFmtId="0" fontId="0" fillId="0" borderId="17" xfId="0" applyBorder="1"/>
    <xf numFmtId="0" fontId="0" fillId="0" borderId="19" xfId="0" applyBorder="1"/>
    <xf numFmtId="0" fontId="36" fillId="0" borderId="17" xfId="0" applyFont="1" applyBorder="1"/>
    <xf numFmtId="0" fontId="36" fillId="0" borderId="13" xfId="0" applyFont="1" applyBorder="1" applyAlignment="1"/>
    <xf numFmtId="0" fontId="36" fillId="0" borderId="5" xfId="0" applyFont="1" applyBorder="1" applyAlignment="1"/>
    <xf numFmtId="0" fontId="0" fillId="0" borderId="20" xfId="0" applyBorder="1"/>
    <xf numFmtId="0" fontId="40" fillId="0" borderId="11" xfId="0" applyFont="1" applyBorder="1"/>
    <xf numFmtId="0" fontId="40" fillId="0" borderId="12" xfId="0" applyFont="1" applyBorder="1"/>
    <xf numFmtId="0" fontId="40" fillId="0" borderId="13" xfId="0" applyFont="1" applyBorder="1"/>
    <xf numFmtId="0" fontId="40" fillId="0" borderId="5" xfId="0" applyFont="1" applyBorder="1" applyAlignment="1"/>
    <xf numFmtId="0" fontId="42" fillId="9" borderId="0" xfId="0" applyFont="1" applyFill="1" applyProtection="1"/>
    <xf numFmtId="173" fontId="42" fillId="9" borderId="0" xfId="0" applyNumberFormat="1" applyFont="1" applyFill="1" applyProtection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66" fontId="19" fillId="0" borderId="5" xfId="1" applyNumberFormat="1" applyFont="1" applyBorder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24" fillId="3" borderId="1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 readingOrder="1"/>
    </xf>
    <xf numFmtId="0" fontId="29" fillId="3" borderId="12" xfId="0" applyFont="1" applyFill="1" applyBorder="1" applyAlignment="1">
      <alignment horizontal="center" vertical="center" readingOrder="1"/>
    </xf>
    <xf numFmtId="0" fontId="18" fillId="10" borderId="11" xfId="0" applyFont="1" applyFill="1" applyBorder="1" applyAlignment="1">
      <alignment horizontal="left"/>
    </xf>
    <xf numFmtId="0" fontId="18" fillId="10" borderId="13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32" fillId="14" borderId="5" xfId="0" applyFont="1" applyFill="1" applyBorder="1" applyAlignment="1">
      <alignment horizontal="left" vertical="center"/>
    </xf>
    <xf numFmtId="166" fontId="3" fillId="7" borderId="11" xfId="0" applyNumberFormat="1" applyFont="1" applyFill="1" applyBorder="1" applyAlignment="1">
      <alignment horizontal="left"/>
    </xf>
    <xf numFmtId="166" fontId="3" fillId="7" borderId="13" xfId="0" applyNumberFormat="1" applyFont="1" applyFill="1" applyBorder="1" applyAlignment="1">
      <alignment horizontal="left"/>
    </xf>
    <xf numFmtId="0" fontId="33" fillId="14" borderId="5" xfId="0" applyFont="1" applyFill="1" applyBorder="1" applyAlignment="1">
      <alignment horizontal="center" vertical="center" readingOrder="1"/>
    </xf>
    <xf numFmtId="0" fontId="2" fillId="5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13" fillId="5" borderId="5" xfId="0" applyFont="1" applyFill="1" applyBorder="1" applyAlignment="1">
      <alignment horizontal="center" vertical="center" readingOrder="1"/>
    </xf>
    <xf numFmtId="0" fontId="23" fillId="5" borderId="5" xfId="0" applyFont="1" applyFill="1" applyBorder="1" applyAlignment="1">
      <alignment horizontal="center" vertical="center" readingOrder="1"/>
    </xf>
    <xf numFmtId="0" fontId="30" fillId="2" borderId="5" xfId="0" applyFont="1" applyFill="1" applyBorder="1" applyAlignment="1">
      <alignment horizontal="left" vertical="center" readingOrder="1"/>
    </xf>
    <xf numFmtId="0" fontId="13" fillId="2" borderId="5" xfId="0" applyFont="1" applyFill="1" applyBorder="1" applyAlignment="1">
      <alignment horizontal="left" vertical="center" readingOrder="1"/>
    </xf>
    <xf numFmtId="0" fontId="3" fillId="5" borderId="1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166" fontId="3" fillId="3" borderId="8" xfId="1" applyNumberFormat="1" applyFont="1" applyFill="1" applyBorder="1" applyAlignment="1" applyProtection="1">
      <alignment horizontal="center" vertical="center"/>
      <protection locked="0"/>
    </xf>
    <xf numFmtId="166" fontId="3" fillId="3" borderId="10" xfId="1" applyNumberFormat="1" applyFont="1" applyFill="1" applyBorder="1" applyAlignment="1" applyProtection="1">
      <alignment horizontal="center" vertical="center"/>
      <protection locked="0"/>
    </xf>
    <xf numFmtId="166" fontId="3" fillId="2" borderId="8" xfId="1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3" fillId="5" borderId="11" xfId="0" applyFont="1" applyFill="1" applyBorder="1" applyAlignment="1">
      <alignment horizontal="center" vertical="center" readingOrder="1"/>
    </xf>
    <xf numFmtId="0" fontId="23" fillId="5" borderId="12" xfId="0" applyFont="1" applyFill="1" applyBorder="1" applyAlignment="1">
      <alignment horizontal="center" vertical="center" readingOrder="1"/>
    </xf>
    <xf numFmtId="0" fontId="23" fillId="5" borderId="13" xfId="0" applyFont="1" applyFill="1" applyBorder="1" applyAlignment="1">
      <alignment horizontal="center" vertical="center" readingOrder="1"/>
    </xf>
    <xf numFmtId="0" fontId="13" fillId="2" borderId="11" xfId="0" applyFont="1" applyFill="1" applyBorder="1" applyAlignment="1" applyProtection="1">
      <alignment horizontal="left" vertical="center" readingOrder="1"/>
      <protection locked="0"/>
    </xf>
    <xf numFmtId="0" fontId="13" fillId="2" borderId="12" xfId="0" applyFont="1" applyFill="1" applyBorder="1" applyAlignment="1" applyProtection="1">
      <alignment horizontal="left" vertical="center" readingOrder="1"/>
      <protection locked="0"/>
    </xf>
    <xf numFmtId="0" fontId="13" fillId="2" borderId="13" xfId="0" applyFont="1" applyFill="1" applyBorder="1" applyAlignment="1" applyProtection="1">
      <alignment horizontal="left" vertical="center" readingOrder="1"/>
      <protection locked="0"/>
    </xf>
    <xf numFmtId="0" fontId="13" fillId="5" borderId="11" xfId="0" applyFont="1" applyFill="1" applyBorder="1" applyAlignment="1">
      <alignment horizontal="center" vertical="center" readingOrder="1"/>
    </xf>
    <xf numFmtId="0" fontId="13" fillId="5" borderId="12" xfId="0" applyFont="1" applyFill="1" applyBorder="1" applyAlignment="1">
      <alignment horizontal="center" vertical="center" readingOrder="1"/>
    </xf>
    <xf numFmtId="0" fontId="13" fillId="5" borderId="13" xfId="0" applyFont="1" applyFill="1" applyBorder="1" applyAlignment="1">
      <alignment horizontal="center" vertical="center" readingOrder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167" fontId="3" fillId="5" borderId="5" xfId="0" applyNumberFormat="1" applyFont="1" applyFill="1" applyBorder="1" applyAlignment="1">
      <alignment horizontal="center" vertical="center"/>
    </xf>
    <xf numFmtId="167" fontId="3" fillId="5" borderId="8" xfId="0" applyNumberFormat="1" applyFont="1" applyFill="1" applyBorder="1" applyAlignment="1">
      <alignment horizontal="left" vertical="center" wrapText="1"/>
    </xf>
    <xf numFmtId="167" fontId="3" fillId="5" borderId="10" xfId="0" applyNumberFormat="1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wrapText="1"/>
    </xf>
    <xf numFmtId="166" fontId="32" fillId="8" borderId="5" xfId="1" applyNumberFormat="1" applyFont="1" applyFill="1" applyBorder="1" applyAlignment="1" applyProtection="1">
      <alignment horizontal="center" vertical="center"/>
      <protection locked="0"/>
    </xf>
    <xf numFmtId="166" fontId="0" fillId="5" borderId="5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left"/>
    </xf>
    <xf numFmtId="0" fontId="36" fillId="0" borderId="12" xfId="0" applyFont="1" applyBorder="1" applyAlignment="1">
      <alignment horizontal="left"/>
    </xf>
    <xf numFmtId="0" fontId="36" fillId="0" borderId="13" xfId="0" applyFont="1" applyBorder="1" applyAlignment="1">
      <alignment horizontal="left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36" fillId="0" borderId="0" xfId="0" applyFont="1" applyBorder="1" applyAlignment="1">
      <alignment horizontal="left" vertical="top" wrapText="1"/>
    </xf>
    <xf numFmtId="43" fontId="38" fillId="0" borderId="0" xfId="1" applyNumberFormat="1" applyFont="1" applyBorder="1" applyAlignment="1">
      <alignment horizontal="left" vertical="top" wrapText="1"/>
    </xf>
    <xf numFmtId="171" fontId="36" fillId="0" borderId="0" xfId="0" applyNumberFormat="1" applyFont="1" applyBorder="1" applyAlignment="1">
      <alignment horizontal="left"/>
    </xf>
    <xf numFmtId="0" fontId="36" fillId="0" borderId="2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6" fillId="0" borderId="21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ALARY!O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STAEMENT OF INCOME'!A1"/><Relationship Id="rId1" Type="http://schemas.openxmlformats.org/officeDocument/2006/relationships/hyperlink" Target="#'INCOME FROM RENT '!J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0</xdr:row>
      <xdr:rowOff>76200</xdr:rowOff>
    </xdr:from>
    <xdr:to>
      <xdr:col>9</xdr:col>
      <xdr:colOff>142875</xdr:colOff>
      <xdr:row>3</xdr:row>
      <xdr:rowOff>38100</xdr:rowOff>
    </xdr:to>
    <xdr:sp macro="" textlink="">
      <xdr:nvSpPr>
        <xdr:cNvPr id="4" name="Flowchart: Alternate Process 3">
          <a:hlinkClick xmlns:r="http://schemas.openxmlformats.org/officeDocument/2006/relationships" r:id="rId1"/>
        </xdr:cNvPr>
        <xdr:cNvSpPr/>
      </xdr:nvSpPr>
      <xdr:spPr>
        <a:xfrm>
          <a:off x="6457950" y="76200"/>
          <a:ext cx="1438275" cy="533400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Salary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488156</xdr:colOff>
      <xdr:row>0</xdr:row>
      <xdr:rowOff>130969</xdr:rowOff>
    </xdr:from>
    <xdr:to>
      <xdr:col>17</xdr:col>
      <xdr:colOff>559594</xdr:colOff>
      <xdr:row>4</xdr:row>
      <xdr:rowOff>142875</xdr:rowOff>
    </xdr:to>
    <xdr:sp macro="" textlink="">
      <xdr:nvSpPr>
        <xdr:cNvPr id="4" name="Flowchart: Alternate Process 3">
          <a:hlinkClick xmlns:r="http://schemas.openxmlformats.org/officeDocument/2006/relationships" r:id="rId1"/>
        </xdr:cNvPr>
        <xdr:cNvSpPr/>
      </xdr:nvSpPr>
      <xdr:spPr>
        <a:xfrm>
          <a:off x="11680031" y="130969"/>
          <a:ext cx="1893094" cy="773906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/>
            <a:t>Income From Rent</a:t>
          </a:r>
        </a:p>
      </xdr:txBody>
    </xdr:sp>
    <xdr:clientData/>
  </xdr:twoCellAnchor>
  <xdr:twoCellAnchor>
    <xdr:from>
      <xdr:col>9</xdr:col>
      <xdr:colOff>11907</xdr:colOff>
      <xdr:row>77</xdr:row>
      <xdr:rowOff>59531</xdr:rowOff>
    </xdr:from>
    <xdr:to>
      <xdr:col>11</xdr:col>
      <xdr:colOff>381000</xdr:colOff>
      <xdr:row>80</xdr:row>
      <xdr:rowOff>119063</xdr:rowOff>
    </xdr:to>
    <xdr:sp macro="" textlink="">
      <xdr:nvSpPr>
        <xdr:cNvPr id="8" name="Flowchart: Alternate Process 7">
          <a:hlinkClick xmlns:r="http://schemas.openxmlformats.org/officeDocument/2006/relationships" r:id="rId2"/>
        </xdr:cNvPr>
        <xdr:cNvSpPr/>
      </xdr:nvSpPr>
      <xdr:spPr>
        <a:xfrm>
          <a:off x="7536657" y="59531"/>
          <a:ext cx="1588293" cy="631032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/>
            <a:t>Tax Calculation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adipvashiyani15032013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image" Target="../media/image1.jpe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8"/>
  <sheetViews>
    <sheetView view="pageBreakPreview" zoomScaleSheetLayoutView="100" workbookViewId="0">
      <selection activeCell="B6" sqref="B6"/>
    </sheetView>
  </sheetViews>
  <sheetFormatPr defaultRowHeight="15"/>
  <cols>
    <col min="1" max="1" width="25.85546875" customWidth="1"/>
    <col min="2" max="2" width="19.7109375" bestFit="1" customWidth="1"/>
    <col min="3" max="3" width="11.7109375" customWidth="1"/>
    <col min="5" max="5" width="11.140625" customWidth="1"/>
    <col min="6" max="6" width="11.28515625" customWidth="1"/>
    <col min="11" max="11" width="19.140625" hidden="1" customWidth="1"/>
    <col min="12" max="12" width="9.7109375" hidden="1" customWidth="1"/>
    <col min="13" max="14" width="10.42578125" hidden="1" customWidth="1"/>
  </cols>
  <sheetData>
    <row r="1" spans="1:14">
      <c r="A1" s="24" t="s">
        <v>113</v>
      </c>
      <c r="B1" s="148"/>
      <c r="C1" s="147"/>
      <c r="D1" s="147"/>
      <c r="E1" s="24"/>
      <c r="F1" s="24"/>
      <c r="K1" t="s">
        <v>37</v>
      </c>
      <c r="L1" t="s">
        <v>82</v>
      </c>
      <c r="M1" s="34">
        <v>39690</v>
      </c>
      <c r="N1" s="34">
        <v>39539</v>
      </c>
    </row>
    <row r="2" spans="1:14">
      <c r="A2" s="19" t="s">
        <v>95</v>
      </c>
      <c r="B2" s="148"/>
      <c r="C2" s="147"/>
      <c r="D2" s="147"/>
      <c r="E2" s="24"/>
      <c r="F2" s="24"/>
      <c r="K2" t="s">
        <v>83</v>
      </c>
      <c r="L2" t="s">
        <v>81</v>
      </c>
      <c r="M2" s="34">
        <f t="shared" ref="M2:N4" si="0">+M1+365</f>
        <v>40055</v>
      </c>
      <c r="N2" s="34">
        <f t="shared" si="0"/>
        <v>39904</v>
      </c>
    </row>
    <row r="3" spans="1:14">
      <c r="A3" s="19" t="s">
        <v>96</v>
      </c>
      <c r="B3" s="148"/>
      <c r="C3" s="147"/>
      <c r="D3" s="147"/>
      <c r="E3" s="24"/>
      <c r="F3" s="24"/>
      <c r="K3" t="s">
        <v>89</v>
      </c>
      <c r="L3" t="s">
        <v>80</v>
      </c>
      <c r="M3" s="34">
        <f t="shared" si="0"/>
        <v>40420</v>
      </c>
      <c r="N3" s="34">
        <f t="shared" si="0"/>
        <v>40269</v>
      </c>
    </row>
    <row r="4" spans="1:14">
      <c r="A4" s="24" t="s">
        <v>112</v>
      </c>
      <c r="B4" s="149" t="str">
        <f>CONCATENATE($B1," ",B2," ",B3)</f>
        <v xml:space="preserve">  </v>
      </c>
      <c r="C4" s="149"/>
      <c r="D4" s="149"/>
      <c r="E4" s="149"/>
      <c r="F4" s="149"/>
      <c r="K4" t="s">
        <v>90</v>
      </c>
      <c r="L4" t="s">
        <v>79</v>
      </c>
      <c r="M4" s="34">
        <f t="shared" si="0"/>
        <v>40785</v>
      </c>
      <c r="N4" s="34">
        <f t="shared" si="0"/>
        <v>40634</v>
      </c>
    </row>
    <row r="5" spans="1:14">
      <c r="A5" s="19" t="s">
        <v>97</v>
      </c>
      <c r="B5" s="29">
        <v>28834</v>
      </c>
      <c r="L5" t="s">
        <v>78</v>
      </c>
      <c r="M5" s="34">
        <f>+M4+365+1</f>
        <v>41151</v>
      </c>
      <c r="N5" s="34">
        <f>+N4+365+1</f>
        <v>41000</v>
      </c>
    </row>
    <row r="6" spans="1:14">
      <c r="A6" s="19" t="s">
        <v>102</v>
      </c>
      <c r="B6" s="32" t="s">
        <v>37</v>
      </c>
      <c r="L6" t="s">
        <v>77</v>
      </c>
      <c r="M6" s="34">
        <f>+M5+365</f>
        <v>41516</v>
      </c>
      <c r="N6" s="34">
        <f>+N5+365</f>
        <v>41365</v>
      </c>
    </row>
    <row r="7" spans="1:14">
      <c r="A7" s="19" t="s">
        <v>108</v>
      </c>
      <c r="B7" s="146"/>
      <c r="C7" s="147"/>
      <c r="D7" s="147"/>
      <c r="E7" s="147"/>
      <c r="F7" s="147"/>
      <c r="K7" t="str">
        <f>CONCATENATE($B11," ",B6)</f>
        <v>2013-2014 Male</v>
      </c>
      <c r="L7" t="s">
        <v>75</v>
      </c>
      <c r="M7" s="34">
        <f>+M6+365</f>
        <v>41881</v>
      </c>
      <c r="N7" s="34">
        <f>+N6+365</f>
        <v>41730</v>
      </c>
    </row>
    <row r="8" spans="1:14">
      <c r="A8" s="24" t="s">
        <v>111</v>
      </c>
      <c r="B8" s="25">
        <f ca="1">ROUNDDOWN(+K15,)</f>
        <v>35</v>
      </c>
    </row>
    <row r="9" spans="1:14">
      <c r="A9" s="19" t="s">
        <v>100</v>
      </c>
      <c r="B9" s="111" t="s">
        <v>158</v>
      </c>
      <c r="K9" s="20">
        <f>IF(B5&gt;1,B5,"")</f>
        <v>28834</v>
      </c>
    </row>
    <row r="10" spans="1:14">
      <c r="A10" s="19" t="s">
        <v>98</v>
      </c>
      <c r="B10" s="146" t="s">
        <v>123</v>
      </c>
      <c r="C10" s="147"/>
      <c r="D10" s="147"/>
      <c r="E10" s="147"/>
      <c r="F10" s="147"/>
      <c r="K10" s="21">
        <f>K9</f>
        <v>28834</v>
      </c>
    </row>
    <row r="11" spans="1:14">
      <c r="A11" s="19" t="s">
        <v>99</v>
      </c>
      <c r="B11" s="32" t="s">
        <v>75</v>
      </c>
      <c r="K11">
        <f>N(K10)</f>
        <v>28834</v>
      </c>
    </row>
    <row r="12" spans="1:14">
      <c r="A12" s="19" t="s">
        <v>101</v>
      </c>
      <c r="B12" s="29" t="s">
        <v>77</v>
      </c>
      <c r="K12" s="22">
        <f ca="1">NOW()</f>
        <v>41627.620819097203</v>
      </c>
    </row>
    <row r="13" spans="1:14">
      <c r="A13" s="28" t="s">
        <v>122</v>
      </c>
      <c r="B13" s="30" t="s">
        <v>124</v>
      </c>
      <c r="K13">
        <f ca="1">N(K12)</f>
        <v>41627.620819097203</v>
      </c>
    </row>
    <row r="14" spans="1:14">
      <c r="A14" s="33" t="s">
        <v>125</v>
      </c>
      <c r="B14" s="41">
        <f>+VLOOKUP(B12,L1:M7,2,)</f>
        <v>41516</v>
      </c>
      <c r="K14">
        <f ca="1">K13-K11</f>
        <v>12793.620819097199</v>
      </c>
    </row>
    <row r="15" spans="1:14">
      <c r="A15" s="33" t="s">
        <v>126</v>
      </c>
      <c r="B15" s="29">
        <v>41516</v>
      </c>
      <c r="C15" s="31"/>
      <c r="D15" s="144"/>
      <c r="E15" s="144"/>
      <c r="F15" s="31"/>
      <c r="K15" s="23">
        <f ca="1">K14/365.25</f>
        <v>35.03</v>
      </c>
    </row>
    <row r="17" spans="1:6">
      <c r="A17" s="35" t="s">
        <v>107</v>
      </c>
      <c r="B17" s="36" t="s">
        <v>103</v>
      </c>
      <c r="C17" s="37" t="s">
        <v>104</v>
      </c>
      <c r="D17" s="145" t="s">
        <v>105</v>
      </c>
      <c r="E17" s="145"/>
      <c r="F17" s="38" t="s">
        <v>106</v>
      </c>
    </row>
    <row r="18" spans="1:6">
      <c r="A18" s="1"/>
      <c r="B18" s="1"/>
      <c r="C18" s="1"/>
      <c r="D18" s="142"/>
      <c r="E18" s="143"/>
      <c r="F18" s="1"/>
    </row>
  </sheetData>
  <sheetProtection password="CB06" sheet="1" objects="1" scenarios="1" selectLockedCells="1"/>
  <mergeCells count="9">
    <mergeCell ref="D18:E18"/>
    <mergeCell ref="D15:E15"/>
    <mergeCell ref="D17:E17"/>
    <mergeCell ref="B7:F7"/>
    <mergeCell ref="B1:D1"/>
    <mergeCell ref="B2:D2"/>
    <mergeCell ref="B3:D3"/>
    <mergeCell ref="B4:F4"/>
    <mergeCell ref="B10:F10"/>
  </mergeCells>
  <dataValidations count="3">
    <dataValidation type="list" allowBlank="1" showInputMessage="1" showErrorMessage="1" sqref="B6">
      <formula1>$K$1:$K$4</formula1>
    </dataValidation>
    <dataValidation type="list" allowBlank="1" showInputMessage="1" showErrorMessage="1" sqref="B11">
      <formula1>SALARY!AL112:AL118</formula1>
    </dataValidation>
    <dataValidation type="list" allowBlank="1" showInputMessage="1" showErrorMessage="1" sqref="B12">
      <formula1>SALARY!AM112:AM118</formula1>
    </dataValidation>
  </dataValidations>
  <hyperlinks>
    <hyperlink ref="B13" r:id="rId1"/>
  </hyperlinks>
  <pageMargins left="0.7" right="0.7" top="0.75" bottom="0.75" header="0.3" footer="0.3"/>
  <pageSetup orientation="portrait" r:id="rId2"/>
  <ignoredErrors>
    <ignoredError sqref="K12 M5:N5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A139"/>
  <sheetViews>
    <sheetView defaultGridColor="0" view="pageBreakPreview" topLeftCell="A5" colorId="8" zoomScale="80" zoomScaleNormal="90" zoomScaleSheetLayoutView="80" workbookViewId="0">
      <selection activeCell="B2" sqref="B2"/>
    </sheetView>
  </sheetViews>
  <sheetFormatPr defaultRowHeight="15"/>
  <cols>
    <col min="1" max="1" width="43.5703125" customWidth="1"/>
    <col min="2" max="2" width="13.140625" bestFit="1" customWidth="1"/>
    <col min="3" max="3" width="11.5703125" customWidth="1"/>
    <col min="4" max="4" width="15" customWidth="1"/>
    <col min="5" max="5" width="11.5703125" customWidth="1"/>
    <col min="6" max="6" width="12.7109375" bestFit="1" customWidth="1"/>
    <col min="7" max="7" width="13.5703125" customWidth="1"/>
    <col min="8" max="8" width="15.28515625" bestFit="1" customWidth="1"/>
    <col min="9" max="9" width="11.5703125" customWidth="1"/>
    <col min="10" max="10" width="15.28515625" customWidth="1"/>
    <col min="11" max="13" width="11.5703125" customWidth="1"/>
    <col min="14" max="14" width="13.28515625" customWidth="1"/>
    <col min="38" max="53" width="0" hidden="1" customWidth="1"/>
  </cols>
  <sheetData>
    <row r="1" spans="1:36">
      <c r="A1" s="44" t="s">
        <v>0</v>
      </c>
      <c r="B1" s="45">
        <v>41365</v>
      </c>
      <c r="C1" s="45">
        <v>41395</v>
      </c>
      <c r="D1" s="45">
        <v>41426</v>
      </c>
      <c r="E1" s="45">
        <v>41456</v>
      </c>
      <c r="F1" s="45">
        <v>41487</v>
      </c>
      <c r="G1" s="45">
        <v>41518</v>
      </c>
      <c r="H1" s="45">
        <v>41548</v>
      </c>
      <c r="I1" s="45">
        <v>41579</v>
      </c>
      <c r="J1" s="45">
        <v>41609</v>
      </c>
      <c r="K1" s="45">
        <v>41640</v>
      </c>
      <c r="L1" s="45">
        <v>41671</v>
      </c>
      <c r="M1" s="45">
        <v>41699</v>
      </c>
      <c r="N1" s="46" t="s">
        <v>1</v>
      </c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>
      <c r="A2" s="42" t="s">
        <v>2</v>
      </c>
      <c r="B2" s="105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48">
        <f t="shared" ref="N2:N8" si="0">SUM(B2:M2)</f>
        <v>0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>
      <c r="A3" s="43" t="s">
        <v>3</v>
      </c>
      <c r="B3" s="106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49">
        <f t="shared" si="0"/>
        <v>0</v>
      </c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>
      <c r="A4" s="50" t="s">
        <v>4</v>
      </c>
      <c r="B4" s="105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48">
        <f t="shared" si="0"/>
        <v>0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</row>
    <row r="5" spans="1:36">
      <c r="A5" s="43" t="s">
        <v>5</v>
      </c>
      <c r="B5" s="106">
        <v>0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49">
        <f t="shared" si="0"/>
        <v>0</v>
      </c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</row>
    <row r="6" spans="1:36">
      <c r="A6" s="43" t="s">
        <v>6</v>
      </c>
      <c r="B6" s="51">
        <f>IF(B5&gt;0,800,0)</f>
        <v>0</v>
      </c>
      <c r="C6" s="51">
        <f t="shared" ref="C6:M6" si="1">IF(C5&gt;0,800,0)</f>
        <v>0</v>
      </c>
      <c r="D6" s="51">
        <f t="shared" si="1"/>
        <v>0</v>
      </c>
      <c r="E6" s="51">
        <f t="shared" si="1"/>
        <v>0</v>
      </c>
      <c r="F6" s="51">
        <f t="shared" si="1"/>
        <v>0</v>
      </c>
      <c r="G6" s="51">
        <f t="shared" si="1"/>
        <v>0</v>
      </c>
      <c r="H6" s="51">
        <f t="shared" si="1"/>
        <v>0</v>
      </c>
      <c r="I6" s="51">
        <f t="shared" si="1"/>
        <v>0</v>
      </c>
      <c r="J6" s="51">
        <f t="shared" si="1"/>
        <v>0</v>
      </c>
      <c r="K6" s="51">
        <f t="shared" si="1"/>
        <v>0</v>
      </c>
      <c r="L6" s="51">
        <f t="shared" si="1"/>
        <v>0</v>
      </c>
      <c r="M6" s="51">
        <f t="shared" si="1"/>
        <v>0</v>
      </c>
      <c r="N6" s="51">
        <f t="shared" si="0"/>
        <v>0</v>
      </c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</row>
    <row r="7" spans="1:36">
      <c r="A7" s="52" t="s">
        <v>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53">
        <f t="shared" si="0"/>
        <v>0</v>
      </c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36">
      <c r="A8" s="54" t="s">
        <v>8</v>
      </c>
      <c r="B8" s="105">
        <v>0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55">
        <f t="shared" si="0"/>
        <v>0</v>
      </c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</row>
    <row r="9" spans="1:36">
      <c r="A9" s="42" t="s">
        <v>9</v>
      </c>
      <c r="B9" s="56">
        <f t="shared" ref="B9:M9" si="2">+SUM(B2:B5)+SUM(B7:B8)</f>
        <v>0</v>
      </c>
      <c r="C9" s="56">
        <f t="shared" si="2"/>
        <v>0</v>
      </c>
      <c r="D9" s="56">
        <f t="shared" si="2"/>
        <v>0</v>
      </c>
      <c r="E9" s="56">
        <f t="shared" si="2"/>
        <v>0</v>
      </c>
      <c r="F9" s="56">
        <f t="shared" si="2"/>
        <v>0</v>
      </c>
      <c r="G9" s="56">
        <f t="shared" si="2"/>
        <v>0</v>
      </c>
      <c r="H9" s="56">
        <f t="shared" si="2"/>
        <v>0</v>
      </c>
      <c r="I9" s="56">
        <f t="shared" si="2"/>
        <v>0</v>
      </c>
      <c r="J9" s="56">
        <f t="shared" si="2"/>
        <v>0</v>
      </c>
      <c r="K9" s="56">
        <f t="shared" si="2"/>
        <v>0</v>
      </c>
      <c r="L9" s="56">
        <f t="shared" si="2"/>
        <v>0</v>
      </c>
      <c r="M9" s="56">
        <f t="shared" si="2"/>
        <v>0</v>
      </c>
      <c r="N9" s="55">
        <f>+SUM(N2:N5)+SUM(N7:N8)-N6</f>
        <v>0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</row>
    <row r="10" spans="1:36">
      <c r="A10" s="52" t="s">
        <v>10</v>
      </c>
      <c r="B10" s="51">
        <f>+B2*12%</f>
        <v>0</v>
      </c>
      <c r="C10" s="51">
        <f t="shared" ref="C10:M10" si="3">+C2*12%</f>
        <v>0</v>
      </c>
      <c r="D10" s="51">
        <f t="shared" si="3"/>
        <v>0</v>
      </c>
      <c r="E10" s="51">
        <f t="shared" si="3"/>
        <v>0</v>
      </c>
      <c r="F10" s="51">
        <f t="shared" si="3"/>
        <v>0</v>
      </c>
      <c r="G10" s="51">
        <f t="shared" si="3"/>
        <v>0</v>
      </c>
      <c r="H10" s="51">
        <f t="shared" si="3"/>
        <v>0</v>
      </c>
      <c r="I10" s="51">
        <f t="shared" si="3"/>
        <v>0</v>
      </c>
      <c r="J10" s="51">
        <f t="shared" si="3"/>
        <v>0</v>
      </c>
      <c r="K10" s="51">
        <f t="shared" si="3"/>
        <v>0</v>
      </c>
      <c r="L10" s="51">
        <f t="shared" si="3"/>
        <v>0</v>
      </c>
      <c r="M10" s="51">
        <f t="shared" si="3"/>
        <v>0</v>
      </c>
      <c r="N10" s="51">
        <f>SUM(B10:M10)</f>
        <v>0</v>
      </c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</row>
    <row r="11" spans="1:36">
      <c r="A11" s="52" t="s">
        <v>133</v>
      </c>
      <c r="B11" s="106"/>
      <c r="C11" s="106"/>
      <c r="D11" s="106"/>
      <c r="E11" s="106"/>
      <c r="F11" s="106"/>
      <c r="G11" s="106"/>
      <c r="H11" s="106"/>
      <c r="I11" s="106"/>
      <c r="J11" s="107"/>
      <c r="K11" s="106"/>
      <c r="L11" s="106"/>
      <c r="M11" s="106"/>
      <c r="N11" s="53">
        <f>+SUM(B11:M11)</f>
        <v>0</v>
      </c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</row>
    <row r="12" spans="1:36">
      <c r="A12" s="57" t="s">
        <v>12</v>
      </c>
      <c r="B12" s="106">
        <v>0</v>
      </c>
      <c r="C12" s="106"/>
      <c r="D12" s="106"/>
      <c r="E12" s="106"/>
      <c r="F12" s="106"/>
      <c r="G12" s="106"/>
      <c r="H12" s="106"/>
      <c r="I12" s="106"/>
      <c r="J12" s="107"/>
      <c r="K12" s="106"/>
      <c r="L12" s="106">
        <v>0</v>
      </c>
      <c r="M12" s="106"/>
      <c r="N12" s="53">
        <f>+SUM(B12:M12)</f>
        <v>0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</row>
    <row r="13" spans="1:36">
      <c r="A13" s="50" t="s">
        <v>13</v>
      </c>
      <c r="B13" s="58">
        <f>+B9-B10-B12-B11</f>
        <v>0</v>
      </c>
      <c r="C13" s="58">
        <f t="shared" ref="C13:M13" si="4">+C9-C10-C12-C11</f>
        <v>0</v>
      </c>
      <c r="D13" s="58">
        <f t="shared" si="4"/>
        <v>0</v>
      </c>
      <c r="E13" s="58">
        <f t="shared" si="4"/>
        <v>0</v>
      </c>
      <c r="F13" s="58">
        <f t="shared" si="4"/>
        <v>0</v>
      </c>
      <c r="G13" s="58">
        <f t="shared" si="4"/>
        <v>0</v>
      </c>
      <c r="H13" s="58">
        <f t="shared" si="4"/>
        <v>0</v>
      </c>
      <c r="I13" s="58">
        <f t="shared" si="4"/>
        <v>0</v>
      </c>
      <c r="J13" s="58">
        <f t="shared" si="4"/>
        <v>0</v>
      </c>
      <c r="K13" s="58">
        <f t="shared" si="4"/>
        <v>0</v>
      </c>
      <c r="L13" s="58">
        <f t="shared" si="4"/>
        <v>0</v>
      </c>
      <c r="M13" s="58">
        <f t="shared" si="4"/>
        <v>0</v>
      </c>
      <c r="N13" s="48">
        <f>+N9-N10-N12-N11</f>
        <v>0</v>
      </c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</row>
    <row r="14" spans="1:36">
      <c r="A14" s="102" t="s">
        <v>147</v>
      </c>
      <c r="B14" s="103" t="s">
        <v>144</v>
      </c>
      <c r="C14" s="103" t="s">
        <v>145</v>
      </c>
      <c r="D14" s="103" t="s">
        <v>146</v>
      </c>
      <c r="E14" s="103" t="s">
        <v>148</v>
      </c>
      <c r="F14" s="103" t="s">
        <v>59</v>
      </c>
      <c r="G14" s="99"/>
      <c r="H14" s="99"/>
      <c r="I14" s="99"/>
      <c r="J14" s="99"/>
      <c r="K14" s="99"/>
      <c r="L14" s="99"/>
      <c r="M14" s="99"/>
      <c r="N14" s="99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</row>
    <row r="15" spans="1:36">
      <c r="A15" s="97" t="s">
        <v>142</v>
      </c>
      <c r="B15" s="108"/>
      <c r="C15" s="108">
        <v>0</v>
      </c>
      <c r="D15" s="109">
        <f>(B15-C15)*30%</f>
        <v>0</v>
      </c>
      <c r="E15" s="108"/>
      <c r="F15" s="109">
        <f>+(B15-C15-D15-E15)</f>
        <v>0</v>
      </c>
      <c r="G15" s="188" t="s">
        <v>56</v>
      </c>
      <c r="H15" s="189"/>
      <c r="I15" s="189"/>
      <c r="J15" s="190"/>
      <c r="K15" s="99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</row>
    <row r="16" spans="1:36">
      <c r="A16" s="97" t="s">
        <v>142</v>
      </c>
      <c r="B16" s="108"/>
      <c r="C16" s="108"/>
      <c r="D16" s="109">
        <f t="shared" ref="D16:D24" si="5">(B16-C16)*30%</f>
        <v>0</v>
      </c>
      <c r="E16" s="108"/>
      <c r="F16" s="109">
        <f t="shared" ref="F16:F24" si="6">+(B16-C16-D16-E16)</f>
        <v>0</v>
      </c>
      <c r="G16" s="191"/>
      <c r="H16" s="192"/>
      <c r="I16" s="193"/>
      <c r="J16" s="47">
        <v>0</v>
      </c>
      <c r="K16" s="99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36">
      <c r="A17" s="97" t="s">
        <v>142</v>
      </c>
      <c r="B17" s="108"/>
      <c r="C17" s="108"/>
      <c r="D17" s="109">
        <f t="shared" si="5"/>
        <v>0</v>
      </c>
      <c r="E17" s="108"/>
      <c r="F17" s="109">
        <f t="shared" si="6"/>
        <v>0</v>
      </c>
      <c r="G17" s="191"/>
      <c r="H17" s="192"/>
      <c r="I17" s="193"/>
      <c r="J17" s="47"/>
      <c r="K17" s="99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</row>
    <row r="18" spans="1:36">
      <c r="A18" s="97" t="s">
        <v>142</v>
      </c>
      <c r="B18" s="108"/>
      <c r="C18" s="108"/>
      <c r="D18" s="109">
        <f t="shared" si="5"/>
        <v>0</v>
      </c>
      <c r="E18" s="108"/>
      <c r="F18" s="109">
        <f t="shared" si="6"/>
        <v>0</v>
      </c>
      <c r="G18" s="191"/>
      <c r="H18" s="192"/>
      <c r="I18" s="193"/>
      <c r="J18" s="47"/>
      <c r="K18" s="99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</row>
    <row r="19" spans="1:36">
      <c r="A19" s="97" t="s">
        <v>142</v>
      </c>
      <c r="B19" s="108"/>
      <c r="C19" s="108"/>
      <c r="D19" s="109">
        <f t="shared" si="5"/>
        <v>0</v>
      </c>
      <c r="E19" s="108"/>
      <c r="F19" s="109">
        <f t="shared" si="6"/>
        <v>0</v>
      </c>
      <c r="G19" s="191"/>
      <c r="H19" s="192"/>
      <c r="I19" s="193"/>
      <c r="J19" s="47"/>
      <c r="K19" s="99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</row>
    <row r="20" spans="1:36">
      <c r="A20" s="97" t="s">
        <v>142</v>
      </c>
      <c r="B20" s="108"/>
      <c r="C20" s="108"/>
      <c r="D20" s="109">
        <f t="shared" si="5"/>
        <v>0</v>
      </c>
      <c r="E20" s="108"/>
      <c r="F20" s="109">
        <f t="shared" si="6"/>
        <v>0</v>
      </c>
      <c r="G20" s="194" t="s">
        <v>57</v>
      </c>
      <c r="H20" s="195"/>
      <c r="I20" s="196"/>
      <c r="J20" s="2">
        <f>+SUM(J16:J19)</f>
        <v>0</v>
      </c>
      <c r="K20" s="99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</row>
    <row r="21" spans="1:36">
      <c r="A21" s="97" t="s">
        <v>142</v>
      </c>
      <c r="B21" s="108"/>
      <c r="C21" s="108"/>
      <c r="D21" s="109">
        <f t="shared" si="5"/>
        <v>0</v>
      </c>
      <c r="E21" s="108"/>
      <c r="F21" s="109">
        <f t="shared" si="6"/>
        <v>0</v>
      </c>
      <c r="G21" s="99"/>
      <c r="H21" s="99"/>
      <c r="I21" s="99"/>
      <c r="J21" s="99"/>
      <c r="K21" s="99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</row>
    <row r="22" spans="1:36">
      <c r="A22" s="97" t="s">
        <v>142</v>
      </c>
      <c r="B22" s="108"/>
      <c r="C22" s="108"/>
      <c r="D22" s="109">
        <f t="shared" si="5"/>
        <v>0</v>
      </c>
      <c r="E22" s="108"/>
      <c r="F22" s="109">
        <f t="shared" si="6"/>
        <v>0</v>
      </c>
      <c r="G22" s="188" t="s">
        <v>58</v>
      </c>
      <c r="H22" s="189"/>
      <c r="I22" s="189"/>
      <c r="J22" s="190"/>
      <c r="K22" s="99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</row>
    <row r="23" spans="1:36">
      <c r="A23" s="97" t="s">
        <v>142</v>
      </c>
      <c r="B23" s="108"/>
      <c r="C23" s="108"/>
      <c r="D23" s="109">
        <f t="shared" si="5"/>
        <v>0</v>
      </c>
      <c r="E23" s="108"/>
      <c r="F23" s="109">
        <f t="shared" si="6"/>
        <v>0</v>
      </c>
      <c r="G23" s="191"/>
      <c r="H23" s="192"/>
      <c r="I23" s="193"/>
      <c r="J23" s="47"/>
      <c r="K23" s="99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</row>
    <row r="24" spans="1:36">
      <c r="A24" s="97" t="s">
        <v>142</v>
      </c>
      <c r="B24" s="108"/>
      <c r="C24" s="108"/>
      <c r="D24" s="109">
        <f t="shared" si="5"/>
        <v>0</v>
      </c>
      <c r="E24" s="108"/>
      <c r="F24" s="109">
        <f t="shared" si="6"/>
        <v>0</v>
      </c>
      <c r="G24" s="191"/>
      <c r="H24" s="192"/>
      <c r="I24" s="193"/>
      <c r="J24" s="47"/>
      <c r="K24" s="99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</row>
    <row r="25" spans="1:36">
      <c r="A25" s="101" t="s">
        <v>143</v>
      </c>
      <c r="B25" s="110">
        <f t="shared" ref="B25:E25" si="7">SUM(B15:B24)</f>
        <v>0</v>
      </c>
      <c r="C25" s="110">
        <f t="shared" si="7"/>
        <v>0</v>
      </c>
      <c r="D25" s="110">
        <f t="shared" si="7"/>
        <v>0</v>
      </c>
      <c r="E25" s="110">
        <f t="shared" si="7"/>
        <v>0</v>
      </c>
      <c r="F25" s="110">
        <f>SUM(F15:F24)</f>
        <v>0</v>
      </c>
      <c r="G25" s="191"/>
      <c r="H25" s="192"/>
      <c r="I25" s="193"/>
      <c r="J25" s="47"/>
      <c r="K25" s="99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</row>
    <row r="26" spans="1:36">
      <c r="A26" s="99"/>
      <c r="B26" s="99"/>
      <c r="C26" s="99"/>
      <c r="D26" s="99"/>
      <c r="E26" s="99"/>
      <c r="F26" s="99"/>
      <c r="G26" s="191"/>
      <c r="H26" s="192"/>
      <c r="I26" s="193"/>
      <c r="J26" s="47"/>
      <c r="K26" s="99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</row>
    <row r="27" spans="1:36">
      <c r="A27" s="99"/>
      <c r="B27" s="99"/>
      <c r="C27" s="99"/>
      <c r="D27" s="99"/>
      <c r="E27" s="99"/>
      <c r="F27" s="99"/>
      <c r="G27" s="194" t="s">
        <v>57</v>
      </c>
      <c r="H27" s="195"/>
      <c r="I27" s="196"/>
      <c r="J27" s="2">
        <f>+SUM(J23:J26)</f>
        <v>0</v>
      </c>
      <c r="K27" s="99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</row>
    <row r="28" spans="1:36">
      <c r="A28" s="93" t="s">
        <v>38</v>
      </c>
      <c r="B28" s="94" t="s">
        <v>15</v>
      </c>
      <c r="C28" s="99"/>
      <c r="D28" s="205" t="s">
        <v>135</v>
      </c>
      <c r="E28" s="205"/>
      <c r="F28" s="205"/>
      <c r="G28" s="206"/>
      <c r="H28" s="207">
        <f>MIN(ROUND((SUM(G28)),0),10000)</f>
        <v>0</v>
      </c>
      <c r="I28" s="99"/>
      <c r="J28" s="99"/>
      <c r="K28" s="99"/>
      <c r="L28" s="99"/>
      <c r="M28" s="99"/>
      <c r="N28" s="99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</row>
    <row r="29" spans="1:36">
      <c r="A29" s="97" t="s">
        <v>149</v>
      </c>
      <c r="B29" s="104"/>
      <c r="C29" s="99"/>
      <c r="D29" s="205"/>
      <c r="E29" s="205"/>
      <c r="F29" s="205"/>
      <c r="G29" s="206"/>
      <c r="H29" s="207"/>
      <c r="I29" s="99"/>
      <c r="J29" s="99"/>
      <c r="K29" s="99"/>
      <c r="L29" s="99"/>
      <c r="M29" s="99"/>
      <c r="N29" s="99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</row>
    <row r="30" spans="1:36">
      <c r="A30" s="97" t="s">
        <v>150</v>
      </c>
      <c r="B30" s="104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</row>
    <row r="31" spans="1:36">
      <c r="A31" s="97" t="s">
        <v>151</v>
      </c>
      <c r="B31" s="104"/>
      <c r="C31" s="99"/>
      <c r="D31" s="167" t="s">
        <v>40</v>
      </c>
      <c r="E31" s="167"/>
      <c r="F31" s="167"/>
      <c r="G31" s="99"/>
      <c r="H31" s="99"/>
      <c r="I31" s="99"/>
      <c r="J31" s="99"/>
      <c r="K31" s="99"/>
      <c r="L31" s="99"/>
      <c r="M31" s="99"/>
      <c r="N31" s="99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</row>
    <row r="32" spans="1:36">
      <c r="A32" s="97" t="s">
        <v>152</v>
      </c>
      <c r="B32" s="104"/>
      <c r="C32" s="99"/>
      <c r="D32" s="59" t="s">
        <v>40</v>
      </c>
      <c r="E32" s="59"/>
      <c r="F32" s="105"/>
      <c r="G32" s="99"/>
      <c r="H32" s="99"/>
      <c r="I32" s="99"/>
      <c r="J32" s="99"/>
      <c r="K32" s="99"/>
      <c r="L32" s="99"/>
      <c r="M32" s="99"/>
      <c r="N32" s="99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</row>
    <row r="33" spans="1:36">
      <c r="A33" s="97" t="s">
        <v>153</v>
      </c>
      <c r="B33" s="9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</row>
    <row r="34" spans="1:36">
      <c r="A34" s="97" t="s">
        <v>154</v>
      </c>
      <c r="B34" s="104"/>
      <c r="C34" s="99"/>
      <c r="D34" s="168" t="s">
        <v>41</v>
      </c>
      <c r="E34" s="168"/>
      <c r="F34" s="168"/>
      <c r="G34" s="99"/>
      <c r="H34" s="99"/>
      <c r="I34" s="99"/>
      <c r="J34" s="99"/>
      <c r="K34" s="99"/>
      <c r="L34" s="99"/>
      <c r="M34" s="99"/>
      <c r="N34" s="99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</row>
    <row r="35" spans="1:36">
      <c r="A35" s="97" t="s">
        <v>155</v>
      </c>
      <c r="B35" s="104"/>
      <c r="C35" s="99"/>
      <c r="D35" s="169" t="s">
        <v>42</v>
      </c>
      <c r="E35" s="169"/>
      <c r="F35" s="105"/>
      <c r="G35" s="99"/>
      <c r="H35" s="99"/>
      <c r="I35" s="99"/>
      <c r="J35" s="99"/>
      <c r="K35" s="99"/>
      <c r="L35" s="99"/>
      <c r="M35" s="99"/>
      <c r="N35" s="99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</row>
    <row r="36" spans="1:36">
      <c r="A36" s="97" t="s">
        <v>156</v>
      </c>
      <c r="B36" s="104"/>
      <c r="C36" s="99"/>
      <c r="D36" s="170" t="s">
        <v>157</v>
      </c>
      <c r="E36" s="170"/>
      <c r="F36" s="105"/>
      <c r="G36" s="99"/>
      <c r="H36" s="99"/>
      <c r="I36" s="99"/>
      <c r="J36" s="99"/>
      <c r="K36" s="99"/>
      <c r="L36" s="99"/>
      <c r="M36" s="99"/>
      <c r="N36" s="99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</row>
    <row r="37" spans="1:36">
      <c r="A37" s="97" t="s">
        <v>39</v>
      </c>
      <c r="B37" s="104"/>
      <c r="C37" s="99"/>
      <c r="D37" s="170"/>
      <c r="E37" s="170"/>
      <c r="F37" s="105"/>
      <c r="G37" s="99"/>
      <c r="H37" s="99"/>
      <c r="I37" s="99"/>
      <c r="J37" s="99"/>
      <c r="K37" s="99"/>
      <c r="L37" s="99"/>
      <c r="M37" s="99"/>
      <c r="N37" s="99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</row>
    <row r="38" spans="1:36">
      <c r="A38" s="97" t="s">
        <v>169</v>
      </c>
      <c r="B38" s="104"/>
      <c r="C38" s="99"/>
      <c r="D38" s="170"/>
      <c r="E38" s="170"/>
      <c r="F38" s="105"/>
      <c r="G38" s="99"/>
      <c r="H38" s="99"/>
      <c r="I38" s="99"/>
      <c r="J38" s="99"/>
      <c r="K38" s="99"/>
      <c r="L38" s="99"/>
      <c r="M38" s="99"/>
      <c r="N38" s="99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</row>
    <row r="39" spans="1:36">
      <c r="A39" s="97" t="s">
        <v>39</v>
      </c>
      <c r="B39" s="104"/>
      <c r="C39" s="99"/>
      <c r="D39" s="167" t="s">
        <v>43</v>
      </c>
      <c r="E39" s="167"/>
      <c r="F39" s="2">
        <f>+SUM(F35:F38)</f>
        <v>0</v>
      </c>
      <c r="G39" s="99"/>
      <c r="H39" s="99"/>
      <c r="I39" s="99"/>
      <c r="J39" s="99"/>
      <c r="K39" s="99"/>
      <c r="L39" s="99"/>
      <c r="M39" s="99"/>
      <c r="N39" s="99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36">
      <c r="A40" s="98" t="s">
        <v>11</v>
      </c>
      <c r="B40" s="96">
        <f>+SUM(B29:B39)</f>
        <v>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</row>
    <row r="41" spans="1:36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1:36">
      <c r="A42" s="197" t="s">
        <v>44</v>
      </c>
      <c r="B42" s="198"/>
      <c r="C42" s="198"/>
      <c r="D42" s="198"/>
      <c r="E42" s="198"/>
      <c r="F42" s="198"/>
      <c r="G42" s="198"/>
      <c r="H42" s="198"/>
      <c r="I42" s="198"/>
      <c r="J42" s="199"/>
      <c r="K42" s="99"/>
      <c r="L42" s="99"/>
      <c r="M42" s="99"/>
      <c r="N42" s="99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1:36">
      <c r="A43" s="200" t="s">
        <v>45</v>
      </c>
      <c r="B43" s="200" t="s">
        <v>46</v>
      </c>
      <c r="C43" s="201" t="s">
        <v>47</v>
      </c>
      <c r="D43" s="201"/>
      <c r="E43" s="201" t="s">
        <v>48</v>
      </c>
      <c r="F43" s="201"/>
      <c r="G43" s="202" t="s">
        <v>49</v>
      </c>
      <c r="H43" s="202" t="s">
        <v>50</v>
      </c>
      <c r="I43" s="203" t="s">
        <v>51</v>
      </c>
      <c r="J43" s="203" t="s">
        <v>52</v>
      </c>
      <c r="K43" s="99"/>
      <c r="L43" s="99"/>
      <c r="M43" s="99"/>
      <c r="N43" s="99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1:36">
      <c r="A44" s="200"/>
      <c r="B44" s="200"/>
      <c r="C44" s="60" t="s">
        <v>53</v>
      </c>
      <c r="D44" s="60" t="s">
        <v>54</v>
      </c>
      <c r="E44" s="60" t="s">
        <v>53</v>
      </c>
      <c r="F44" s="60" t="s">
        <v>54</v>
      </c>
      <c r="G44" s="202"/>
      <c r="H44" s="202"/>
      <c r="I44" s="204"/>
      <c r="J44" s="204"/>
      <c r="K44" s="99"/>
      <c r="L44" s="99"/>
      <c r="M44" s="99"/>
      <c r="N44" s="99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1:36">
      <c r="A45" s="61"/>
      <c r="B45" s="62"/>
      <c r="C45" s="63"/>
      <c r="D45" s="64">
        <v>40269</v>
      </c>
      <c r="E45" s="65"/>
      <c r="F45" s="64">
        <v>40633</v>
      </c>
      <c r="G45" s="92" t="str">
        <f t="shared" ref="G45:G75" si="8">IF(365&lt;(+F45-D45), "Long Term", "Short Term")</f>
        <v>Short Term</v>
      </c>
      <c r="H45" s="66">
        <f t="shared" ref="H45:H75" si="9">-(+C45*B45)+(E45*B45)</f>
        <v>0</v>
      </c>
      <c r="I45" s="66">
        <f>ROUND(IF(G45="shoRt term",MIN(SUM(H45)*0%),IF(G45="long Term",MIN(SUM(H45)*10%),"Please enter sex in data sheet")),0)</f>
        <v>0</v>
      </c>
      <c r="J45" s="66">
        <f t="shared" ref="J45:J75" si="10">ROUND(IF(G45="shoRt term",MIN(SUM(H45)*20%),IF(G45="long Term",MIN(SUM(H45)*0%),"Please enter sex in data sheet")),0)</f>
        <v>0</v>
      </c>
      <c r="K45" s="99"/>
      <c r="L45" s="99"/>
      <c r="M45" s="99"/>
      <c r="N45" s="99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  <row r="46" spans="1:36">
      <c r="A46" s="61"/>
      <c r="B46" s="62"/>
      <c r="C46" s="63"/>
      <c r="D46" s="64">
        <v>40665</v>
      </c>
      <c r="E46" s="65"/>
      <c r="F46" s="64">
        <v>41396</v>
      </c>
      <c r="G46" s="92" t="str">
        <f t="shared" si="8"/>
        <v>Long Term</v>
      </c>
      <c r="H46" s="66">
        <f t="shared" si="9"/>
        <v>0</v>
      </c>
      <c r="I46" s="66">
        <f>ROUND(IF(G46="shoRt term",MIN(SUM(H46)*0%),IF(G46="long Term",MIN(SUM(H46)*10%),"Please enter sex in data sheet")),0)</f>
        <v>0</v>
      </c>
      <c r="J46" s="66">
        <f t="shared" si="10"/>
        <v>0</v>
      </c>
      <c r="K46" s="99"/>
      <c r="L46" s="99"/>
      <c r="M46" s="99"/>
      <c r="N46" s="99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</row>
    <row r="47" spans="1:36">
      <c r="A47" s="61"/>
      <c r="B47" s="62"/>
      <c r="C47" s="63"/>
      <c r="D47" s="64">
        <v>41395</v>
      </c>
      <c r="E47" s="65"/>
      <c r="F47" s="64">
        <v>41396</v>
      </c>
      <c r="G47" s="92" t="str">
        <f t="shared" si="8"/>
        <v>Short Term</v>
      </c>
      <c r="H47" s="66">
        <f t="shared" si="9"/>
        <v>0</v>
      </c>
      <c r="I47" s="66">
        <f>ROUND(IF(G47="shoRt term",MIN(SUM(H47)*0%),IF(G47="long Term",MIN(SUM(H47)*10%),"Please enter sex in data sheet")),0)</f>
        <v>0</v>
      </c>
      <c r="J47" s="66">
        <f t="shared" si="10"/>
        <v>0</v>
      </c>
      <c r="K47" s="99"/>
      <c r="L47" s="99"/>
      <c r="M47" s="99"/>
      <c r="N47" s="99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</row>
    <row r="48" spans="1:36">
      <c r="A48" s="61"/>
      <c r="B48" s="62"/>
      <c r="C48" s="63">
        <v>0</v>
      </c>
      <c r="D48" s="64">
        <v>0</v>
      </c>
      <c r="E48" s="65">
        <v>0</v>
      </c>
      <c r="F48" s="64">
        <v>0</v>
      </c>
      <c r="G48" s="92" t="str">
        <f t="shared" si="8"/>
        <v>Short Term</v>
      </c>
      <c r="H48" s="66">
        <f t="shared" si="9"/>
        <v>0</v>
      </c>
      <c r="I48" s="66">
        <f>ROUND(IF(G48="shoRt term",MIN(SUM(H48)*0%),IF(G48="long Term",MIN(SUM(H48)*10%),"Please enter sex in data sheet")),0)</f>
        <v>0</v>
      </c>
      <c r="J48" s="66">
        <f t="shared" si="10"/>
        <v>0</v>
      </c>
      <c r="K48" s="99"/>
      <c r="L48" s="99"/>
      <c r="M48" s="99"/>
      <c r="N48" s="99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</row>
    <row r="49" spans="1:36">
      <c r="A49" s="61"/>
      <c r="B49" s="62"/>
      <c r="C49" s="63">
        <v>0</v>
      </c>
      <c r="D49" s="64">
        <v>0</v>
      </c>
      <c r="E49" s="65">
        <v>0</v>
      </c>
      <c r="F49" s="64">
        <v>0</v>
      </c>
      <c r="G49" s="92" t="str">
        <f t="shared" si="8"/>
        <v>Short Term</v>
      </c>
      <c r="H49" s="66">
        <f t="shared" si="9"/>
        <v>0</v>
      </c>
      <c r="I49" s="66">
        <f t="shared" ref="I49:I75" si="11">ROUND(IF(G49="shoRt term",MIN(SUM(H49)*20%),IF(G49="long Term",MIN(SUM(H49)*10%),"Please enter sex in data sheet")),0)</f>
        <v>0</v>
      </c>
      <c r="J49" s="66">
        <f t="shared" si="10"/>
        <v>0</v>
      </c>
      <c r="K49" s="99"/>
      <c r="L49" s="99"/>
      <c r="M49" s="99"/>
      <c r="N49" s="99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</row>
    <row r="50" spans="1:36">
      <c r="A50" s="61"/>
      <c r="B50" s="62"/>
      <c r="C50" s="63">
        <v>0</v>
      </c>
      <c r="D50" s="64">
        <v>0</v>
      </c>
      <c r="E50" s="65">
        <v>0</v>
      </c>
      <c r="F50" s="64">
        <v>0</v>
      </c>
      <c r="G50" s="92" t="str">
        <f t="shared" si="8"/>
        <v>Short Term</v>
      </c>
      <c r="H50" s="66">
        <f t="shared" si="9"/>
        <v>0</v>
      </c>
      <c r="I50" s="66">
        <f t="shared" si="11"/>
        <v>0</v>
      </c>
      <c r="J50" s="66">
        <f t="shared" si="10"/>
        <v>0</v>
      </c>
      <c r="K50" s="99"/>
      <c r="L50" s="99"/>
      <c r="M50" s="99"/>
      <c r="N50" s="99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</row>
    <row r="51" spans="1:36">
      <c r="A51" s="61"/>
      <c r="B51" s="62"/>
      <c r="C51" s="63">
        <v>0</v>
      </c>
      <c r="D51" s="64">
        <v>0</v>
      </c>
      <c r="E51" s="65">
        <v>0</v>
      </c>
      <c r="F51" s="64">
        <v>0</v>
      </c>
      <c r="G51" s="92" t="str">
        <f t="shared" si="8"/>
        <v>Short Term</v>
      </c>
      <c r="H51" s="66">
        <f t="shared" si="9"/>
        <v>0</v>
      </c>
      <c r="I51" s="66">
        <f t="shared" si="11"/>
        <v>0</v>
      </c>
      <c r="J51" s="66">
        <f t="shared" si="10"/>
        <v>0</v>
      </c>
      <c r="K51" s="99"/>
      <c r="L51" s="99"/>
      <c r="M51" s="99"/>
      <c r="N51" s="99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</row>
    <row r="52" spans="1:36">
      <c r="A52" s="61"/>
      <c r="B52" s="62"/>
      <c r="C52" s="63">
        <v>0</v>
      </c>
      <c r="D52" s="64">
        <v>0</v>
      </c>
      <c r="E52" s="65">
        <v>0</v>
      </c>
      <c r="F52" s="64">
        <v>0</v>
      </c>
      <c r="G52" s="92" t="str">
        <f t="shared" si="8"/>
        <v>Short Term</v>
      </c>
      <c r="H52" s="66">
        <f t="shared" si="9"/>
        <v>0</v>
      </c>
      <c r="I52" s="66">
        <f t="shared" si="11"/>
        <v>0</v>
      </c>
      <c r="J52" s="66">
        <f t="shared" si="10"/>
        <v>0</v>
      </c>
      <c r="K52" s="99"/>
      <c r="L52" s="99"/>
      <c r="M52" s="99"/>
      <c r="N52" s="99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</row>
    <row r="53" spans="1:36">
      <c r="A53" s="61"/>
      <c r="B53" s="62"/>
      <c r="C53" s="63">
        <v>0</v>
      </c>
      <c r="D53" s="64">
        <v>0</v>
      </c>
      <c r="E53" s="65">
        <v>0</v>
      </c>
      <c r="F53" s="64">
        <v>0</v>
      </c>
      <c r="G53" s="92" t="str">
        <f t="shared" si="8"/>
        <v>Short Term</v>
      </c>
      <c r="H53" s="66">
        <f t="shared" si="9"/>
        <v>0</v>
      </c>
      <c r="I53" s="66">
        <f t="shared" si="11"/>
        <v>0</v>
      </c>
      <c r="J53" s="66">
        <f t="shared" si="10"/>
        <v>0</v>
      </c>
      <c r="K53" s="99"/>
      <c r="L53" s="99"/>
      <c r="M53" s="99"/>
      <c r="N53" s="99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</row>
    <row r="54" spans="1:36">
      <c r="A54" s="61"/>
      <c r="B54" s="62"/>
      <c r="C54" s="63">
        <v>0</v>
      </c>
      <c r="D54" s="64">
        <v>0</v>
      </c>
      <c r="E54" s="65">
        <v>0</v>
      </c>
      <c r="F54" s="64">
        <v>0</v>
      </c>
      <c r="G54" s="92" t="str">
        <f t="shared" si="8"/>
        <v>Short Term</v>
      </c>
      <c r="H54" s="66">
        <f t="shared" si="9"/>
        <v>0</v>
      </c>
      <c r="I54" s="66">
        <f t="shared" si="11"/>
        <v>0</v>
      </c>
      <c r="J54" s="66">
        <f t="shared" si="10"/>
        <v>0</v>
      </c>
      <c r="K54" s="99"/>
      <c r="L54" s="99"/>
      <c r="M54" s="99"/>
      <c r="N54" s="99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</row>
    <row r="55" spans="1:36">
      <c r="A55" s="61"/>
      <c r="B55" s="62"/>
      <c r="C55" s="63">
        <v>0</v>
      </c>
      <c r="D55" s="64">
        <v>0</v>
      </c>
      <c r="E55" s="65">
        <v>0</v>
      </c>
      <c r="F55" s="64">
        <v>0</v>
      </c>
      <c r="G55" s="92" t="str">
        <f t="shared" si="8"/>
        <v>Short Term</v>
      </c>
      <c r="H55" s="66">
        <f t="shared" si="9"/>
        <v>0</v>
      </c>
      <c r="I55" s="66">
        <f t="shared" si="11"/>
        <v>0</v>
      </c>
      <c r="J55" s="66">
        <f t="shared" si="10"/>
        <v>0</v>
      </c>
      <c r="K55" s="99"/>
      <c r="L55" s="99"/>
      <c r="M55" s="99"/>
      <c r="N55" s="99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</row>
    <row r="56" spans="1:36">
      <c r="A56" s="61"/>
      <c r="B56" s="62"/>
      <c r="C56" s="63">
        <v>0</v>
      </c>
      <c r="D56" s="64">
        <v>0</v>
      </c>
      <c r="E56" s="65">
        <v>0</v>
      </c>
      <c r="F56" s="64">
        <v>0</v>
      </c>
      <c r="G56" s="92" t="str">
        <f t="shared" si="8"/>
        <v>Short Term</v>
      </c>
      <c r="H56" s="66">
        <f t="shared" si="9"/>
        <v>0</v>
      </c>
      <c r="I56" s="66">
        <f t="shared" si="11"/>
        <v>0</v>
      </c>
      <c r="J56" s="66">
        <f t="shared" si="10"/>
        <v>0</v>
      </c>
      <c r="K56" s="99"/>
      <c r="L56" s="99"/>
      <c r="M56" s="99"/>
      <c r="N56" s="99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</row>
    <row r="57" spans="1:36">
      <c r="A57" s="61"/>
      <c r="B57" s="62"/>
      <c r="C57" s="63">
        <v>0</v>
      </c>
      <c r="D57" s="64">
        <v>0</v>
      </c>
      <c r="E57" s="65">
        <v>0</v>
      </c>
      <c r="F57" s="64">
        <v>0</v>
      </c>
      <c r="G57" s="92" t="str">
        <f t="shared" si="8"/>
        <v>Short Term</v>
      </c>
      <c r="H57" s="66">
        <f t="shared" si="9"/>
        <v>0</v>
      </c>
      <c r="I57" s="66">
        <f t="shared" si="11"/>
        <v>0</v>
      </c>
      <c r="J57" s="66">
        <f t="shared" si="10"/>
        <v>0</v>
      </c>
      <c r="K57" s="99"/>
      <c r="L57" s="99"/>
      <c r="M57" s="99"/>
      <c r="N57" s="99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</row>
    <row r="58" spans="1:36">
      <c r="A58" s="61"/>
      <c r="B58" s="62"/>
      <c r="C58" s="63">
        <v>0</v>
      </c>
      <c r="D58" s="64">
        <v>0</v>
      </c>
      <c r="E58" s="65">
        <v>0</v>
      </c>
      <c r="F58" s="64">
        <v>0</v>
      </c>
      <c r="G58" s="92" t="str">
        <f t="shared" si="8"/>
        <v>Short Term</v>
      </c>
      <c r="H58" s="66">
        <f t="shared" si="9"/>
        <v>0</v>
      </c>
      <c r="I58" s="66">
        <f t="shared" si="11"/>
        <v>0</v>
      </c>
      <c r="J58" s="66">
        <f t="shared" si="10"/>
        <v>0</v>
      </c>
      <c r="K58" s="99"/>
      <c r="L58" s="99"/>
      <c r="M58" s="99"/>
      <c r="N58" s="99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</row>
    <row r="59" spans="1:36">
      <c r="A59" s="61"/>
      <c r="B59" s="62"/>
      <c r="C59" s="63">
        <v>0</v>
      </c>
      <c r="D59" s="64">
        <v>0</v>
      </c>
      <c r="E59" s="65">
        <v>0</v>
      </c>
      <c r="F59" s="64">
        <v>0</v>
      </c>
      <c r="G59" s="92" t="str">
        <f t="shared" si="8"/>
        <v>Short Term</v>
      </c>
      <c r="H59" s="66">
        <f t="shared" si="9"/>
        <v>0</v>
      </c>
      <c r="I59" s="66">
        <f t="shared" si="11"/>
        <v>0</v>
      </c>
      <c r="J59" s="66">
        <f t="shared" si="10"/>
        <v>0</v>
      </c>
      <c r="K59" s="99"/>
      <c r="L59" s="99"/>
      <c r="M59" s="99"/>
      <c r="N59" s="99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</row>
    <row r="60" spans="1:36">
      <c r="A60" s="61"/>
      <c r="B60" s="62"/>
      <c r="C60" s="63">
        <v>0</v>
      </c>
      <c r="D60" s="64">
        <v>0</v>
      </c>
      <c r="E60" s="65">
        <v>0</v>
      </c>
      <c r="F60" s="64">
        <v>0</v>
      </c>
      <c r="G60" s="92" t="str">
        <f t="shared" si="8"/>
        <v>Short Term</v>
      </c>
      <c r="H60" s="66">
        <f t="shared" si="9"/>
        <v>0</v>
      </c>
      <c r="I60" s="66">
        <f t="shared" si="11"/>
        <v>0</v>
      </c>
      <c r="J60" s="66">
        <f t="shared" si="10"/>
        <v>0</v>
      </c>
      <c r="K60" s="99"/>
      <c r="L60" s="99"/>
      <c r="M60" s="99"/>
      <c r="N60" s="99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</row>
    <row r="61" spans="1:36">
      <c r="A61" s="61"/>
      <c r="B61" s="62"/>
      <c r="C61" s="63">
        <v>0</v>
      </c>
      <c r="D61" s="64">
        <v>0</v>
      </c>
      <c r="E61" s="65">
        <v>0</v>
      </c>
      <c r="F61" s="64">
        <v>0</v>
      </c>
      <c r="G61" s="92" t="str">
        <f t="shared" si="8"/>
        <v>Short Term</v>
      </c>
      <c r="H61" s="66">
        <f t="shared" si="9"/>
        <v>0</v>
      </c>
      <c r="I61" s="66">
        <f t="shared" si="11"/>
        <v>0</v>
      </c>
      <c r="J61" s="66">
        <f t="shared" si="10"/>
        <v>0</v>
      </c>
      <c r="K61" s="99"/>
      <c r="L61" s="99"/>
      <c r="M61" s="99"/>
      <c r="N61" s="99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</row>
    <row r="62" spans="1:36">
      <c r="A62" s="61"/>
      <c r="B62" s="62"/>
      <c r="C62" s="63">
        <v>0</v>
      </c>
      <c r="D62" s="64">
        <v>0</v>
      </c>
      <c r="E62" s="65">
        <v>0</v>
      </c>
      <c r="F62" s="64">
        <v>0</v>
      </c>
      <c r="G62" s="92" t="str">
        <f t="shared" si="8"/>
        <v>Short Term</v>
      </c>
      <c r="H62" s="66">
        <f t="shared" si="9"/>
        <v>0</v>
      </c>
      <c r="I62" s="66">
        <f t="shared" si="11"/>
        <v>0</v>
      </c>
      <c r="J62" s="66">
        <f t="shared" si="10"/>
        <v>0</v>
      </c>
      <c r="K62" s="99"/>
      <c r="L62" s="99"/>
      <c r="M62" s="99"/>
      <c r="N62" s="99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</row>
    <row r="63" spans="1:36">
      <c r="A63" s="61"/>
      <c r="B63" s="62"/>
      <c r="C63" s="63">
        <v>0</v>
      </c>
      <c r="D63" s="64">
        <v>0</v>
      </c>
      <c r="E63" s="65">
        <v>0</v>
      </c>
      <c r="F63" s="64">
        <v>0</v>
      </c>
      <c r="G63" s="92" t="str">
        <f t="shared" si="8"/>
        <v>Short Term</v>
      </c>
      <c r="H63" s="66">
        <f t="shared" si="9"/>
        <v>0</v>
      </c>
      <c r="I63" s="66">
        <f t="shared" si="11"/>
        <v>0</v>
      </c>
      <c r="J63" s="66">
        <f t="shared" si="10"/>
        <v>0</v>
      </c>
      <c r="K63" s="99"/>
      <c r="L63" s="99"/>
      <c r="M63" s="99"/>
      <c r="N63" s="99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</row>
    <row r="64" spans="1:36">
      <c r="A64" s="61"/>
      <c r="B64" s="62"/>
      <c r="C64" s="63">
        <v>0</v>
      </c>
      <c r="D64" s="64">
        <v>0</v>
      </c>
      <c r="E64" s="65">
        <v>0</v>
      </c>
      <c r="F64" s="64">
        <v>0</v>
      </c>
      <c r="G64" s="92" t="str">
        <f t="shared" si="8"/>
        <v>Short Term</v>
      </c>
      <c r="H64" s="66">
        <f t="shared" si="9"/>
        <v>0</v>
      </c>
      <c r="I64" s="66">
        <f t="shared" si="11"/>
        <v>0</v>
      </c>
      <c r="J64" s="66">
        <f t="shared" si="10"/>
        <v>0</v>
      </c>
      <c r="K64" s="99"/>
      <c r="L64" s="99"/>
      <c r="M64" s="99"/>
      <c r="N64" s="99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</row>
    <row r="65" spans="1:36">
      <c r="A65" s="61"/>
      <c r="B65" s="62"/>
      <c r="C65" s="63">
        <v>0</v>
      </c>
      <c r="D65" s="64">
        <v>0</v>
      </c>
      <c r="E65" s="65">
        <v>0</v>
      </c>
      <c r="F65" s="64">
        <v>0</v>
      </c>
      <c r="G65" s="92" t="str">
        <f t="shared" si="8"/>
        <v>Short Term</v>
      </c>
      <c r="H65" s="66">
        <f t="shared" si="9"/>
        <v>0</v>
      </c>
      <c r="I65" s="66">
        <f t="shared" si="11"/>
        <v>0</v>
      </c>
      <c r="J65" s="66">
        <f t="shared" si="10"/>
        <v>0</v>
      </c>
      <c r="K65" s="99"/>
      <c r="L65" s="99"/>
      <c r="M65" s="99"/>
      <c r="N65" s="99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</row>
    <row r="66" spans="1:36">
      <c r="A66" s="61"/>
      <c r="B66" s="62"/>
      <c r="C66" s="63">
        <v>0</v>
      </c>
      <c r="D66" s="64">
        <v>0</v>
      </c>
      <c r="E66" s="65">
        <v>0</v>
      </c>
      <c r="F66" s="64">
        <v>0</v>
      </c>
      <c r="G66" s="92" t="str">
        <f t="shared" si="8"/>
        <v>Short Term</v>
      </c>
      <c r="H66" s="66">
        <f t="shared" si="9"/>
        <v>0</v>
      </c>
      <c r="I66" s="66">
        <f t="shared" si="11"/>
        <v>0</v>
      </c>
      <c r="J66" s="66">
        <f t="shared" si="10"/>
        <v>0</v>
      </c>
      <c r="K66" s="99"/>
      <c r="L66" s="99"/>
      <c r="M66" s="99"/>
      <c r="N66" s="99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</row>
    <row r="67" spans="1:36">
      <c r="A67" s="61"/>
      <c r="B67" s="62"/>
      <c r="C67" s="63">
        <v>0</v>
      </c>
      <c r="D67" s="64">
        <v>0</v>
      </c>
      <c r="E67" s="65">
        <v>0</v>
      </c>
      <c r="F67" s="64">
        <v>0</v>
      </c>
      <c r="G67" s="92" t="str">
        <f t="shared" si="8"/>
        <v>Short Term</v>
      </c>
      <c r="H67" s="66">
        <f t="shared" si="9"/>
        <v>0</v>
      </c>
      <c r="I67" s="66">
        <f t="shared" si="11"/>
        <v>0</v>
      </c>
      <c r="J67" s="66">
        <f t="shared" si="10"/>
        <v>0</v>
      </c>
      <c r="K67" s="99"/>
      <c r="L67" s="99"/>
      <c r="M67" s="99"/>
      <c r="N67" s="99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</row>
    <row r="68" spans="1:36">
      <c r="A68" s="61"/>
      <c r="B68" s="62"/>
      <c r="C68" s="63">
        <v>0</v>
      </c>
      <c r="D68" s="64">
        <v>0</v>
      </c>
      <c r="E68" s="65">
        <v>0</v>
      </c>
      <c r="F68" s="64">
        <v>0</v>
      </c>
      <c r="G68" s="92" t="str">
        <f t="shared" si="8"/>
        <v>Short Term</v>
      </c>
      <c r="H68" s="66">
        <f t="shared" si="9"/>
        <v>0</v>
      </c>
      <c r="I68" s="66">
        <f t="shared" si="11"/>
        <v>0</v>
      </c>
      <c r="J68" s="66">
        <f t="shared" si="10"/>
        <v>0</v>
      </c>
      <c r="K68" s="99"/>
      <c r="L68" s="99"/>
      <c r="M68" s="99"/>
      <c r="N68" s="99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</row>
    <row r="69" spans="1:36">
      <c r="A69" s="61"/>
      <c r="B69" s="62"/>
      <c r="C69" s="63">
        <v>0</v>
      </c>
      <c r="D69" s="64">
        <v>0</v>
      </c>
      <c r="E69" s="65">
        <v>0</v>
      </c>
      <c r="F69" s="64">
        <v>0</v>
      </c>
      <c r="G69" s="92" t="str">
        <f t="shared" si="8"/>
        <v>Short Term</v>
      </c>
      <c r="H69" s="66">
        <f t="shared" si="9"/>
        <v>0</v>
      </c>
      <c r="I69" s="66">
        <f t="shared" si="11"/>
        <v>0</v>
      </c>
      <c r="J69" s="66">
        <f t="shared" si="10"/>
        <v>0</v>
      </c>
      <c r="K69" s="99"/>
      <c r="L69" s="99"/>
      <c r="M69" s="99"/>
      <c r="N69" s="99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</row>
    <row r="70" spans="1:36">
      <c r="A70" s="61"/>
      <c r="B70" s="62"/>
      <c r="C70" s="63">
        <v>0</v>
      </c>
      <c r="D70" s="64">
        <v>0</v>
      </c>
      <c r="E70" s="65">
        <v>0</v>
      </c>
      <c r="F70" s="64">
        <v>0</v>
      </c>
      <c r="G70" s="92" t="str">
        <f t="shared" si="8"/>
        <v>Short Term</v>
      </c>
      <c r="H70" s="66">
        <f t="shared" si="9"/>
        <v>0</v>
      </c>
      <c r="I70" s="66">
        <f t="shared" si="11"/>
        <v>0</v>
      </c>
      <c r="J70" s="66">
        <f t="shared" si="10"/>
        <v>0</v>
      </c>
      <c r="K70" s="99"/>
      <c r="L70" s="99"/>
      <c r="M70" s="99"/>
      <c r="N70" s="99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</row>
    <row r="71" spans="1:36">
      <c r="A71" s="61"/>
      <c r="B71" s="62"/>
      <c r="C71" s="63">
        <v>0</v>
      </c>
      <c r="D71" s="64">
        <v>0</v>
      </c>
      <c r="E71" s="65">
        <v>0</v>
      </c>
      <c r="F71" s="64">
        <v>0</v>
      </c>
      <c r="G71" s="92" t="str">
        <f t="shared" si="8"/>
        <v>Short Term</v>
      </c>
      <c r="H71" s="66">
        <f t="shared" si="9"/>
        <v>0</v>
      </c>
      <c r="I71" s="66">
        <f t="shared" si="11"/>
        <v>0</v>
      </c>
      <c r="J71" s="66">
        <f t="shared" si="10"/>
        <v>0</v>
      </c>
      <c r="K71" s="99"/>
      <c r="L71" s="99"/>
      <c r="M71" s="99"/>
      <c r="N71" s="99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</row>
    <row r="72" spans="1:36">
      <c r="A72" s="61"/>
      <c r="B72" s="62"/>
      <c r="C72" s="63">
        <v>0</v>
      </c>
      <c r="D72" s="64">
        <v>0</v>
      </c>
      <c r="E72" s="65">
        <v>0</v>
      </c>
      <c r="F72" s="64">
        <v>0</v>
      </c>
      <c r="G72" s="92" t="str">
        <f t="shared" si="8"/>
        <v>Short Term</v>
      </c>
      <c r="H72" s="66">
        <f t="shared" si="9"/>
        <v>0</v>
      </c>
      <c r="I72" s="66">
        <f t="shared" si="11"/>
        <v>0</v>
      </c>
      <c r="J72" s="66">
        <f t="shared" si="10"/>
        <v>0</v>
      </c>
      <c r="K72" s="99"/>
      <c r="L72" s="99"/>
      <c r="M72" s="99"/>
      <c r="N72" s="99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</row>
    <row r="73" spans="1:36">
      <c r="A73" s="61"/>
      <c r="B73" s="62"/>
      <c r="C73" s="63">
        <v>0</v>
      </c>
      <c r="D73" s="64">
        <v>0</v>
      </c>
      <c r="E73" s="65">
        <v>0</v>
      </c>
      <c r="F73" s="64">
        <v>0</v>
      </c>
      <c r="G73" s="92" t="str">
        <f t="shared" si="8"/>
        <v>Short Term</v>
      </c>
      <c r="H73" s="66">
        <f t="shared" si="9"/>
        <v>0</v>
      </c>
      <c r="I73" s="66">
        <f t="shared" si="11"/>
        <v>0</v>
      </c>
      <c r="J73" s="66">
        <f t="shared" si="10"/>
        <v>0</v>
      </c>
      <c r="K73" s="99"/>
      <c r="L73" s="99"/>
      <c r="M73" s="99"/>
      <c r="N73" s="99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</row>
    <row r="74" spans="1:36">
      <c r="A74" s="61"/>
      <c r="B74" s="62"/>
      <c r="C74" s="63">
        <v>0</v>
      </c>
      <c r="D74" s="64">
        <v>0</v>
      </c>
      <c r="E74" s="65">
        <v>0</v>
      </c>
      <c r="F74" s="64">
        <v>0</v>
      </c>
      <c r="G74" s="92" t="str">
        <f t="shared" si="8"/>
        <v>Short Term</v>
      </c>
      <c r="H74" s="66">
        <f t="shared" si="9"/>
        <v>0</v>
      </c>
      <c r="I74" s="66">
        <f t="shared" si="11"/>
        <v>0</v>
      </c>
      <c r="J74" s="66">
        <f t="shared" si="10"/>
        <v>0</v>
      </c>
      <c r="K74" s="99"/>
      <c r="L74" s="99"/>
      <c r="M74" s="99"/>
      <c r="N74" s="99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</row>
    <row r="75" spans="1:36">
      <c r="A75" s="61"/>
      <c r="B75" s="62"/>
      <c r="C75" s="63">
        <v>0</v>
      </c>
      <c r="D75" s="64">
        <v>0</v>
      </c>
      <c r="E75" s="65">
        <v>0</v>
      </c>
      <c r="F75" s="64">
        <v>0</v>
      </c>
      <c r="G75" s="92" t="str">
        <f t="shared" si="8"/>
        <v>Short Term</v>
      </c>
      <c r="H75" s="66">
        <f t="shared" si="9"/>
        <v>0</v>
      </c>
      <c r="I75" s="66">
        <f t="shared" si="11"/>
        <v>0</v>
      </c>
      <c r="J75" s="66">
        <f t="shared" si="10"/>
        <v>0</v>
      </c>
      <c r="K75" s="99"/>
      <c r="L75" s="99"/>
      <c r="M75" s="99"/>
      <c r="N75" s="99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</row>
    <row r="76" spans="1:36">
      <c r="A76" s="184" t="s">
        <v>55</v>
      </c>
      <c r="B76" s="185"/>
      <c r="C76" s="185"/>
      <c r="D76" s="185"/>
      <c r="E76" s="185"/>
      <c r="F76" s="185"/>
      <c r="G76" s="186"/>
      <c r="H76" s="78">
        <f>SUM(H45:H75)</f>
        <v>0</v>
      </c>
      <c r="I76" s="78">
        <f>MAX(SUM(I45:I75),0)</f>
        <v>0</v>
      </c>
      <c r="J76" s="78">
        <f>MAX(SUM(J45:J75),0)</f>
        <v>0</v>
      </c>
      <c r="K76" s="99"/>
      <c r="L76" s="99"/>
      <c r="M76" s="99"/>
      <c r="N76" s="99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</row>
    <row r="77" spans="1:36">
      <c r="A77" s="99"/>
      <c r="B77" s="99"/>
      <c r="C77" s="99"/>
      <c r="D77" s="99"/>
      <c r="E77" s="99"/>
      <c r="F77" s="99"/>
      <c r="G77" s="99"/>
      <c r="H77" s="99"/>
      <c r="I77" s="100"/>
      <c r="J77" s="99"/>
      <c r="K77" s="99"/>
      <c r="L77" s="99"/>
      <c r="M77" s="99"/>
      <c r="N77" s="99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</row>
    <row r="78" spans="1:36">
      <c r="A78" s="164" t="s">
        <v>14</v>
      </c>
      <c r="B78" s="164"/>
      <c r="C78" s="164"/>
      <c r="D78" s="164"/>
      <c r="E78" s="164"/>
      <c r="F78" s="164"/>
      <c r="G78" s="171" t="s">
        <v>15</v>
      </c>
      <c r="H78" s="172"/>
      <c r="I78" s="100"/>
      <c r="J78" s="99"/>
      <c r="K78" s="99"/>
      <c r="L78" s="99"/>
      <c r="M78" s="99"/>
      <c r="N78" s="99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</row>
    <row r="79" spans="1:36">
      <c r="A79" s="173" t="s">
        <v>16</v>
      </c>
      <c r="B79" s="173"/>
      <c r="C79" s="173"/>
      <c r="D79" s="173"/>
      <c r="E79" s="173"/>
      <c r="F79" s="173"/>
      <c r="G79" s="67"/>
      <c r="H79" s="67">
        <f>+H80</f>
        <v>0</v>
      </c>
      <c r="I79" s="100"/>
      <c r="J79" s="99"/>
      <c r="K79" s="99"/>
      <c r="L79" s="99"/>
      <c r="M79" s="99"/>
      <c r="N79" s="99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</row>
    <row r="80" spans="1:36">
      <c r="A80" s="174" t="s">
        <v>17</v>
      </c>
      <c r="B80" s="175"/>
      <c r="C80" s="175"/>
      <c r="D80" s="175"/>
      <c r="E80" s="175"/>
      <c r="F80" s="176"/>
      <c r="G80" s="180">
        <v>0</v>
      </c>
      <c r="H80" s="182">
        <f>ROUND(IF(+MASTER!B6="MALE",MIN(SUM(G80),15000),IF(+MASTER!B6="Senior Citizen",MIN(SUM(G80),20000),IF(+MASTER!B6="FEMALE",MIN(SUM(G80),15000),IF(+MASTER!B6="Super Senior Citizen",MIN(SUM(G80),20000),"Please enter sex in data sheet")))),0)</f>
        <v>0</v>
      </c>
      <c r="I80" s="100"/>
      <c r="J80" s="99"/>
      <c r="K80" s="99"/>
      <c r="L80" s="99"/>
      <c r="M80" s="99"/>
      <c r="N80" s="99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</row>
    <row r="81" spans="1:36">
      <c r="A81" s="177"/>
      <c r="B81" s="178"/>
      <c r="C81" s="178"/>
      <c r="D81" s="178"/>
      <c r="E81" s="178"/>
      <c r="F81" s="179"/>
      <c r="G81" s="181"/>
      <c r="H81" s="183"/>
      <c r="I81" s="100"/>
      <c r="J81" s="99"/>
      <c r="K81" s="99"/>
      <c r="L81" s="99"/>
      <c r="M81" s="99"/>
      <c r="N81" s="99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</row>
    <row r="82" spans="1:36">
      <c r="A82" s="164" t="s">
        <v>18</v>
      </c>
      <c r="B82" s="164"/>
      <c r="C82" s="164"/>
      <c r="D82" s="164"/>
      <c r="E82" s="164"/>
      <c r="F82" s="164"/>
      <c r="G82" s="79"/>
      <c r="H82" s="80"/>
      <c r="I82" s="100"/>
      <c r="J82" s="99"/>
      <c r="K82" s="99"/>
      <c r="L82" s="99"/>
      <c r="M82" s="99"/>
      <c r="N82" s="99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</row>
    <row r="83" spans="1:36">
      <c r="A83" s="165" t="s">
        <v>19</v>
      </c>
      <c r="B83" s="165"/>
      <c r="C83" s="165"/>
      <c r="D83" s="165"/>
      <c r="E83" s="165"/>
      <c r="F83" s="165"/>
      <c r="G83" s="68">
        <f>+SALARY!N10</f>
        <v>0</v>
      </c>
      <c r="H83" s="69">
        <v>0</v>
      </c>
      <c r="I83" s="100"/>
      <c r="J83" s="150" t="s">
        <v>132</v>
      </c>
      <c r="K83" s="152"/>
      <c r="L83" s="151"/>
      <c r="M83" s="99"/>
      <c r="N83" s="99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</row>
    <row r="84" spans="1:36">
      <c r="A84" s="165" t="s">
        <v>20</v>
      </c>
      <c r="B84" s="165"/>
      <c r="C84" s="165"/>
      <c r="D84" s="165"/>
      <c r="E84" s="165"/>
      <c r="F84" s="165"/>
      <c r="G84" s="70">
        <v>0</v>
      </c>
      <c r="H84" s="69">
        <v>0</v>
      </c>
      <c r="I84" s="100"/>
      <c r="J84" s="150" t="s">
        <v>127</v>
      </c>
      <c r="K84" s="151"/>
      <c r="L84" s="71" t="s">
        <v>128</v>
      </c>
      <c r="M84" s="99"/>
      <c r="N84" s="99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</row>
    <row r="85" spans="1:36">
      <c r="A85" s="165" t="s">
        <v>21</v>
      </c>
      <c r="B85" s="165"/>
      <c r="C85" s="165"/>
      <c r="D85" s="165"/>
      <c r="E85" s="165"/>
      <c r="F85" s="165"/>
      <c r="G85" s="70"/>
      <c r="H85" s="69">
        <v>0</v>
      </c>
      <c r="I85" s="100"/>
      <c r="J85" s="72" t="s">
        <v>129</v>
      </c>
      <c r="K85" s="73">
        <f>ROUND(IF(SALARY!G121&gt;10000,SALARY!G121*30%,0),-2)</f>
        <v>0</v>
      </c>
      <c r="L85" s="74"/>
      <c r="M85" s="99"/>
      <c r="N85" s="99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</row>
    <row r="86" spans="1:36">
      <c r="A86" s="165" t="s">
        <v>22</v>
      </c>
      <c r="B86" s="165"/>
      <c r="C86" s="165"/>
      <c r="D86" s="165"/>
      <c r="E86" s="165"/>
      <c r="F86" s="165"/>
      <c r="G86" s="70"/>
      <c r="H86" s="69">
        <v>0</v>
      </c>
      <c r="I86" s="100"/>
      <c r="J86" s="75" t="s">
        <v>130</v>
      </c>
      <c r="K86" s="73">
        <f>ROUND(IF(SALARY!G121&gt;10000,SALARY!G121*30%,0),-2)</f>
        <v>0</v>
      </c>
      <c r="L86" s="74"/>
      <c r="M86" s="99"/>
      <c r="N86" s="99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</row>
    <row r="87" spans="1:36">
      <c r="A87" s="165" t="s">
        <v>23</v>
      </c>
      <c r="B87" s="165"/>
      <c r="C87" s="165"/>
      <c r="D87" s="165"/>
      <c r="E87" s="165"/>
      <c r="F87" s="165"/>
      <c r="G87" s="70"/>
      <c r="H87" s="69">
        <v>0</v>
      </c>
      <c r="I87" s="100"/>
      <c r="J87" s="75" t="s">
        <v>131</v>
      </c>
      <c r="K87" s="76">
        <f>ROUND(IF(SALARY!G121&gt;10000,SALARY!G121*40%,0),-2)</f>
        <v>0</v>
      </c>
      <c r="L87" s="74"/>
      <c r="M87" s="99"/>
      <c r="N87" s="99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</row>
    <row r="88" spans="1:36">
      <c r="A88" s="165" t="s">
        <v>24</v>
      </c>
      <c r="B88" s="165"/>
      <c r="C88" s="165"/>
      <c r="D88" s="165"/>
      <c r="E88" s="165"/>
      <c r="F88" s="165"/>
      <c r="G88" s="70"/>
      <c r="H88" s="69">
        <v>0</v>
      </c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</row>
    <row r="89" spans="1:36">
      <c r="A89" s="165" t="s">
        <v>25</v>
      </c>
      <c r="B89" s="165"/>
      <c r="C89" s="165"/>
      <c r="D89" s="165"/>
      <c r="E89" s="165"/>
      <c r="F89" s="165"/>
      <c r="G89" s="70"/>
      <c r="H89" s="69">
        <v>0</v>
      </c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</row>
    <row r="90" spans="1:36">
      <c r="A90" s="165" t="s">
        <v>26</v>
      </c>
      <c r="B90" s="165"/>
      <c r="C90" s="165"/>
      <c r="D90" s="165"/>
      <c r="E90" s="165"/>
      <c r="F90" s="165"/>
      <c r="G90" s="70">
        <v>0</v>
      </c>
      <c r="H90" s="69">
        <v>0</v>
      </c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</row>
    <row r="91" spans="1:36">
      <c r="A91" s="165" t="s">
        <v>27</v>
      </c>
      <c r="B91" s="165"/>
      <c r="C91" s="165"/>
      <c r="D91" s="165"/>
      <c r="E91" s="165"/>
      <c r="F91" s="165"/>
      <c r="G91" s="70">
        <v>0</v>
      </c>
      <c r="H91" s="69">
        <v>0</v>
      </c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</row>
    <row r="92" spans="1:36">
      <c r="A92" s="165" t="s">
        <v>28</v>
      </c>
      <c r="B92" s="165"/>
      <c r="C92" s="165"/>
      <c r="D92" s="165"/>
      <c r="E92" s="165"/>
      <c r="F92" s="165"/>
      <c r="G92" s="70">
        <v>0</v>
      </c>
      <c r="H92" s="69">
        <v>0</v>
      </c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</row>
    <row r="93" spans="1:36">
      <c r="A93" s="165" t="s">
        <v>29</v>
      </c>
      <c r="B93" s="165"/>
      <c r="C93" s="165"/>
      <c r="D93" s="165"/>
      <c r="E93" s="165"/>
      <c r="F93" s="165"/>
      <c r="G93" s="70">
        <v>0</v>
      </c>
      <c r="H93" s="69">
        <v>0</v>
      </c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</row>
    <row r="94" spans="1:36">
      <c r="A94" s="165" t="s">
        <v>30</v>
      </c>
      <c r="B94" s="165"/>
      <c r="C94" s="165"/>
      <c r="D94" s="165"/>
      <c r="E94" s="165"/>
      <c r="F94" s="165"/>
      <c r="G94" s="70">
        <v>0</v>
      </c>
      <c r="H94" s="69">
        <v>0</v>
      </c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</row>
    <row r="95" spans="1:36">
      <c r="A95" s="165" t="s">
        <v>31</v>
      </c>
      <c r="B95" s="165"/>
      <c r="C95" s="165"/>
      <c r="D95" s="165"/>
      <c r="E95" s="165"/>
      <c r="F95" s="165"/>
      <c r="G95" s="70">
        <v>0</v>
      </c>
      <c r="H95" s="69">
        <v>0</v>
      </c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</row>
    <row r="96" spans="1:36">
      <c r="A96" s="165" t="s">
        <v>32</v>
      </c>
      <c r="B96" s="165"/>
      <c r="C96" s="165"/>
      <c r="D96" s="165"/>
      <c r="E96" s="165"/>
      <c r="F96" s="165"/>
      <c r="G96" s="70">
        <v>0</v>
      </c>
      <c r="H96" s="69">
        <v>0</v>
      </c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</row>
    <row r="97" spans="1:48">
      <c r="A97" s="165" t="s">
        <v>33</v>
      </c>
      <c r="B97" s="165"/>
      <c r="C97" s="165"/>
      <c r="D97" s="165"/>
      <c r="E97" s="165"/>
      <c r="F97" s="165"/>
      <c r="G97" s="70">
        <v>0</v>
      </c>
      <c r="H97" s="69">
        <v>0</v>
      </c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</row>
    <row r="98" spans="1:48">
      <c r="A98" s="166" t="s">
        <v>34</v>
      </c>
      <c r="B98" s="166"/>
      <c r="C98" s="166"/>
      <c r="D98" s="166"/>
      <c r="E98" s="166"/>
      <c r="F98" s="166"/>
      <c r="G98" s="84">
        <f>+SUM(G83:G97)</f>
        <v>0</v>
      </c>
      <c r="H98" s="84">
        <f>MIN(SUM(G83:G97),100000)</f>
        <v>0</v>
      </c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</row>
    <row r="99" spans="1:48">
      <c r="A99" s="187" t="s">
        <v>35</v>
      </c>
      <c r="B99" s="187"/>
      <c r="C99" s="187"/>
      <c r="D99" s="187"/>
      <c r="E99" s="187"/>
      <c r="F99" s="187"/>
      <c r="G99" s="161">
        <f>+H98+H79</f>
        <v>0</v>
      </c>
      <c r="H99" s="162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</row>
    <row r="100" spans="1:48">
      <c r="A100" s="77"/>
      <c r="B100" s="77"/>
      <c r="C100" s="77"/>
      <c r="D100" s="77"/>
      <c r="E100" s="77"/>
      <c r="F100" s="77"/>
      <c r="G100" s="77"/>
      <c r="H100" s="77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</row>
    <row r="101" spans="1:48">
      <c r="A101" s="165" t="s">
        <v>136</v>
      </c>
      <c r="B101" s="165"/>
      <c r="C101" s="165"/>
      <c r="D101" s="165"/>
      <c r="E101" s="165"/>
      <c r="F101" s="165"/>
      <c r="G101" s="81">
        <v>0</v>
      </c>
      <c r="H101" s="58">
        <f>+G101*50%</f>
        <v>0</v>
      </c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</row>
    <row r="102" spans="1:48">
      <c r="A102" s="165" t="s">
        <v>164</v>
      </c>
      <c r="B102" s="165"/>
      <c r="C102" s="165"/>
      <c r="D102" s="165"/>
      <c r="E102" s="165"/>
      <c r="F102" s="165"/>
      <c r="G102" s="81">
        <f>+SALARY!N11</f>
        <v>0</v>
      </c>
      <c r="H102" s="58">
        <f>MIN(SUM(G102),2500)</f>
        <v>0</v>
      </c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</row>
    <row r="103" spans="1:48">
      <c r="A103" s="165" t="s">
        <v>137</v>
      </c>
      <c r="B103" s="165"/>
      <c r="C103" s="165"/>
      <c r="D103" s="165"/>
      <c r="E103" s="165"/>
      <c r="F103" s="165"/>
      <c r="G103" s="81">
        <v>0</v>
      </c>
      <c r="H103" s="58">
        <f>+G103</f>
        <v>0</v>
      </c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</row>
    <row r="104" spans="1:48">
      <c r="A104" s="165" t="s">
        <v>138</v>
      </c>
      <c r="B104" s="165"/>
      <c r="C104" s="165"/>
      <c r="D104" s="165"/>
      <c r="E104" s="165"/>
      <c r="F104" s="165"/>
      <c r="G104" s="81">
        <v>0</v>
      </c>
      <c r="H104" s="58">
        <f>+G104*50%</f>
        <v>0</v>
      </c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</row>
    <row r="105" spans="1:48">
      <c r="A105" s="165" t="s">
        <v>139</v>
      </c>
      <c r="B105" s="165"/>
      <c r="C105" s="165"/>
      <c r="D105" s="165"/>
      <c r="E105" s="165"/>
      <c r="F105" s="165"/>
      <c r="G105" s="81">
        <v>0</v>
      </c>
      <c r="H105" s="58">
        <f>MIN(SUM(G105),50000)</f>
        <v>0</v>
      </c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</row>
    <row r="106" spans="1:48">
      <c r="A106" s="165" t="s">
        <v>140</v>
      </c>
      <c r="B106" s="165"/>
      <c r="C106" s="165"/>
      <c r="D106" s="165"/>
      <c r="E106" s="165"/>
      <c r="F106" s="165"/>
      <c r="G106" s="81">
        <v>0</v>
      </c>
      <c r="H106" s="58">
        <f>MIN(SUM(G106),60000)</f>
        <v>0</v>
      </c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</row>
    <row r="107" spans="1:48">
      <c r="A107" s="165" t="s">
        <v>141</v>
      </c>
      <c r="B107" s="165"/>
      <c r="C107" s="165"/>
      <c r="D107" s="165"/>
      <c r="E107" s="165"/>
      <c r="F107" s="165"/>
      <c r="G107" s="81">
        <v>0</v>
      </c>
      <c r="H107" s="58">
        <f>MIN(SUM(G107),75000)</f>
        <v>0</v>
      </c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</row>
    <row r="108" spans="1:48">
      <c r="A108" s="165"/>
      <c r="B108" s="165"/>
      <c r="C108" s="165"/>
      <c r="D108" s="165"/>
      <c r="E108" s="165"/>
      <c r="F108" s="165"/>
      <c r="G108" s="81">
        <v>0</v>
      </c>
      <c r="H108" s="58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</row>
    <row r="109" spans="1:48">
      <c r="A109" s="153" t="s">
        <v>36</v>
      </c>
      <c r="B109" s="154"/>
      <c r="C109" s="154"/>
      <c r="D109" s="154"/>
      <c r="E109" s="154"/>
      <c r="F109" s="154"/>
      <c r="G109" s="82">
        <f>SUM(G101:G108)</f>
        <v>0</v>
      </c>
      <c r="H109" s="83">
        <f>+SUM(H101:H108)</f>
        <v>0</v>
      </c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</row>
    <row r="110" spans="1:48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</row>
    <row r="111" spans="1:48">
      <c r="A111" s="163" t="s">
        <v>59</v>
      </c>
      <c r="B111" s="163"/>
      <c r="C111" s="163"/>
      <c r="D111" s="163"/>
      <c r="E111" s="163"/>
      <c r="F111" s="163"/>
      <c r="G111" s="85">
        <f>+G112-SALARY!G109-SALARY!H98-SALARY!H28</f>
        <v>0</v>
      </c>
      <c r="H111" s="100"/>
      <c r="I111" s="157" t="s">
        <v>84</v>
      </c>
      <c r="J111" s="158"/>
      <c r="K111" s="158"/>
      <c r="L111" s="159"/>
      <c r="M111" s="157" t="s">
        <v>85</v>
      </c>
      <c r="N111" s="158"/>
      <c r="O111" s="158"/>
      <c r="P111" s="159"/>
      <c r="Q111" s="157" t="s">
        <v>86</v>
      </c>
      <c r="R111" s="158"/>
      <c r="S111" s="158"/>
      <c r="T111" s="159"/>
      <c r="U111" s="157" t="s">
        <v>87</v>
      </c>
      <c r="V111" s="158"/>
      <c r="W111" s="158"/>
      <c r="X111" s="159"/>
      <c r="Y111" s="157" t="s">
        <v>91</v>
      </c>
      <c r="Z111" s="158"/>
      <c r="AA111" s="158"/>
      <c r="AB111" s="159"/>
      <c r="AC111" s="157" t="s">
        <v>92</v>
      </c>
      <c r="AD111" s="158"/>
      <c r="AE111" s="158"/>
      <c r="AF111" s="159"/>
      <c r="AG111" s="157" t="s">
        <v>93</v>
      </c>
      <c r="AH111" s="158"/>
      <c r="AI111" s="158"/>
      <c r="AJ111" s="159"/>
      <c r="AL111" t="s">
        <v>109</v>
      </c>
      <c r="AM111" t="s">
        <v>110</v>
      </c>
      <c r="AN111" s="18" t="str">
        <f>+MASTER!K7</f>
        <v>2013-2014 Male</v>
      </c>
      <c r="AO111" s="3"/>
    </row>
    <row r="112" spans="1:48">
      <c r="A112" s="163" t="s">
        <v>134</v>
      </c>
      <c r="B112" s="163"/>
      <c r="C112" s="163"/>
      <c r="D112" s="163"/>
      <c r="E112" s="163"/>
      <c r="F112" s="163"/>
      <c r="G112" s="85">
        <f>++SALARY!N9+SALARY!F25+SALARY!B40+SALARY!F32+G28</f>
        <v>0</v>
      </c>
      <c r="H112" s="100"/>
      <c r="I112" s="11" t="s">
        <v>85</v>
      </c>
      <c r="J112" s="157" t="s">
        <v>37</v>
      </c>
      <c r="K112" s="159"/>
      <c r="L112" s="12">
        <f>ROUND(IF(J112="MALE",IF(SALARY!$G$111&lt;J113,0,IF(SALARY!$G$111&lt;J114,((SALARY!$G$111-I114)*K114),IF(SALARY!$G$111&lt;J115,(((SALARY!$G$111-I115)*K115)+L114),(((SALARY!$G$111-I116)*K116)+L115)))),"Please enter sex in data sheet"),0)</f>
        <v>0</v>
      </c>
      <c r="M112" s="11" t="s">
        <v>85</v>
      </c>
      <c r="N112" s="157" t="s">
        <v>76</v>
      </c>
      <c r="O112" s="159" t="e">
        <f>+#REF!</f>
        <v>#REF!</v>
      </c>
      <c r="P112" s="12">
        <f>ROUND(IF(N112="MALE",IF(SALARY!$G$111&lt;N113,0,IF(SALARY!$G$111&lt;N114,((SALARY!$G$111-M114)*O114),IF(SALARY!$G$111&lt;N115,(((SALARY!$G$111-M115)*O115)+P114),(((SALARY!$G$111-M116)*O116)+P115)))),"Please enter sex in data sheet"),0)</f>
        <v>0</v>
      </c>
      <c r="Q112" s="11" t="str">
        <f>+Q111</f>
        <v>2011-12</v>
      </c>
      <c r="R112" s="157" t="s">
        <v>76</v>
      </c>
      <c r="S112" s="159" t="e">
        <f>+#REF!</f>
        <v>#REF!</v>
      </c>
      <c r="T112" s="12">
        <f>ROUND(IF(R112="MALE",IF(SALARY!$G$111&lt;R113,0,IF(SALARY!$G$111&lt;R114,((SALARY!$G$111-Q114)*S114),IF(SALARY!$G$111&lt;R115,(((SALARY!$G$111-Q115)*S115)+T114),(((SALARY!$G$111-Q116)*S116)+T115)))),"Please enter sex in data sheet"),0)</f>
        <v>0</v>
      </c>
      <c r="U112" s="11" t="str">
        <f>+U111</f>
        <v>2010-11</v>
      </c>
      <c r="V112" s="157" t="s">
        <v>76</v>
      </c>
      <c r="W112" s="159" t="e">
        <f>+#REF!</f>
        <v>#REF!</v>
      </c>
      <c r="X112" s="12">
        <f>ROUND(IF(V112="MALE",IF(SALARY!$G$111&lt;V113,0,IF(SALARY!$G$111&lt;V114,((SALARY!$G$111-U114)*W114),IF(SALARY!$G$111&lt;V115,(((SALARY!$G$111-U115)*W115)+X114),(((SALARY!$G$111-U116)*W116)+X115)))),"Please enter sex in data sheet"),0)</f>
        <v>0</v>
      </c>
      <c r="Y112" s="11" t="str">
        <f>+Y111</f>
        <v>2009-10</v>
      </c>
      <c r="Z112" s="157" t="s">
        <v>76</v>
      </c>
      <c r="AA112" s="159" t="e">
        <f>+#REF!</f>
        <v>#REF!</v>
      </c>
      <c r="AB112" s="12">
        <f>ROUND(IF(Z112="MALE",IF(SALARY!$G$111&lt;Z113,0,IF(SALARY!$G$111&lt;Z114,((SALARY!$G$111-Y114)*AA114),IF(SALARY!$G$111&lt;Z115,(((SALARY!$G$111-Y115)*AA115)+AB114),(((SALARY!$G$111-Y116)*AA116)+AB115)))),"Please enter sex in data sheet"),0)</f>
        <v>0</v>
      </c>
      <c r="AC112" s="11" t="str">
        <f>+AC111</f>
        <v>2008-09</v>
      </c>
      <c r="AD112" s="157" t="s">
        <v>76</v>
      </c>
      <c r="AE112" s="159" t="e">
        <f>+#REF!</f>
        <v>#REF!</v>
      </c>
      <c r="AF112" s="12">
        <f>ROUND(IF(AD112="MALE",IF(SALARY!$G$111&lt;AD113,0,IF(SALARY!$G$111&lt;AD114,((SALARY!$G$111-AC114)*AE114),IF(SALARY!$G$111&lt;AD115,(((SALARY!$G$111-AC115)*AE115)+AF114),(((SALARY!$G$111-AC116)*AE116)+AF115)))),"Please enter sex in data sheet"),0)</f>
        <v>0</v>
      </c>
      <c r="AG112" s="17" t="str">
        <f>+AG111</f>
        <v>2007-08</v>
      </c>
      <c r="AH112" s="157" t="s">
        <v>76</v>
      </c>
      <c r="AI112" s="159" t="e">
        <f>+#REF!</f>
        <v>#REF!</v>
      </c>
      <c r="AJ112" s="12">
        <f>ROUND(IF(AH112="MALE",IF(SALARY!$G$111&lt;AH113,0,IF(SALARY!$G$111&lt;AH114,((SALARY!$G$111-AG114)*AI114),IF(SALARY!$G$111&lt;AH115,(((SALARY!$G$111-AG115)*AI115)+AJ114),(((SALARY!$G$111-AG116)*AI116)+AJ115)))),"Please enter sex in data sheet"),0)</f>
        <v>0</v>
      </c>
      <c r="AL112" s="7" t="s">
        <v>94</v>
      </c>
      <c r="AM112" s="5" t="s">
        <v>75</v>
      </c>
      <c r="AN112" s="155" t="s">
        <v>76</v>
      </c>
      <c r="AO112" s="156"/>
      <c r="AP112" s="5" t="str">
        <f>CONCATENATE($AL$112," ",AN112)</f>
        <v>2014-2015 MALE</v>
      </c>
      <c r="AQ112" s="6">
        <f>+SALARY!L112</f>
        <v>0</v>
      </c>
      <c r="AR112" s="6">
        <v>2000</v>
      </c>
      <c r="AV112" s="40">
        <f>+SALARY!G126+SALARY!G120</f>
        <v>0</v>
      </c>
    </row>
    <row r="113" spans="1:53">
      <c r="A113" s="160" t="s">
        <v>60</v>
      </c>
      <c r="B113" s="160"/>
      <c r="C113" s="160"/>
      <c r="D113" s="160"/>
      <c r="E113" s="160"/>
      <c r="F113" s="160"/>
      <c r="G113" s="86">
        <f>+SALARY!G99+SALARY!H109</f>
        <v>0</v>
      </c>
      <c r="H113" s="140">
        <v>0</v>
      </c>
      <c r="I113" s="13">
        <v>0</v>
      </c>
      <c r="J113" s="14">
        <v>200000</v>
      </c>
      <c r="K113" s="15">
        <v>0</v>
      </c>
      <c r="L113" s="11">
        <f>MAX(+I113*J113,0)</f>
        <v>0</v>
      </c>
      <c r="M113" s="13">
        <v>0</v>
      </c>
      <c r="N113" s="14">
        <v>200000</v>
      </c>
      <c r="O113" s="15">
        <v>0</v>
      </c>
      <c r="P113" s="11">
        <f>MAX(+M113*N113,0)</f>
        <v>0</v>
      </c>
      <c r="Q113" s="13">
        <v>0</v>
      </c>
      <c r="R113" s="14">
        <v>180000</v>
      </c>
      <c r="S113" s="15">
        <v>0</v>
      </c>
      <c r="T113" s="11">
        <f>MAX(+Q113*R113,0)</f>
        <v>0</v>
      </c>
      <c r="U113" s="13">
        <v>0</v>
      </c>
      <c r="V113" s="14">
        <v>160000</v>
      </c>
      <c r="W113" s="15">
        <v>0</v>
      </c>
      <c r="X113" s="11">
        <f>MAX(+U113*V113,0)</f>
        <v>0</v>
      </c>
      <c r="Y113" s="13">
        <v>0</v>
      </c>
      <c r="Z113" s="14">
        <v>160000</v>
      </c>
      <c r="AA113" s="15">
        <v>0</v>
      </c>
      <c r="AB113" s="11">
        <f>MAX(+Y113*Z113,0)</f>
        <v>0</v>
      </c>
      <c r="AC113" s="13">
        <v>0</v>
      </c>
      <c r="AD113" s="14">
        <v>150000</v>
      </c>
      <c r="AE113" s="15">
        <v>0</v>
      </c>
      <c r="AF113" s="11">
        <f>MAX(+AC113*AD113,0)</f>
        <v>0</v>
      </c>
      <c r="AG113" s="13">
        <v>0</v>
      </c>
      <c r="AH113" s="14">
        <v>110000</v>
      </c>
      <c r="AI113" s="15">
        <v>0</v>
      </c>
      <c r="AJ113" s="11">
        <f>MAX(+AG113*AH113,0)</f>
        <v>0</v>
      </c>
      <c r="AL113" s="7" t="s">
        <v>75</v>
      </c>
      <c r="AM113" s="5" t="s">
        <v>77</v>
      </c>
      <c r="AN113" s="155" t="s">
        <v>76</v>
      </c>
      <c r="AO113" s="156"/>
      <c r="AP113" s="5" t="str">
        <f>CONCATENATE($AL$113," ",AN113)</f>
        <v>2013-2014 MALE</v>
      </c>
      <c r="AQ113" s="6">
        <f>+SALARY!P112</f>
        <v>0</v>
      </c>
      <c r="AR113" s="6">
        <v>0</v>
      </c>
      <c r="AT113">
        <f>ROUNDUP((AU113/30),0)</f>
        <v>0</v>
      </c>
      <c r="AU113">
        <f>MAX(DAYS360(+MASTER!B14,MASTER!B15,TRUE),0)</f>
        <v>0</v>
      </c>
      <c r="AV113">
        <f>ROUND(IF(SALARY!G121&gt;=10000,IF(AV112&gt;=SALARY!G121*0.9,0,SALARY!G121-AV112),0)*1%*4,0)</f>
        <v>0</v>
      </c>
    </row>
    <row r="114" spans="1:53">
      <c r="A114" s="160" t="s">
        <v>61</v>
      </c>
      <c r="B114" s="160"/>
      <c r="C114" s="160"/>
      <c r="D114" s="160"/>
      <c r="E114" s="160"/>
      <c r="F114" s="160"/>
      <c r="G114" s="87">
        <f>+VLOOKUP(SALARY!AN111,SALARY!AP112:AR139,2,)</f>
        <v>0</v>
      </c>
      <c r="H114" s="140">
        <v>0</v>
      </c>
      <c r="I114" s="16">
        <f>+J113</f>
        <v>200000</v>
      </c>
      <c r="J114" s="14">
        <v>500000</v>
      </c>
      <c r="K114" s="15">
        <v>0.1</v>
      </c>
      <c r="L114" s="11">
        <f>(+(J114-I114)*K114)+L113</f>
        <v>30000</v>
      </c>
      <c r="M114" s="16">
        <f>+N113</f>
        <v>200000</v>
      </c>
      <c r="N114" s="14">
        <v>500000</v>
      </c>
      <c r="O114" s="15">
        <v>0.1</v>
      </c>
      <c r="P114" s="11">
        <f>(+(N114-M114)*O114)+P113</f>
        <v>30000</v>
      </c>
      <c r="Q114" s="16">
        <f>+R113</f>
        <v>180000</v>
      </c>
      <c r="R114" s="14">
        <v>500000</v>
      </c>
      <c r="S114" s="15">
        <v>0.1</v>
      </c>
      <c r="T114" s="11">
        <f>(+(R114-Q114)*S114)+T113</f>
        <v>32000</v>
      </c>
      <c r="U114" s="16">
        <f>+V113</f>
        <v>160000</v>
      </c>
      <c r="V114" s="14">
        <v>500000</v>
      </c>
      <c r="W114" s="15">
        <v>0.1</v>
      </c>
      <c r="X114" s="11">
        <f>(+(V114-U114)*W114)+X113</f>
        <v>34000</v>
      </c>
      <c r="Y114" s="16">
        <f>+Z113</f>
        <v>160000</v>
      </c>
      <c r="Z114" s="14">
        <v>300000</v>
      </c>
      <c r="AA114" s="15">
        <v>0.1</v>
      </c>
      <c r="AB114" s="11">
        <f>(+(Z114-Y114)*AA114)+AB113</f>
        <v>14000</v>
      </c>
      <c r="AC114" s="16">
        <f>+AD113</f>
        <v>150000</v>
      </c>
      <c r="AD114" s="14">
        <v>300000</v>
      </c>
      <c r="AE114" s="15">
        <v>0.1</v>
      </c>
      <c r="AF114" s="11">
        <f>(+(AD114-AC114)*AE114)+AF113</f>
        <v>15000</v>
      </c>
      <c r="AG114" s="16">
        <f>+AH113</f>
        <v>110000</v>
      </c>
      <c r="AH114" s="14">
        <v>150000</v>
      </c>
      <c r="AI114" s="15">
        <v>0.1</v>
      </c>
      <c r="AJ114" s="11">
        <f>(+(AH114-AG114)*AI114)+AJ113</f>
        <v>4000</v>
      </c>
      <c r="AL114" s="7" t="s">
        <v>77</v>
      </c>
      <c r="AM114" s="5" t="s">
        <v>78</v>
      </c>
      <c r="AN114" s="155" t="s">
        <v>76</v>
      </c>
      <c r="AO114" s="156"/>
      <c r="AP114" s="5" t="str">
        <f>CONCATENATE($AL$114," ",AN114)</f>
        <v>2012-2013 MALE</v>
      </c>
      <c r="AQ114" s="6">
        <f>+SALARY!T112</f>
        <v>0</v>
      </c>
      <c r="AR114" s="6">
        <v>0</v>
      </c>
      <c r="AT114" s="34">
        <f>+VLOOKUP(MASTER!B12,MASTER!L1:N7,3,)</f>
        <v>41365</v>
      </c>
      <c r="AU114">
        <f>DAYS360(AT114,MASTER!B15,TRUE)</f>
        <v>149</v>
      </c>
      <c r="AV114" s="39">
        <f>+SALARY!L87+SALARY!G126</f>
        <v>0</v>
      </c>
    </row>
    <row r="115" spans="1:53">
      <c r="A115" s="160" t="s">
        <v>62</v>
      </c>
      <c r="B115" s="160"/>
      <c r="C115" s="160"/>
      <c r="D115" s="160"/>
      <c r="E115" s="160"/>
      <c r="F115" s="160"/>
      <c r="G115" s="87">
        <f>+SALARY!J76+(SALARY!J27*15%)</f>
        <v>0</v>
      </c>
      <c r="H115" s="140">
        <v>0</v>
      </c>
      <c r="I115" s="16">
        <f>+J114</f>
        <v>500000</v>
      </c>
      <c r="J115" s="14">
        <v>1000000</v>
      </c>
      <c r="K115" s="15">
        <v>0.2</v>
      </c>
      <c r="L115" s="11">
        <f>MAX((+(J115-I115)*K115)+L114,0)</f>
        <v>130000</v>
      </c>
      <c r="M115" s="16">
        <f>+N114</f>
        <v>500000</v>
      </c>
      <c r="N115" s="14">
        <v>1000000</v>
      </c>
      <c r="O115" s="15">
        <v>0.2</v>
      </c>
      <c r="P115" s="11">
        <f>MAX((+(N115-M115)*O115)+P114,0)</f>
        <v>130000</v>
      </c>
      <c r="Q115" s="16">
        <f>+R114</f>
        <v>500000</v>
      </c>
      <c r="R115" s="14">
        <v>800000</v>
      </c>
      <c r="S115" s="15">
        <v>0.2</v>
      </c>
      <c r="T115" s="11">
        <f>MAX((+(R115-Q115)*S115)+T114,0)</f>
        <v>92000</v>
      </c>
      <c r="U115" s="16">
        <f>+V114</f>
        <v>500000</v>
      </c>
      <c r="V115" s="14">
        <v>800000</v>
      </c>
      <c r="W115" s="15">
        <v>0.2</v>
      </c>
      <c r="X115" s="11">
        <f>MAX((+(V115-U115)*W115)+X114,0)</f>
        <v>94000</v>
      </c>
      <c r="Y115" s="16">
        <f>+Z114</f>
        <v>300000</v>
      </c>
      <c r="Z115" s="14">
        <v>500000</v>
      </c>
      <c r="AA115" s="15">
        <v>0.2</v>
      </c>
      <c r="AB115" s="11">
        <f>MAX((+(Z115-Y115)*AA115)+AB114,0)</f>
        <v>54000</v>
      </c>
      <c r="AC115" s="16">
        <f>+AD114</f>
        <v>300000</v>
      </c>
      <c r="AD115" s="14">
        <v>500000</v>
      </c>
      <c r="AE115" s="15">
        <v>0.2</v>
      </c>
      <c r="AF115" s="11">
        <f>MAX((+(AD115-AC115)*AE115)+AF114,0)</f>
        <v>55000</v>
      </c>
      <c r="AG115" s="16">
        <f>+AH114</f>
        <v>150000</v>
      </c>
      <c r="AH115" s="14">
        <v>250000</v>
      </c>
      <c r="AI115" s="15">
        <v>0.2</v>
      </c>
      <c r="AJ115" s="11">
        <f>MAX((+(AH115-AG115)*AI115)+AJ114,0)</f>
        <v>24000</v>
      </c>
      <c r="AL115" s="7" t="s">
        <v>78</v>
      </c>
      <c r="AM115" s="5" t="s">
        <v>79</v>
      </c>
      <c r="AN115" s="155" t="s">
        <v>76</v>
      </c>
      <c r="AO115" s="156"/>
      <c r="AP115" s="5" t="str">
        <f>CONCATENATE($AL$115," ",AN115)</f>
        <v>2011-2012 MALE</v>
      </c>
      <c r="AQ115" s="6">
        <f>+SALARY!X112</f>
        <v>0</v>
      </c>
      <c r="AR115" s="6">
        <v>0</v>
      </c>
      <c r="AT115" s="40">
        <f>+SUM(BA115:BA117)</f>
        <v>0</v>
      </c>
      <c r="AZ115">
        <f>IF(SALARY!K85&gt;SALARY!L85,(SALARY!K85-SALARY!L85),0)</f>
        <v>0</v>
      </c>
      <c r="BA115">
        <f>ROUND(AZ115*1%*3,0)</f>
        <v>0</v>
      </c>
    </row>
    <row r="116" spans="1:53">
      <c r="A116" s="160" t="s">
        <v>63</v>
      </c>
      <c r="B116" s="160"/>
      <c r="C116" s="160"/>
      <c r="D116" s="160"/>
      <c r="E116" s="160"/>
      <c r="F116" s="160"/>
      <c r="G116" s="87">
        <f>+SALARY!I76+(SALARY!J20*20%)</f>
        <v>0</v>
      </c>
      <c r="H116" s="140">
        <v>0</v>
      </c>
      <c r="I116" s="16">
        <f>+J115</f>
        <v>1000000</v>
      </c>
      <c r="J116" s="14">
        <v>0</v>
      </c>
      <c r="K116" s="15">
        <v>0.3</v>
      </c>
      <c r="L116" s="11">
        <f>MAX((+(J116-I116)*K116)+L115,0)</f>
        <v>0</v>
      </c>
      <c r="M116" s="16">
        <f>+N115</f>
        <v>1000000</v>
      </c>
      <c r="N116" s="14">
        <v>0</v>
      </c>
      <c r="O116" s="15">
        <v>0.3</v>
      </c>
      <c r="P116" s="11">
        <f>MAX((+(N116-M116)*O116)+P115,0)</f>
        <v>0</v>
      </c>
      <c r="Q116" s="16">
        <f>+R115</f>
        <v>800000</v>
      </c>
      <c r="R116" s="14">
        <v>0</v>
      </c>
      <c r="S116" s="15">
        <v>0.3</v>
      </c>
      <c r="T116" s="11">
        <f>MAX((+(R116-Q116)*S116)+T115,0)</f>
        <v>0</v>
      </c>
      <c r="U116" s="16">
        <f>+V115</f>
        <v>800000</v>
      </c>
      <c r="V116" s="14"/>
      <c r="W116" s="15">
        <v>0.3</v>
      </c>
      <c r="X116" s="11">
        <f>MAX((+(V116-U116)*W116)+X115,0)</f>
        <v>0</v>
      </c>
      <c r="Y116" s="16">
        <f>+Z115</f>
        <v>500000</v>
      </c>
      <c r="Z116" s="14"/>
      <c r="AA116" s="15">
        <v>0.3</v>
      </c>
      <c r="AB116" s="11">
        <f>MAX((+(Z116-Y116)*AA116)+AB115,0)</f>
        <v>0</v>
      </c>
      <c r="AC116" s="16">
        <f>+AD115</f>
        <v>500000</v>
      </c>
      <c r="AD116" s="14"/>
      <c r="AE116" s="15">
        <v>0.3</v>
      </c>
      <c r="AF116" s="11">
        <f>MAX((+(AD116-AC116)*AE116)+AF115,0)</f>
        <v>0</v>
      </c>
      <c r="AG116" s="16">
        <f>+AH115</f>
        <v>250000</v>
      </c>
      <c r="AH116" s="14">
        <v>0</v>
      </c>
      <c r="AI116" s="15">
        <v>0.3</v>
      </c>
      <c r="AJ116" s="11">
        <f>MAX((+(AH116-AG116)*AI116)+AJ115,0)</f>
        <v>0</v>
      </c>
      <c r="AL116" s="7" t="s">
        <v>79</v>
      </c>
      <c r="AM116" s="5" t="s">
        <v>80</v>
      </c>
      <c r="AN116" s="155" t="s">
        <v>76</v>
      </c>
      <c r="AO116" s="156"/>
      <c r="AP116" s="5" t="str">
        <f>CONCATENATE($AL$116," ",AN116)</f>
        <v>2010-2011 MALE</v>
      </c>
      <c r="AQ116" s="6">
        <f>+SALARY!AB112</f>
        <v>0</v>
      </c>
      <c r="AR116" s="6">
        <v>0</v>
      </c>
      <c r="AZ116">
        <f>IF((SALARY!K85+SALARY!K86-SALARY!L85)&gt;SALARY!L86,(SALARY!K85+SALARY!K86-SALARY!L85-SALARY!L86),0)</f>
        <v>0</v>
      </c>
      <c r="BA116">
        <f>ROUND(AZ116*1%*3,0)</f>
        <v>0</v>
      </c>
    </row>
    <row r="117" spans="1:53">
      <c r="A117" s="160" t="s">
        <v>64</v>
      </c>
      <c r="B117" s="160"/>
      <c r="C117" s="160"/>
      <c r="D117" s="160"/>
      <c r="E117" s="160"/>
      <c r="F117" s="160"/>
      <c r="G117" s="87">
        <f>MAX((ROUNDUP(+(SALARY!F32)*10%,0)),0)</f>
        <v>0</v>
      </c>
      <c r="H117" s="140">
        <v>0</v>
      </c>
      <c r="I117" s="11" t="s">
        <v>85</v>
      </c>
      <c r="J117" s="157" t="s">
        <v>83</v>
      </c>
      <c r="K117" s="159"/>
      <c r="L117" s="12">
        <f>ROUND(IF(J117="feMALE",IF(SALARY!$G$111&lt;J118,0,IF(SALARY!$G$111&lt;J119,((SALARY!$G$111-I119)*K119),IF(SALARY!$G$111&lt;J120,(((SALARY!$G$111-I120)*K120)+L119),(((SALARY!$G$111-I121)*K121)+L120)))),"Please enter sex in data sheet"),0)</f>
        <v>0</v>
      </c>
      <c r="M117" s="11" t="s">
        <v>85</v>
      </c>
      <c r="N117" s="157" t="s">
        <v>88</v>
      </c>
      <c r="O117" s="159" t="e">
        <f>+#REF!</f>
        <v>#REF!</v>
      </c>
      <c r="P117" s="12">
        <f>ROUND(IF(N117="feMALE",IF(SALARY!$G$111&lt;N118,0,IF(SALARY!$G$111&lt;N119,((SALARY!$G$111-M119)*O119),IF(SALARY!$G$111&lt;N120,(((SALARY!$G$111-M120)*O120)+P119),(((SALARY!$G$111-M121)*O121)+P120)))),"Please enter sex in data sheet"),0)</f>
        <v>0</v>
      </c>
      <c r="Q117" s="11" t="str">
        <f>+Q112</f>
        <v>2011-12</v>
      </c>
      <c r="R117" s="157" t="s">
        <v>88</v>
      </c>
      <c r="S117" s="159" t="e">
        <f>+#REF!</f>
        <v>#REF!</v>
      </c>
      <c r="T117" s="12">
        <f>ROUND(IF(R117="feMALE",IF(SALARY!$G$111&lt;R118,0,IF(SALARY!$G$111&lt;R119,((SALARY!$G$111-Q119)*S119),IF(SALARY!$G$111&lt;R120,(((SALARY!$G$111-Q120)*S120)+T119),(((SALARY!$G$111-Q121)*S121)+T120)))),"Please enter sex in data sheet"),0)</f>
        <v>0</v>
      </c>
      <c r="U117" s="11" t="str">
        <f>+U112</f>
        <v>2010-11</v>
      </c>
      <c r="V117" s="157" t="s">
        <v>88</v>
      </c>
      <c r="W117" s="159" t="e">
        <f>+#REF!</f>
        <v>#REF!</v>
      </c>
      <c r="X117" s="12">
        <f>ROUND(IF(V117="feMALE",IF(SALARY!$G$111&lt;V118,0,IF(SALARY!$G$111&lt;V119,((SALARY!$G$111-U119)*W119),IF(SALARY!$G$111&lt;V120,(((SALARY!$G$111-U120)*W120)+X119),(((SALARY!$G$111-U121)*W121)+X120)))),"Please enter sex in data sheet"),0)</f>
        <v>0</v>
      </c>
      <c r="Y117" s="11" t="str">
        <f>+Y112</f>
        <v>2009-10</v>
      </c>
      <c r="Z117" s="157" t="s">
        <v>88</v>
      </c>
      <c r="AA117" s="159" t="e">
        <f>+#REF!</f>
        <v>#REF!</v>
      </c>
      <c r="AB117" s="12">
        <f>ROUND(IF(Z117="feMALE",IF(SALARY!$G$111&lt;Z118,0,IF(SALARY!$G$111&lt;Z119,((SALARY!$G$111-Y119)*AA119),IF(SALARY!$G$111&lt;Z120,(((SALARY!$G$111-Y120)*AA120)+AB119),(((SALARY!$G$111-Y121)*AA121)+AB120)))),"Please enter sex in data sheet"),0)</f>
        <v>0</v>
      </c>
      <c r="AC117" s="11" t="str">
        <f>+AC112</f>
        <v>2008-09</v>
      </c>
      <c r="AD117" s="157" t="s">
        <v>88</v>
      </c>
      <c r="AE117" s="159" t="e">
        <f>+#REF!</f>
        <v>#REF!</v>
      </c>
      <c r="AF117" s="12">
        <f>ROUND(IF(AD117="feMALE",IF(SALARY!$G$111&lt;AD118,0,IF(SALARY!$G$111&lt;AD119,((SALARY!$G$111-AC119)*AE119),IF(SALARY!$G$111&lt;AD120,(((SALARY!$G$111-AC120)*AE120)+AF119),(((SALARY!$G$111-AC121)*AE121)+AF120)))),"Please enter sex in data sheet"),0)</f>
        <v>0</v>
      </c>
      <c r="AG117" s="17" t="str">
        <f>+AG112</f>
        <v>2007-08</v>
      </c>
      <c r="AH117" s="157" t="s">
        <v>88</v>
      </c>
      <c r="AI117" s="159" t="e">
        <f>+#REF!</f>
        <v>#REF!</v>
      </c>
      <c r="AJ117" s="12">
        <f>ROUND(IF(AH117="feMALE",IF(SALARY!$G$111&lt;AH118,0,IF(SALARY!$G$111&lt;AH119,((SALARY!$G$111-AG119)*AI119),IF(SALARY!$G$111&lt;AH120,(((SALARY!$G$111-AG120)*AI120)+AJ119),(((SALARY!$G$111-AG121)*AI121)+AJ120)))),"Please enter sex in data sheet"),0)</f>
        <v>0</v>
      </c>
      <c r="AL117" s="7" t="s">
        <v>80</v>
      </c>
      <c r="AM117" s="5" t="s">
        <v>81</v>
      </c>
      <c r="AN117" s="155" t="s">
        <v>76</v>
      </c>
      <c r="AO117" s="156"/>
      <c r="AP117" s="5" t="str">
        <f>CONCATENATE($AL$117," ",AN117)</f>
        <v>2009-2010 MALE</v>
      </c>
      <c r="AQ117" s="6">
        <f>+SALARY!AF112</f>
        <v>0</v>
      </c>
      <c r="AR117" s="6">
        <v>0</v>
      </c>
      <c r="AZ117">
        <f>IF(SUM(SALARY!K85:K87)&gt;SUM(SALARY!L85:L87),(SALARY!K85+SALARY!K86+SALARY!K87-SALARY!L85-SALARY!L86-SALARY!L87),0)</f>
        <v>0</v>
      </c>
      <c r="BA117">
        <f>ROUND(AZ117*1%*1,0)</f>
        <v>0</v>
      </c>
    </row>
    <row r="118" spans="1:53">
      <c r="A118" s="160" t="s">
        <v>65</v>
      </c>
      <c r="B118" s="160"/>
      <c r="C118" s="160"/>
      <c r="D118" s="160"/>
      <c r="E118" s="160"/>
      <c r="F118" s="160"/>
      <c r="G118" s="87">
        <f>+VLOOKUP(SALARY!AN111,SALARY!AP112:AR139,3,)</f>
        <v>0</v>
      </c>
      <c r="H118" s="140">
        <v>0</v>
      </c>
      <c r="I118" s="13">
        <v>0</v>
      </c>
      <c r="J118" s="14">
        <v>200000</v>
      </c>
      <c r="K118" s="15">
        <v>0</v>
      </c>
      <c r="L118" s="11">
        <f>MAX(+I118*J118,0)</f>
        <v>0</v>
      </c>
      <c r="M118" s="13">
        <v>0</v>
      </c>
      <c r="N118" s="14">
        <v>200000</v>
      </c>
      <c r="O118" s="15">
        <v>0</v>
      </c>
      <c r="P118" s="11">
        <f>MAX(+M118*N118,0)</f>
        <v>0</v>
      </c>
      <c r="Q118" s="13">
        <v>0</v>
      </c>
      <c r="R118" s="14">
        <v>190000</v>
      </c>
      <c r="S118" s="15">
        <v>0</v>
      </c>
      <c r="T118" s="11">
        <f>MAX(+Q118*R118,0)</f>
        <v>0</v>
      </c>
      <c r="U118" s="13">
        <v>0</v>
      </c>
      <c r="V118" s="14">
        <v>190000</v>
      </c>
      <c r="W118" s="15">
        <v>0</v>
      </c>
      <c r="X118" s="11">
        <f>MAX(+U118*V118,0)</f>
        <v>0</v>
      </c>
      <c r="Y118" s="13">
        <v>0</v>
      </c>
      <c r="Z118" s="14">
        <v>190000</v>
      </c>
      <c r="AA118" s="15">
        <v>0</v>
      </c>
      <c r="AB118" s="11">
        <f>MAX(+Y118*Z118,0)</f>
        <v>0</v>
      </c>
      <c r="AC118" s="13">
        <v>0</v>
      </c>
      <c r="AD118" s="14">
        <v>180000</v>
      </c>
      <c r="AE118" s="15">
        <v>0</v>
      </c>
      <c r="AF118" s="11">
        <f>MAX(+AC118*AD118,0)</f>
        <v>0</v>
      </c>
      <c r="AG118" s="13">
        <v>0</v>
      </c>
      <c r="AH118" s="14">
        <v>145000</v>
      </c>
      <c r="AI118" s="15">
        <v>0</v>
      </c>
      <c r="AJ118" s="11">
        <f>MAX(+AG118*AH118,0)</f>
        <v>0</v>
      </c>
      <c r="AL118" s="7" t="s">
        <v>81</v>
      </c>
      <c r="AM118" s="5" t="s">
        <v>82</v>
      </c>
      <c r="AN118" s="155" t="s">
        <v>76</v>
      </c>
      <c r="AO118" s="156"/>
      <c r="AP118" s="5" t="str">
        <f>CONCATENATE($AL$118," ",AN118)</f>
        <v>2008-2009 MALE</v>
      </c>
      <c r="AQ118" s="6">
        <f>+SALARY!AJ112</f>
        <v>0</v>
      </c>
      <c r="AR118" s="6">
        <v>0</v>
      </c>
    </row>
    <row r="119" spans="1:53">
      <c r="A119" s="160" t="s">
        <v>66</v>
      </c>
      <c r="B119" s="160"/>
      <c r="C119" s="160"/>
      <c r="D119" s="160"/>
      <c r="E119" s="160"/>
      <c r="F119" s="160"/>
      <c r="G119" s="87">
        <f>ROUND(+SUM(H120:H121)*3%,0)</f>
        <v>0</v>
      </c>
      <c r="H119" s="140">
        <v>0</v>
      </c>
      <c r="I119" s="16">
        <f>+J118</f>
        <v>200000</v>
      </c>
      <c r="J119" s="14">
        <v>500000</v>
      </c>
      <c r="K119" s="15">
        <v>0.1</v>
      </c>
      <c r="L119" s="11">
        <f>(+(J119-I119)*K119)+L118</f>
        <v>30000</v>
      </c>
      <c r="M119" s="16">
        <f>+N118</f>
        <v>200000</v>
      </c>
      <c r="N119" s="14">
        <v>500000</v>
      </c>
      <c r="O119" s="15">
        <v>0.1</v>
      </c>
      <c r="P119" s="11">
        <f>(+(N119-M119)*O119)+P118</f>
        <v>30000</v>
      </c>
      <c r="Q119" s="16">
        <f>+R118</f>
        <v>190000</v>
      </c>
      <c r="R119" s="14">
        <v>500000</v>
      </c>
      <c r="S119" s="15">
        <v>0.1</v>
      </c>
      <c r="T119" s="11">
        <f>(+(R119-Q119)*S119)+T118</f>
        <v>31000</v>
      </c>
      <c r="U119" s="16">
        <f>+V118</f>
        <v>190000</v>
      </c>
      <c r="V119" s="14">
        <v>500000</v>
      </c>
      <c r="W119" s="15">
        <v>0.1</v>
      </c>
      <c r="X119" s="11">
        <f>(+(V119-U119)*W119)+X118</f>
        <v>31000</v>
      </c>
      <c r="Y119" s="16">
        <f>+Z118</f>
        <v>190000</v>
      </c>
      <c r="Z119" s="14">
        <v>300000</v>
      </c>
      <c r="AA119" s="15">
        <v>0.1</v>
      </c>
      <c r="AB119" s="11">
        <f>(+(Z119-Y119)*AA119)+AB118</f>
        <v>11000</v>
      </c>
      <c r="AC119" s="16">
        <f>+AD118</f>
        <v>180000</v>
      </c>
      <c r="AD119" s="14">
        <v>300000</v>
      </c>
      <c r="AE119" s="15">
        <v>0.1</v>
      </c>
      <c r="AF119" s="11">
        <f>(+(AD119-AC119)*AE119)+AF118</f>
        <v>12000</v>
      </c>
      <c r="AG119" s="16">
        <f>+AH118</f>
        <v>145000</v>
      </c>
      <c r="AH119" s="14">
        <v>150000</v>
      </c>
      <c r="AI119" s="15">
        <v>0.1</v>
      </c>
      <c r="AJ119" s="11">
        <f>(+(AH119-AG119)*AI119)+AJ118</f>
        <v>500</v>
      </c>
      <c r="AL119" s="8"/>
      <c r="AM119" s="9"/>
      <c r="AN119" s="155" t="s">
        <v>83</v>
      </c>
      <c r="AO119" s="156"/>
      <c r="AP119" s="5" t="str">
        <f>CONCATENATE($AL$112," ",AN119)</f>
        <v>2014-2015 Female</v>
      </c>
      <c r="AQ119" s="6">
        <f>+SALARY!L117</f>
        <v>0</v>
      </c>
      <c r="AR119" s="6">
        <v>2000</v>
      </c>
    </row>
    <row r="120" spans="1:53">
      <c r="A120" s="160" t="s">
        <v>67</v>
      </c>
      <c r="B120" s="160"/>
      <c r="C120" s="160"/>
      <c r="D120" s="160"/>
      <c r="E120" s="160"/>
      <c r="F120" s="160"/>
      <c r="G120" s="88">
        <f>+SUM(SALARY!L85:L87)</f>
        <v>0</v>
      </c>
      <c r="H120" s="141">
        <f>MAX(+SUM(G114:G116)-G117-G118,0)</f>
        <v>0</v>
      </c>
      <c r="I120" s="16">
        <f>+J119</f>
        <v>500000</v>
      </c>
      <c r="J120" s="14">
        <v>1000000</v>
      </c>
      <c r="K120" s="15">
        <v>0.2</v>
      </c>
      <c r="L120" s="11">
        <f>MAX((+(J120-I120)*K120)+L119,0)</f>
        <v>130000</v>
      </c>
      <c r="M120" s="16">
        <f>+N119</f>
        <v>500000</v>
      </c>
      <c r="N120" s="14">
        <v>1000000</v>
      </c>
      <c r="O120" s="15">
        <v>0.2</v>
      </c>
      <c r="P120" s="11">
        <f>MAX((+(N120-M120)*O120)+P119,0)</f>
        <v>130000</v>
      </c>
      <c r="Q120" s="16">
        <f>+R119</f>
        <v>500000</v>
      </c>
      <c r="R120" s="14">
        <v>800000</v>
      </c>
      <c r="S120" s="15">
        <v>0.2</v>
      </c>
      <c r="T120" s="11">
        <f>MAX((+(R120-Q120)*S120)+T119,0)</f>
        <v>91000</v>
      </c>
      <c r="U120" s="16">
        <f>+V119</f>
        <v>500000</v>
      </c>
      <c r="V120" s="14">
        <v>800000</v>
      </c>
      <c r="W120" s="15">
        <v>0.2</v>
      </c>
      <c r="X120" s="11">
        <f>MAX((+(V120-U120)*W120)+X119,0)</f>
        <v>91000</v>
      </c>
      <c r="Y120" s="16">
        <f>+Z119</f>
        <v>300000</v>
      </c>
      <c r="Z120" s="14">
        <v>500000</v>
      </c>
      <c r="AA120" s="15">
        <v>0.2</v>
      </c>
      <c r="AB120" s="11">
        <f>MAX((+(Z120-Y120)*AA120)+AB119,0)</f>
        <v>51000</v>
      </c>
      <c r="AC120" s="16">
        <f>+AD119</f>
        <v>300000</v>
      </c>
      <c r="AD120" s="14">
        <v>500000</v>
      </c>
      <c r="AE120" s="15">
        <v>0.2</v>
      </c>
      <c r="AF120" s="11">
        <f>MAX((+(AD120-AC120)*AE120)+AF119,0)</f>
        <v>52000</v>
      </c>
      <c r="AG120" s="16">
        <f>+AH119</f>
        <v>150000</v>
      </c>
      <c r="AH120" s="14">
        <v>250000</v>
      </c>
      <c r="AI120" s="15">
        <v>0.2</v>
      </c>
      <c r="AJ120" s="11">
        <f>MAX((+(AH120-AG120)*AI120)+AJ119,0)</f>
        <v>20500</v>
      </c>
      <c r="AL120" s="4"/>
      <c r="AM120" s="10"/>
      <c r="AN120" s="155" t="s">
        <v>83</v>
      </c>
      <c r="AO120" s="156"/>
      <c r="AP120" s="5" t="str">
        <f>CONCATENATE($AL$113," ",AN120)</f>
        <v>2013-2014 Female</v>
      </c>
      <c r="AQ120" s="6">
        <f>+SALARY!P117</f>
        <v>0</v>
      </c>
      <c r="AR120" s="6">
        <v>0</v>
      </c>
    </row>
    <row r="121" spans="1:53">
      <c r="A121" s="160" t="s">
        <v>68</v>
      </c>
      <c r="B121" s="160"/>
      <c r="C121" s="160"/>
      <c r="D121" s="160"/>
      <c r="E121" s="160"/>
      <c r="F121" s="160"/>
      <c r="G121" s="87">
        <f>MAX(+SUM(G114:G116)+G119-G117-G118,0)-G120</f>
        <v>0</v>
      </c>
      <c r="H121" s="140"/>
      <c r="I121" s="16">
        <f>+J120</f>
        <v>1000000</v>
      </c>
      <c r="J121" s="14">
        <v>0</v>
      </c>
      <c r="K121" s="15">
        <v>0.3</v>
      </c>
      <c r="L121" s="11">
        <f>MAX((+(J121-I121)*K121)+L120,0)</f>
        <v>0</v>
      </c>
      <c r="M121" s="16">
        <f>+N120</f>
        <v>1000000</v>
      </c>
      <c r="N121" s="14">
        <v>0</v>
      </c>
      <c r="O121" s="15">
        <v>0.3</v>
      </c>
      <c r="P121" s="11">
        <f>MAX((+(N121-M121)*O121)+P120,0)</f>
        <v>0</v>
      </c>
      <c r="Q121" s="16">
        <f>+R120</f>
        <v>800000</v>
      </c>
      <c r="R121" s="14">
        <v>0</v>
      </c>
      <c r="S121" s="15">
        <v>0.3</v>
      </c>
      <c r="T121" s="11">
        <f>MAX((+(R121-Q121)*S121)+T120,0)</f>
        <v>0</v>
      </c>
      <c r="U121" s="16">
        <f>+V120</f>
        <v>800000</v>
      </c>
      <c r="V121" s="14">
        <v>0</v>
      </c>
      <c r="W121" s="15">
        <v>0.3</v>
      </c>
      <c r="X121" s="11">
        <f>MAX((+(V121-U121)*W121)+X120,0)</f>
        <v>0</v>
      </c>
      <c r="Y121" s="16">
        <f>+Z120</f>
        <v>500000</v>
      </c>
      <c r="Z121" s="14"/>
      <c r="AA121" s="15">
        <v>0.3</v>
      </c>
      <c r="AB121" s="11">
        <f>MAX((+(Z121-Y121)*AA121)+AB120,0)</f>
        <v>0</v>
      </c>
      <c r="AC121" s="16">
        <f>+AD120</f>
        <v>500000</v>
      </c>
      <c r="AD121" s="14"/>
      <c r="AE121" s="15">
        <v>0.3</v>
      </c>
      <c r="AF121" s="11">
        <f>MAX((+(AD121-AC121)*AE121)+AF120,0)</f>
        <v>0</v>
      </c>
      <c r="AG121" s="16">
        <f>+AH120</f>
        <v>250000</v>
      </c>
      <c r="AH121" s="14"/>
      <c r="AI121" s="15">
        <v>0.3</v>
      </c>
      <c r="AJ121" s="11">
        <f>MAX((+(AH121-AG121)*AI121)+AJ120,0)</f>
        <v>0</v>
      </c>
      <c r="AL121" s="4"/>
      <c r="AM121" s="10"/>
      <c r="AN121" s="155" t="s">
        <v>83</v>
      </c>
      <c r="AO121" s="156"/>
      <c r="AP121" s="5" t="str">
        <f>CONCATENATE($AL$114," ",AN121)</f>
        <v>2012-2013 Female</v>
      </c>
      <c r="AQ121" s="6">
        <f>+SALARY!T117</f>
        <v>0</v>
      </c>
      <c r="AR121" s="6">
        <v>0</v>
      </c>
    </row>
    <row r="122" spans="1:53">
      <c r="A122" s="160" t="s">
        <v>69</v>
      </c>
      <c r="B122" s="160"/>
      <c r="C122" s="160"/>
      <c r="D122" s="160"/>
      <c r="E122" s="160"/>
      <c r="F122" s="160"/>
      <c r="G122" s="89">
        <f>ROUND(IF(G121&gt;0,(G121*1%)*SALARY!AU113,0),0)</f>
        <v>0</v>
      </c>
      <c r="H122" s="100"/>
      <c r="I122" s="11" t="s">
        <v>85</v>
      </c>
      <c r="J122" s="157" t="s">
        <v>89</v>
      </c>
      <c r="K122" s="159"/>
      <c r="L122" s="12">
        <f>ROUND(IF(J122="senior citizen",IF(SALARY!$G$111&lt;J123,0,IF(SALARY!$G$111&lt;J124,((SALARY!$G$111-I124)*K124),IF(SALARY!$G$111&lt;J125,(((SALARY!$G$111-I125)*K125)+L124),(((SALARY!$G$111-I126)*K126)+L125)))),"Please enter sex in data sheet"),0)</f>
        <v>0</v>
      </c>
      <c r="M122" s="11" t="s">
        <v>85</v>
      </c>
      <c r="N122" s="157" t="s">
        <v>89</v>
      </c>
      <c r="O122" s="159" t="e">
        <f>+#REF!</f>
        <v>#REF!</v>
      </c>
      <c r="P122" s="12">
        <f>ROUND(IF(N122="senior citizen",IF(SALARY!$G$111&lt;N123,0,IF(SALARY!$G$111&lt;N124,((SALARY!$G$111-M124)*O124),IF(SALARY!$G$111&lt;N125,(((SALARY!$G$111-M125)*O125)+P124),(((SALARY!$G$111-M126)*O126)+P125)))),"Please enter sex in data sheet"),0)</f>
        <v>0</v>
      </c>
      <c r="Q122" s="11" t="str">
        <f>+Q117</f>
        <v>2011-12</v>
      </c>
      <c r="R122" s="157" t="s">
        <v>89</v>
      </c>
      <c r="S122" s="159" t="e">
        <f>+#REF!</f>
        <v>#REF!</v>
      </c>
      <c r="T122" s="12">
        <f>ROUND(IF(R122="senior citizen",IF(SALARY!$G$111&lt;R123,0,IF(SALARY!$G$111&lt;R124,((SALARY!$G$111-Q124)*S124),IF(SALARY!$G$111&lt;R125,(((SALARY!$G$111-Q125)*S125)+T124),(((SALARY!$G$111-Q126)*S126)+T125)))),"Please enter sex in data sheet"),0)</f>
        <v>0</v>
      </c>
      <c r="U122" s="11" t="str">
        <f>+U117</f>
        <v>2010-11</v>
      </c>
      <c r="V122" s="157" t="s">
        <v>89</v>
      </c>
      <c r="W122" s="159" t="e">
        <f>+#REF!</f>
        <v>#REF!</v>
      </c>
      <c r="X122" s="12">
        <f>ROUND(IF(V122="senior citizen",IF(SALARY!$G$111&lt;V123,0,IF(SALARY!$G$111&lt;V124,((SALARY!$G$111-U124)*W124),IF(SALARY!$G$111&lt;V125,(((SALARY!$G$111-U125)*W125)+X124),(((SALARY!$G$111-U126)*W126)+X125)))),"Please enter sex in data sheet"),0)</f>
        <v>0</v>
      </c>
      <c r="Y122" s="11" t="str">
        <f>+Y117</f>
        <v>2009-10</v>
      </c>
      <c r="Z122" s="157" t="s">
        <v>89</v>
      </c>
      <c r="AA122" s="159" t="e">
        <f>+#REF!</f>
        <v>#REF!</v>
      </c>
      <c r="AB122" s="12">
        <f>ROUND(IF(Z122="senior citizen",IF(SALARY!$G$111&lt;Z123,0,IF(SALARY!$G$111&lt;Z124,((SALARY!$G$111-Y124)*AA124),IF(SALARY!$G$111&lt;Z125,(((SALARY!$G$111-Y125)*AA125)+AB124),(((SALARY!$G$111-Y126)*AA126)+AB125)))),"Please enter sex in data sheet"),0)</f>
        <v>0</v>
      </c>
      <c r="AC122" s="11" t="str">
        <f>+AC117</f>
        <v>2008-09</v>
      </c>
      <c r="AD122" s="157" t="s">
        <v>89</v>
      </c>
      <c r="AE122" s="159" t="e">
        <f>+#REF!</f>
        <v>#REF!</v>
      </c>
      <c r="AF122" s="12">
        <f>ROUND(IF(AD122="senior citizen",IF(SALARY!$G$111&lt;AD123,0,IF(SALARY!$G$111&lt;AD124,((SALARY!$G$111-AC124)*AE124),IF(SALARY!$G$111&lt;AD125,(((SALARY!$G$111-AC125)*AE125)+AF124),(((SALARY!$G$111-AC126)*AE126)+AF125)))),"Please enter sex in data sheet"),0)</f>
        <v>0</v>
      </c>
      <c r="AG122" s="17" t="str">
        <f>+AG117</f>
        <v>2007-08</v>
      </c>
      <c r="AH122" s="157" t="s">
        <v>89</v>
      </c>
      <c r="AI122" s="159" t="e">
        <f>+#REF!</f>
        <v>#REF!</v>
      </c>
      <c r="AJ122" s="12">
        <f>ROUND(IF(AH122="senior citizen",IF(SALARY!$G$111&lt;AH123,0,IF(SALARY!$G$111&lt;AH124,((SALARY!$G$111-AG124)*AI124),IF(SALARY!$G$111&lt;AH125,(((SALARY!$G$111-AG125)*AI125)+AJ124),(((SALARY!$G$111-AG126)*AI126)+AJ125)))),"Please enter sex in data sheet"),0)</f>
        <v>0</v>
      </c>
      <c r="AL122" s="4"/>
      <c r="AM122" s="10"/>
      <c r="AN122" s="155" t="s">
        <v>83</v>
      </c>
      <c r="AO122" s="156"/>
      <c r="AP122" s="5" t="str">
        <f>CONCATENATE($AL$115," ",AN122)</f>
        <v>2011-2012 Female</v>
      </c>
      <c r="AQ122" s="6">
        <f>+SALARY!X117</f>
        <v>0</v>
      </c>
      <c r="AR122" s="6">
        <v>0</v>
      </c>
    </row>
    <row r="123" spans="1:53">
      <c r="A123" s="160" t="s">
        <v>70</v>
      </c>
      <c r="B123" s="160"/>
      <c r="C123" s="160"/>
      <c r="D123" s="160"/>
      <c r="E123" s="160"/>
      <c r="F123" s="160"/>
      <c r="G123" s="89">
        <f>IF(SALARY!AV113&gt;0, SALARY!AV113,0)</f>
        <v>0</v>
      </c>
      <c r="H123" s="100"/>
      <c r="I123" s="13">
        <v>0</v>
      </c>
      <c r="J123" s="14">
        <v>250000</v>
      </c>
      <c r="K123" s="15">
        <v>0</v>
      </c>
      <c r="L123" s="11">
        <f>MAX(+I123*J123,0)</f>
        <v>0</v>
      </c>
      <c r="M123" s="13">
        <v>0</v>
      </c>
      <c r="N123" s="14">
        <v>250000</v>
      </c>
      <c r="O123" s="15">
        <v>0</v>
      </c>
      <c r="P123" s="11">
        <f>MAX(+M123*N123,0)</f>
        <v>0</v>
      </c>
      <c r="Q123" s="13">
        <v>0</v>
      </c>
      <c r="R123" s="14">
        <v>250000</v>
      </c>
      <c r="S123" s="15">
        <v>0</v>
      </c>
      <c r="T123" s="11">
        <f>MAX(+Q123*R123,0)</f>
        <v>0</v>
      </c>
      <c r="U123" s="13">
        <v>0</v>
      </c>
      <c r="V123" s="14">
        <v>240000</v>
      </c>
      <c r="W123" s="15">
        <v>0</v>
      </c>
      <c r="X123" s="11">
        <f>MAX(+U123*V123,0)</f>
        <v>0</v>
      </c>
      <c r="Y123" s="13">
        <v>0</v>
      </c>
      <c r="Z123" s="14">
        <v>240000</v>
      </c>
      <c r="AA123" s="15">
        <v>0</v>
      </c>
      <c r="AB123" s="11">
        <f>MAX(+Y123*Z123,0)</f>
        <v>0</v>
      </c>
      <c r="AC123" s="13">
        <v>0</v>
      </c>
      <c r="AD123" s="14">
        <v>225000</v>
      </c>
      <c r="AE123" s="15">
        <v>0</v>
      </c>
      <c r="AF123" s="11">
        <f>MAX(+AC123*AD123,0)</f>
        <v>0</v>
      </c>
      <c r="AG123" s="13">
        <v>0</v>
      </c>
      <c r="AH123" s="14">
        <v>195000</v>
      </c>
      <c r="AI123" s="15">
        <v>0</v>
      </c>
      <c r="AJ123" s="11">
        <f>MAX(+AG123*AH123,0)</f>
        <v>0</v>
      </c>
      <c r="AL123" s="4"/>
      <c r="AM123" s="10"/>
      <c r="AN123" s="155" t="s">
        <v>83</v>
      </c>
      <c r="AO123" s="156"/>
      <c r="AP123" s="5" t="str">
        <f>CONCATENATE($AL$116," ",AN123)</f>
        <v>2010-2011 Female</v>
      </c>
      <c r="AQ123" s="6">
        <f>+SALARY!AB117</f>
        <v>0</v>
      </c>
      <c r="AR123" s="6">
        <v>0</v>
      </c>
    </row>
    <row r="124" spans="1:53">
      <c r="A124" s="160" t="s">
        <v>71</v>
      </c>
      <c r="B124" s="160"/>
      <c r="C124" s="160"/>
      <c r="D124" s="160"/>
      <c r="E124" s="160"/>
      <c r="F124" s="160"/>
      <c r="G124" s="89">
        <f>IF(SALARY!AT115&gt;=0,SALARY!AT115,0)</f>
        <v>0</v>
      </c>
      <c r="H124" s="100"/>
      <c r="I124" s="16">
        <f>+J123</f>
        <v>250000</v>
      </c>
      <c r="J124" s="14">
        <v>500000</v>
      </c>
      <c r="K124" s="15">
        <v>0.1</v>
      </c>
      <c r="L124" s="11">
        <f>(+(J124-I124)*K124)+L123</f>
        <v>25000</v>
      </c>
      <c r="M124" s="16">
        <f>+N123</f>
        <v>250000</v>
      </c>
      <c r="N124" s="14">
        <v>500000</v>
      </c>
      <c r="O124" s="15">
        <v>0.1</v>
      </c>
      <c r="P124" s="11">
        <f>(+(N124-M124)*O124)+P123</f>
        <v>25000</v>
      </c>
      <c r="Q124" s="16">
        <f>+R123</f>
        <v>250000</v>
      </c>
      <c r="R124" s="14">
        <v>500000</v>
      </c>
      <c r="S124" s="15">
        <v>0.1</v>
      </c>
      <c r="T124" s="11">
        <f>(+(R124-Q124)*S124)+T123</f>
        <v>25000</v>
      </c>
      <c r="U124" s="16">
        <f>+V123</f>
        <v>240000</v>
      </c>
      <c r="V124" s="14">
        <v>500000</v>
      </c>
      <c r="W124" s="15">
        <v>0.1</v>
      </c>
      <c r="X124" s="11">
        <f>(+(V124-U124)*W124)+X123</f>
        <v>26000</v>
      </c>
      <c r="Y124" s="16">
        <f>+Z123</f>
        <v>240000</v>
      </c>
      <c r="Z124" s="14">
        <v>300000</v>
      </c>
      <c r="AA124" s="15">
        <v>0.1</v>
      </c>
      <c r="AB124" s="11">
        <f>(+(Z124-Y124)*AA124)+AB123</f>
        <v>6000</v>
      </c>
      <c r="AC124" s="16">
        <f>+AD123</f>
        <v>225000</v>
      </c>
      <c r="AD124" s="14">
        <v>300000</v>
      </c>
      <c r="AE124" s="15">
        <v>0.1</v>
      </c>
      <c r="AF124" s="11">
        <f>(+(AD124-AC124)*AE124)+AF123</f>
        <v>7500</v>
      </c>
      <c r="AG124" s="16">
        <v>0</v>
      </c>
      <c r="AH124" s="14">
        <v>0</v>
      </c>
      <c r="AI124" s="15">
        <v>0</v>
      </c>
      <c r="AJ124" s="11">
        <f>(+(AH124-AG124)*AI124)+AJ123</f>
        <v>0</v>
      </c>
      <c r="AL124" s="4"/>
      <c r="AM124" s="10"/>
      <c r="AN124" s="155" t="s">
        <v>83</v>
      </c>
      <c r="AO124" s="156"/>
      <c r="AP124" s="5" t="str">
        <f>CONCATENATE($AL$117," ",AN124)</f>
        <v>2009-2010 Female</v>
      </c>
      <c r="AQ124" s="6">
        <f>+SALARY!AF117</f>
        <v>0</v>
      </c>
      <c r="AR124" s="6">
        <v>0</v>
      </c>
    </row>
    <row r="125" spans="1:53">
      <c r="A125" s="160" t="s">
        <v>72</v>
      </c>
      <c r="B125" s="160"/>
      <c r="C125" s="160"/>
      <c r="D125" s="160"/>
      <c r="E125" s="160"/>
      <c r="F125" s="160"/>
      <c r="G125" s="89">
        <f>+SUM(G122:G124)</f>
        <v>0</v>
      </c>
      <c r="H125" s="100"/>
      <c r="I125" s="16">
        <f>+J124</f>
        <v>500000</v>
      </c>
      <c r="J125" s="14">
        <v>1000000</v>
      </c>
      <c r="K125" s="15">
        <v>0.2</v>
      </c>
      <c r="L125" s="11">
        <f>MAX((+(J125-I125)*K125)+L124,0)</f>
        <v>125000</v>
      </c>
      <c r="M125" s="16">
        <f>+N124</f>
        <v>500000</v>
      </c>
      <c r="N125" s="14">
        <v>1000000</v>
      </c>
      <c r="O125" s="15">
        <v>0.2</v>
      </c>
      <c r="P125" s="11">
        <f>MAX((+(N125-M125)*O125)+P124,0)</f>
        <v>125000</v>
      </c>
      <c r="Q125" s="16">
        <f>+R124</f>
        <v>500000</v>
      </c>
      <c r="R125" s="14">
        <v>800000</v>
      </c>
      <c r="S125" s="15">
        <v>0.2</v>
      </c>
      <c r="T125" s="11">
        <f>MAX((+(R125-Q125)*S125)+T124,0)</f>
        <v>85000</v>
      </c>
      <c r="U125" s="16">
        <f>+V124</f>
        <v>500000</v>
      </c>
      <c r="V125" s="14">
        <v>800000</v>
      </c>
      <c r="W125" s="15">
        <v>0.2</v>
      </c>
      <c r="X125" s="11">
        <f>MAX((+(V125-U125)*W125)+X124,0)</f>
        <v>86000</v>
      </c>
      <c r="Y125" s="16">
        <f>+Z124</f>
        <v>300000</v>
      </c>
      <c r="Z125" s="14">
        <v>500000</v>
      </c>
      <c r="AA125" s="15">
        <v>0.2</v>
      </c>
      <c r="AB125" s="11">
        <f>MAX((+(Z125-Y125)*AA125)+AB124,0)</f>
        <v>46000</v>
      </c>
      <c r="AC125" s="16">
        <f>+AD124</f>
        <v>300000</v>
      </c>
      <c r="AD125" s="14">
        <v>500000</v>
      </c>
      <c r="AE125" s="15">
        <v>0.2</v>
      </c>
      <c r="AF125" s="11">
        <f>MAX((+(AD125-AC125)*AE125)+AF124,0)</f>
        <v>47500</v>
      </c>
      <c r="AG125" s="16">
        <v>195000</v>
      </c>
      <c r="AH125" s="14">
        <v>250000</v>
      </c>
      <c r="AI125" s="15">
        <v>0.2</v>
      </c>
      <c r="AJ125" s="11">
        <f>MAX((+(AH125-AG125)*AI125)+AJ124,0)</f>
        <v>11000</v>
      </c>
      <c r="AL125" s="4"/>
      <c r="AM125" s="10"/>
      <c r="AN125" s="155" t="s">
        <v>83</v>
      </c>
      <c r="AO125" s="156"/>
      <c r="AP125" s="5" t="str">
        <f>CONCATENATE($AL$118," ",AN125)</f>
        <v>2008-2009 Female</v>
      </c>
      <c r="AQ125" s="6">
        <f>+SALARY!AJ117</f>
        <v>0</v>
      </c>
      <c r="AR125" s="6">
        <v>0</v>
      </c>
    </row>
    <row r="126" spans="1:53">
      <c r="A126" s="160" t="s">
        <v>73</v>
      </c>
      <c r="B126" s="160"/>
      <c r="C126" s="160"/>
      <c r="D126" s="160"/>
      <c r="E126" s="160"/>
      <c r="F126" s="160"/>
      <c r="G126" s="90">
        <f>+SALARY!N12</f>
        <v>0</v>
      </c>
      <c r="H126" s="100"/>
      <c r="I126" s="16">
        <f>+J125</f>
        <v>1000000</v>
      </c>
      <c r="J126" s="14">
        <v>0</v>
      </c>
      <c r="K126" s="15">
        <v>0.3</v>
      </c>
      <c r="L126" s="11">
        <f>MAX((+(J126-I126)*K126)+L125,0)</f>
        <v>0</v>
      </c>
      <c r="M126" s="16">
        <f>+N125</f>
        <v>1000000</v>
      </c>
      <c r="N126" s="14">
        <v>0</v>
      </c>
      <c r="O126" s="15">
        <v>0.3</v>
      </c>
      <c r="P126" s="11">
        <f>MAX((+(N126-M126)*O126)+P125,0)</f>
        <v>0</v>
      </c>
      <c r="Q126" s="16">
        <f>+R125</f>
        <v>800000</v>
      </c>
      <c r="R126" s="14"/>
      <c r="S126" s="15">
        <v>0.3</v>
      </c>
      <c r="T126" s="11">
        <f>MAX((+(R126-Q126)*S126)+T125,0)</f>
        <v>0</v>
      </c>
      <c r="U126" s="16">
        <f>+V125</f>
        <v>800000</v>
      </c>
      <c r="V126" s="14"/>
      <c r="W126" s="15">
        <v>0.3</v>
      </c>
      <c r="X126" s="11">
        <f>MAX((+(V126-U126)*W126)+X125,0)</f>
        <v>0</v>
      </c>
      <c r="Y126" s="16">
        <f>+Z125</f>
        <v>500000</v>
      </c>
      <c r="Z126" s="14"/>
      <c r="AA126" s="15">
        <v>0.3</v>
      </c>
      <c r="AB126" s="11">
        <f>MAX((+(Z126-Y126)*AA126)+AB125,0)</f>
        <v>0</v>
      </c>
      <c r="AC126" s="16">
        <f>+AD125</f>
        <v>500000</v>
      </c>
      <c r="AD126" s="14"/>
      <c r="AE126" s="15">
        <v>0.3</v>
      </c>
      <c r="AF126" s="11">
        <f>MAX((+(AD126-AC126)*AE126)+AF125,0)</f>
        <v>0</v>
      </c>
      <c r="AG126" s="16">
        <v>250000</v>
      </c>
      <c r="AH126" s="14"/>
      <c r="AI126" s="15">
        <v>0.3</v>
      </c>
      <c r="AJ126" s="11">
        <f>MAX((+(AH126-AG126)*AI126)+AJ125,0)</f>
        <v>0</v>
      </c>
      <c r="AL126" s="4"/>
      <c r="AM126" s="10"/>
      <c r="AN126" s="155" t="s">
        <v>89</v>
      </c>
      <c r="AO126" s="156"/>
      <c r="AP126" s="5" t="str">
        <f>CONCATENATE($AL$112," ",AN126)</f>
        <v>2014-2015 Senior Citizen</v>
      </c>
      <c r="AQ126" s="6">
        <f>+SALARY!L122</f>
        <v>0</v>
      </c>
      <c r="AR126" s="6">
        <v>2000</v>
      </c>
    </row>
    <row r="127" spans="1:53">
      <c r="A127" s="160" t="s">
        <v>74</v>
      </c>
      <c r="B127" s="160"/>
      <c r="C127" s="160"/>
      <c r="D127" s="160"/>
      <c r="E127" s="160"/>
      <c r="F127" s="160"/>
      <c r="G127" s="91">
        <f>+G125+G121-G126</f>
        <v>0</v>
      </c>
      <c r="H127" s="100"/>
      <c r="I127" s="11" t="s">
        <v>85</v>
      </c>
      <c r="J127" s="157" t="s">
        <v>90</v>
      </c>
      <c r="K127" s="159"/>
      <c r="L127" s="12">
        <f>ROUND(IF(J127="super senior citizen",IF(SALARY!$G$111&lt;J128,0,IF(SALARY!$G$111&lt;J129,((SALARY!$G$111-I129)*K129),IF(SALARY!$G$111&lt;J130,(((SALARY!$G$111-I130)*K130)+L129),(((SALARY!$G$111-I131)*K131)+L130)))),"Please enter sex in data sheet"),0)</f>
        <v>0</v>
      </c>
      <c r="M127" s="11" t="s">
        <v>85</v>
      </c>
      <c r="N127" s="157" t="s">
        <v>90</v>
      </c>
      <c r="O127" s="159" t="e">
        <f>+#REF!</f>
        <v>#REF!</v>
      </c>
      <c r="P127" s="12">
        <f>ROUND(IF(N127="super senior citizen",IF(SALARY!$G$111&lt;N128,0,IF(SALARY!$G$111&lt;N129,((SALARY!$G$111-M129)*O129),IF(SALARY!$G$111&lt;N130,(((SALARY!$G$111-M130)*O130)+P129),(((SALARY!$G$111-M131)*O131)+P130)))),"Please enter sex in data sheet"),0)</f>
        <v>0</v>
      </c>
      <c r="Q127" s="11" t="str">
        <f>+Q122</f>
        <v>2011-12</v>
      </c>
      <c r="R127" s="157" t="s">
        <v>90</v>
      </c>
      <c r="S127" s="159" t="e">
        <f>+#REF!</f>
        <v>#REF!</v>
      </c>
      <c r="T127" s="12">
        <f>ROUND(IF(R127="super senior citizen",IF(SALARY!$G$111&lt;R128,0,IF(SALARY!$G$111&lt;R129,((SALARY!$G$111-Q129)*S129),IF(SALARY!$G$111&lt;R130,(((SALARY!$G$111-Q130)*S130)+T129),(((SALARY!$G$111-Q131)*S131)+T130)))),"Please enter sex in data sheet"),0)</f>
        <v>0</v>
      </c>
      <c r="U127" s="11" t="str">
        <f>+U122</f>
        <v>2010-11</v>
      </c>
      <c r="V127" s="157" t="s">
        <v>90</v>
      </c>
      <c r="W127" s="159" t="e">
        <f>+#REF!</f>
        <v>#REF!</v>
      </c>
      <c r="X127" s="12">
        <f>ROUND(IF(V127="super senior citizen",IF(SALARY!$G$111&lt;V128,0,IF(SALARY!$G$111&lt;V129,((SALARY!$G$111-U129)*W129),IF(SALARY!$G$111&lt;V130,(((SALARY!$G$111-U130)*W130)+X129),(((SALARY!$G$111-U131)*W131)+X130)))),"Please enter sex in data sheet"),0)</f>
        <v>0</v>
      </c>
      <c r="Y127" s="11" t="str">
        <f>+Y122</f>
        <v>2009-10</v>
      </c>
      <c r="Z127" s="157" t="s">
        <v>90</v>
      </c>
      <c r="AA127" s="159" t="e">
        <f>+#REF!</f>
        <v>#REF!</v>
      </c>
      <c r="AB127" s="12">
        <f>ROUND(IF(Z127="super senior citizen",IF(SALARY!$G$111&lt;Z128,0,IF(SALARY!$G$111&lt;Z129,((SALARY!$G$111-Y129)*AA129),IF(SALARY!$G$111&lt;Z130,(((SALARY!$G$111-Y130)*AA130)+AB129),(((SALARY!$G$111-Y131)*AA131)+AB130)))),"Please enter sex in data sheet"),0)</f>
        <v>0</v>
      </c>
      <c r="AC127" s="11" t="str">
        <f>+AC122</f>
        <v>2008-09</v>
      </c>
      <c r="AD127" s="157" t="s">
        <v>90</v>
      </c>
      <c r="AE127" s="159" t="e">
        <f>+#REF!</f>
        <v>#REF!</v>
      </c>
      <c r="AF127" s="12">
        <f>ROUND(IF(AD127="super senior citizen",IF(SALARY!$G$111&lt;AD128,0,IF(SALARY!$G$111&lt;AD129,((SALARY!$G$111-AC129)*AE129),IF(SALARY!$G$111&lt;AD130,(((SALARY!$G$111-AC130)*AE130)+AF129),(((SALARY!$G$111-AC131)*AE131)+AF130)))),"Please enter sex in data sheet"),0)</f>
        <v>0</v>
      </c>
      <c r="AG127" s="17" t="str">
        <f>+AG122</f>
        <v>2007-08</v>
      </c>
      <c r="AH127" s="157" t="s">
        <v>90</v>
      </c>
      <c r="AI127" s="159" t="e">
        <f>+#REF!</f>
        <v>#REF!</v>
      </c>
      <c r="AJ127" s="12">
        <f>ROUND(IF(AH127="super senior citizen",IF(SALARY!$G$111&lt;AH128,0,IF(SALARY!$G$111&lt;AH129,((SALARY!$G$111-AG129)*AI129),IF(SALARY!$G$111&lt;AH130,(((SALARY!$G$111-AG130)*AI130)+AJ129),(((SALARY!$G$111-AG131)*AI131)+AJ130)))),"Please enter sex in data sheet"),0)</f>
        <v>0</v>
      </c>
      <c r="AL127" s="4"/>
      <c r="AM127" s="10"/>
      <c r="AN127" s="155" t="s">
        <v>89</v>
      </c>
      <c r="AO127" s="156"/>
      <c r="AP127" s="5" t="str">
        <f>CONCATENATE($AL$113," ",AN127)</f>
        <v>2013-2014 Senior Citizen</v>
      </c>
      <c r="AQ127" s="6">
        <f>+SALARY!P122</f>
        <v>0</v>
      </c>
      <c r="AR127" s="6">
        <v>0</v>
      </c>
    </row>
    <row r="128" spans="1:53">
      <c r="A128" s="99"/>
      <c r="B128" s="99"/>
      <c r="C128" s="99"/>
      <c r="D128" s="99"/>
      <c r="E128" s="99"/>
      <c r="F128" s="99"/>
      <c r="G128" s="99"/>
      <c r="H128" s="99"/>
      <c r="I128" s="13">
        <v>0</v>
      </c>
      <c r="J128" s="14">
        <v>500000</v>
      </c>
      <c r="K128" s="15">
        <v>0</v>
      </c>
      <c r="L128" s="11">
        <f>MAX(+I128*J128,0)</f>
        <v>0</v>
      </c>
      <c r="M128" s="13">
        <v>0</v>
      </c>
      <c r="N128" s="14">
        <v>500000</v>
      </c>
      <c r="O128" s="15">
        <v>0</v>
      </c>
      <c r="P128" s="11">
        <f>MAX(+M128*N128,0)</f>
        <v>0</v>
      </c>
      <c r="Q128" s="13">
        <v>0</v>
      </c>
      <c r="R128" s="14">
        <v>500000</v>
      </c>
      <c r="S128" s="15">
        <v>0</v>
      </c>
      <c r="T128" s="11">
        <f>MAX(+Q128*R128,0)</f>
        <v>0</v>
      </c>
      <c r="U128" s="13">
        <v>0</v>
      </c>
      <c r="V128" s="14">
        <v>240000</v>
      </c>
      <c r="W128" s="15">
        <v>0</v>
      </c>
      <c r="X128" s="11">
        <f>MAX(+U128*V128,0)</f>
        <v>0</v>
      </c>
      <c r="Y128" s="13">
        <v>0</v>
      </c>
      <c r="Z128" s="14">
        <v>240000</v>
      </c>
      <c r="AA128" s="15">
        <v>0</v>
      </c>
      <c r="AB128" s="11">
        <f>MAX(+Y128*Z128,0)</f>
        <v>0</v>
      </c>
      <c r="AC128" s="13">
        <v>0</v>
      </c>
      <c r="AD128" s="14">
        <v>225000</v>
      </c>
      <c r="AE128" s="15">
        <v>0</v>
      </c>
      <c r="AF128" s="11">
        <f>MAX(+AC128*AD128,0)</f>
        <v>0</v>
      </c>
      <c r="AG128" s="13">
        <v>0</v>
      </c>
      <c r="AH128" s="14">
        <v>195000</v>
      </c>
      <c r="AI128" s="15">
        <v>0</v>
      </c>
      <c r="AJ128" s="11">
        <f>MAX(+AG128*AH128,0)</f>
        <v>0</v>
      </c>
      <c r="AL128" s="4"/>
      <c r="AM128" s="10"/>
      <c r="AN128" s="155" t="s">
        <v>89</v>
      </c>
      <c r="AO128" s="156"/>
      <c r="AP128" s="5" t="str">
        <f>CONCATENATE($AL$114," ",AN128)</f>
        <v>2012-2013 Senior Citizen</v>
      </c>
      <c r="AQ128" s="6">
        <f>+SALARY!T122</f>
        <v>0</v>
      </c>
      <c r="AR128" s="6">
        <v>0</v>
      </c>
    </row>
    <row r="129" spans="1:44">
      <c r="A129" s="100"/>
      <c r="B129" s="100"/>
      <c r="C129" s="100"/>
      <c r="D129" s="100"/>
      <c r="E129" s="100"/>
      <c r="F129" s="100"/>
      <c r="G129" s="100"/>
      <c r="H129" s="100"/>
      <c r="I129" s="16">
        <f>+J128</f>
        <v>500000</v>
      </c>
      <c r="J129" s="14">
        <v>1000000</v>
      </c>
      <c r="K129" s="15">
        <v>0.2</v>
      </c>
      <c r="L129" s="11">
        <f>(+(J129-I129)*K129)+L128</f>
        <v>100000</v>
      </c>
      <c r="M129" s="16">
        <f>+N128</f>
        <v>500000</v>
      </c>
      <c r="N129" s="14">
        <v>1000000</v>
      </c>
      <c r="O129" s="15">
        <v>0.2</v>
      </c>
      <c r="P129" s="11">
        <f>(+(N129-M129)*O129)+P128</f>
        <v>100000</v>
      </c>
      <c r="Q129" s="16">
        <f>+R128</f>
        <v>500000</v>
      </c>
      <c r="R129" s="14">
        <v>800000</v>
      </c>
      <c r="S129" s="15">
        <v>0.2</v>
      </c>
      <c r="T129" s="11">
        <f>(+(R129-Q129)*S129)+T128</f>
        <v>60000</v>
      </c>
      <c r="U129" s="16">
        <f>+V128</f>
        <v>240000</v>
      </c>
      <c r="V129" s="14">
        <v>500000</v>
      </c>
      <c r="W129" s="15">
        <v>0.1</v>
      </c>
      <c r="X129" s="11">
        <f>(+(V129-U129)*W129)+X128</f>
        <v>26000</v>
      </c>
      <c r="Y129" s="16">
        <f>+Z128</f>
        <v>240000</v>
      </c>
      <c r="Z129" s="14">
        <v>300000</v>
      </c>
      <c r="AA129" s="15">
        <v>0.1</v>
      </c>
      <c r="AB129" s="11">
        <f>(+(Z129-Y129)*AA129)+AB128</f>
        <v>6000</v>
      </c>
      <c r="AC129" s="16">
        <f>+AD128</f>
        <v>225000</v>
      </c>
      <c r="AD129" s="14">
        <v>300000</v>
      </c>
      <c r="AE129" s="15">
        <v>0.1</v>
      </c>
      <c r="AF129" s="11">
        <f>(+(AD129-AC129)*AE129)+AF128</f>
        <v>7500</v>
      </c>
      <c r="AG129" s="16">
        <v>0</v>
      </c>
      <c r="AH129" s="14">
        <v>0</v>
      </c>
      <c r="AI129" s="15">
        <v>0.1</v>
      </c>
      <c r="AJ129" s="11">
        <f>(+(AH129-AG129)*AI129)+AJ128</f>
        <v>0</v>
      </c>
      <c r="AL129" s="4"/>
      <c r="AM129" s="10"/>
      <c r="AN129" s="155" t="s">
        <v>89</v>
      </c>
      <c r="AO129" s="156"/>
      <c r="AP129" s="5" t="str">
        <f>CONCATENATE($AL$115," ",AN129)</f>
        <v>2011-2012 Senior Citizen</v>
      </c>
      <c r="AQ129" s="6">
        <f>+SALARY!X122</f>
        <v>0</v>
      </c>
      <c r="AR129" s="6">
        <v>0</v>
      </c>
    </row>
    <row r="130" spans="1:44">
      <c r="A130" s="100"/>
      <c r="B130" s="100"/>
      <c r="C130" s="100"/>
      <c r="D130" s="100"/>
      <c r="E130" s="100"/>
      <c r="F130" s="100"/>
      <c r="G130" s="100"/>
      <c r="H130" s="100"/>
      <c r="I130" s="16">
        <f>+J129</f>
        <v>1000000</v>
      </c>
      <c r="J130" s="14">
        <v>0</v>
      </c>
      <c r="K130" s="15">
        <v>0.3</v>
      </c>
      <c r="L130" s="11">
        <f>MAX((+(J130-I130)*K130)+L129,0)</f>
        <v>0</v>
      </c>
      <c r="M130" s="16">
        <f>+N129</f>
        <v>1000000</v>
      </c>
      <c r="N130" s="14">
        <v>0</v>
      </c>
      <c r="O130" s="15">
        <v>0.3</v>
      </c>
      <c r="P130" s="11">
        <f>MAX((+(N130-M130)*O130)+P129,0)</f>
        <v>0</v>
      </c>
      <c r="Q130" s="16">
        <f>+R129</f>
        <v>800000</v>
      </c>
      <c r="R130" s="14"/>
      <c r="S130" s="15">
        <v>0.3</v>
      </c>
      <c r="T130" s="11">
        <f>MAX((+(R130-Q130)*S130)+T129,0)</f>
        <v>0</v>
      </c>
      <c r="U130" s="16">
        <f>+V129</f>
        <v>500000</v>
      </c>
      <c r="V130" s="14">
        <v>800000</v>
      </c>
      <c r="W130" s="15">
        <v>0.2</v>
      </c>
      <c r="X130" s="11">
        <f>MAX((+(V130-U130)*W130)+X129,0)</f>
        <v>86000</v>
      </c>
      <c r="Y130" s="16">
        <f>+Z129</f>
        <v>300000</v>
      </c>
      <c r="Z130" s="14">
        <v>500000</v>
      </c>
      <c r="AA130" s="15">
        <v>0.2</v>
      </c>
      <c r="AB130" s="11">
        <f>MAX((+(Z130-Y130)*AA130)+AB129,0)</f>
        <v>46000</v>
      </c>
      <c r="AC130" s="16">
        <f>+AD129</f>
        <v>300000</v>
      </c>
      <c r="AD130" s="14">
        <v>500000</v>
      </c>
      <c r="AE130" s="15">
        <v>0.2</v>
      </c>
      <c r="AF130" s="11">
        <f>MAX((+(AD130-AC130)*AE130)+AF129,0)</f>
        <v>47500</v>
      </c>
      <c r="AG130" s="16">
        <v>195000</v>
      </c>
      <c r="AH130" s="14">
        <v>250000</v>
      </c>
      <c r="AI130" s="15">
        <v>0.2</v>
      </c>
      <c r="AJ130" s="11">
        <f>MAX((+(AH130-AG130)*AI130)+AJ129,0)</f>
        <v>11000</v>
      </c>
      <c r="AL130" s="4"/>
      <c r="AM130" s="10"/>
      <c r="AN130" s="155" t="s">
        <v>89</v>
      </c>
      <c r="AO130" s="156"/>
      <c r="AP130" s="5" t="str">
        <f>CONCATENATE($AL$116," ",AN130)</f>
        <v>2010-2011 Senior Citizen</v>
      </c>
      <c r="AQ130" s="6">
        <f>+SALARY!AB122</f>
        <v>0</v>
      </c>
      <c r="AR130" s="6">
        <v>0</v>
      </c>
    </row>
    <row r="131" spans="1:44">
      <c r="A131" s="100"/>
      <c r="B131" s="100"/>
      <c r="C131" s="100"/>
      <c r="D131" s="100"/>
      <c r="E131" s="100"/>
      <c r="F131" s="100"/>
      <c r="G131" s="100"/>
      <c r="H131" s="100"/>
      <c r="I131" s="16">
        <f>+J130</f>
        <v>0</v>
      </c>
      <c r="J131" s="14">
        <v>0</v>
      </c>
      <c r="K131" s="15">
        <v>0</v>
      </c>
      <c r="L131" s="11">
        <f>MAX((+(J131-I131)*K131)+L130,0)</f>
        <v>0</v>
      </c>
      <c r="M131" s="16">
        <f>+N130</f>
        <v>0</v>
      </c>
      <c r="N131" s="14">
        <v>0</v>
      </c>
      <c r="O131" s="15">
        <v>0</v>
      </c>
      <c r="P131" s="11">
        <f>MAX((+(N131-M131)*O131)+P130,0)</f>
        <v>0</v>
      </c>
      <c r="Q131" s="16"/>
      <c r="R131" s="14"/>
      <c r="S131" s="15">
        <v>0</v>
      </c>
      <c r="T131" s="11">
        <f>MAX((+(R131-Q131)*S131)+T130,0)</f>
        <v>0</v>
      </c>
      <c r="U131" s="16">
        <f>+V130</f>
        <v>800000</v>
      </c>
      <c r="V131" s="14"/>
      <c r="W131" s="15">
        <v>0.3</v>
      </c>
      <c r="X131" s="11">
        <f>MAX((+(V131-U131)*W131)+X130,0)</f>
        <v>0</v>
      </c>
      <c r="Y131" s="16">
        <f>+Z130</f>
        <v>500000</v>
      </c>
      <c r="Z131" s="14"/>
      <c r="AA131" s="15">
        <v>0.3</v>
      </c>
      <c r="AB131" s="11">
        <f>MAX((+(Z131-Y131)*AA131)+AB130,0)</f>
        <v>0</v>
      </c>
      <c r="AC131" s="16">
        <f>+AD130</f>
        <v>500000</v>
      </c>
      <c r="AD131" s="14">
        <v>0</v>
      </c>
      <c r="AE131" s="15">
        <v>0.3</v>
      </c>
      <c r="AF131" s="11">
        <f>MAX((+(AD131-AC131)*AE131)+AF130,0)</f>
        <v>0</v>
      </c>
      <c r="AG131" s="16">
        <v>250000</v>
      </c>
      <c r="AH131" s="14"/>
      <c r="AI131" s="15">
        <v>0.3</v>
      </c>
      <c r="AJ131" s="11">
        <f>MAX((+(AH131-AG131)*AI131)+AJ130,0)</f>
        <v>0</v>
      </c>
      <c r="AL131" s="4"/>
      <c r="AM131" s="10"/>
      <c r="AN131" s="155" t="s">
        <v>89</v>
      </c>
      <c r="AO131" s="156"/>
      <c r="AP131" s="5" t="str">
        <f>CONCATENATE($AL$117," ",AN131)</f>
        <v>2009-2010 Senior Citizen</v>
      </c>
      <c r="AQ131" s="6">
        <f>+SALARY!AF122</f>
        <v>0</v>
      </c>
      <c r="AR131" s="6">
        <v>0</v>
      </c>
    </row>
    <row r="132" spans="1:44">
      <c r="AL132" s="4"/>
      <c r="AM132" s="10"/>
      <c r="AN132" s="155" t="s">
        <v>89</v>
      </c>
      <c r="AO132" s="156"/>
      <c r="AP132" s="5" t="str">
        <f>CONCATENATE($AL$118," ",AN132)</f>
        <v>2008-2009 Senior Citizen</v>
      </c>
      <c r="AQ132" s="6">
        <f>+SALARY!AJ122</f>
        <v>0</v>
      </c>
      <c r="AR132" s="6">
        <v>0</v>
      </c>
    </row>
    <row r="133" spans="1:44">
      <c r="AL133" s="4"/>
      <c r="AM133" s="10"/>
      <c r="AN133" s="155" t="s">
        <v>90</v>
      </c>
      <c r="AO133" s="156"/>
      <c r="AP133" s="5" t="str">
        <f>CONCATENATE($AL$112," ",AN133)</f>
        <v>2014-2015 Super Senior Citizen</v>
      </c>
      <c r="AQ133" s="6">
        <f>+SALARY!L127</f>
        <v>0</v>
      </c>
      <c r="AR133" s="6">
        <v>2000</v>
      </c>
    </row>
    <row r="134" spans="1:44">
      <c r="AL134" s="4"/>
      <c r="AM134" s="10"/>
      <c r="AN134" s="155" t="s">
        <v>90</v>
      </c>
      <c r="AO134" s="156"/>
      <c r="AP134" s="5" t="str">
        <f>CONCATENATE($AL$113," ",AN134)</f>
        <v>2013-2014 Super Senior Citizen</v>
      </c>
      <c r="AQ134" s="6">
        <f>+SALARY!P127</f>
        <v>0</v>
      </c>
      <c r="AR134" s="6">
        <v>0</v>
      </c>
    </row>
    <row r="135" spans="1:44">
      <c r="AL135" s="4"/>
      <c r="AM135" s="10"/>
      <c r="AN135" s="155" t="s">
        <v>90</v>
      </c>
      <c r="AO135" s="156"/>
      <c r="AP135" s="5" t="str">
        <f>CONCATENATE($AL$114," ",AN135)</f>
        <v>2012-2013 Super Senior Citizen</v>
      </c>
      <c r="AQ135" s="6">
        <f>+SALARY!T127</f>
        <v>0</v>
      </c>
      <c r="AR135" s="6">
        <v>0</v>
      </c>
    </row>
    <row r="136" spans="1:44">
      <c r="AL136" s="4"/>
      <c r="AM136" s="10"/>
      <c r="AN136" s="155" t="s">
        <v>90</v>
      </c>
      <c r="AO136" s="156"/>
      <c r="AP136" s="5" t="str">
        <f>CONCATENATE($AL$115," ",AN136)</f>
        <v>2011-2012 Super Senior Citizen</v>
      </c>
      <c r="AQ136" s="6">
        <f>+SALARY!X127</f>
        <v>0</v>
      </c>
      <c r="AR136" s="6">
        <v>0</v>
      </c>
    </row>
    <row r="137" spans="1:44">
      <c r="AL137" s="4"/>
      <c r="AM137" s="10"/>
      <c r="AN137" s="155" t="s">
        <v>90</v>
      </c>
      <c r="AO137" s="156"/>
      <c r="AP137" s="5" t="str">
        <f>CONCATENATE($AL$116," ",AN137)</f>
        <v>2010-2011 Super Senior Citizen</v>
      </c>
      <c r="AQ137" s="6">
        <f>+SALARY!AB127</f>
        <v>0</v>
      </c>
      <c r="AR137" s="6">
        <v>0</v>
      </c>
    </row>
    <row r="138" spans="1:44">
      <c r="AL138" s="4"/>
      <c r="AM138" s="10"/>
      <c r="AN138" s="155" t="s">
        <v>90</v>
      </c>
      <c r="AO138" s="156"/>
      <c r="AP138" s="5" t="str">
        <f>CONCATENATE($AL$117," ",AN138)</f>
        <v>2009-2010 Super Senior Citizen</v>
      </c>
      <c r="AQ138" s="6">
        <f>+SALARY!AF127</f>
        <v>0</v>
      </c>
      <c r="AR138" s="6">
        <v>0</v>
      </c>
    </row>
    <row r="139" spans="1:44">
      <c r="AL139" s="4"/>
      <c r="AM139" s="10"/>
      <c r="AN139" s="155" t="s">
        <v>90</v>
      </c>
      <c r="AO139" s="156"/>
      <c r="AP139" s="5" t="str">
        <f>CONCATENATE($AL$118," ",AN139)</f>
        <v>2008-2009 Super Senior Citizen</v>
      </c>
      <c r="AQ139" s="6">
        <f>+SALARY!AJ127</f>
        <v>0</v>
      </c>
      <c r="AR139" s="6">
        <v>0</v>
      </c>
    </row>
  </sheetData>
  <sheetProtection password="CB06" sheet="1" objects="1" scenarios="1" selectLockedCells="1"/>
  <mergeCells count="148">
    <mergeCell ref="G25:I25"/>
    <mergeCell ref="G26:I26"/>
    <mergeCell ref="G27:I27"/>
    <mergeCell ref="A91:F91"/>
    <mergeCell ref="A92:F92"/>
    <mergeCell ref="A93:F93"/>
    <mergeCell ref="G15:J15"/>
    <mergeCell ref="G16:I16"/>
    <mergeCell ref="G17:I17"/>
    <mergeCell ref="G18:I18"/>
    <mergeCell ref="G19:I19"/>
    <mergeCell ref="G20:I20"/>
    <mergeCell ref="A42:J42"/>
    <mergeCell ref="A43:A44"/>
    <mergeCell ref="B43:B44"/>
    <mergeCell ref="C43:D43"/>
    <mergeCell ref="E43:F43"/>
    <mergeCell ref="G43:G44"/>
    <mergeCell ref="H43:H44"/>
    <mergeCell ref="I43:I44"/>
    <mergeCell ref="J43:J44"/>
    <mergeCell ref="D28:F29"/>
    <mergeCell ref="G28:G29"/>
    <mergeCell ref="H28:H29"/>
    <mergeCell ref="G22:J22"/>
    <mergeCell ref="G23:I23"/>
    <mergeCell ref="G24:I24"/>
    <mergeCell ref="D31:F31"/>
    <mergeCell ref="D34:F34"/>
    <mergeCell ref="D35:E35"/>
    <mergeCell ref="D36:E36"/>
    <mergeCell ref="A78:F78"/>
    <mergeCell ref="G78:H78"/>
    <mergeCell ref="A79:F79"/>
    <mergeCell ref="A80:F81"/>
    <mergeCell ref="G80:G81"/>
    <mergeCell ref="H80:H81"/>
    <mergeCell ref="D37:E37"/>
    <mergeCell ref="D38:E38"/>
    <mergeCell ref="D39:E39"/>
    <mergeCell ref="A76:G76"/>
    <mergeCell ref="A113:F113"/>
    <mergeCell ref="A82:F82"/>
    <mergeCell ref="A83:F83"/>
    <mergeCell ref="A84:F84"/>
    <mergeCell ref="A85:F85"/>
    <mergeCell ref="A86:F86"/>
    <mergeCell ref="A95:F95"/>
    <mergeCell ref="A96:F96"/>
    <mergeCell ref="A97:F97"/>
    <mergeCell ref="A98:F98"/>
    <mergeCell ref="A94:F94"/>
    <mergeCell ref="A106:F106"/>
    <mergeCell ref="A107:F107"/>
    <mergeCell ref="A108:F108"/>
    <mergeCell ref="A101:F101"/>
    <mergeCell ref="A102:F102"/>
    <mergeCell ref="A103:F103"/>
    <mergeCell ref="A87:F87"/>
    <mergeCell ref="A104:F104"/>
    <mergeCell ref="A105:F105"/>
    <mergeCell ref="A99:F99"/>
    <mergeCell ref="A88:F88"/>
    <mergeCell ref="A89:F89"/>
    <mergeCell ref="A90:F90"/>
    <mergeCell ref="A126:F126"/>
    <mergeCell ref="A127:F127"/>
    <mergeCell ref="G99:H99"/>
    <mergeCell ref="I111:L111"/>
    <mergeCell ref="M111:P111"/>
    <mergeCell ref="J122:K122"/>
    <mergeCell ref="J127:K127"/>
    <mergeCell ref="N127:O127"/>
    <mergeCell ref="A120:F120"/>
    <mergeCell ref="A121:F121"/>
    <mergeCell ref="A122:F122"/>
    <mergeCell ref="A123:F123"/>
    <mergeCell ref="A124:F124"/>
    <mergeCell ref="A125:F125"/>
    <mergeCell ref="A114:F114"/>
    <mergeCell ref="A115:F115"/>
    <mergeCell ref="A116:F116"/>
    <mergeCell ref="A117:F117"/>
    <mergeCell ref="A118:F118"/>
    <mergeCell ref="A119:F119"/>
    <mergeCell ref="J117:K117"/>
    <mergeCell ref="J112:K112"/>
    <mergeCell ref="A111:F111"/>
    <mergeCell ref="A112:F112"/>
    <mergeCell ref="N112:O112"/>
    <mergeCell ref="R112:S112"/>
    <mergeCell ref="V112:W112"/>
    <mergeCell ref="N117:O117"/>
    <mergeCell ref="N122:O122"/>
    <mergeCell ref="Z112:AA112"/>
    <mergeCell ref="Z117:AA117"/>
    <mergeCell ref="Z122:AA122"/>
    <mergeCell ref="Z127:AA127"/>
    <mergeCell ref="AH117:AI117"/>
    <mergeCell ref="AH122:AI122"/>
    <mergeCell ref="AH127:AI127"/>
    <mergeCell ref="AG111:AJ111"/>
    <mergeCell ref="V127:W127"/>
    <mergeCell ref="R127:S127"/>
    <mergeCell ref="R122:S122"/>
    <mergeCell ref="R117:S117"/>
    <mergeCell ref="AH112:AI112"/>
    <mergeCell ref="V117:W117"/>
    <mergeCell ref="V122:W122"/>
    <mergeCell ref="AD112:AE112"/>
    <mergeCell ref="AD117:AE117"/>
    <mergeCell ref="AD122:AE122"/>
    <mergeCell ref="Q111:T111"/>
    <mergeCell ref="U111:X111"/>
    <mergeCell ref="AD127:AE127"/>
    <mergeCell ref="AN123:AO123"/>
    <mergeCell ref="AN124:AO124"/>
    <mergeCell ref="AN118:AO118"/>
    <mergeCell ref="AN119:AO119"/>
    <mergeCell ref="AN120:AO120"/>
    <mergeCell ref="AN121:AO121"/>
    <mergeCell ref="AN122:AO122"/>
    <mergeCell ref="AN125:AO125"/>
    <mergeCell ref="AN126:AO126"/>
    <mergeCell ref="J84:K84"/>
    <mergeCell ref="J83:L83"/>
    <mergeCell ref="A109:F109"/>
    <mergeCell ref="AN139:AO139"/>
    <mergeCell ref="AN130:AO130"/>
    <mergeCell ref="AN131:AO131"/>
    <mergeCell ref="AN132:AO132"/>
    <mergeCell ref="AN133:AO133"/>
    <mergeCell ref="AN134:AO134"/>
    <mergeCell ref="AN135:AO135"/>
    <mergeCell ref="AN127:AO127"/>
    <mergeCell ref="AN128:AO128"/>
    <mergeCell ref="AN136:AO136"/>
    <mergeCell ref="AN129:AO129"/>
    <mergeCell ref="AN137:AO137"/>
    <mergeCell ref="AN138:AO138"/>
    <mergeCell ref="Y111:AB111"/>
    <mergeCell ref="AC111:AF111"/>
    <mergeCell ref="AN117:AO117"/>
    <mergeCell ref="AN112:AO112"/>
    <mergeCell ref="AN113:AO113"/>
    <mergeCell ref="AN114:AO114"/>
    <mergeCell ref="AN115:AO115"/>
    <mergeCell ref="AN116:AO116"/>
  </mergeCells>
  <dataValidations disablePrompts="1" count="1">
    <dataValidation type="whole" allowBlank="1" showErrorMessage="1" errorTitle="TotalIntrstPay" error="TotalIntrstPay  Non negative, no decimal, upto 99,999,999,999,999" sqref="G125:G126">
      <formula1>0</formula1>
      <formula2>99999999999999</formula2>
    </dataValidation>
  </dataValidations>
  <pageMargins left="0" right="0" top="0.74803149606299213" bottom="0.74803149606299213" header="0.31496062992125984" footer="0.31496062992125984"/>
  <pageSetup scale="73" orientation="landscape" r:id="rId1"/>
  <ignoredErrors>
    <ignoredError sqref="B9 C9:M9" formulaRange="1"/>
    <ignoredError sqref="G102:H102 G103:H108" unlockedFormula="1"/>
    <ignoredError sqref="N9" formula="1"/>
  </ignoredErrors>
  <drawing r:id="rId2"/>
  <legacyDrawing r:id="rId3"/>
  <picture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selection activeCell="Q23" sqref="Q21:Q23"/>
    </sheetView>
  </sheetViews>
  <sheetFormatPr defaultRowHeight="15"/>
  <cols>
    <col min="1" max="1" width="9.85546875" customWidth="1"/>
    <col min="2" max="2" width="5.85546875" customWidth="1"/>
    <col min="6" max="6" width="11.28515625" customWidth="1"/>
    <col min="7" max="7" width="11.42578125" customWidth="1"/>
    <col min="8" max="9" width="10" customWidth="1"/>
    <col min="10" max="10" width="3.85546875" customWidth="1"/>
  </cols>
  <sheetData>
    <row r="1" spans="1:10" ht="18.75">
      <c r="A1" s="218" t="s">
        <v>159</v>
      </c>
      <c r="B1" s="219"/>
      <c r="C1" s="219"/>
      <c r="D1" s="219"/>
      <c r="E1" s="219"/>
      <c r="F1" s="219"/>
      <c r="G1" s="219"/>
      <c r="H1" s="219"/>
      <c r="I1" s="219"/>
      <c r="J1" s="113"/>
    </row>
    <row r="2" spans="1:10" ht="15" customHeight="1">
      <c r="A2" s="114"/>
      <c r="B2" s="115"/>
      <c r="C2" s="115"/>
      <c r="D2" s="115"/>
      <c r="E2" s="115"/>
      <c r="F2" s="115"/>
      <c r="G2" s="115"/>
      <c r="H2" s="115"/>
      <c r="I2" s="115"/>
      <c r="J2" s="129"/>
    </row>
    <row r="3" spans="1:10">
      <c r="A3" s="116" t="s">
        <v>114</v>
      </c>
      <c r="B3" s="117" t="str">
        <f>+MASTER!B4</f>
        <v xml:space="preserve">  </v>
      </c>
      <c r="C3" s="118"/>
      <c r="D3" s="118"/>
      <c r="E3" s="118"/>
      <c r="F3" s="118"/>
      <c r="G3" s="118"/>
      <c r="H3" s="119"/>
      <c r="I3" s="119"/>
      <c r="J3" s="129"/>
    </row>
    <row r="4" spans="1:10">
      <c r="A4" s="120" t="s">
        <v>115</v>
      </c>
      <c r="B4" s="213">
        <f>+MASTER!B7</f>
        <v>0</v>
      </c>
      <c r="C4" s="213"/>
      <c r="D4" s="213"/>
      <c r="E4" s="213"/>
      <c r="F4" s="213"/>
      <c r="G4" s="213"/>
      <c r="H4" s="118" t="s">
        <v>116</v>
      </c>
      <c r="I4" s="217" t="str">
        <f>+MASTER!B9</f>
        <v>BSLPK9318P</v>
      </c>
      <c r="J4" s="222"/>
    </row>
    <row r="5" spans="1:10" ht="16.5">
      <c r="A5" s="120" t="s">
        <v>117</v>
      </c>
      <c r="B5" s="214" t="str">
        <f>+MASTER!B13</f>
        <v>pradipvashiyani15032013@gmail.com</v>
      </c>
      <c r="C5" s="214"/>
      <c r="D5" s="214"/>
      <c r="E5" s="214"/>
      <c r="F5" s="214"/>
      <c r="G5" s="214"/>
      <c r="H5" s="118" t="s">
        <v>118</v>
      </c>
      <c r="I5" s="217" t="str">
        <f>+MASTER!B12</f>
        <v>2012-2013</v>
      </c>
      <c r="J5" s="222"/>
    </row>
    <row r="6" spans="1:10">
      <c r="A6" s="216" t="s">
        <v>119</v>
      </c>
      <c r="B6" s="217"/>
      <c r="C6" s="215">
        <f>+MASTER!B5</f>
        <v>28834</v>
      </c>
      <c r="D6" s="215"/>
      <c r="E6" s="215"/>
      <c r="F6" s="118"/>
      <c r="G6" s="118"/>
      <c r="H6" s="118" t="s">
        <v>120</v>
      </c>
      <c r="I6" s="217" t="str">
        <f>+MASTER!B11</f>
        <v>2013-2014</v>
      </c>
      <c r="J6" s="222"/>
    </row>
    <row r="7" spans="1:10">
      <c r="A7" s="130"/>
      <c r="B7" s="27"/>
      <c r="C7" s="27"/>
      <c r="D7" s="27"/>
      <c r="E7" s="27"/>
      <c r="F7" s="27"/>
      <c r="G7" s="27"/>
      <c r="H7" s="121"/>
      <c r="I7" s="121"/>
      <c r="J7" s="131"/>
    </row>
    <row r="8" spans="1:10" ht="18.75">
      <c r="A8" s="220" t="s">
        <v>121</v>
      </c>
      <c r="B8" s="221"/>
      <c r="C8" s="221"/>
      <c r="D8" s="221"/>
      <c r="E8" s="221"/>
      <c r="F8" s="221"/>
      <c r="G8" s="221"/>
      <c r="H8" s="122" t="s">
        <v>160</v>
      </c>
      <c r="I8" s="122" t="s">
        <v>161</v>
      </c>
      <c r="J8" s="129"/>
    </row>
    <row r="9" spans="1:10">
      <c r="A9" s="135"/>
      <c r="B9" s="26"/>
      <c r="C9" s="123" t="str">
        <f>+SALARY!A2</f>
        <v>Basic Salary</v>
      </c>
      <c r="D9" s="124"/>
      <c r="E9" s="124"/>
      <c r="F9" s="124"/>
      <c r="G9" s="125"/>
      <c r="H9" s="127">
        <f>+SALARY!N2</f>
        <v>0</v>
      </c>
      <c r="I9" s="127">
        <f>+H9</f>
        <v>0</v>
      </c>
      <c r="J9" s="129"/>
    </row>
    <row r="10" spans="1:10">
      <c r="A10" s="135"/>
      <c r="B10" s="26"/>
      <c r="C10" s="123" t="str">
        <f>+SALARY!A3</f>
        <v>HRA recd from Company</v>
      </c>
      <c r="D10" s="124"/>
      <c r="E10" s="124"/>
      <c r="F10" s="124"/>
      <c r="G10" s="125"/>
      <c r="H10" s="127">
        <f>+SALARY!N3</f>
        <v>0</v>
      </c>
      <c r="I10" s="127">
        <f t="shared" ref="I10:I16" si="0">+H10</f>
        <v>0</v>
      </c>
      <c r="J10" s="129"/>
    </row>
    <row r="11" spans="1:10">
      <c r="A11" s="135"/>
      <c r="B11" s="26"/>
      <c r="C11" s="123" t="str">
        <f>+SALARY!A4</f>
        <v>Rent paid</v>
      </c>
      <c r="D11" s="124"/>
      <c r="E11" s="124"/>
      <c r="F11" s="124"/>
      <c r="G11" s="125"/>
      <c r="H11" s="127">
        <f>+SALARY!N4</f>
        <v>0</v>
      </c>
      <c r="I11" s="127">
        <f t="shared" si="0"/>
        <v>0</v>
      </c>
      <c r="J11" s="129"/>
    </row>
    <row r="12" spans="1:10">
      <c r="A12" s="135"/>
      <c r="B12" s="26"/>
      <c r="C12" s="123" t="str">
        <f>+SALARY!A5</f>
        <v>Conveyance allowance paid</v>
      </c>
      <c r="D12" s="124"/>
      <c r="E12" s="124"/>
      <c r="F12" s="124"/>
      <c r="G12" s="125"/>
      <c r="H12" s="127">
        <f>+SALARY!N5</f>
        <v>0</v>
      </c>
      <c r="I12" s="127">
        <f t="shared" si="0"/>
        <v>0</v>
      </c>
      <c r="J12" s="129"/>
    </row>
    <row r="13" spans="1:10">
      <c r="A13" s="135"/>
      <c r="B13" s="26"/>
      <c r="C13" s="123" t="str">
        <f>+SALARY!A6</f>
        <v>Conveyance allowance exempted</v>
      </c>
      <c r="D13" s="124"/>
      <c r="E13" s="124"/>
      <c r="F13" s="124"/>
      <c r="G13" s="125"/>
      <c r="H13" s="127">
        <f>+SALARY!N6</f>
        <v>0</v>
      </c>
      <c r="I13" s="127">
        <f t="shared" si="0"/>
        <v>0</v>
      </c>
      <c r="J13" s="129"/>
    </row>
    <row r="14" spans="1:10">
      <c r="A14" s="135"/>
      <c r="B14" s="26"/>
      <c r="C14" s="123" t="str">
        <f>+SALARY!A7</f>
        <v>Perquisties &amp; others income</v>
      </c>
      <c r="D14" s="124"/>
      <c r="E14" s="124"/>
      <c r="F14" s="124"/>
      <c r="G14" s="125"/>
      <c r="H14" s="127">
        <f>+SALARY!N7</f>
        <v>0</v>
      </c>
      <c r="I14" s="127">
        <f t="shared" si="0"/>
        <v>0</v>
      </c>
      <c r="J14" s="129"/>
    </row>
    <row r="15" spans="1:10">
      <c r="A15" s="135"/>
      <c r="B15" s="26"/>
      <c r="C15" s="123" t="str">
        <f>+SALARY!A8</f>
        <v>Other income</v>
      </c>
      <c r="D15" s="124"/>
      <c r="E15" s="124"/>
      <c r="F15" s="124"/>
      <c r="G15" s="125"/>
      <c r="H15" s="127">
        <f>+SALARY!N8</f>
        <v>0</v>
      </c>
      <c r="I15" s="127">
        <f t="shared" si="0"/>
        <v>0</v>
      </c>
      <c r="J15" s="129"/>
    </row>
    <row r="16" spans="1:10">
      <c r="A16" s="135"/>
      <c r="B16" s="26"/>
      <c r="C16" s="123" t="str">
        <f>+SALARY!A9</f>
        <v>Total gross salary</v>
      </c>
      <c r="D16" s="124"/>
      <c r="E16" s="124"/>
      <c r="F16" s="124"/>
      <c r="G16" s="125"/>
      <c r="H16" s="128">
        <f>+SALARY!N9</f>
        <v>0</v>
      </c>
      <c r="I16" s="128">
        <f t="shared" si="0"/>
        <v>0</v>
      </c>
      <c r="J16" s="129"/>
    </row>
    <row r="17" spans="1:10">
      <c r="A17" s="135"/>
      <c r="B17" s="26"/>
      <c r="C17" s="26"/>
      <c r="D17" s="26"/>
      <c r="E17" s="26"/>
      <c r="F17" s="26"/>
      <c r="G17" s="26"/>
      <c r="H17" s="26"/>
      <c r="I17" s="26"/>
      <c r="J17" s="129"/>
    </row>
    <row r="18" spans="1:10" ht="18">
      <c r="A18" s="211" t="s">
        <v>162</v>
      </c>
      <c r="B18" s="212"/>
      <c r="C18" s="212"/>
      <c r="D18" s="212"/>
      <c r="E18" s="212"/>
      <c r="F18" s="212"/>
      <c r="G18" s="212"/>
      <c r="H18" s="122" t="s">
        <v>160</v>
      </c>
      <c r="I18" s="122" t="s">
        <v>161</v>
      </c>
      <c r="J18" s="131"/>
    </row>
    <row r="19" spans="1:10">
      <c r="A19" s="135"/>
      <c r="B19" s="26"/>
      <c r="C19" s="26"/>
      <c r="D19" s="26"/>
      <c r="E19" s="26"/>
      <c r="F19" s="26"/>
      <c r="G19" s="26"/>
      <c r="H19" s="26"/>
      <c r="I19" s="26"/>
      <c r="J19" s="129"/>
    </row>
    <row r="20" spans="1:10">
      <c r="A20" s="135"/>
      <c r="B20" s="26"/>
      <c r="C20" s="123" t="s">
        <v>163</v>
      </c>
      <c r="D20" s="124"/>
      <c r="E20" s="124"/>
      <c r="F20" s="124"/>
      <c r="G20" s="125"/>
      <c r="H20" s="127">
        <f>+SALARY!B25</f>
        <v>0</v>
      </c>
      <c r="I20" s="127">
        <f>+SALARY!F25</f>
        <v>0</v>
      </c>
      <c r="J20" s="129"/>
    </row>
    <row r="21" spans="1:10">
      <c r="A21" s="135"/>
      <c r="B21" s="26"/>
      <c r="C21" s="26"/>
      <c r="D21" s="26"/>
      <c r="E21" s="26"/>
      <c r="F21" s="26"/>
      <c r="G21" s="26"/>
      <c r="H21" s="26"/>
      <c r="I21" s="26"/>
      <c r="J21" s="129"/>
    </row>
    <row r="22" spans="1:10" ht="18">
      <c r="A22" s="211" t="str">
        <f>+SALARY!A28</f>
        <v>Income From Others Sourse</v>
      </c>
      <c r="B22" s="212"/>
      <c r="C22" s="212"/>
      <c r="D22" s="212"/>
      <c r="E22" s="212"/>
      <c r="F22" s="212"/>
      <c r="G22" s="212"/>
      <c r="H22" s="122" t="s">
        <v>160</v>
      </c>
      <c r="I22" s="122" t="s">
        <v>161</v>
      </c>
      <c r="J22" s="131"/>
    </row>
    <row r="23" spans="1:10">
      <c r="A23" s="135"/>
      <c r="B23" s="26"/>
      <c r="C23" s="123" t="s">
        <v>38</v>
      </c>
      <c r="D23" s="124"/>
      <c r="E23" s="124"/>
      <c r="F23" s="124"/>
      <c r="G23" s="125"/>
      <c r="H23" s="127">
        <f>+SALARY!B40</f>
        <v>0</v>
      </c>
      <c r="I23" s="127">
        <f>+H23</f>
        <v>0</v>
      </c>
      <c r="J23" s="129"/>
    </row>
    <row r="24" spans="1:10">
      <c r="A24" s="135"/>
      <c r="B24" s="26"/>
      <c r="C24" s="123" t="str">
        <f>+SALARY!D31</f>
        <v>Agariculture Income</v>
      </c>
      <c r="D24" s="124"/>
      <c r="E24" s="124"/>
      <c r="F24" s="124"/>
      <c r="G24" s="125"/>
      <c r="H24" s="127">
        <f>+SALARY!F32</f>
        <v>0</v>
      </c>
      <c r="I24" s="127">
        <f>+H24</f>
        <v>0</v>
      </c>
      <c r="J24" s="129"/>
    </row>
    <row r="25" spans="1:10">
      <c r="A25" s="135"/>
      <c r="B25" s="26"/>
      <c r="C25" s="132" t="str">
        <f>+SALARY!D34</f>
        <v>Exemptions</v>
      </c>
      <c r="D25" s="27"/>
      <c r="E25" s="27"/>
      <c r="F25" s="27"/>
      <c r="G25" s="131"/>
      <c r="H25" s="127">
        <f>+SALARY!F39</f>
        <v>0</v>
      </c>
      <c r="I25" s="127">
        <f>MIN(H25,0)</f>
        <v>0</v>
      </c>
      <c r="J25" s="129"/>
    </row>
    <row r="26" spans="1:10">
      <c r="A26" s="135"/>
      <c r="B26" s="26"/>
      <c r="C26" s="132" t="s">
        <v>168</v>
      </c>
      <c r="D26" s="27"/>
      <c r="E26" s="27"/>
      <c r="F26" s="27"/>
      <c r="G26" s="131"/>
      <c r="H26" s="127">
        <f>+SALARY!G28</f>
        <v>0</v>
      </c>
      <c r="I26" s="127">
        <f>+SALARY!H28</f>
        <v>0</v>
      </c>
      <c r="J26" s="129"/>
    </row>
    <row r="27" spans="1:10">
      <c r="A27" s="135"/>
      <c r="B27" s="26"/>
      <c r="C27" s="123" t="str">
        <f>+SALARY!A112</f>
        <v>Gross Net Income</v>
      </c>
      <c r="D27" s="124"/>
      <c r="E27" s="124"/>
      <c r="F27" s="124"/>
      <c r="G27" s="125"/>
      <c r="H27" s="127">
        <f>+H25+H24+H23+H20+H16+H26</f>
        <v>0</v>
      </c>
      <c r="I27" s="127">
        <f>+I25+I24+I23+I20+I16+I26</f>
        <v>0</v>
      </c>
      <c r="J27" s="129"/>
    </row>
    <row r="28" spans="1:10">
      <c r="A28" s="135"/>
      <c r="B28" s="26"/>
      <c r="C28" s="26"/>
      <c r="D28" s="26"/>
      <c r="E28" s="26"/>
      <c r="F28" s="26"/>
      <c r="G28" s="26"/>
      <c r="H28" s="26"/>
      <c r="I28" s="26"/>
      <c r="J28" s="129"/>
    </row>
    <row r="29" spans="1:10">
      <c r="A29" s="135"/>
      <c r="B29" s="26"/>
      <c r="C29" s="123" t="str">
        <f>+SALARY!A82</f>
        <v>Less: Deduction u/s 80 C/80CCC/80CCD</v>
      </c>
      <c r="D29" s="124"/>
      <c r="E29" s="124"/>
      <c r="F29" s="124"/>
      <c r="G29" s="125"/>
      <c r="H29" s="127">
        <f>+SALARY!G98</f>
        <v>0</v>
      </c>
      <c r="I29" s="127">
        <f>+MIN(H29,100000)</f>
        <v>0</v>
      </c>
      <c r="J29" s="129"/>
    </row>
    <row r="30" spans="1:10">
      <c r="A30" s="135"/>
      <c r="B30" s="26"/>
      <c r="C30" s="123" t="s">
        <v>165</v>
      </c>
      <c r="D30" s="124"/>
      <c r="E30" s="124"/>
      <c r="F30" s="124"/>
      <c r="G30" s="125"/>
      <c r="H30" s="127">
        <f>+SALARY!G109</f>
        <v>0</v>
      </c>
      <c r="I30" s="127">
        <f>+SALARY!H109+I26</f>
        <v>0</v>
      </c>
      <c r="J30" s="129"/>
    </row>
    <row r="31" spans="1:10">
      <c r="A31" s="135"/>
      <c r="B31" s="26"/>
      <c r="C31" s="119"/>
      <c r="D31" s="26"/>
      <c r="E31" s="26"/>
      <c r="F31" s="26"/>
      <c r="G31" s="26"/>
      <c r="H31" s="119"/>
      <c r="I31" s="119"/>
      <c r="J31" s="129"/>
    </row>
    <row r="32" spans="1:10">
      <c r="A32" s="135"/>
      <c r="B32" s="26"/>
      <c r="C32" s="208" t="str">
        <f>+SALARY!A112</f>
        <v>Gross Net Income</v>
      </c>
      <c r="D32" s="209"/>
      <c r="E32" s="209"/>
      <c r="F32" s="209"/>
      <c r="G32" s="209"/>
      <c r="H32" s="210"/>
      <c r="I32" s="134">
        <f>+I27-I29-I30</f>
        <v>0</v>
      </c>
      <c r="J32" s="129"/>
    </row>
    <row r="33" spans="1:10">
      <c r="A33" s="135"/>
      <c r="B33" s="26"/>
      <c r="C33" s="208" t="str">
        <f>+SALARY!A114</f>
        <v xml:space="preserve">Tax payable on Total Income </v>
      </c>
      <c r="D33" s="209"/>
      <c r="E33" s="209"/>
      <c r="F33" s="209"/>
      <c r="G33" s="209"/>
      <c r="H33" s="210"/>
      <c r="I33" s="134">
        <f>+SALARY!G114</f>
        <v>0</v>
      </c>
      <c r="J33" s="129"/>
    </row>
    <row r="34" spans="1:10">
      <c r="A34" s="135"/>
      <c r="B34" s="26"/>
      <c r="C34" s="208" t="str">
        <f>+SALARY!A118</f>
        <v xml:space="preserve">Less Tax :- Deduction Under Section 87A (f.y.2013-to </v>
      </c>
      <c r="D34" s="209"/>
      <c r="E34" s="209"/>
      <c r="F34" s="209"/>
      <c r="G34" s="209"/>
      <c r="H34" s="210"/>
      <c r="I34" s="134">
        <f>+SALARY!G118</f>
        <v>0</v>
      </c>
      <c r="J34" s="129"/>
    </row>
    <row r="35" spans="1:10">
      <c r="A35" s="135"/>
      <c r="B35" s="26"/>
      <c r="C35" s="208" t="str">
        <f>+SALARY!A117</f>
        <v>Less Tax :- Agariculture Income</v>
      </c>
      <c r="D35" s="209"/>
      <c r="E35" s="209"/>
      <c r="F35" s="209"/>
      <c r="G35" s="209"/>
      <c r="H35" s="210"/>
      <c r="I35" s="134">
        <f>+SALARY!G117</f>
        <v>0</v>
      </c>
      <c r="J35" s="129"/>
    </row>
    <row r="36" spans="1:10">
      <c r="A36" s="135"/>
      <c r="B36" s="26"/>
      <c r="C36" s="123" t="str">
        <f>+SALARY!A115</f>
        <v>Tax Payable - Short Term Capital Gain @ 15%</v>
      </c>
      <c r="D36" s="124"/>
      <c r="E36" s="124"/>
      <c r="F36" s="124"/>
      <c r="G36" s="124"/>
      <c r="H36" s="125"/>
      <c r="I36" s="133">
        <f>+SALARY!G115</f>
        <v>0</v>
      </c>
      <c r="J36" s="129"/>
    </row>
    <row r="37" spans="1:10">
      <c r="A37" s="135"/>
      <c r="B37" s="26"/>
      <c r="C37" s="123" t="str">
        <f>+SALARY!A116</f>
        <v>Tax Payable - Long Term Capital Gain @ 20%</v>
      </c>
      <c r="D37" s="124"/>
      <c r="E37" s="124"/>
      <c r="F37" s="124"/>
      <c r="G37" s="124"/>
      <c r="H37" s="125"/>
      <c r="I37" s="134">
        <f>+SALARY!G116</f>
        <v>0</v>
      </c>
      <c r="J37" s="129"/>
    </row>
    <row r="38" spans="1:10">
      <c r="A38" s="135"/>
      <c r="B38" s="26"/>
      <c r="C38" s="123" t="s">
        <v>166</v>
      </c>
      <c r="D38" s="124"/>
      <c r="E38" s="124"/>
      <c r="F38" s="124"/>
      <c r="G38" s="124"/>
      <c r="H38" s="125"/>
      <c r="I38" s="134">
        <f>+SALARY!G119</f>
        <v>0</v>
      </c>
      <c r="J38" s="129"/>
    </row>
    <row r="39" spans="1:10">
      <c r="A39" s="135"/>
      <c r="B39" s="26"/>
      <c r="C39" s="123" t="str">
        <f>+SALARY!A122</f>
        <v>Interest payable u/s 234 A</v>
      </c>
      <c r="D39" s="124"/>
      <c r="E39" s="124"/>
      <c r="F39" s="124"/>
      <c r="G39" s="124"/>
      <c r="H39" s="125"/>
      <c r="I39" s="134">
        <f>+SALARY!G122</f>
        <v>0</v>
      </c>
      <c r="J39" s="129"/>
    </row>
    <row r="40" spans="1:10">
      <c r="A40" s="135"/>
      <c r="B40" s="26"/>
      <c r="C40" s="123" t="str">
        <f>+SALARY!A123</f>
        <v>Interest payable u/s 234 B</v>
      </c>
      <c r="D40" s="124"/>
      <c r="E40" s="124"/>
      <c r="F40" s="124"/>
      <c r="G40" s="124"/>
      <c r="H40" s="125"/>
      <c r="I40" s="134">
        <f>+SALARY!G123</f>
        <v>0</v>
      </c>
      <c r="J40" s="129"/>
    </row>
    <row r="41" spans="1:10">
      <c r="A41" s="135"/>
      <c r="B41" s="26"/>
      <c r="C41" s="123" t="str">
        <f>+SALARY!A124</f>
        <v>Interest payable u/s 234 C</v>
      </c>
      <c r="D41" s="124"/>
      <c r="E41" s="124"/>
      <c r="F41" s="124"/>
      <c r="G41" s="124"/>
      <c r="H41" s="125"/>
      <c r="I41" s="134">
        <f>+SALARY!G124</f>
        <v>0</v>
      </c>
      <c r="J41" s="129"/>
    </row>
    <row r="42" spans="1:10">
      <c r="A42" s="135"/>
      <c r="B42" s="26"/>
      <c r="C42" s="126" t="s">
        <v>167</v>
      </c>
      <c r="D42" s="112"/>
      <c r="E42" s="112"/>
      <c r="F42" s="112"/>
      <c r="G42" s="112"/>
      <c r="H42" s="113"/>
      <c r="I42" s="134">
        <f>+SALARY!G120+SALARY!G126</f>
        <v>0</v>
      </c>
      <c r="J42" s="129"/>
    </row>
    <row r="43" spans="1:10">
      <c r="A43" s="135"/>
      <c r="B43" s="26"/>
      <c r="C43" s="136" t="str">
        <f>+SALARY!A127</f>
        <v>Total Tax and Interest Payable</v>
      </c>
      <c r="D43" s="137"/>
      <c r="E43" s="137"/>
      <c r="F43" s="137"/>
      <c r="G43" s="137"/>
      <c r="H43" s="138"/>
      <c r="I43" s="139">
        <f>+SALARY!G127</f>
        <v>0</v>
      </c>
      <c r="J43" s="129"/>
    </row>
    <row r="44" spans="1:10">
      <c r="A44" s="135"/>
      <c r="B44" s="26"/>
      <c r="C44" s="26"/>
      <c r="D44" s="26"/>
      <c r="E44" s="26"/>
      <c r="F44" s="26"/>
      <c r="G44" s="26"/>
      <c r="H44" s="26"/>
      <c r="I44" s="26"/>
      <c r="J44" s="129"/>
    </row>
    <row r="45" spans="1:10">
      <c r="A45" s="135"/>
      <c r="B45" s="26"/>
      <c r="C45" s="26"/>
      <c r="D45" s="26"/>
      <c r="E45" s="26"/>
      <c r="F45" s="26"/>
      <c r="G45" s="26"/>
      <c r="H45" s="26"/>
      <c r="I45" s="26"/>
      <c r="J45" s="129"/>
    </row>
    <row r="46" spans="1:10">
      <c r="A46" s="130"/>
      <c r="B46" s="27"/>
      <c r="C46" s="27"/>
      <c r="D46" s="27"/>
      <c r="E46" s="27"/>
      <c r="F46" s="27"/>
      <c r="G46" s="27"/>
      <c r="H46" s="27"/>
      <c r="I46" s="27"/>
      <c r="J46" s="131"/>
    </row>
  </sheetData>
  <sheetProtection password="CB06" sheet="1" objects="1" scenarios="1"/>
  <mergeCells count="15">
    <mergeCell ref="A1:I1"/>
    <mergeCell ref="A8:G8"/>
    <mergeCell ref="I4:J4"/>
    <mergeCell ref="I5:J5"/>
    <mergeCell ref="I6:J6"/>
    <mergeCell ref="A18:G18"/>
    <mergeCell ref="B4:G4"/>
    <mergeCell ref="B5:G5"/>
    <mergeCell ref="C6:E6"/>
    <mergeCell ref="A6:B6"/>
    <mergeCell ref="C33:H33"/>
    <mergeCell ref="C32:H32"/>
    <mergeCell ref="C34:H34"/>
    <mergeCell ref="C35:H35"/>
    <mergeCell ref="A22:G2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MASTER</vt:lpstr>
      <vt:lpstr>SALARY</vt:lpstr>
      <vt:lpstr>STAEMENT OF INCOME</vt:lpstr>
      <vt:lpstr>MASTER!Print_Area</vt:lpstr>
      <vt:lpstr>SALARY!Print_Area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</dc:creator>
  <cp:lastModifiedBy>Administrator</cp:lastModifiedBy>
  <cp:lastPrinted>2013-12-19T09:24:19Z</cp:lastPrinted>
  <dcterms:created xsi:type="dcterms:W3CDTF">2013-12-10T19:06:15Z</dcterms:created>
  <dcterms:modified xsi:type="dcterms:W3CDTF">2013-12-19T09:24:21Z</dcterms:modified>
</cp:coreProperties>
</file>