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1"/>
  </bookViews>
  <sheets>
    <sheet name="COMPUTATION" sheetId="1" r:id="rId1"/>
    <sheet name="RFA&amp; ALLOWANCES" sheetId="2" r:id="rId2"/>
    <sheet name="GRATUITY" sheetId="3" r:id="rId3"/>
    <sheet name="PENSION&amp; LEAVE ENCASHMENT" sheetId="4" r:id="rId4"/>
    <sheet name="PROVIDENT FUND" sheetId="5" r:id="rId5"/>
  </sheets>
  <calcPr calcId="125725"/>
</workbook>
</file>

<file path=xl/calcChain.xml><?xml version="1.0" encoding="utf-8"?>
<calcChain xmlns="http://schemas.openxmlformats.org/spreadsheetml/2006/main">
  <c r="F30" i="1"/>
  <c r="E30"/>
  <c r="D30"/>
  <c r="F28"/>
  <c r="E28"/>
  <c r="E26"/>
  <c r="H10" i="5"/>
  <c r="I10" s="1"/>
  <c r="H9"/>
  <c r="I9" s="1"/>
  <c r="D29" i="1" s="1"/>
  <c r="E29" s="1"/>
  <c r="H6" i="5"/>
  <c r="D28" i="1"/>
  <c r="J19" i="4"/>
  <c r="L18"/>
  <c r="K18"/>
  <c r="G22" s="1"/>
  <c r="F10"/>
  <c r="D27" i="1" s="1"/>
  <c r="E27" s="1"/>
  <c r="H21" i="3"/>
  <c r="D14"/>
  <c r="H7"/>
  <c r="J17" i="1"/>
  <c r="J29"/>
  <c r="J31" s="1"/>
  <c r="D36" s="1"/>
  <c r="E36" s="1"/>
  <c r="F37" s="1"/>
  <c r="D19"/>
  <c r="E37"/>
  <c r="J18"/>
  <c r="H8" i="3" s="1"/>
  <c r="D22" s="1"/>
  <c r="J25" i="1"/>
  <c r="D23" s="1"/>
  <c r="J24"/>
  <c r="E24" i="2"/>
  <c r="E17"/>
  <c r="J19" i="1"/>
  <c r="I15" i="2" s="1"/>
  <c r="H10"/>
  <c r="I10" s="1"/>
  <c r="H9"/>
  <c r="I9" s="1"/>
  <c r="H8"/>
  <c r="I8" s="1"/>
  <c r="H7"/>
  <c r="I7" s="1"/>
  <c r="H6"/>
  <c r="J5" i="1"/>
  <c r="J6"/>
  <c r="J7"/>
  <c r="E14"/>
  <c r="F14" s="1"/>
  <c r="F29" l="1"/>
  <c r="F27"/>
  <c r="D26"/>
  <c r="F26" s="1"/>
  <c r="J8"/>
  <c r="I24" i="2"/>
  <c r="E23" s="1"/>
  <c r="E25" s="1"/>
  <c r="E16"/>
  <c r="E18" s="1"/>
  <c r="I11"/>
  <c r="D18" i="1" s="1"/>
  <c r="I6" i="2"/>
  <c r="D17" i="1" l="1"/>
  <c r="E19" s="1"/>
  <c r="F19" s="1"/>
  <c r="E29" i="2"/>
  <c r="D22" i="1" s="1"/>
  <c r="E23" s="1"/>
  <c r="F23" s="1"/>
  <c r="F34" l="1"/>
  <c r="F39" s="1"/>
</calcChain>
</file>

<file path=xl/sharedStrings.xml><?xml version="1.0" encoding="utf-8"?>
<sst xmlns="http://schemas.openxmlformats.org/spreadsheetml/2006/main" count="140" uniqueCount="116">
  <si>
    <t>S.NO</t>
  </si>
  <si>
    <t>PARTICULARS</t>
  </si>
  <si>
    <t>AMOUNT(Rs.)</t>
  </si>
  <si>
    <t>SALARY</t>
  </si>
  <si>
    <t>A)Basic Salary</t>
  </si>
  <si>
    <t>C)Annuity</t>
  </si>
  <si>
    <t>D)Bonus</t>
  </si>
  <si>
    <t>E)Commission</t>
  </si>
  <si>
    <t>F)Arrear of Salary</t>
  </si>
  <si>
    <t>G)Advance of Salary</t>
  </si>
  <si>
    <t>ALLOWANCES</t>
  </si>
  <si>
    <t>Calculation of House Rent Allowance</t>
  </si>
  <si>
    <t>S.No.</t>
  </si>
  <si>
    <t>Actual Amount Received</t>
  </si>
  <si>
    <t>Amount</t>
  </si>
  <si>
    <t>Dearness Allowance (IF) Rate</t>
  </si>
  <si>
    <t>H)Dearness Allowance</t>
  </si>
  <si>
    <t>Rent Paid -10%salary</t>
  </si>
  <si>
    <t>50% or 40% salary</t>
  </si>
  <si>
    <t>Provide informaton</t>
  </si>
  <si>
    <t>Rent Paid(Annual)</t>
  </si>
  <si>
    <t>Place Of Accomodation(Select 1 or 2)</t>
  </si>
  <si>
    <t>(1 in case residing in Mumbai, Chennai</t>
  </si>
  <si>
    <t xml:space="preserve">Delhi or Calcutta &amp; 2 in case residing </t>
  </si>
  <si>
    <t>in other place)</t>
  </si>
  <si>
    <t>Particulars</t>
  </si>
  <si>
    <t xml:space="preserve">Deduction Amount </t>
  </si>
  <si>
    <t>Amount Received</t>
  </si>
  <si>
    <t xml:space="preserve">         Allowances which are Exempt to certain limit</t>
  </si>
  <si>
    <t>Number of children</t>
  </si>
  <si>
    <t>Children Educational Allowance</t>
  </si>
  <si>
    <t xml:space="preserve"> </t>
  </si>
  <si>
    <t>Hostel Expenditure Allowance</t>
  </si>
  <si>
    <t>Taxable Income</t>
  </si>
  <si>
    <t>After deduction</t>
  </si>
  <si>
    <t>Taxable Amount</t>
  </si>
  <si>
    <t>Tribal Area Allowance</t>
  </si>
  <si>
    <t>Transport Allowance</t>
  </si>
  <si>
    <t>Under Ground Allowance</t>
  </si>
  <si>
    <t>TOTAL TAXABLE INCOME</t>
  </si>
  <si>
    <t>A)H.R.A(House Rent Allowance)</t>
  </si>
  <si>
    <t>B)ALLOWANCE TAXABLE TO LIMIT(AS PER DETAILS)</t>
  </si>
  <si>
    <t>C)ENTERTAINMENT ALLOWANCE</t>
  </si>
  <si>
    <t>PERQUISITES</t>
  </si>
  <si>
    <t>R.F.A(Rent Free Accomodation)</t>
  </si>
  <si>
    <t>Salary R.F.A</t>
  </si>
  <si>
    <t>Select 1 in case residing in city where population exceeds 25 lakhs</t>
  </si>
  <si>
    <t>Select 2 in case residing in city where population exceeds 10 lakhs</t>
  </si>
  <si>
    <t>Select in case residing in city where population is below 10 lakhs</t>
  </si>
  <si>
    <t>HRA</t>
  </si>
  <si>
    <t>Furniture Cost</t>
  </si>
  <si>
    <t>IN CASE OF LEASE</t>
  </si>
  <si>
    <t>Type of accomodation 1 or 2(please fill)</t>
  </si>
  <si>
    <t>Salary(DON’T FILL)</t>
  </si>
  <si>
    <t>Select 1,2 or 3(PLEASE FILL)</t>
  </si>
  <si>
    <t>Furniture Cost(PLEASE FILL)</t>
  </si>
  <si>
    <t>15% OF SALARY(DON’T FILL)</t>
  </si>
  <si>
    <t>TOTAL</t>
  </si>
  <si>
    <t>R.F.A</t>
  </si>
  <si>
    <t>Rent Free Accomodation In case Accomodation owned by Owner(1)</t>
  </si>
  <si>
    <t>Rent Free Accomodation In case Accomodation is taken on lease or rent(2)</t>
  </si>
  <si>
    <t xml:space="preserve">R.F.A TAXABLE AMOUNT </t>
  </si>
  <si>
    <t>Gift Received</t>
  </si>
  <si>
    <t>Gift Amount Received</t>
  </si>
  <si>
    <t xml:space="preserve">Deduction </t>
  </si>
  <si>
    <t>Total</t>
  </si>
  <si>
    <t>CALCULATION OF GRATUITY</t>
  </si>
  <si>
    <t>Select 2 for other employees</t>
  </si>
  <si>
    <t>If Employees are covered under Gratuity Act</t>
  </si>
  <si>
    <t>Particular</t>
  </si>
  <si>
    <t>15/26*salary*No. of year Worked</t>
  </si>
  <si>
    <t>Number of Year worked (Please Fill)</t>
  </si>
  <si>
    <t>Calculation of Salary</t>
  </si>
  <si>
    <t>Salary Gratuity</t>
  </si>
  <si>
    <t>Whether Received Gratuity 1 if Yes 2 if No</t>
  </si>
  <si>
    <t>Gratuity(As per the Details)</t>
  </si>
  <si>
    <t>Select 1 if covered under Gratuity Act</t>
  </si>
  <si>
    <t>GROSS INCOME</t>
  </si>
  <si>
    <t>LESS:-DEDUCTIONS</t>
  </si>
  <si>
    <t>ENTERTAINMENT ALLOWANCE U/S 16(ii)</t>
  </si>
  <si>
    <t>EMPLOYMENT TAX U/S 16(iii)</t>
  </si>
  <si>
    <t>NET INCOME</t>
  </si>
  <si>
    <t>Actual Amount</t>
  </si>
  <si>
    <t>20% salary</t>
  </si>
  <si>
    <t>Employee Status 1 for Govt 2 other cases</t>
  </si>
  <si>
    <t>Deduction</t>
  </si>
  <si>
    <t>RENT OR LEASE AMOUNT</t>
  </si>
  <si>
    <t>If Employees are not covered under Gratuity Act</t>
  </si>
  <si>
    <t>15/30*avg 10 month salary*No. of year Worked</t>
  </si>
  <si>
    <t>Calculation of Average Salary</t>
  </si>
  <si>
    <t>Average Salary Gratuity</t>
  </si>
  <si>
    <t>ENTERTAINMENT COMPUTATION</t>
  </si>
  <si>
    <t>EMPLOYEE STATUS 1 IN CASE GOVERNMENT EMPLOYEE 2 INCASE OTHER EMPLOYEE</t>
  </si>
  <si>
    <t>PENSION STATUS 1 IN CASE COMMUTED 2 IN CASE UN COMMUTED</t>
  </si>
  <si>
    <t>1 IN CASE WHETHER GRATUITY ACT IS APPLIED OTHERWISE 2</t>
  </si>
  <si>
    <t>COMMUTED PERCENTAGE</t>
  </si>
  <si>
    <t>TAXABLE AMOUNT</t>
  </si>
  <si>
    <t>COMMUTED PENSION</t>
  </si>
  <si>
    <t>CALCULATION OF COMPUTED PENSION</t>
  </si>
  <si>
    <t>B)Uncommuted Pension</t>
  </si>
  <si>
    <t>Commuted Pension(As per the Details)</t>
  </si>
  <si>
    <t>CALCULATION OF LEAVE SALARY</t>
  </si>
  <si>
    <t>ACTUAL AMOUNT RECEIVED</t>
  </si>
  <si>
    <t>AVERAGE SALARY FOR 10 MONTHS</t>
  </si>
  <si>
    <t>BALANCE LEAVE CALCULATED ON THE BASIS OF 30 DAYS</t>
  </si>
  <si>
    <t>Leave Encashment(As per the Details)</t>
  </si>
  <si>
    <t xml:space="preserve">  </t>
  </si>
  <si>
    <t>CALCULATION OF PROVIDENT FUND</t>
  </si>
  <si>
    <t>SELECT 1 IN CASE PPF , 2 INCASE RPF OR 3 IN CASE URPF</t>
  </si>
  <si>
    <t>FUND AMOUNT</t>
  </si>
  <si>
    <t>INTEREST</t>
  </si>
  <si>
    <t>INTEREST TAXABLE</t>
  </si>
  <si>
    <t>Provident Fund(As per the Details)</t>
  </si>
  <si>
    <t>Interest on P.F(As per the Details)</t>
  </si>
  <si>
    <t>Calculation of income from Salary</t>
  </si>
  <si>
    <t>ss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</si>
</sst>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3" borderId="3" xfId="0" applyFill="1" applyBorder="1"/>
    <xf numFmtId="0" fontId="0" fillId="0" borderId="7" xfId="0" applyBorder="1"/>
    <xf numFmtId="0" fontId="0" fillId="0" borderId="3" xfId="0" applyFill="1" applyBorder="1"/>
    <xf numFmtId="0" fontId="0" fillId="0" borderId="9" xfId="0" applyBorder="1"/>
    <xf numFmtId="0" fontId="0" fillId="0" borderId="8" xfId="0" applyBorder="1"/>
    <xf numFmtId="0" fontId="0" fillId="0" borderId="11" xfId="0" applyBorder="1"/>
    <xf numFmtId="0" fontId="0" fillId="0" borderId="10" xfId="0" applyBorder="1"/>
    <xf numFmtId="0" fontId="2" fillId="0" borderId="10" xfId="0" applyFont="1" applyBorder="1"/>
    <xf numFmtId="0" fontId="0" fillId="0" borderId="12" xfId="0" applyBorder="1"/>
    <xf numFmtId="0" fontId="0" fillId="3" borderId="4" xfId="0" applyFill="1" applyBorder="1"/>
    <xf numFmtId="0" fontId="0" fillId="3" borderId="6" xfId="0" applyFill="1" applyBorder="1"/>
    <xf numFmtId="0" fontId="0" fillId="0" borderId="13" xfId="0" applyBorder="1"/>
    <xf numFmtId="0" fontId="6" fillId="0" borderId="0" xfId="0" applyFont="1" applyBorder="1"/>
    <xf numFmtId="0" fontId="0" fillId="0" borderId="14" xfId="0" applyBorder="1"/>
    <xf numFmtId="0" fontId="0" fillId="0" borderId="15" xfId="0" applyBorder="1"/>
    <xf numFmtId="0" fontId="2" fillId="3" borderId="15" xfId="0" applyFont="1" applyFill="1" applyBorder="1"/>
    <xf numFmtId="0" fontId="0" fillId="3" borderId="15" xfId="0" applyFill="1" applyBorder="1"/>
    <xf numFmtId="0" fontId="0" fillId="3" borderId="2" xfId="0" applyFill="1" applyBorder="1"/>
    <xf numFmtId="0" fontId="7" fillId="3" borderId="14" xfId="0" applyFont="1" applyFill="1" applyBorder="1"/>
    <xf numFmtId="0" fontId="2" fillId="0" borderId="9" xfId="0" applyFont="1" applyFill="1" applyBorder="1"/>
    <xf numFmtId="0" fontId="4" fillId="3" borderId="15" xfId="0" applyFont="1" applyFill="1" applyBorder="1"/>
    <xf numFmtId="0" fontId="0" fillId="3" borderId="0" xfId="0" applyFill="1"/>
    <xf numFmtId="0" fontId="5" fillId="3" borderId="0" xfId="0" applyFont="1" applyFill="1" applyAlignment="1">
      <alignment horizontal="center"/>
    </xf>
    <xf numFmtId="0" fontId="0" fillId="3" borderId="5" xfId="0" applyFill="1" applyBorder="1"/>
    <xf numFmtId="0" fontId="2" fillId="3" borderId="6" xfId="0" applyFont="1" applyFill="1" applyBorder="1"/>
    <xf numFmtId="0" fontId="2" fillId="3" borderId="10" xfId="0" applyFont="1" applyFill="1" applyBorder="1"/>
    <xf numFmtId="0" fontId="0" fillId="0" borderId="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/>
    <xf numFmtId="0" fontId="0" fillId="0" borderId="3" xfId="0" applyBorder="1" applyProtection="1"/>
    <xf numFmtId="0" fontId="0" fillId="0" borderId="10" xfId="0" applyBorder="1" applyProtection="1"/>
    <xf numFmtId="0" fontId="2" fillId="3" borderId="12" xfId="0" applyFont="1" applyFill="1" applyBorder="1" applyProtection="1">
      <protection locked="0"/>
    </xf>
    <xf numFmtId="0" fontId="0" fillId="0" borderId="6" xfId="0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7" xfId="0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0" fillId="3" borderId="1" xfId="0" applyFill="1" applyBorder="1"/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Protection="1">
      <protection locked="0"/>
    </xf>
    <xf numFmtId="0" fontId="2" fillId="0" borderId="7" xfId="0" applyFont="1" applyBorder="1" applyProtection="1">
      <protection locked="0"/>
    </xf>
    <xf numFmtId="0" fontId="2" fillId="2" borderId="9" xfId="0" applyFont="1" applyFill="1" applyBorder="1"/>
    <xf numFmtId="0" fontId="2" fillId="3" borderId="0" xfId="0" applyFont="1" applyFill="1" applyProtection="1">
      <protection locked="0"/>
    </xf>
    <xf numFmtId="0" fontId="2" fillId="3" borderId="4" xfId="0" applyFont="1" applyFill="1" applyBorder="1" applyProtection="1">
      <protection locked="0"/>
    </xf>
    <xf numFmtId="0" fontId="0" fillId="3" borderId="12" xfId="0" applyFill="1" applyBorder="1"/>
    <xf numFmtId="0" fontId="0" fillId="3" borderId="10" xfId="0" applyFill="1" applyBorder="1"/>
    <xf numFmtId="0" fontId="5" fillId="6" borderId="14" xfId="0" applyFont="1" applyFill="1" applyBorder="1"/>
    <xf numFmtId="0" fontId="5" fillId="6" borderId="15" xfId="0" applyFont="1" applyFill="1" applyBorder="1"/>
    <xf numFmtId="0" fontId="0" fillId="6" borderId="2" xfId="0" applyFill="1" applyBorder="1"/>
    <xf numFmtId="0" fontId="5" fillId="6" borderId="8" xfId="0" applyFont="1" applyFill="1" applyBorder="1"/>
    <xf numFmtId="0" fontId="5" fillId="6" borderId="1" xfId="0" applyFont="1" applyFill="1" applyBorder="1"/>
    <xf numFmtId="0" fontId="0" fillId="6" borderId="11" xfId="0" applyFill="1" applyBorder="1"/>
    <xf numFmtId="0" fontId="0" fillId="0" borderId="0" xfId="0" applyAlignment="1">
      <alignment horizontal="left"/>
    </xf>
    <xf numFmtId="0" fontId="5" fillId="6" borderId="12" xfId="0" applyFont="1" applyFill="1" applyBorder="1"/>
    <xf numFmtId="0" fontId="5" fillId="6" borderId="9" xfId="0" applyFont="1" applyFill="1" applyBorder="1"/>
    <xf numFmtId="0" fontId="0" fillId="6" borderId="10" xfId="0" applyFill="1" applyBorder="1"/>
    <xf numFmtId="0" fontId="0" fillId="6" borderId="9" xfId="0" applyFill="1" applyBorder="1"/>
    <xf numFmtId="0" fontId="0" fillId="3" borderId="0" xfId="0" applyFill="1" applyBorder="1"/>
    <xf numFmtId="0" fontId="0" fillId="0" borderId="0" xfId="0" applyBorder="1" applyAlignment="1">
      <alignment horizontal="right"/>
    </xf>
    <xf numFmtId="164" fontId="0" fillId="0" borderId="1" xfId="1" applyNumberFormat="1" applyFont="1" applyBorder="1" applyAlignment="1">
      <alignment horizontal="left"/>
    </xf>
    <xf numFmtId="164" fontId="0" fillId="0" borderId="7" xfId="1" applyNumberFormat="1" applyFont="1" applyBorder="1" applyAlignment="1">
      <alignment horizontal="left"/>
    </xf>
    <xf numFmtId="0" fontId="2" fillId="3" borderId="9" xfId="0" applyFont="1" applyFill="1" applyBorder="1"/>
    <xf numFmtId="0" fontId="2" fillId="3" borderId="4" xfId="0" applyFont="1" applyFill="1" applyBorder="1"/>
    <xf numFmtId="0" fontId="2" fillId="3" borderId="7" xfId="0" applyFont="1" applyFill="1" applyBorder="1"/>
    <xf numFmtId="0" fontId="3" fillId="3" borderId="0" xfId="0" applyFont="1" applyFill="1" applyBorder="1"/>
    <xf numFmtId="0" fontId="0" fillId="0" borderId="0" xfId="0" applyBorder="1" applyProtection="1">
      <protection locked="0"/>
    </xf>
    <xf numFmtId="0" fontId="7" fillId="3" borderId="0" xfId="0" applyFont="1" applyFill="1" applyBorder="1"/>
    <xf numFmtId="0" fontId="0" fillId="5" borderId="12" xfId="0" applyFill="1" applyBorder="1"/>
    <xf numFmtId="0" fontId="0" fillId="5" borderId="9" xfId="0" applyFill="1" applyBorder="1"/>
    <xf numFmtId="0" fontId="0" fillId="4" borderId="12" xfId="0" applyFill="1" applyBorder="1"/>
    <xf numFmtId="0" fontId="0" fillId="4" borderId="9" xfId="0" applyFill="1" applyBorder="1"/>
    <xf numFmtId="0" fontId="0" fillId="5" borderId="9" xfId="0" applyFill="1" applyBorder="1" applyAlignment="1">
      <alignment horizontal="center"/>
    </xf>
    <xf numFmtId="0" fontId="8" fillId="0" borderId="3" xfId="0" applyFont="1" applyBorder="1"/>
    <xf numFmtId="0" fontId="2" fillId="3" borderId="3" xfId="0" applyFont="1" applyFill="1" applyBorder="1"/>
    <xf numFmtId="0" fontId="0" fillId="3" borderId="9" xfId="0" applyFill="1" applyBorder="1"/>
    <xf numFmtId="0" fontId="0" fillId="0" borderId="4" xfId="0" applyBorder="1" applyProtection="1"/>
    <xf numFmtId="43" fontId="0" fillId="0" borderId="3" xfId="1" applyFont="1" applyBorder="1"/>
    <xf numFmtId="43" fontId="0" fillId="0" borderId="3" xfId="1" applyFont="1" applyBorder="1" applyProtection="1">
      <protection locked="0"/>
    </xf>
    <xf numFmtId="43" fontId="0" fillId="0" borderId="7" xfId="1" applyFont="1" applyBorder="1"/>
    <xf numFmtId="43" fontId="0" fillId="0" borderId="4" xfId="1" applyFont="1" applyBorder="1"/>
    <xf numFmtId="43" fontId="0" fillId="0" borderId="16" xfId="1" applyFont="1" applyBorder="1"/>
    <xf numFmtId="43" fontId="0" fillId="0" borderId="10" xfId="1" applyFont="1" applyBorder="1"/>
    <xf numFmtId="43" fontId="0" fillId="0" borderId="6" xfId="1" applyFont="1" applyBorder="1"/>
    <xf numFmtId="0" fontId="2" fillId="3" borderId="0" xfId="0" applyFont="1" applyFill="1"/>
    <xf numFmtId="43" fontId="0" fillId="0" borderId="6" xfId="0" applyNumberFormat="1" applyBorder="1"/>
    <xf numFmtId="0" fontId="0" fillId="4" borderId="6" xfId="0" applyFill="1" applyBorder="1" applyProtection="1">
      <protection locked="0"/>
    </xf>
    <xf numFmtId="164" fontId="0" fillId="0" borderId="7" xfId="1" applyNumberFormat="1" applyFont="1" applyBorder="1" applyAlignment="1" applyProtection="1">
      <alignment horizontal="left"/>
    </xf>
    <xf numFmtId="0" fontId="0" fillId="0" borderId="13" xfId="0" applyBorder="1" applyProtection="1"/>
    <xf numFmtId="0" fontId="0" fillId="0" borderId="0" xfId="0" applyBorder="1" applyProtection="1"/>
    <xf numFmtId="0" fontId="5" fillId="3" borderId="0" xfId="0" applyFont="1" applyFill="1" applyBorder="1" applyProtection="1"/>
    <xf numFmtId="0" fontId="0" fillId="3" borderId="0" xfId="0" applyFill="1" applyBorder="1" applyProtection="1"/>
    <xf numFmtId="0" fontId="0" fillId="3" borderId="12" xfId="0" applyFill="1" applyBorder="1" applyProtection="1"/>
    <xf numFmtId="0" fontId="0" fillId="3" borderId="9" xfId="0" applyFill="1" applyBorder="1" applyProtection="1"/>
    <xf numFmtId="0" fontId="0" fillId="3" borderId="10" xfId="0" applyFill="1" applyBorder="1" applyProtection="1"/>
    <xf numFmtId="0" fontId="0" fillId="5" borderId="12" xfId="0" applyFill="1" applyBorder="1" applyProtection="1"/>
    <xf numFmtId="0" fontId="0" fillId="5" borderId="10" xfId="0" applyFill="1" applyBorder="1" applyProtection="1"/>
    <xf numFmtId="0" fontId="0" fillId="0" borderId="6" xfId="0" applyBorder="1" applyProtection="1"/>
    <xf numFmtId="0" fontId="0" fillId="0" borderId="8" xfId="0" applyBorder="1" applyProtection="1"/>
    <xf numFmtId="0" fontId="0" fillId="0" borderId="1" xfId="0" applyBorder="1" applyProtection="1"/>
    <xf numFmtId="0" fontId="0" fillId="0" borderId="0" xfId="0" applyProtection="1"/>
    <xf numFmtId="0" fontId="0" fillId="0" borderId="14" xfId="0" applyBorder="1" applyProtection="1"/>
    <xf numFmtId="0" fontId="0" fillId="0" borderId="15" xfId="0" applyBorder="1" applyProtection="1"/>
    <xf numFmtId="0" fontId="0" fillId="3" borderId="8" xfId="0" applyFill="1" applyBorder="1" applyProtection="1"/>
    <xf numFmtId="0" fontId="0" fillId="3" borderId="1" xfId="0" applyFill="1" applyBorder="1" applyProtection="1"/>
    <xf numFmtId="0" fontId="0" fillId="3" borderId="11" xfId="0" applyFill="1" applyBorder="1" applyProtection="1"/>
    <xf numFmtId="0" fontId="0" fillId="2" borderId="9" xfId="0" applyFill="1" applyBorder="1" applyProtection="1"/>
    <xf numFmtId="0" fontId="0" fillId="7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Border="1" applyProtection="1">
      <protection locked="0"/>
    </xf>
    <xf numFmtId="0" fontId="3" fillId="3" borderId="0" xfId="0" applyFont="1" applyFill="1" applyBorder="1" applyProtection="1"/>
    <xf numFmtId="0" fontId="0" fillId="2" borderId="12" xfId="0" applyFill="1" applyBorder="1" applyProtection="1"/>
    <xf numFmtId="0" fontId="0" fillId="2" borderId="10" xfId="0" applyFill="1" applyBorder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41"/>
  <sheetViews>
    <sheetView topLeftCell="A10" workbookViewId="0">
      <selection activeCell="J12" sqref="J12"/>
    </sheetView>
  </sheetViews>
  <sheetFormatPr defaultRowHeight="15"/>
  <cols>
    <col min="2" max="2" width="27.28515625" bestFit="1" customWidth="1"/>
    <col min="3" max="3" width="50.5703125" bestFit="1" customWidth="1"/>
    <col min="4" max="5" width="12.5703125" bestFit="1" customWidth="1"/>
    <col min="6" max="6" width="13.42578125" bestFit="1" customWidth="1"/>
    <col min="8" max="8" width="5.7109375" bestFit="1" customWidth="1"/>
    <col min="9" max="9" width="34.28515625" bestFit="1" customWidth="1"/>
  </cols>
  <sheetData>
    <row r="1" spans="1:10">
      <c r="C1" t="s">
        <v>114</v>
      </c>
    </row>
    <row r="2" spans="1:10">
      <c r="B2" s="29" t="s">
        <v>84</v>
      </c>
      <c r="C2" s="48">
        <v>1</v>
      </c>
    </row>
    <row r="3" spans="1:10" ht="15.75" thickBot="1">
      <c r="B3" s="29" t="s">
        <v>15</v>
      </c>
      <c r="C3" s="48">
        <v>50</v>
      </c>
      <c r="H3" s="1"/>
      <c r="I3" s="1"/>
      <c r="J3" s="1"/>
    </row>
    <row r="4" spans="1:10" ht="15.75" thickBot="1">
      <c r="A4" s="6"/>
      <c r="B4" s="1"/>
      <c r="C4" s="1"/>
      <c r="D4" s="1"/>
      <c r="E4" s="1"/>
      <c r="F4" s="1"/>
      <c r="G4" s="3"/>
      <c r="H4" s="7" t="s">
        <v>12</v>
      </c>
      <c r="I4" s="7" t="s">
        <v>11</v>
      </c>
      <c r="J4" s="7" t="s">
        <v>14</v>
      </c>
    </row>
    <row r="5" spans="1:10" ht="15.75" thickBot="1">
      <c r="B5" s="7" t="s">
        <v>0</v>
      </c>
      <c r="C5" s="7" t="s">
        <v>1</v>
      </c>
      <c r="D5" s="7"/>
      <c r="E5" s="7"/>
      <c r="F5" s="7" t="s">
        <v>2</v>
      </c>
      <c r="G5" s="4"/>
      <c r="H5" s="4">
        <v>1</v>
      </c>
      <c r="I5" s="4" t="s">
        <v>13</v>
      </c>
      <c r="J5" s="86">
        <f>J15</f>
        <v>10000</v>
      </c>
    </row>
    <row r="6" spans="1:10">
      <c r="A6" s="4"/>
      <c r="B6" s="3">
        <v>1</v>
      </c>
      <c r="C6" s="8" t="s">
        <v>3</v>
      </c>
      <c r="D6" s="87"/>
      <c r="E6" s="87"/>
      <c r="F6" s="87"/>
      <c r="G6" s="4"/>
      <c r="H6" s="4">
        <v>2</v>
      </c>
      <c r="I6" s="4" t="s">
        <v>17</v>
      </c>
      <c r="J6" s="4">
        <f>IF(J10=0, 0, J10-0.1*(D7+D14*C3/100))</f>
        <v>0</v>
      </c>
    </row>
    <row r="7" spans="1:10" ht="15.75" thickBot="1">
      <c r="A7" s="4"/>
      <c r="B7" s="3"/>
      <c r="C7" s="3" t="s">
        <v>4</v>
      </c>
      <c r="D7" s="88">
        <v>400000</v>
      </c>
      <c r="E7" s="87"/>
      <c r="F7" s="87"/>
      <c r="G7" s="4"/>
      <c r="H7" s="9">
        <v>3</v>
      </c>
      <c r="I7" s="9" t="s">
        <v>18</v>
      </c>
      <c r="J7" s="9">
        <f>IF(J11=1, 0.5*(D7+D14*C3/100), 0.4*(D7+D14*C3/100))</f>
        <v>205000</v>
      </c>
    </row>
    <row r="8" spans="1:10" ht="15.75" thickBot="1">
      <c r="A8" s="4"/>
      <c r="B8" s="3"/>
      <c r="C8" s="3" t="s">
        <v>99</v>
      </c>
      <c r="D8" s="88">
        <v>0</v>
      </c>
      <c r="E8" s="87"/>
      <c r="F8" s="87"/>
      <c r="G8" s="4"/>
      <c r="H8" s="7">
        <v>4</v>
      </c>
      <c r="I8" s="18" t="s">
        <v>33</v>
      </c>
      <c r="J8" s="18">
        <f>J15-MIN(J5:J7)</f>
        <v>10000</v>
      </c>
    </row>
    <row r="9" spans="1:10" ht="15.75" thickBot="1">
      <c r="A9" s="4"/>
      <c r="B9" s="3"/>
      <c r="C9" s="3" t="s">
        <v>5</v>
      </c>
      <c r="D9" s="88">
        <v>0</v>
      </c>
      <c r="E9" s="87"/>
      <c r="F9" s="87"/>
      <c r="G9" s="4"/>
      <c r="H9" s="7"/>
      <c r="I9" s="52" t="s">
        <v>19</v>
      </c>
      <c r="J9" s="14"/>
    </row>
    <row r="10" spans="1:10" ht="15.75" thickBot="1">
      <c r="A10" s="4"/>
      <c r="B10" s="3"/>
      <c r="C10" s="3" t="s">
        <v>6</v>
      </c>
      <c r="D10" s="88">
        <v>5000</v>
      </c>
      <c r="E10" s="87"/>
      <c r="F10" s="87"/>
      <c r="G10" s="4"/>
      <c r="H10" s="35"/>
      <c r="I10" s="53" t="s">
        <v>20</v>
      </c>
      <c r="J10" s="40">
        <v>0</v>
      </c>
    </row>
    <row r="11" spans="1:10" ht="15.75" thickBot="1">
      <c r="A11" s="4"/>
      <c r="B11" s="3"/>
      <c r="C11" s="3" t="s">
        <v>7</v>
      </c>
      <c r="D11" s="88">
        <v>5000</v>
      </c>
      <c r="E11" s="87"/>
      <c r="F11" s="87"/>
      <c r="G11" s="4"/>
      <c r="H11" s="35"/>
      <c r="I11" s="54" t="s">
        <v>21</v>
      </c>
      <c r="J11" s="47">
        <v>1</v>
      </c>
    </row>
    <row r="12" spans="1:10">
      <c r="A12" s="4"/>
      <c r="B12" s="3"/>
      <c r="C12" s="3" t="s">
        <v>8</v>
      </c>
      <c r="D12" s="88">
        <v>0</v>
      </c>
      <c r="E12" s="87"/>
      <c r="F12" s="87"/>
      <c r="G12" s="4"/>
      <c r="H12" s="35"/>
      <c r="I12" s="48" t="s">
        <v>22</v>
      </c>
      <c r="J12" s="49"/>
    </row>
    <row r="13" spans="1:10">
      <c r="A13" s="4"/>
      <c r="B13" s="3"/>
      <c r="C13" s="3" t="s">
        <v>9</v>
      </c>
      <c r="D13" s="88">
        <v>0</v>
      </c>
      <c r="E13" s="87"/>
      <c r="F13" s="87"/>
      <c r="G13" s="4"/>
      <c r="H13" s="35"/>
      <c r="I13" s="48" t="s">
        <v>23</v>
      </c>
      <c r="J13" s="49"/>
    </row>
    <row r="14" spans="1:10" ht="15.75" thickBot="1">
      <c r="A14" s="4"/>
      <c r="B14" s="3"/>
      <c r="C14" s="10" t="s">
        <v>16</v>
      </c>
      <c r="D14" s="88">
        <v>20000</v>
      </c>
      <c r="E14" s="89">
        <f>SUM(D7:D14)</f>
        <v>430000</v>
      </c>
      <c r="F14" s="89">
        <f>SUM(E7:E14)</f>
        <v>430000</v>
      </c>
      <c r="G14" s="4"/>
      <c r="H14" s="35"/>
      <c r="I14" s="48" t="s">
        <v>24</v>
      </c>
      <c r="J14" s="50"/>
    </row>
    <row r="15" spans="1:10" ht="15.75" thickBot="1">
      <c r="A15" s="4"/>
      <c r="B15" s="3"/>
      <c r="C15" s="3"/>
      <c r="D15" s="87"/>
      <c r="E15" s="87"/>
      <c r="F15" s="87"/>
      <c r="G15" s="4"/>
      <c r="H15" s="44"/>
      <c r="I15" s="51" t="s">
        <v>13</v>
      </c>
      <c r="J15" s="50">
        <v>10000</v>
      </c>
    </row>
    <row r="16" spans="1:10">
      <c r="A16" s="4"/>
      <c r="B16" s="3">
        <v>2</v>
      </c>
      <c r="C16" s="8" t="s">
        <v>10</v>
      </c>
      <c r="D16" s="87"/>
      <c r="E16" s="87"/>
      <c r="F16" s="87"/>
    </row>
    <row r="17" spans="1:10 16382:16382">
      <c r="A17" s="4"/>
      <c r="B17" s="3"/>
      <c r="C17" s="3" t="s">
        <v>40</v>
      </c>
      <c r="D17" s="90">
        <f>J8</f>
        <v>10000</v>
      </c>
      <c r="E17" s="87"/>
      <c r="F17" s="87"/>
      <c r="H17" s="6"/>
      <c r="I17" s="68" t="s">
        <v>90</v>
      </c>
      <c r="J17" s="6">
        <f>(D7+D14*C3/100+D11)/12*10</f>
        <v>345833.33333333337</v>
      </c>
    </row>
    <row r="18" spans="1:10 16382:16382">
      <c r="A18" s="4"/>
      <c r="B18" s="3"/>
      <c r="C18" s="3" t="s">
        <v>41</v>
      </c>
      <c r="D18" s="90">
        <f>'RFA&amp; ALLOWANCES'!I11</f>
        <v>90800</v>
      </c>
      <c r="E18" s="87"/>
      <c r="F18" s="87"/>
      <c r="G18" s="19"/>
      <c r="H18" s="6"/>
      <c r="I18" s="68" t="s">
        <v>73</v>
      </c>
      <c r="J18" s="6">
        <f>D7+D14*C3/100+D11</f>
        <v>415000</v>
      </c>
    </row>
    <row r="19" spans="1:10 16382:16382">
      <c r="A19" s="4"/>
      <c r="B19" s="3"/>
      <c r="C19" s="3" t="s">
        <v>42</v>
      </c>
      <c r="D19" s="87">
        <f>J28</f>
        <v>20000</v>
      </c>
      <c r="E19" s="87">
        <f>SUM(D17:D19)</f>
        <v>120800</v>
      </c>
      <c r="F19" s="87">
        <f>E19</f>
        <v>120800</v>
      </c>
      <c r="G19" s="19"/>
      <c r="H19" s="6"/>
      <c r="I19" s="29" t="s">
        <v>45</v>
      </c>
      <c r="J19" s="6">
        <f>D7+D11+(D14)*C3/100+D10</f>
        <v>420000</v>
      </c>
    </row>
    <row r="20" spans="1:10 16382:16382" ht="15.75" thickBot="1">
      <c r="A20" s="4"/>
      <c r="B20" s="3"/>
      <c r="C20" s="3"/>
      <c r="D20" s="87"/>
      <c r="E20" s="87"/>
      <c r="F20" s="87"/>
      <c r="G20" s="19"/>
      <c r="H20" s="6"/>
      <c r="I20" s="6"/>
      <c r="J20" s="6"/>
    </row>
    <row r="21" spans="1:10 16382:16382" ht="15.75" thickBot="1">
      <c r="A21" s="4"/>
      <c r="B21" s="3">
        <v>3</v>
      </c>
      <c r="C21" s="8" t="s">
        <v>43</v>
      </c>
      <c r="D21" s="87"/>
      <c r="E21" s="87"/>
      <c r="F21" s="87"/>
      <c r="G21" s="19"/>
      <c r="H21" s="18" t="s">
        <v>12</v>
      </c>
      <c r="I21" s="55" t="s">
        <v>25</v>
      </c>
      <c r="J21" s="18" t="s">
        <v>14</v>
      </c>
    </row>
    <row r="22" spans="1:10 16382:16382">
      <c r="A22" s="4"/>
      <c r="B22" s="3"/>
      <c r="C22" s="3" t="s">
        <v>44</v>
      </c>
      <c r="D22" s="87">
        <f>'RFA&amp; ALLOWANCES'!E29</f>
        <v>0</v>
      </c>
      <c r="E22" s="87"/>
      <c r="F22" s="87"/>
      <c r="G22" s="4"/>
      <c r="H22" s="31">
        <v>1</v>
      </c>
      <c r="I22" t="s">
        <v>63</v>
      </c>
      <c r="J22" s="35">
        <v>0</v>
      </c>
      <c r="XFB22" t="s">
        <v>31</v>
      </c>
    </row>
    <row r="23" spans="1:10 16382:16382">
      <c r="A23" s="4"/>
      <c r="B23" s="3"/>
      <c r="C23" s="3" t="s">
        <v>62</v>
      </c>
      <c r="D23" s="87">
        <f>J25</f>
        <v>0</v>
      </c>
      <c r="E23" s="87">
        <f>SUM(D22:D24)</f>
        <v>0</v>
      </c>
      <c r="F23" s="87">
        <f>E23</f>
        <v>0</v>
      </c>
      <c r="G23" s="4"/>
      <c r="H23" s="17">
        <v>2</v>
      </c>
      <c r="I23" t="s">
        <v>64</v>
      </c>
      <c r="J23" s="4">
        <v>-5000</v>
      </c>
    </row>
    <row r="24" spans="1:10 16382:16382" ht="15.75" thickBot="1">
      <c r="A24" s="4"/>
      <c r="B24" s="3"/>
      <c r="C24" s="3"/>
      <c r="D24" s="87"/>
      <c r="E24" s="87"/>
      <c r="F24" s="87"/>
      <c r="G24" s="4"/>
      <c r="H24" s="17"/>
      <c r="I24" t="s">
        <v>65</v>
      </c>
      <c r="J24" s="9">
        <f>SUM(J22:J23)</f>
        <v>-5000</v>
      </c>
    </row>
    <row r="25" spans="1:10 16382:16382" ht="15.75" thickBot="1">
      <c r="A25" s="4"/>
      <c r="B25" s="3"/>
      <c r="C25" s="3"/>
      <c r="D25" s="87"/>
      <c r="E25" s="87"/>
      <c r="F25" s="87"/>
      <c r="G25" s="4"/>
      <c r="H25" s="18"/>
      <c r="I25" s="18" t="s">
        <v>33</v>
      </c>
      <c r="J25" s="56">
        <f>IF(J24&lt;0, 0, J24)</f>
        <v>0</v>
      </c>
    </row>
    <row r="26" spans="1:10 16382:16382" ht="15.75" thickBot="1">
      <c r="A26" s="4"/>
      <c r="B26" s="3">
        <v>4</v>
      </c>
      <c r="C26" s="8" t="s">
        <v>75</v>
      </c>
      <c r="D26" s="87">
        <f>GRATUITY!H21</f>
        <v>0</v>
      </c>
      <c r="E26" s="87">
        <f>D26</f>
        <v>0</v>
      </c>
      <c r="F26" s="87">
        <f>E26</f>
        <v>0</v>
      </c>
      <c r="I26" s="94" t="s">
        <v>91</v>
      </c>
    </row>
    <row r="27" spans="1:10 16382:16382" ht="15.75" thickBot="1">
      <c r="A27" s="4"/>
      <c r="B27" s="3">
        <v>5</v>
      </c>
      <c r="C27" s="8" t="s">
        <v>100</v>
      </c>
      <c r="D27" s="87">
        <f>'PENSION&amp; LEAVE ENCASHMENT'!F10</f>
        <v>0</v>
      </c>
      <c r="E27" s="87">
        <f>D27</f>
        <v>0</v>
      </c>
      <c r="F27" s="87">
        <f>D27</f>
        <v>0</v>
      </c>
      <c r="H27" s="18" t="s">
        <v>12</v>
      </c>
      <c r="I27" s="85" t="s">
        <v>25</v>
      </c>
      <c r="J27" s="18" t="s">
        <v>14</v>
      </c>
    </row>
    <row r="28" spans="1:10 16382:16382">
      <c r="A28" s="4"/>
      <c r="B28" s="3">
        <v>6</v>
      </c>
      <c r="C28" s="8" t="s">
        <v>105</v>
      </c>
      <c r="D28" s="87">
        <f>'PENSION&amp; LEAVE ENCASHMENT'!G22</f>
        <v>0</v>
      </c>
      <c r="E28" s="87">
        <f>D28</f>
        <v>0</v>
      </c>
      <c r="F28" s="87">
        <f>D28</f>
        <v>0</v>
      </c>
      <c r="H28" s="17">
        <v>1</v>
      </c>
      <c r="I28" t="s">
        <v>82</v>
      </c>
      <c r="J28" s="35">
        <v>20000</v>
      </c>
    </row>
    <row r="29" spans="1:10 16382:16382">
      <c r="A29" s="4"/>
      <c r="B29" s="3">
        <v>7</v>
      </c>
      <c r="C29" s="8" t="s">
        <v>112</v>
      </c>
      <c r="D29" s="87">
        <f>'PROVIDENT FUND'!I9</f>
        <v>0</v>
      </c>
      <c r="E29" s="87">
        <f>D29</f>
        <v>0</v>
      </c>
      <c r="F29" s="87">
        <f>D29</f>
        <v>0</v>
      </c>
      <c r="H29" s="17">
        <v>2</v>
      </c>
      <c r="I29" t="s">
        <v>83</v>
      </c>
      <c r="J29" s="4">
        <f>0.2*D7</f>
        <v>80000</v>
      </c>
    </row>
    <row r="30" spans="1:10 16382:16382" ht="15.75" thickBot="1">
      <c r="A30" s="4"/>
      <c r="B30" s="3">
        <v>8</v>
      </c>
      <c r="C30" s="8" t="s">
        <v>113</v>
      </c>
      <c r="D30" s="87">
        <f>'PROVIDENT FUND'!I10</f>
        <v>0</v>
      </c>
      <c r="E30" s="87">
        <f>D30</f>
        <v>0</v>
      </c>
      <c r="F30" s="87">
        <f>D30</f>
        <v>0</v>
      </c>
      <c r="H30" s="17">
        <v>3</v>
      </c>
      <c r="I30" s="63">
        <v>5000</v>
      </c>
      <c r="J30" s="4">
        <v>5000</v>
      </c>
    </row>
    <row r="31" spans="1:10 16382:16382" ht="15.75" thickBot="1">
      <c r="A31" s="4"/>
      <c r="B31" s="3"/>
      <c r="C31" s="3"/>
      <c r="D31" s="87"/>
      <c r="E31" s="87"/>
      <c r="F31" s="87"/>
      <c r="H31" s="18"/>
      <c r="I31" s="11" t="s">
        <v>85</v>
      </c>
      <c r="J31" s="7">
        <f>IF(C2=1, MIN(J28:J30), 0)</f>
        <v>5000</v>
      </c>
    </row>
    <row r="32" spans="1:10 16382:16382">
      <c r="A32" s="4"/>
      <c r="B32" s="3"/>
      <c r="C32" s="3"/>
      <c r="D32" s="87"/>
      <c r="E32" s="87"/>
      <c r="F32" s="87"/>
    </row>
    <row r="33" spans="1:6" ht="15.75" thickBot="1">
      <c r="A33" s="4"/>
      <c r="B33" s="3"/>
      <c r="C33" s="3"/>
      <c r="D33" s="87"/>
      <c r="E33" s="87"/>
      <c r="F33" s="91"/>
    </row>
    <row r="34" spans="1:6" ht="15.75" thickTop="1">
      <c r="A34" s="4"/>
      <c r="B34" s="3"/>
      <c r="C34" s="84" t="s">
        <v>77</v>
      </c>
      <c r="D34" s="87"/>
      <c r="E34" s="87"/>
      <c r="F34" s="87">
        <f>SUM(F6:F33)</f>
        <v>550800</v>
      </c>
    </row>
    <row r="35" spans="1:6">
      <c r="A35" s="4"/>
      <c r="B35" s="3"/>
      <c r="C35" s="83" t="s">
        <v>78</v>
      </c>
      <c r="D35" s="87"/>
      <c r="E35" s="87"/>
      <c r="F35" s="87"/>
    </row>
    <row r="36" spans="1:6">
      <c r="A36" s="4"/>
      <c r="B36" s="3"/>
      <c r="C36" s="3" t="s">
        <v>79</v>
      </c>
      <c r="D36" s="87">
        <f>J31</f>
        <v>5000</v>
      </c>
      <c r="E36" s="87">
        <f>D36</f>
        <v>5000</v>
      </c>
      <c r="F36" s="87"/>
    </row>
    <row r="37" spans="1:6">
      <c r="A37" s="4"/>
      <c r="B37" s="3"/>
      <c r="C37" s="3" t="s">
        <v>80</v>
      </c>
      <c r="D37" s="88"/>
      <c r="E37" s="87">
        <f>D37</f>
        <v>0</v>
      </c>
      <c r="F37" s="87">
        <f>SUM(E36:E37)</f>
        <v>5000</v>
      </c>
    </row>
    <row r="38" spans="1:6">
      <c r="A38" s="4"/>
      <c r="B38" s="3"/>
      <c r="C38" s="3"/>
      <c r="D38" s="87"/>
      <c r="E38" s="87"/>
      <c r="F38" s="87"/>
    </row>
    <row r="39" spans="1:6">
      <c r="A39" s="4"/>
      <c r="B39" s="3"/>
      <c r="C39" s="84" t="s">
        <v>81</v>
      </c>
      <c r="D39" s="87"/>
      <c r="E39" s="87"/>
      <c r="F39" s="87">
        <f>F34-SUM(F36:F37)</f>
        <v>545800</v>
      </c>
    </row>
    <row r="40" spans="1:6" ht="15.75" thickBot="1">
      <c r="A40" s="4"/>
      <c r="B40" s="3"/>
      <c r="C40" s="3"/>
      <c r="D40" s="87"/>
      <c r="E40" s="87"/>
      <c r="F40" s="87"/>
    </row>
    <row r="41" spans="1:6" ht="15.75" thickBot="1">
      <c r="A41" s="4"/>
      <c r="B41" s="7"/>
      <c r="C41" s="14"/>
      <c r="D41" s="92"/>
      <c r="E41" s="92"/>
      <c r="F41" s="93"/>
    </row>
  </sheetData>
  <sheetProtection password="DBBB" sheet="1" objects="1" scenarios="1"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I29"/>
  <sheetViews>
    <sheetView tabSelected="1" topLeftCell="B4" workbookViewId="0">
      <selection activeCell="I17" sqref="I17"/>
    </sheetView>
  </sheetViews>
  <sheetFormatPr defaultRowHeight="15"/>
  <cols>
    <col min="4" max="4" width="29.7109375" bestFit="1" customWidth="1"/>
    <col min="5" max="5" width="16.5703125" customWidth="1"/>
    <col min="6" max="6" width="20.85546875" customWidth="1"/>
    <col min="7" max="7" width="18.5703125" bestFit="1" customWidth="1"/>
    <col min="8" max="8" width="58.28515625" customWidth="1"/>
    <col min="9" max="9" width="15" bestFit="1" customWidth="1"/>
  </cols>
  <sheetData>
    <row r="4" spans="2:9" ht="19.5" thickBot="1">
      <c r="D4" s="29"/>
      <c r="E4" s="30" t="s">
        <v>28</v>
      </c>
      <c r="F4" s="29"/>
      <c r="G4" s="29"/>
      <c r="I4" s="1"/>
    </row>
    <row r="5" spans="2:9" ht="15.75" thickBot="1">
      <c r="C5" s="32" t="s">
        <v>12</v>
      </c>
      <c r="D5" s="33" t="s">
        <v>25</v>
      </c>
      <c r="E5" s="32" t="s">
        <v>27</v>
      </c>
      <c r="F5" s="32" t="s">
        <v>26</v>
      </c>
      <c r="G5" s="32" t="s">
        <v>29</v>
      </c>
      <c r="H5" s="32" t="s">
        <v>34</v>
      </c>
      <c r="I5" s="32" t="s">
        <v>35</v>
      </c>
    </row>
    <row r="6" spans="2:9">
      <c r="B6" s="3"/>
      <c r="C6" s="4">
        <v>1</v>
      </c>
      <c r="D6" s="31" t="s">
        <v>30</v>
      </c>
      <c r="E6" s="34">
        <v>50000</v>
      </c>
      <c r="F6" s="5">
        <v>1200</v>
      </c>
      <c r="G6" s="34">
        <v>3</v>
      </c>
      <c r="H6" s="5">
        <f>IF(G6&gt;1,IF(G6&gt;=2,(E6-F6*2),E6-F6),IF(G6=1,E6-F6,0))</f>
        <v>47600</v>
      </c>
      <c r="I6" s="36">
        <f>IF(H6&lt;0, 0, H6)</f>
        <v>47600</v>
      </c>
    </row>
    <row r="7" spans="2:9">
      <c r="B7" s="3"/>
      <c r="C7" s="4">
        <v>2</v>
      </c>
      <c r="D7" s="17" t="s">
        <v>32</v>
      </c>
      <c r="E7" s="35">
        <v>48000</v>
      </c>
      <c r="F7" s="4">
        <v>3600</v>
      </c>
      <c r="G7" s="35">
        <v>3</v>
      </c>
      <c r="H7" s="4">
        <f>IF(G7&gt;1,IF(G7&gt;=2,(E7-F7*2),E7-F7),IF(G7=1,E7-F7,0))</f>
        <v>40800</v>
      </c>
      <c r="I7" s="37">
        <f t="shared" ref="I7:I10" si="0">IF(H7&lt;0, 0, H7)</f>
        <v>40800</v>
      </c>
    </row>
    <row r="8" spans="2:9">
      <c r="B8" s="3"/>
      <c r="C8" s="4">
        <v>3</v>
      </c>
      <c r="D8" s="17" t="s">
        <v>36</v>
      </c>
      <c r="E8" s="35">
        <v>0</v>
      </c>
      <c r="F8" s="4">
        <v>2400</v>
      </c>
      <c r="G8" s="35"/>
      <c r="H8" s="4">
        <f>E8-F8</f>
        <v>-2400</v>
      </c>
      <c r="I8" s="37">
        <f t="shared" si="0"/>
        <v>0</v>
      </c>
    </row>
    <row r="9" spans="2:9">
      <c r="B9" s="3"/>
      <c r="C9" s="4">
        <v>4</v>
      </c>
      <c r="D9" s="17" t="s">
        <v>37</v>
      </c>
      <c r="E9" s="35">
        <v>12000</v>
      </c>
      <c r="F9" s="4">
        <v>9600</v>
      </c>
      <c r="G9" s="35"/>
      <c r="H9" s="4">
        <f>E9-F9</f>
        <v>2400</v>
      </c>
      <c r="I9" s="37">
        <f t="shared" si="0"/>
        <v>2400</v>
      </c>
    </row>
    <row r="10" spans="2:9" ht="15.75" thickBot="1">
      <c r="B10" s="3"/>
      <c r="C10" s="4">
        <v>5</v>
      </c>
      <c r="D10" s="17" t="s">
        <v>38</v>
      </c>
      <c r="E10" s="35"/>
      <c r="F10" s="4">
        <v>9600</v>
      </c>
      <c r="G10" s="35"/>
      <c r="H10" s="4">
        <f>E10-F10</f>
        <v>-9600</v>
      </c>
      <c r="I10" s="37">
        <f t="shared" si="0"/>
        <v>0</v>
      </c>
    </row>
    <row r="11" spans="2:9" ht="15.75" thickBot="1">
      <c r="B11" s="3"/>
      <c r="C11" s="7"/>
      <c r="D11" s="15" t="s">
        <v>39</v>
      </c>
      <c r="E11" s="14"/>
      <c r="F11" s="14"/>
      <c r="G11" s="14"/>
      <c r="H11" s="14"/>
      <c r="I11" s="38">
        <f>SUM(I6:I10)</f>
        <v>90800</v>
      </c>
    </row>
    <row r="12" spans="2:9" ht="15.75" thickBot="1">
      <c r="B12" s="6"/>
    </row>
    <row r="13" spans="2:9" ht="21.75" thickBot="1">
      <c r="B13" s="6"/>
      <c r="C13" s="21"/>
      <c r="D13" s="22"/>
      <c r="E13" s="22"/>
      <c r="F13" s="28" t="s">
        <v>58</v>
      </c>
      <c r="G13" s="22"/>
      <c r="H13" s="22"/>
      <c r="I13" s="2"/>
    </row>
    <row r="14" spans="2:9" ht="15.75" thickBot="1">
      <c r="C14" s="19"/>
      <c r="D14" s="6"/>
      <c r="E14" s="6"/>
      <c r="F14" s="6"/>
      <c r="G14" s="6"/>
      <c r="H14" s="39" t="s">
        <v>52</v>
      </c>
      <c r="I14" s="40">
        <v>2</v>
      </c>
    </row>
    <row r="15" spans="2:9" ht="19.5" thickBot="1">
      <c r="B15" s="6"/>
      <c r="C15" s="26" t="s">
        <v>59</v>
      </c>
      <c r="D15" s="23"/>
      <c r="E15" s="24"/>
      <c r="F15" s="25"/>
      <c r="G15" s="6"/>
      <c r="H15" s="16" t="s">
        <v>53</v>
      </c>
      <c r="I15" s="7">
        <f>COMPUTATION!J19</f>
        <v>420000</v>
      </c>
    </row>
    <row r="16" spans="2:9" ht="15.75" thickBot="1">
      <c r="C16" s="19">
        <v>1</v>
      </c>
      <c r="D16" s="6" t="s">
        <v>49</v>
      </c>
      <c r="E16" s="6">
        <f>IF(I16=1, 0.15*I15, IF(I16=2, 0.1*I15, 7.5/100*I15))</f>
        <v>63000</v>
      </c>
      <c r="F16" s="3"/>
      <c r="G16" s="6"/>
      <c r="H16" s="41" t="s">
        <v>54</v>
      </c>
      <c r="I16" s="40">
        <v>1</v>
      </c>
    </row>
    <row r="17" spans="3:9">
      <c r="C17" s="19">
        <v>2</v>
      </c>
      <c r="D17" s="6" t="s">
        <v>50</v>
      </c>
      <c r="E17" s="6">
        <f>0.1*I20</f>
        <v>2000</v>
      </c>
      <c r="F17" s="3"/>
      <c r="G17" s="6"/>
      <c r="H17" s="42" t="s">
        <v>46</v>
      </c>
      <c r="I17" s="35" t="s">
        <v>115</v>
      </c>
    </row>
    <row r="18" spans="3:9">
      <c r="C18" s="19"/>
      <c r="D18" s="6" t="s">
        <v>57</v>
      </c>
      <c r="E18" s="6">
        <f>SUM(E16:E17)</f>
        <v>65000</v>
      </c>
      <c r="F18" s="3"/>
      <c r="G18" s="6"/>
      <c r="H18" s="42" t="s">
        <v>47</v>
      </c>
      <c r="I18" s="35"/>
    </row>
    <row r="19" spans="3:9" ht="15.75" thickBot="1">
      <c r="C19" s="19"/>
      <c r="D19" s="6"/>
      <c r="E19" s="6"/>
      <c r="F19" s="3"/>
      <c r="G19" s="6"/>
      <c r="H19" s="43" t="s">
        <v>48</v>
      </c>
      <c r="I19" s="44"/>
    </row>
    <row r="20" spans="3:9" ht="15.75" thickBot="1">
      <c r="C20" s="12"/>
      <c r="D20" s="1"/>
      <c r="E20" s="1"/>
      <c r="F20" s="13"/>
      <c r="G20" s="6"/>
      <c r="H20" s="39" t="s">
        <v>55</v>
      </c>
      <c r="I20" s="40">
        <v>20000</v>
      </c>
    </row>
    <row r="21" spans="3:9" ht="15.75" thickBot="1">
      <c r="C21" s="19"/>
      <c r="D21" s="6"/>
      <c r="E21" s="6"/>
      <c r="F21" s="6"/>
      <c r="G21" s="6"/>
      <c r="H21" s="6"/>
      <c r="I21" s="3"/>
    </row>
    <row r="22" spans="3:9" ht="19.5" thickBot="1">
      <c r="C22" s="26" t="s">
        <v>60</v>
      </c>
      <c r="D22" s="24"/>
      <c r="E22" s="24"/>
      <c r="F22" s="24"/>
      <c r="G22" s="25"/>
      <c r="H22" s="11" t="s">
        <v>51</v>
      </c>
      <c r="I22" s="7"/>
    </row>
    <row r="23" spans="3:9" ht="15.75" thickBot="1">
      <c r="C23" s="19">
        <v>1</v>
      </c>
      <c r="D23" s="6" t="s">
        <v>49</v>
      </c>
      <c r="E23" s="6">
        <f>MIN(I23:I24)</f>
        <v>63000</v>
      </c>
      <c r="F23" s="6"/>
      <c r="G23" s="3"/>
      <c r="H23" s="45" t="s">
        <v>86</v>
      </c>
      <c r="I23" s="44">
        <v>150000</v>
      </c>
    </row>
    <row r="24" spans="3:9" ht="15.75" thickBot="1">
      <c r="C24" s="19">
        <v>2</v>
      </c>
      <c r="D24" s="6" t="s">
        <v>50</v>
      </c>
      <c r="E24" s="6">
        <f>0.1*I27</f>
        <v>0</v>
      </c>
      <c r="F24" s="6"/>
      <c r="G24" s="3"/>
      <c r="H24" s="27" t="s">
        <v>56</v>
      </c>
      <c r="I24" s="7">
        <f>I15*0.15</f>
        <v>63000</v>
      </c>
    </row>
    <row r="25" spans="3:9">
      <c r="C25" s="19"/>
      <c r="D25" s="6" t="s">
        <v>57</v>
      </c>
      <c r="E25" s="6">
        <f>SUM(E23:E24)</f>
        <v>63000</v>
      </c>
      <c r="F25" s="6"/>
      <c r="G25" s="3"/>
      <c r="H25" s="6"/>
      <c r="I25" s="3"/>
    </row>
    <row r="26" spans="3:9">
      <c r="C26" s="19"/>
      <c r="D26" s="6"/>
      <c r="E26" s="6"/>
      <c r="F26" s="6"/>
      <c r="G26" s="3"/>
      <c r="H26" s="6"/>
      <c r="I26" s="3"/>
    </row>
    <row r="27" spans="3:9" ht="15.75" thickBot="1">
      <c r="C27" s="12"/>
      <c r="D27" s="1"/>
      <c r="E27" s="1"/>
      <c r="F27" s="1"/>
      <c r="G27" s="13"/>
      <c r="H27" s="6"/>
      <c r="I27" s="3"/>
    </row>
    <row r="28" spans="3:9">
      <c r="C28" s="19"/>
      <c r="D28" s="6"/>
      <c r="E28" s="6"/>
      <c r="F28" s="6"/>
      <c r="G28" s="6"/>
      <c r="H28" s="6"/>
      <c r="I28" s="3"/>
    </row>
    <row r="29" spans="3:9" ht="15.75" thickBot="1">
      <c r="C29" s="12"/>
      <c r="D29" s="46" t="s">
        <v>61</v>
      </c>
      <c r="E29" s="1">
        <f>IF(COMPUTATION!J8&gt;0, 0, IF(I14=1, E18, E25))</f>
        <v>0</v>
      </c>
      <c r="F29" s="1"/>
      <c r="G29" s="1"/>
      <c r="H29" s="1"/>
      <c r="I29" s="13"/>
    </row>
  </sheetData>
  <sheetProtection password="DBBB" sheet="1" objects="1" scenarios="1"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J23"/>
  <sheetViews>
    <sheetView topLeftCell="A3" workbookViewId="0">
      <selection activeCell="H3" sqref="H3"/>
    </sheetView>
  </sheetViews>
  <sheetFormatPr defaultRowHeight="15"/>
  <cols>
    <col min="3" max="3" width="51.28515625" customWidth="1"/>
    <col min="4" max="4" width="10" bestFit="1" customWidth="1"/>
    <col min="5" max="5" width="9.140625" customWidth="1"/>
    <col min="6" max="6" width="10.42578125" customWidth="1"/>
    <col min="7" max="7" width="9.140625" customWidth="1"/>
    <col min="10" max="10" width="17.85546875" customWidth="1"/>
  </cols>
  <sheetData>
    <row r="1" spans="2:10">
      <c r="B1" s="21"/>
      <c r="C1" s="22"/>
      <c r="D1" s="22"/>
      <c r="E1" s="22"/>
      <c r="F1" s="22"/>
      <c r="G1" s="22"/>
      <c r="H1" s="22"/>
      <c r="I1" s="2"/>
    </row>
    <row r="2" spans="2:10" ht="19.5" thickBot="1">
      <c r="B2" s="19"/>
      <c r="C2" s="75" t="s">
        <v>66</v>
      </c>
      <c r="D2" s="68"/>
      <c r="E2" s="68"/>
      <c r="F2" s="68"/>
      <c r="G2" s="6"/>
      <c r="H2" s="6"/>
      <c r="I2" s="3"/>
    </row>
    <row r="3" spans="2:10" ht="15.75" thickBot="1">
      <c r="B3" s="19"/>
      <c r="C3" s="80" t="s">
        <v>74</v>
      </c>
      <c r="D3" s="81"/>
      <c r="E3" s="81"/>
      <c r="F3" s="81"/>
      <c r="G3" s="81"/>
      <c r="H3" s="96">
        <v>2</v>
      </c>
      <c r="I3" s="3"/>
    </row>
    <row r="4" spans="2:10" ht="19.5" thickBot="1">
      <c r="B4" s="19"/>
      <c r="C4" s="57" t="s">
        <v>76</v>
      </c>
      <c r="D4" s="58"/>
      <c r="E4" s="58"/>
      <c r="F4" s="58"/>
      <c r="G4" s="59"/>
      <c r="H4" s="40">
        <v>2</v>
      </c>
      <c r="I4" s="3"/>
    </row>
    <row r="5" spans="2:10" ht="19.5" thickBot="1">
      <c r="B5" s="19"/>
      <c r="C5" s="60" t="s">
        <v>67</v>
      </c>
      <c r="D5" s="61"/>
      <c r="E5" s="61"/>
      <c r="F5" s="61"/>
      <c r="G5" s="62"/>
      <c r="H5" s="76"/>
      <c r="I5" s="3"/>
    </row>
    <row r="6" spans="2:10" ht="19.5" thickBot="1">
      <c r="B6" s="19"/>
      <c r="C6" s="64" t="s">
        <v>71</v>
      </c>
      <c r="D6" s="65"/>
      <c r="E6" s="65"/>
      <c r="F6" s="65"/>
      <c r="G6" s="66"/>
      <c r="H6" s="40">
        <v>20</v>
      </c>
      <c r="I6" s="3"/>
    </row>
    <row r="7" spans="2:10" ht="19.5" thickBot="1">
      <c r="B7" s="19"/>
      <c r="C7" s="64" t="s">
        <v>89</v>
      </c>
      <c r="D7" s="65"/>
      <c r="E7" s="65"/>
      <c r="F7" s="65"/>
      <c r="G7" s="67"/>
      <c r="H7" s="40">
        <f>COMPUTATION!J17</f>
        <v>345833.33333333337</v>
      </c>
      <c r="I7" s="3"/>
    </row>
    <row r="8" spans="2:10" ht="19.5" thickBot="1">
      <c r="B8" s="19"/>
      <c r="C8" s="64" t="s">
        <v>72</v>
      </c>
      <c r="D8" s="65"/>
      <c r="E8" s="65"/>
      <c r="F8" s="65"/>
      <c r="G8" s="67"/>
      <c r="H8" s="40">
        <f>COMPUTATION!J18</f>
        <v>415000</v>
      </c>
      <c r="I8" s="3"/>
    </row>
    <row r="9" spans="2:10">
      <c r="B9" s="19"/>
      <c r="C9" s="6"/>
      <c r="D9" s="6"/>
      <c r="E9" s="6"/>
      <c r="F9" s="6"/>
      <c r="G9" s="6"/>
      <c r="H9" s="6"/>
      <c r="I9" s="3"/>
    </row>
    <row r="10" spans="2:10" ht="18.75">
      <c r="B10" s="19"/>
      <c r="D10" s="20"/>
      <c r="E10" s="20"/>
      <c r="G10" s="20"/>
      <c r="H10" s="6"/>
      <c r="I10" s="3"/>
      <c r="J10" s="20"/>
    </row>
    <row r="11" spans="2:10" ht="19.5" thickBot="1">
      <c r="B11" s="19"/>
      <c r="C11" s="77" t="s">
        <v>87</v>
      </c>
      <c r="D11" s="6"/>
      <c r="E11" s="6"/>
      <c r="F11" s="6"/>
      <c r="G11" s="6"/>
      <c r="H11" s="6"/>
      <c r="I11" s="3"/>
    </row>
    <row r="12" spans="2:10" ht="15.75" thickBot="1">
      <c r="B12" s="32" t="s">
        <v>12</v>
      </c>
      <c r="C12" s="72" t="s">
        <v>69</v>
      </c>
      <c r="D12" s="32" t="s">
        <v>14</v>
      </c>
      <c r="E12" s="6"/>
      <c r="F12" s="6"/>
      <c r="G12" s="6"/>
      <c r="H12" s="6"/>
      <c r="I12" s="3"/>
    </row>
    <row r="13" spans="2:10">
      <c r="B13" s="73">
        <v>1</v>
      </c>
      <c r="C13" s="69" t="s">
        <v>13</v>
      </c>
      <c r="D13" s="35">
        <v>2000000</v>
      </c>
      <c r="E13" s="6"/>
      <c r="F13" s="6"/>
      <c r="G13" s="6"/>
      <c r="H13" s="6"/>
      <c r="I13" s="3"/>
    </row>
    <row r="14" spans="2:10">
      <c r="B14" s="73">
        <v>2</v>
      </c>
      <c r="C14" s="69" t="s">
        <v>88</v>
      </c>
      <c r="D14" s="86">
        <f>15/30*H7/10*H6</f>
        <v>345833.33333333337</v>
      </c>
      <c r="E14" s="6"/>
      <c r="F14" s="6"/>
      <c r="G14" s="6"/>
      <c r="H14" s="6"/>
      <c r="I14" s="3"/>
    </row>
    <row r="15" spans="2:10" ht="15.75" thickBot="1">
      <c r="B15" s="74">
        <v>3</v>
      </c>
      <c r="C15" s="70">
        <v>1000000</v>
      </c>
      <c r="D15" s="97">
        <v>1000000</v>
      </c>
      <c r="E15" s="6"/>
      <c r="F15" s="6"/>
      <c r="G15" s="6"/>
      <c r="H15" s="6"/>
      <c r="I15" s="3"/>
    </row>
    <row r="16" spans="2:10">
      <c r="B16" s="19"/>
      <c r="C16" s="6"/>
      <c r="D16" s="6"/>
      <c r="E16" s="6"/>
      <c r="F16" s="6"/>
      <c r="G16" s="6"/>
      <c r="H16" s="6"/>
      <c r="I16" s="3"/>
    </row>
    <row r="17" spans="2:9">
      <c r="B17" s="19"/>
      <c r="C17" s="6"/>
      <c r="D17" s="6"/>
      <c r="E17" s="6"/>
      <c r="F17" s="6"/>
      <c r="G17" s="6"/>
      <c r="H17" s="6"/>
      <c r="I17" s="3"/>
    </row>
    <row r="18" spans="2:9" ht="18.75">
      <c r="B18" s="19"/>
      <c r="C18" s="77" t="s">
        <v>68</v>
      </c>
      <c r="D18" s="6"/>
      <c r="E18" s="6"/>
      <c r="F18" s="6"/>
      <c r="G18" s="6"/>
      <c r="H18" s="6"/>
      <c r="I18" s="3"/>
    </row>
    <row r="19" spans="2:9" ht="15.75" thickBot="1">
      <c r="B19" s="19"/>
      <c r="C19" s="6"/>
      <c r="D19" s="6"/>
      <c r="E19" s="6"/>
      <c r="F19" s="6"/>
      <c r="G19" s="6"/>
      <c r="H19" s="6"/>
      <c r="I19" s="3"/>
    </row>
    <row r="20" spans="2:9" ht="15.75" thickBot="1">
      <c r="B20" s="32" t="s">
        <v>12</v>
      </c>
      <c r="C20" s="72" t="s">
        <v>69</v>
      </c>
      <c r="D20" s="32" t="s">
        <v>14</v>
      </c>
      <c r="E20" s="6"/>
      <c r="F20" s="6"/>
      <c r="G20" s="6"/>
      <c r="H20" s="6"/>
      <c r="I20" s="3"/>
    </row>
    <row r="21" spans="2:9" ht="15.75" thickBot="1">
      <c r="B21" s="73">
        <v>1</v>
      </c>
      <c r="C21" s="69" t="s">
        <v>13</v>
      </c>
      <c r="D21" s="35">
        <v>2000000</v>
      </c>
      <c r="E21" s="78"/>
      <c r="F21" s="82" t="s">
        <v>35</v>
      </c>
      <c r="G21" s="79"/>
      <c r="H21" s="7">
        <f>IF(H3=1,IF(H4=1,D21-MIN(D21:D23),D13-MIN(D13:D15)),0)</f>
        <v>0</v>
      </c>
      <c r="I21" s="3"/>
    </row>
    <row r="22" spans="2:9">
      <c r="B22" s="73">
        <v>2</v>
      </c>
      <c r="C22" s="69" t="s">
        <v>70</v>
      </c>
      <c r="D22" s="4">
        <f>15/26*H8*H6</f>
        <v>4788461.538461538</v>
      </c>
      <c r="E22" s="6"/>
      <c r="F22" s="6"/>
      <c r="G22" s="6"/>
      <c r="H22" s="6"/>
      <c r="I22" s="3"/>
    </row>
    <row r="23" spans="2:9" ht="15.75" thickBot="1">
      <c r="B23" s="74">
        <v>3</v>
      </c>
      <c r="C23" s="70">
        <v>1000000</v>
      </c>
      <c r="D23" s="71">
        <v>1000000</v>
      </c>
      <c r="E23" s="1"/>
      <c r="F23" s="1"/>
      <c r="G23" s="1"/>
      <c r="H23" s="1"/>
      <c r="I23" s="13"/>
    </row>
  </sheetData>
  <sheetProtection password="DBBB" sheet="1"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activeCell="J4" sqref="J4"/>
    </sheetView>
  </sheetViews>
  <sheetFormatPr defaultRowHeight="15"/>
  <sheetData>
    <row r="1" spans="1:14">
      <c r="A1" s="21"/>
      <c r="B1" s="22"/>
      <c r="C1" s="22"/>
      <c r="D1" s="22"/>
      <c r="E1" s="22"/>
      <c r="F1" s="22"/>
      <c r="G1" s="22"/>
      <c r="H1" s="22"/>
      <c r="I1" s="22"/>
      <c r="J1" s="22"/>
      <c r="K1" s="2"/>
    </row>
    <row r="2" spans="1:14" ht="18.75">
      <c r="A2" s="98"/>
      <c r="B2" s="99"/>
      <c r="C2" s="100" t="s">
        <v>98</v>
      </c>
      <c r="D2" s="101"/>
      <c r="E2" s="101"/>
      <c r="F2" s="101"/>
      <c r="G2" s="101"/>
      <c r="H2" s="99"/>
      <c r="I2" s="99"/>
      <c r="J2" s="6"/>
      <c r="K2" s="3"/>
    </row>
    <row r="3" spans="1:14" ht="15.75" thickBot="1">
      <c r="A3" s="98"/>
      <c r="B3" s="99"/>
      <c r="C3" s="99"/>
      <c r="D3" s="99"/>
      <c r="E3" s="99"/>
      <c r="F3" s="99"/>
      <c r="G3" s="99"/>
      <c r="H3" s="99"/>
      <c r="I3" s="99"/>
      <c r="J3" s="6"/>
      <c r="K3" s="3"/>
    </row>
    <row r="4" spans="1:14" ht="15.75" thickBot="1">
      <c r="A4" s="102" t="s">
        <v>92</v>
      </c>
      <c r="B4" s="103"/>
      <c r="C4" s="103"/>
      <c r="D4" s="103"/>
      <c r="E4" s="103"/>
      <c r="F4" s="103"/>
      <c r="G4" s="103"/>
      <c r="H4" s="103"/>
      <c r="I4" s="104"/>
      <c r="J4" s="40">
        <v>1</v>
      </c>
      <c r="K4" s="3"/>
    </row>
    <row r="5" spans="1:14" ht="15.75" thickBot="1">
      <c r="A5" s="102" t="s">
        <v>93</v>
      </c>
      <c r="B5" s="103"/>
      <c r="C5" s="103"/>
      <c r="D5" s="103"/>
      <c r="E5" s="103"/>
      <c r="F5" s="103"/>
      <c r="G5" s="103"/>
      <c r="H5" s="103"/>
      <c r="I5" s="104"/>
      <c r="J5" s="40">
        <v>1</v>
      </c>
      <c r="K5" s="3"/>
    </row>
    <row r="6" spans="1:14" ht="15.75" thickBot="1">
      <c r="A6" s="102" t="s">
        <v>94</v>
      </c>
      <c r="B6" s="103"/>
      <c r="C6" s="103"/>
      <c r="D6" s="103"/>
      <c r="E6" s="103"/>
      <c r="F6" s="103"/>
      <c r="G6" s="103"/>
      <c r="H6" s="103"/>
      <c r="I6" s="104"/>
      <c r="J6" s="117">
        <v>1</v>
      </c>
      <c r="K6" s="3"/>
    </row>
    <row r="7" spans="1:14" ht="15.75" thickBot="1">
      <c r="A7" s="98"/>
      <c r="B7" s="99"/>
      <c r="C7" s="99"/>
      <c r="D7" s="101" t="s">
        <v>95</v>
      </c>
      <c r="E7" s="101"/>
      <c r="F7" s="101"/>
      <c r="G7" s="101"/>
      <c r="H7" s="101"/>
      <c r="I7" s="101"/>
      <c r="J7" s="117">
        <v>75</v>
      </c>
      <c r="K7" s="3"/>
    </row>
    <row r="8" spans="1:14" ht="15.75" thickBot="1">
      <c r="A8" s="98"/>
      <c r="B8" s="99"/>
      <c r="C8" s="99"/>
      <c r="D8" s="101" t="s">
        <v>97</v>
      </c>
      <c r="E8" s="101"/>
      <c r="F8" s="101"/>
      <c r="G8" s="101"/>
      <c r="H8" s="101"/>
      <c r="I8" s="101"/>
      <c r="J8" s="40">
        <v>120000</v>
      </c>
      <c r="K8" s="3"/>
    </row>
    <row r="9" spans="1:14" ht="15.75" thickBot="1">
      <c r="A9" s="98"/>
      <c r="B9" s="99"/>
      <c r="C9" s="99"/>
      <c r="D9" s="99"/>
      <c r="E9" s="99"/>
      <c r="F9" s="99"/>
      <c r="G9" s="99"/>
      <c r="H9" s="99"/>
      <c r="I9" s="99"/>
      <c r="J9" s="76"/>
      <c r="K9" s="3"/>
    </row>
    <row r="10" spans="1:14" ht="15.75" thickBot="1">
      <c r="A10" s="98"/>
      <c r="B10" s="99"/>
      <c r="C10" s="99"/>
      <c r="D10" s="105" t="s">
        <v>96</v>
      </c>
      <c r="E10" s="106"/>
      <c r="F10" s="107">
        <f>IF(J4=1, 0, IF(J5=1, IF(J6=1, (J8*100/J7)/3, (J8*100/J7)/2), 0))</f>
        <v>0</v>
      </c>
      <c r="G10" s="99"/>
      <c r="H10" s="99"/>
      <c r="I10" s="99"/>
      <c r="J10" s="76"/>
      <c r="K10" s="3"/>
    </row>
    <row r="11" spans="1:14">
      <c r="A11" s="98"/>
      <c r="B11" s="99"/>
      <c r="C11" s="99"/>
      <c r="D11" s="99"/>
      <c r="E11" s="99"/>
      <c r="F11" s="99"/>
      <c r="G11" s="99"/>
      <c r="H11" s="99"/>
      <c r="I11" s="99"/>
      <c r="J11" s="76"/>
      <c r="K11" s="3"/>
    </row>
    <row r="12" spans="1:14" ht="15.75" thickBot="1">
      <c r="A12" s="108"/>
      <c r="B12" s="109"/>
      <c r="C12" s="109"/>
      <c r="D12" s="109"/>
      <c r="E12" s="109"/>
      <c r="F12" s="109"/>
      <c r="G12" s="109"/>
      <c r="H12" s="109"/>
      <c r="I12" s="109"/>
      <c r="J12" s="118"/>
      <c r="K12" s="13"/>
    </row>
    <row r="13" spans="1:14" ht="15.75" thickBot="1">
      <c r="A13" s="110"/>
      <c r="B13" s="110"/>
      <c r="C13" s="110"/>
      <c r="D13" s="110"/>
      <c r="E13" s="110"/>
      <c r="F13" s="110"/>
      <c r="G13" s="110"/>
      <c r="H13" s="110"/>
      <c r="I13" s="110"/>
      <c r="J13" s="48"/>
    </row>
    <row r="14" spans="1:14">
      <c r="A14" s="111"/>
      <c r="B14" s="112"/>
      <c r="C14" s="112"/>
      <c r="D14" s="112"/>
      <c r="E14" s="112"/>
      <c r="F14" s="112"/>
      <c r="G14" s="112"/>
      <c r="H14" s="112"/>
      <c r="I14" s="112"/>
      <c r="J14" s="119"/>
      <c r="K14" s="22"/>
      <c r="L14" s="22"/>
      <c r="M14" s="22"/>
      <c r="N14" s="2"/>
    </row>
    <row r="15" spans="1:14" ht="18.75">
      <c r="A15" s="98"/>
      <c r="B15" s="99"/>
      <c r="C15" s="100" t="s">
        <v>101</v>
      </c>
      <c r="D15" s="101"/>
      <c r="E15" s="101"/>
      <c r="F15" s="101"/>
      <c r="G15" s="101"/>
      <c r="H15" s="99"/>
      <c r="I15" s="99"/>
      <c r="J15" s="76"/>
      <c r="K15" s="6"/>
      <c r="L15" s="6"/>
      <c r="M15" s="6"/>
      <c r="N15" s="3"/>
    </row>
    <row r="16" spans="1:14" ht="15.75" thickBot="1">
      <c r="A16" s="98"/>
      <c r="B16" s="99"/>
      <c r="C16" s="99"/>
      <c r="D16" s="99"/>
      <c r="E16" s="99"/>
      <c r="F16" s="99"/>
      <c r="G16" s="99"/>
      <c r="H16" s="99"/>
      <c r="I16" s="99"/>
      <c r="J16" s="76"/>
      <c r="K16" s="6"/>
      <c r="L16" s="6"/>
      <c r="M16" s="6"/>
      <c r="N16" s="3"/>
    </row>
    <row r="17" spans="1:14" ht="15.75" thickBot="1">
      <c r="A17" s="102" t="s">
        <v>92</v>
      </c>
      <c r="B17" s="103"/>
      <c r="C17" s="103"/>
      <c r="D17" s="103"/>
      <c r="E17" s="103"/>
      <c r="F17" s="103"/>
      <c r="G17" s="103"/>
      <c r="H17" s="103"/>
      <c r="I17" s="104"/>
      <c r="J17" s="40">
        <v>1</v>
      </c>
      <c r="K17" s="6"/>
      <c r="L17" s="6"/>
      <c r="M17" s="6"/>
      <c r="N17" s="3"/>
    </row>
    <row r="18" spans="1:14" ht="15.75" thickBot="1">
      <c r="A18" s="98"/>
      <c r="B18" s="99"/>
      <c r="C18" s="99"/>
      <c r="D18" s="102"/>
      <c r="E18" s="103" t="s">
        <v>102</v>
      </c>
      <c r="F18" s="103"/>
      <c r="G18" s="103"/>
      <c r="H18" s="103"/>
      <c r="I18" s="104"/>
      <c r="J18" s="40">
        <v>144000</v>
      </c>
      <c r="K18" s="7">
        <f>J19*J20</f>
        <v>2075000.0000000002</v>
      </c>
      <c r="L18" s="7">
        <f>J19*10</f>
        <v>3458333.333333334</v>
      </c>
      <c r="M18" s="14">
        <v>300000</v>
      </c>
      <c r="N18" s="3"/>
    </row>
    <row r="19" spans="1:14" ht="15.75" thickBot="1">
      <c r="A19" s="98"/>
      <c r="B19" s="99"/>
      <c r="C19" s="99"/>
      <c r="D19" s="102"/>
      <c r="E19" s="103" t="s">
        <v>103</v>
      </c>
      <c r="F19" s="103"/>
      <c r="G19" s="103"/>
      <c r="H19" s="103"/>
      <c r="I19" s="104"/>
      <c r="J19" s="7">
        <f>COMPUTATION!J17</f>
        <v>345833.33333333337</v>
      </c>
      <c r="K19" s="6"/>
      <c r="L19" s="6"/>
      <c r="M19" s="6"/>
      <c r="N19" s="3"/>
    </row>
    <row r="20" spans="1:14" ht="15.75" thickBot="1">
      <c r="A20" s="98"/>
      <c r="B20" s="99"/>
      <c r="C20" s="99"/>
      <c r="D20" s="113" t="s">
        <v>104</v>
      </c>
      <c r="E20" s="114"/>
      <c r="F20" s="114"/>
      <c r="G20" s="114"/>
      <c r="H20" s="114"/>
      <c r="I20" s="115"/>
      <c r="J20" s="40">
        <v>6</v>
      </c>
      <c r="K20" s="6"/>
      <c r="L20" s="6"/>
      <c r="M20" s="6"/>
      <c r="N20" s="3"/>
    </row>
    <row r="21" spans="1:14" ht="15.75" thickBot="1">
      <c r="A21" s="98"/>
      <c r="B21" s="99"/>
      <c r="C21" s="99"/>
      <c r="D21" s="99"/>
      <c r="E21" s="99"/>
      <c r="F21" s="99"/>
      <c r="G21" s="99"/>
      <c r="H21" s="99"/>
      <c r="I21" s="99"/>
      <c r="J21" s="6"/>
      <c r="K21" s="6"/>
      <c r="L21" s="6"/>
      <c r="M21" s="6"/>
      <c r="N21" s="3"/>
    </row>
    <row r="22" spans="1:14" ht="15.75" thickBot="1">
      <c r="A22" s="98"/>
      <c r="B22" s="99"/>
      <c r="C22" s="99"/>
      <c r="D22" s="99"/>
      <c r="E22" s="105" t="s">
        <v>96</v>
      </c>
      <c r="F22" s="116"/>
      <c r="G22" s="107">
        <f>IF(J17=1,0,J18-MIN(J18:M18))</f>
        <v>0</v>
      </c>
      <c r="H22" s="99"/>
      <c r="I22" s="99"/>
      <c r="J22" s="6"/>
      <c r="K22" s="6"/>
      <c r="L22" s="6"/>
      <c r="M22" s="6"/>
      <c r="N22" s="3"/>
    </row>
    <row r="23" spans="1:14" ht="15.75" thickBot="1">
      <c r="A23" s="108"/>
      <c r="B23" s="109"/>
      <c r="C23" s="109"/>
      <c r="D23" s="109"/>
      <c r="E23" s="109"/>
      <c r="F23" s="109"/>
      <c r="G23" s="109"/>
      <c r="H23" s="109"/>
      <c r="I23" s="109"/>
      <c r="J23" s="1"/>
      <c r="K23" s="1"/>
      <c r="L23" s="1"/>
      <c r="M23" s="1"/>
      <c r="N23" s="13"/>
    </row>
  </sheetData>
  <sheetProtection password="DBBB" sheet="1"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H7" sqref="H7"/>
    </sheetView>
  </sheetViews>
  <sheetFormatPr defaultRowHeight="15"/>
  <cols>
    <col min="8" max="8" width="11.5703125" bestFit="1" customWidth="1"/>
  </cols>
  <sheetData>
    <row r="1" spans="1:10">
      <c r="A1" s="21" t="s">
        <v>106</v>
      </c>
      <c r="B1" s="22"/>
      <c r="C1" s="22"/>
      <c r="D1" s="22"/>
      <c r="E1" s="22"/>
      <c r="F1" s="22"/>
      <c r="G1" s="22"/>
      <c r="H1" s="22"/>
      <c r="I1" s="22"/>
      <c r="J1" s="2"/>
    </row>
    <row r="2" spans="1:10" ht="18.75">
      <c r="A2" s="98"/>
      <c r="B2" s="99"/>
      <c r="C2" s="120" t="s">
        <v>107</v>
      </c>
      <c r="D2" s="101"/>
      <c r="E2" s="101"/>
      <c r="F2" s="101"/>
      <c r="G2" s="101"/>
      <c r="H2" s="6"/>
      <c r="I2" s="6"/>
      <c r="J2" s="3"/>
    </row>
    <row r="3" spans="1:10" ht="15.75" thickBot="1">
      <c r="A3" s="98"/>
      <c r="B3" s="99"/>
      <c r="C3" s="99"/>
      <c r="D3" s="99"/>
      <c r="E3" s="99"/>
      <c r="F3" s="99"/>
      <c r="G3" s="99"/>
      <c r="H3" s="6"/>
      <c r="I3" s="6"/>
      <c r="J3" s="3"/>
    </row>
    <row r="4" spans="1:10" ht="15.75" thickBot="1">
      <c r="A4" s="102" t="s">
        <v>108</v>
      </c>
      <c r="B4" s="103"/>
      <c r="C4" s="103"/>
      <c r="D4" s="103"/>
      <c r="E4" s="103"/>
      <c r="F4" s="103"/>
      <c r="G4" s="104"/>
      <c r="H4" s="40">
        <v>1</v>
      </c>
      <c r="I4" s="6"/>
      <c r="J4" s="3"/>
    </row>
    <row r="5" spans="1:10" ht="15.75" thickBot="1">
      <c r="A5" s="98"/>
      <c r="B5" s="99"/>
      <c r="C5" s="99"/>
      <c r="D5" s="99"/>
      <c r="E5" s="99"/>
      <c r="F5" s="102" t="s">
        <v>109</v>
      </c>
      <c r="G5" s="104"/>
      <c r="H5" s="40">
        <v>20000</v>
      </c>
      <c r="I5" s="6"/>
      <c r="J5" s="3"/>
    </row>
    <row r="6" spans="1:10" ht="15.75" thickBot="1">
      <c r="A6" s="98"/>
      <c r="B6" s="99"/>
      <c r="C6" s="99"/>
      <c r="D6" s="99"/>
      <c r="E6" s="99"/>
      <c r="F6" s="102"/>
      <c r="G6" s="104" t="s">
        <v>3</v>
      </c>
      <c r="H6" s="95">
        <f>COMPUTATION!D7</f>
        <v>400000</v>
      </c>
      <c r="I6" s="6"/>
      <c r="J6" s="3"/>
    </row>
    <row r="7" spans="1:10" ht="15.75" thickBot="1">
      <c r="A7" s="98"/>
      <c r="B7" s="99"/>
      <c r="C7" s="99"/>
      <c r="D7" s="99"/>
      <c r="E7" s="99"/>
      <c r="F7" s="102"/>
      <c r="G7" s="104" t="s">
        <v>110</v>
      </c>
      <c r="H7" s="40">
        <v>2000</v>
      </c>
      <c r="I7" s="6"/>
      <c r="J7" s="3"/>
    </row>
    <row r="8" spans="1:10" ht="15.75" thickBot="1">
      <c r="A8" s="98"/>
      <c r="B8" s="99"/>
      <c r="C8" s="99"/>
      <c r="D8" s="99"/>
      <c r="E8" s="99"/>
      <c r="F8" s="99"/>
      <c r="G8" s="99"/>
      <c r="H8" s="6"/>
      <c r="I8" s="6"/>
      <c r="J8" s="3"/>
    </row>
    <row r="9" spans="1:10" ht="15.75" thickBot="1">
      <c r="A9" s="98"/>
      <c r="B9" s="99"/>
      <c r="C9" s="99"/>
      <c r="D9" s="99"/>
      <c r="E9" s="99"/>
      <c r="F9" s="121" t="s">
        <v>96</v>
      </c>
      <c r="G9" s="122"/>
      <c r="H9" s="7">
        <f>IF(H4=1,0, IF(H4=2,H5-0.12*H6, H5))</f>
        <v>0</v>
      </c>
      <c r="I9" s="7">
        <f>IF(H9&lt;0, 0,H9)</f>
        <v>0</v>
      </c>
      <c r="J9" s="3"/>
    </row>
    <row r="10" spans="1:10" ht="15.75" thickBot="1">
      <c r="A10" s="98"/>
      <c r="B10" s="99"/>
      <c r="C10" s="99"/>
      <c r="D10" s="99"/>
      <c r="E10" s="99"/>
      <c r="F10" s="121" t="s">
        <v>111</v>
      </c>
      <c r="G10" s="122"/>
      <c r="H10" s="7">
        <f>IF(H4=1,0, IF(H4=2,H7-9.5/100*H5, H7))</f>
        <v>0</v>
      </c>
      <c r="I10" s="7">
        <f>IF(H10&lt;0, 0,H10)</f>
        <v>0</v>
      </c>
      <c r="J10" s="3"/>
    </row>
    <row r="11" spans="1:10">
      <c r="A11" s="19"/>
      <c r="B11" s="6"/>
      <c r="C11" s="6"/>
      <c r="D11" s="6"/>
      <c r="E11" s="6"/>
      <c r="F11" s="6"/>
      <c r="G11" s="6"/>
      <c r="H11" s="6"/>
      <c r="I11" s="6"/>
      <c r="J11" s="3"/>
    </row>
    <row r="12" spans="1:10" ht="15.75" thickBot="1">
      <c r="A12" s="12"/>
      <c r="B12" s="1"/>
      <c r="C12" s="1"/>
      <c r="D12" s="1"/>
      <c r="E12" s="1"/>
      <c r="F12" s="1"/>
      <c r="G12" s="1"/>
      <c r="H12" s="1"/>
      <c r="I12" s="1"/>
      <c r="J12" s="13"/>
    </row>
  </sheetData>
  <sheetProtection password="DBBB" sheet="1"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COMPUTATION</vt:lpstr>
      <vt:lpstr>RFA&amp; ALLOWANCES</vt:lpstr>
      <vt:lpstr>GRATUITY</vt:lpstr>
      <vt:lpstr>PENSION&amp; LEAVE ENCASHMENT</vt:lpstr>
      <vt:lpstr>PROVIDENT FUND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</dc:creator>
  <cp:lastModifiedBy>PRAKASH</cp:lastModifiedBy>
  <dcterms:created xsi:type="dcterms:W3CDTF">2013-07-21T06:01:32Z</dcterms:created>
  <dcterms:modified xsi:type="dcterms:W3CDTF">2013-07-21T19:41:39Z</dcterms:modified>
</cp:coreProperties>
</file>