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80" yWindow="105" windowWidth="14175" windowHeight="7875"/>
  </bookViews>
  <sheets>
    <sheet name="Sheet1" sheetId="1" r:id="rId1"/>
  </sheets>
  <calcPr calcId="125725"/>
</workbook>
</file>

<file path=xl/calcChain.xml><?xml version="1.0" encoding="utf-8"?>
<calcChain xmlns="http://schemas.openxmlformats.org/spreadsheetml/2006/main">
  <c r="C15" i="1"/>
  <c r="M28"/>
  <c r="M29"/>
  <c r="M30"/>
  <c r="M31"/>
  <c r="M32"/>
  <c r="M33"/>
  <c r="M34"/>
  <c r="M35"/>
  <c r="M36"/>
  <c r="M37"/>
  <c r="M38"/>
  <c r="L26"/>
  <c r="M26" s="1"/>
  <c r="L25"/>
  <c r="M25" s="1"/>
  <c r="B25"/>
  <c r="B26"/>
  <c r="B18"/>
  <c r="B19"/>
  <c r="B20"/>
  <c r="B21"/>
  <c r="B22"/>
  <c r="B23"/>
  <c r="B24"/>
  <c r="B17"/>
  <c r="C8"/>
  <c r="J15"/>
  <c r="J5"/>
  <c r="I11"/>
  <c r="I12" s="1"/>
  <c r="I13" s="1"/>
  <c r="J14"/>
  <c r="N11" l="1"/>
  <c r="F2" s="1"/>
  <c r="J11"/>
  <c r="N12"/>
  <c r="F3" s="1"/>
  <c r="I27"/>
  <c r="J27"/>
  <c r="I17"/>
  <c r="I18" s="1"/>
  <c r="J17"/>
  <c r="H17"/>
  <c r="H18"/>
  <c r="J12"/>
  <c r="K12" s="1"/>
  <c r="L12" s="1"/>
  <c r="M12" s="1"/>
  <c r="J13"/>
  <c r="K13" s="1"/>
  <c r="L13" s="1"/>
  <c r="K11"/>
  <c r="L11" s="1"/>
  <c r="M11" s="1"/>
  <c r="D8" l="1"/>
  <c r="E7"/>
  <c r="D7"/>
  <c r="H4"/>
  <c r="I15"/>
  <c r="I19"/>
  <c r="J18"/>
  <c r="K17"/>
  <c r="K18"/>
  <c r="L18" s="1"/>
  <c r="M18" s="1"/>
  <c r="H10" s="1"/>
  <c r="H5" l="1"/>
  <c r="I20"/>
  <c r="J19"/>
  <c r="K19"/>
  <c r="L19" s="1"/>
  <c r="M19" s="1"/>
  <c r="H11" s="1"/>
  <c r="I14"/>
  <c r="K14" s="1"/>
  <c r="L14" s="1"/>
  <c r="M14" l="1"/>
  <c r="H7" s="1"/>
  <c r="M13"/>
  <c r="H6" s="1"/>
  <c r="H8" s="1"/>
  <c r="E4" s="1"/>
  <c r="I21"/>
  <c r="J21" s="1"/>
  <c r="J20"/>
  <c r="K20"/>
  <c r="L20" s="1"/>
  <c r="M20" s="1"/>
  <c r="H12" s="1"/>
  <c r="K21" l="1"/>
  <c r="L21" s="1"/>
  <c r="M21" s="1"/>
  <c r="H13" s="1"/>
  <c r="I22"/>
  <c r="J22" s="1"/>
  <c r="K22" l="1"/>
  <c r="L22" s="1"/>
  <c r="M22" s="1"/>
  <c r="H14" s="1"/>
  <c r="I23"/>
  <c r="J23" s="1"/>
  <c r="K23" l="1"/>
  <c r="L23" s="1"/>
  <c r="M23" s="1"/>
  <c r="H15" s="1"/>
  <c r="I24"/>
  <c r="I25" l="1"/>
  <c r="J24"/>
  <c r="K25" s="1"/>
  <c r="K24"/>
  <c r="L24"/>
  <c r="M24" s="1"/>
  <c r="H16" s="1"/>
  <c r="H19" s="1"/>
  <c r="E5" s="1"/>
  <c r="I26" l="1"/>
  <c r="J26" s="1"/>
  <c r="J25"/>
  <c r="K26" s="1"/>
  <c r="L27"/>
  <c r="E6" l="1"/>
  <c r="E8" s="1"/>
  <c r="M27"/>
</calcChain>
</file>

<file path=xl/sharedStrings.xml><?xml version="1.0" encoding="utf-8"?>
<sst xmlns="http://schemas.openxmlformats.org/spreadsheetml/2006/main" count="61" uniqueCount="37">
  <si>
    <t>Total Tax Liability</t>
  </si>
  <si>
    <t>TDS</t>
  </si>
  <si>
    <t>Advance Tax Paid</t>
  </si>
  <si>
    <t>Up to 15th June</t>
  </si>
  <si>
    <t>Up to 15th September</t>
  </si>
  <si>
    <t>Up to 15th December</t>
  </si>
  <si>
    <t>Up to 15th March</t>
  </si>
  <si>
    <t>Interest U/S 234 C</t>
  </si>
  <si>
    <t>First Quarter</t>
  </si>
  <si>
    <t>Second Quarter</t>
  </si>
  <si>
    <t>Third Quarter</t>
  </si>
  <si>
    <t>Fourth Quarter</t>
  </si>
  <si>
    <t>Assessee</t>
  </si>
  <si>
    <t>Individual</t>
  </si>
  <si>
    <t>Corporate</t>
  </si>
  <si>
    <t>Interest U/S 234 B</t>
  </si>
  <si>
    <t>Month Of Filling of Return</t>
  </si>
  <si>
    <t>September</t>
  </si>
  <si>
    <t>March</t>
  </si>
  <si>
    <t>Total Advance Tax Payable</t>
  </si>
  <si>
    <t>Advance Tax Interest Calculator</t>
  </si>
  <si>
    <t>Total Interest U/s 234 C</t>
  </si>
  <si>
    <t>Total Interest U/S 234 B</t>
  </si>
  <si>
    <t>Toatl Interest</t>
  </si>
  <si>
    <t>Total</t>
  </si>
  <si>
    <t>Amount in Rs.</t>
  </si>
  <si>
    <t>January</t>
  </si>
  <si>
    <t>February</t>
  </si>
  <si>
    <t>April</t>
  </si>
  <si>
    <t>May</t>
  </si>
  <si>
    <t>June</t>
  </si>
  <si>
    <t>July</t>
  </si>
  <si>
    <t>August</t>
  </si>
  <si>
    <t>October</t>
  </si>
  <si>
    <t>November</t>
  </si>
  <si>
    <t>December</t>
  </si>
  <si>
    <t>Self Assessment Paid in Month of</t>
  </si>
</sst>
</file>

<file path=xl/styles.xml><?xml version="1.0" encoding="utf-8"?>
<styleSheet xmlns="http://schemas.openxmlformats.org/spreadsheetml/2006/main">
  <numFmts count="2">
    <numFmt numFmtId="43" formatCode="_(* #,##0.00_);_(* \(#,##0.00\);_(* &quot;-&quot;??_);_(@_)"/>
    <numFmt numFmtId="164" formatCode="_(* #,##0_);_(* \(#,##0\);_(* &quot;-&quot;??_);_(@_)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CC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9">
    <xf numFmtId="0" fontId="0" fillId="0" borderId="0" xfId="0"/>
    <xf numFmtId="164" fontId="0" fillId="0" borderId="0" xfId="1" applyNumberFormat="1" applyFont="1"/>
    <xf numFmtId="10" fontId="0" fillId="0" borderId="0" xfId="2" applyNumberFormat="1" applyFont="1"/>
    <xf numFmtId="0" fontId="0" fillId="0" borderId="0" xfId="0" applyNumberFormat="1"/>
    <xf numFmtId="164" fontId="2" fillId="0" borderId="0" xfId="1" applyNumberFormat="1" applyFont="1" applyBorder="1"/>
    <xf numFmtId="0" fontId="2" fillId="0" borderId="0" xfId="0" applyFont="1"/>
    <xf numFmtId="164" fontId="0" fillId="0" borderId="0" xfId="0" applyNumberFormat="1"/>
    <xf numFmtId="164" fontId="0" fillId="0" borderId="0" xfId="1" applyNumberFormat="1" applyFont="1" applyBorder="1"/>
    <xf numFmtId="164" fontId="2" fillId="0" borderId="0" xfId="1" applyNumberFormat="1" applyFont="1" applyBorder="1" applyAlignment="1">
      <alignment horizont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164" fontId="0" fillId="0" borderId="4" xfId="1" applyNumberFormat="1" applyFont="1" applyBorder="1"/>
    <xf numFmtId="164" fontId="0" fillId="0" borderId="5" xfId="1" applyNumberFormat="1" applyFont="1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164" fontId="0" fillId="0" borderId="10" xfId="1" applyNumberFormat="1" applyFont="1" applyBorder="1"/>
    <xf numFmtId="0" fontId="0" fillId="0" borderId="12" xfId="0" applyBorder="1"/>
    <xf numFmtId="164" fontId="2" fillId="0" borderId="1" xfId="0" applyNumberFormat="1" applyFont="1" applyBorder="1"/>
    <xf numFmtId="164" fontId="0" fillId="0" borderId="0" xfId="1" applyNumberFormat="1" applyFont="1" applyFill="1" applyBorder="1"/>
    <xf numFmtId="164" fontId="2" fillId="0" borderId="14" xfId="0" applyNumberFormat="1" applyFont="1" applyBorder="1"/>
    <xf numFmtId="164" fontId="0" fillId="0" borderId="6" xfId="1" applyNumberFormat="1" applyFont="1" applyBorder="1"/>
    <xf numFmtId="164" fontId="0" fillId="2" borderId="14" xfId="1" applyNumberFormat="1" applyFont="1" applyFill="1" applyBorder="1" applyProtection="1">
      <protection locked="0"/>
    </xf>
    <xf numFmtId="164" fontId="0" fillId="3" borderId="16" xfId="1" applyNumberFormat="1" applyFont="1" applyFill="1" applyBorder="1" applyProtection="1">
      <protection locked="0"/>
    </xf>
    <xf numFmtId="164" fontId="2" fillId="0" borderId="14" xfId="1" applyNumberFormat="1" applyFont="1" applyBorder="1"/>
    <xf numFmtId="164" fontId="0" fillId="3" borderId="1" xfId="1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2" fillId="0" borderId="1" xfId="0" applyFont="1" applyBorder="1"/>
    <xf numFmtId="164" fontId="2" fillId="4" borderId="4" xfId="1" applyNumberFormat="1" applyFont="1" applyFill="1" applyBorder="1"/>
    <xf numFmtId="164" fontId="2" fillId="4" borderId="10" xfId="1" applyNumberFormat="1" applyFont="1" applyFill="1" applyBorder="1"/>
    <xf numFmtId="164" fontId="2" fillId="4" borderId="1" xfId="0" applyNumberFormat="1" applyFont="1" applyFill="1" applyBorder="1"/>
    <xf numFmtId="0" fontId="0" fillId="0" borderId="13" xfId="0" applyBorder="1"/>
    <xf numFmtId="164" fontId="2" fillId="0" borderId="1" xfId="1" applyNumberFormat="1" applyFont="1" applyBorder="1"/>
    <xf numFmtId="0" fontId="2" fillId="0" borderId="13" xfId="0" applyFont="1" applyBorder="1" applyAlignment="1">
      <alignment horizontal="center"/>
    </xf>
    <xf numFmtId="0" fontId="2" fillId="0" borderId="15" xfId="0" applyFont="1" applyBorder="1" applyAlignment="1">
      <alignment horizont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9" defaultPivotStyle="PivotStyleLight16"/>
  <colors>
    <mruColors>
      <color rgb="FF33CC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P41"/>
  <sheetViews>
    <sheetView tabSelected="1" topLeftCell="B4" workbookViewId="0">
      <selection activeCell="C21" sqref="C21"/>
    </sheetView>
  </sheetViews>
  <sheetFormatPr defaultRowHeight="15"/>
  <cols>
    <col min="1" max="1" width="9.140625" hidden="1" customWidth="1"/>
    <col min="2" max="2" width="32.7109375" bestFit="1" customWidth="1"/>
    <col min="3" max="3" width="14.85546875" bestFit="1" customWidth="1"/>
    <col min="4" max="4" width="21.28515625" customWidth="1"/>
    <col min="5" max="5" width="11.5703125" customWidth="1"/>
    <col min="6" max="6" width="16.7109375" bestFit="1" customWidth="1"/>
    <col min="7" max="7" width="14.85546875" bestFit="1" customWidth="1"/>
    <col min="8" max="8" width="16.7109375" customWidth="1"/>
    <col min="9" max="9" width="14.85546875" hidden="1" customWidth="1"/>
    <col min="10" max="11" width="11.5703125" hidden="1" customWidth="1"/>
    <col min="12" max="12" width="10.5703125" hidden="1" customWidth="1"/>
    <col min="13" max="13" width="9.140625" hidden="1" customWidth="1"/>
    <col min="14" max="14" width="14.28515625" hidden="1" customWidth="1"/>
    <col min="15" max="16" width="9.140625" hidden="1" customWidth="1"/>
    <col min="17" max="17" width="0" hidden="1" customWidth="1"/>
  </cols>
  <sheetData>
    <row r="2" spans="1:14">
      <c r="B2" s="5" t="s">
        <v>20</v>
      </c>
      <c r="F2" t="str">
        <f>IF($N$11&gt;=12%,"Proviso To Section 234C(1)(a)(i) of 12.00% apply","")</f>
        <v/>
      </c>
    </row>
    <row r="3" spans="1:14" ht="15.75" thickBot="1">
      <c r="F3" t="str">
        <f>IF($N$12&gt;=36%,"Proviso To Section 234C(1)(a)(i) of 36.00% apply","")</f>
        <v/>
      </c>
    </row>
    <row r="4" spans="1:14" ht="15.75" thickBot="1">
      <c r="A4" t="s">
        <v>13</v>
      </c>
      <c r="B4" s="5" t="s">
        <v>12</v>
      </c>
      <c r="C4" s="30" t="s">
        <v>14</v>
      </c>
      <c r="D4" s="9" t="s">
        <v>21</v>
      </c>
      <c r="E4" s="32">
        <f>H8</f>
        <v>918886.21799999988</v>
      </c>
      <c r="F4" s="11" t="s">
        <v>7</v>
      </c>
      <c r="G4" s="15" t="s">
        <v>8</v>
      </c>
      <c r="H4" s="13">
        <f>IF($C$8&gt;10000,M11,0)</f>
        <v>157931.80199999997</v>
      </c>
    </row>
    <row r="5" spans="1:14" ht="15.75" thickBot="1">
      <c r="A5" t="s">
        <v>14</v>
      </c>
      <c r="B5" s="5" t="s">
        <v>16</v>
      </c>
      <c r="C5" s="26">
        <v>10</v>
      </c>
      <c r="D5" s="19" t="s">
        <v>22</v>
      </c>
      <c r="E5" s="33">
        <f>H19</f>
        <v>0</v>
      </c>
      <c r="F5" s="12" t="s">
        <v>7</v>
      </c>
      <c r="G5" s="16" t="s">
        <v>9</v>
      </c>
      <c r="H5" s="14">
        <f>IF($C$8&gt;10000,M12,0)</f>
        <v>278795.40599999996</v>
      </c>
      <c r="I5" s="3">
        <v>3</v>
      </c>
      <c r="J5" s="3">
        <f>IF(I5&lt;C5,C5-I5,(12+C5)-I5)</f>
        <v>7</v>
      </c>
    </row>
    <row r="6" spans="1:14" ht="15.75" thickBot="1">
      <c r="B6" t="s">
        <v>0</v>
      </c>
      <c r="C6" s="27">
        <v>41273472</v>
      </c>
      <c r="D6" s="21" t="s">
        <v>23</v>
      </c>
      <c r="E6" s="34">
        <f>E5+E4</f>
        <v>918886.21799999988</v>
      </c>
      <c r="F6" s="12" t="s">
        <v>7</v>
      </c>
      <c r="G6" s="16" t="s">
        <v>10</v>
      </c>
      <c r="H6" s="14">
        <f>IF($C$8&gt;10000,M13,0)</f>
        <v>482159.01</v>
      </c>
    </row>
    <row r="7" spans="1:14" ht="15.75" thickBot="1">
      <c r="B7" t="s">
        <v>1</v>
      </c>
      <c r="C7" s="29">
        <v>1177516</v>
      </c>
      <c r="D7" s="35" t="str">
        <f>IF($I$27="Yes","Direct Refund","")</f>
        <v>Direct Refund</v>
      </c>
      <c r="E7" s="36">
        <f>IF($I$27="Yes",$J$27,"")</f>
        <v>3504044</v>
      </c>
      <c r="F7" s="18" t="s">
        <v>7</v>
      </c>
      <c r="G7" s="17" t="s">
        <v>11</v>
      </c>
      <c r="H7" s="25">
        <f>IF($C$8&gt;10000,M14,0)</f>
        <v>0</v>
      </c>
    </row>
    <row r="8" spans="1:14" ht="15.75" thickBot="1">
      <c r="B8" s="5" t="s">
        <v>19</v>
      </c>
      <c r="C8" s="28">
        <f>C6-C7</f>
        <v>40095956</v>
      </c>
      <c r="D8" s="35" t="str">
        <f>IF($I$27="Yes","Net Refund","")</f>
        <v>Net Refund</v>
      </c>
      <c r="E8" s="36">
        <f>IF($I$27="Yes",E7-E6,"")</f>
        <v>2585157.7820000001</v>
      </c>
      <c r="F8" s="37" t="s">
        <v>24</v>
      </c>
      <c r="G8" s="38"/>
      <c r="H8" s="24">
        <f>SUM(H4:H7)</f>
        <v>918886.21799999988</v>
      </c>
    </row>
    <row r="9" spans="1:14" ht="15.75" thickBot="1">
      <c r="C9" s="4"/>
    </row>
    <row r="10" spans="1:14" ht="15.75" thickBot="1">
      <c r="B10" s="5" t="s">
        <v>2</v>
      </c>
      <c r="C10" s="31" t="s">
        <v>25</v>
      </c>
      <c r="F10" s="11" t="s">
        <v>15</v>
      </c>
      <c r="G10" s="9" t="s">
        <v>28</v>
      </c>
      <c r="H10" s="13" t="str">
        <f t="shared" ref="H10:H18" si="0">IF($C$8&gt;10000,M18,0)</f>
        <v/>
      </c>
    </row>
    <row r="11" spans="1:14" ht="15.75" thickBot="1">
      <c r="B11" t="s">
        <v>3</v>
      </c>
      <c r="C11" s="29">
        <v>750000</v>
      </c>
      <c r="F11" s="12" t="s">
        <v>15</v>
      </c>
      <c r="G11" s="10" t="s">
        <v>29</v>
      </c>
      <c r="H11" s="13" t="str">
        <f t="shared" si="0"/>
        <v/>
      </c>
      <c r="I11" s="1">
        <f>C11</f>
        <v>750000</v>
      </c>
      <c r="J11" s="1">
        <f>IF(C4="Corporate",C8*15%,0)</f>
        <v>6014393.3999999994</v>
      </c>
      <c r="K11" s="1">
        <f>IF(J11&gt;I11,J11-I11,0)</f>
        <v>5264393.3999999994</v>
      </c>
      <c r="L11" s="13">
        <f>IF(C4="Corporate",K11*3%,0)</f>
        <v>157931.80199999997</v>
      </c>
      <c r="M11" s="6">
        <f>IF(AND(I11&gt;=0.12*$C$8,C4="Corporate"),0,L11)</f>
        <v>157931.80199999997</v>
      </c>
      <c r="N11" s="2">
        <f>I11/$C$8</f>
        <v>1.8705128267798379E-2</v>
      </c>
    </row>
    <row r="12" spans="1:14" ht="15.75" thickBot="1">
      <c r="B12" t="s">
        <v>4</v>
      </c>
      <c r="C12" s="29">
        <v>8000000</v>
      </c>
      <c r="F12" s="12" t="s">
        <v>15</v>
      </c>
      <c r="G12" s="10" t="s">
        <v>30</v>
      </c>
      <c r="H12" s="13" t="str">
        <f t="shared" si="0"/>
        <v/>
      </c>
      <c r="I12" s="1">
        <f>I11+C12</f>
        <v>8750000</v>
      </c>
      <c r="J12" s="1">
        <f>IF($C$4="Corporate",C8*45%,C8*30%)</f>
        <v>18043180.199999999</v>
      </c>
      <c r="K12" s="1">
        <f>IF(J12&gt;I12,J12-I12,0)</f>
        <v>9293180.1999999993</v>
      </c>
      <c r="L12" s="14">
        <f>K12*3%</f>
        <v>278795.40599999996</v>
      </c>
      <c r="M12" s="6">
        <f>IF(AND(I12&gt;=0.36*$C$8,C4="Corporate"),0,L12)</f>
        <v>278795.40599999996</v>
      </c>
      <c r="N12" s="2">
        <f>I12/$C$8</f>
        <v>0.21822649645764775</v>
      </c>
    </row>
    <row r="13" spans="1:14" ht="15.75" thickBot="1">
      <c r="B13" t="s">
        <v>5</v>
      </c>
      <c r="C13" s="29">
        <v>5250000</v>
      </c>
      <c r="F13" s="12" t="s">
        <v>15</v>
      </c>
      <c r="G13" s="10" t="s">
        <v>31</v>
      </c>
      <c r="H13" s="13" t="str">
        <f t="shared" si="0"/>
        <v/>
      </c>
      <c r="I13" s="1">
        <f>I12+C13</f>
        <v>14000000</v>
      </c>
      <c r="J13" s="1">
        <f>IF(C4="Corporate",C8*75%,C8*60%)</f>
        <v>30071967</v>
      </c>
      <c r="K13" s="1">
        <f>IF(J13&gt;I13,J13-I13,0)</f>
        <v>16071967</v>
      </c>
      <c r="L13" s="14">
        <f>K13*3%</f>
        <v>482159.01</v>
      </c>
      <c r="M13" s="6">
        <f>L13</f>
        <v>482159.01</v>
      </c>
    </row>
    <row r="14" spans="1:14" ht="15.75" thickBot="1">
      <c r="B14" t="s">
        <v>6</v>
      </c>
      <c r="C14" s="29">
        <v>29600000</v>
      </c>
      <c r="F14" s="12" t="s">
        <v>15</v>
      </c>
      <c r="G14" s="10" t="s">
        <v>32</v>
      </c>
      <c r="H14" s="13" t="str">
        <f t="shared" si="0"/>
        <v/>
      </c>
      <c r="I14" s="1">
        <f>I13+C14</f>
        <v>43600000</v>
      </c>
      <c r="J14" s="1">
        <f>C8*100%</f>
        <v>40095956</v>
      </c>
      <c r="K14" s="1">
        <f t="shared" ref="K14" si="1">IF(J14&gt;I14,J14-I14,0)</f>
        <v>0</v>
      </c>
      <c r="L14" s="20">
        <f>K14*1%</f>
        <v>0</v>
      </c>
      <c r="M14" s="6">
        <f>L14</f>
        <v>0</v>
      </c>
    </row>
    <row r="15" spans="1:14" ht="15.75" thickBot="1">
      <c r="B15" s="5" t="s">
        <v>24</v>
      </c>
      <c r="C15" s="28">
        <f>SUM(C11:C14)</f>
        <v>43600000</v>
      </c>
      <c r="F15" s="12" t="s">
        <v>15</v>
      </c>
      <c r="G15" s="10" t="s">
        <v>17</v>
      </c>
      <c r="H15" s="13" t="str">
        <f t="shared" si="0"/>
        <v/>
      </c>
      <c r="I15" s="2">
        <f>I17/C8</f>
        <v>1.0873914566346792</v>
      </c>
      <c r="J15" s="1">
        <f>C8-C15</f>
        <v>-3504044</v>
      </c>
      <c r="K15" s="1"/>
    </row>
    <row r="16" spans="1:14" ht="15.75" thickBot="1">
      <c r="B16" s="8" t="s">
        <v>36</v>
      </c>
      <c r="C16" s="5" t="s">
        <v>25</v>
      </c>
      <c r="F16" s="12" t="s">
        <v>15</v>
      </c>
      <c r="G16" s="10" t="s">
        <v>33</v>
      </c>
      <c r="H16" s="13" t="str">
        <f t="shared" si="0"/>
        <v/>
      </c>
      <c r="I16" s="2"/>
      <c r="J16" s="1"/>
      <c r="K16" s="1"/>
    </row>
    <row r="17" spans="1:13" ht="15.75" thickBot="1">
      <c r="A17" s="7">
        <v>3</v>
      </c>
      <c r="B17" t="str">
        <f>VLOOKUP(A17,A27:B38,2,FALSE)</f>
        <v>March</v>
      </c>
      <c r="C17" s="29">
        <v>0</v>
      </c>
      <c r="F17" s="12" t="s">
        <v>15</v>
      </c>
      <c r="G17" s="10" t="s">
        <v>34</v>
      </c>
      <c r="H17" s="13" t="str">
        <f t="shared" si="0"/>
        <v/>
      </c>
      <c r="I17" s="1">
        <f>C15+C17</f>
        <v>43600000</v>
      </c>
      <c r="J17" s="6">
        <f>IF($C$8-I17&gt;0,$C$8-I17,0)</f>
        <v>0</v>
      </c>
      <c r="K17" s="1" t="str">
        <f>IF($I$15&lt;90%,J17*1%,"")</f>
        <v/>
      </c>
      <c r="L17" s="1"/>
    </row>
    <row r="18" spans="1:13" ht="15.75" thickBot="1">
      <c r="A18" s="7">
        <v>4</v>
      </c>
      <c r="B18" t="str">
        <f t="shared" ref="B18:B26" si="2">VLOOKUP(A18,A28:B39,2,FALSE)</f>
        <v>April</v>
      </c>
      <c r="C18" s="29">
        <v>0</v>
      </c>
      <c r="F18" s="18" t="s">
        <v>15</v>
      </c>
      <c r="G18" s="19" t="s">
        <v>35</v>
      </c>
      <c r="H18" s="13" t="str">
        <f t="shared" si="0"/>
        <v/>
      </c>
      <c r="I18" s="1">
        <f t="shared" ref="I18:I24" si="3">I17+C18</f>
        <v>43600000</v>
      </c>
      <c r="J18" s="6">
        <f t="shared" ref="J18:J26" si="4">IF($C$8-I18&gt;0,$C$8-I18,0)</f>
        <v>0</v>
      </c>
      <c r="K18" s="1" t="str">
        <f t="shared" ref="K18:K24" si="5">IF($I$15&lt;90%,J17*1%,"")</f>
        <v/>
      </c>
      <c r="L18" s="1" t="str">
        <f t="shared" ref="L18:L26" si="6">IF(A18&lt;=$C$5,K18,"")</f>
        <v/>
      </c>
      <c r="M18" s="6" t="str">
        <f>L18</f>
        <v/>
      </c>
    </row>
    <row r="19" spans="1:13" ht="15.75" thickBot="1">
      <c r="A19" s="7">
        <v>5</v>
      </c>
      <c r="B19" t="str">
        <f t="shared" si="2"/>
        <v>May</v>
      </c>
      <c r="C19" s="29">
        <v>0</v>
      </c>
      <c r="F19" s="37" t="s">
        <v>24</v>
      </c>
      <c r="G19" s="38"/>
      <c r="H19" s="22">
        <f>SUM(H10:H18)</f>
        <v>0</v>
      </c>
      <c r="I19" s="1">
        <f t="shared" si="3"/>
        <v>43600000</v>
      </c>
      <c r="J19" s="6">
        <f t="shared" si="4"/>
        <v>0</v>
      </c>
      <c r="K19" s="1" t="str">
        <f t="shared" si="5"/>
        <v/>
      </c>
      <c r="L19" s="1" t="str">
        <f t="shared" si="6"/>
        <v/>
      </c>
      <c r="M19" s="6" t="str">
        <f t="shared" ref="M19:M38" si="7">L19</f>
        <v/>
      </c>
    </row>
    <row r="20" spans="1:13" ht="15.75" thickBot="1">
      <c r="A20" s="7">
        <v>6</v>
      </c>
      <c r="B20" t="str">
        <f t="shared" si="2"/>
        <v>June</v>
      </c>
      <c r="C20" s="29">
        <v>0</v>
      </c>
      <c r="I20" s="1">
        <f t="shared" si="3"/>
        <v>43600000</v>
      </c>
      <c r="J20" s="6">
        <f t="shared" si="4"/>
        <v>0</v>
      </c>
      <c r="K20" s="1" t="str">
        <f t="shared" si="5"/>
        <v/>
      </c>
      <c r="L20" s="1" t="str">
        <f t="shared" si="6"/>
        <v/>
      </c>
      <c r="M20" s="6" t="str">
        <f t="shared" si="7"/>
        <v/>
      </c>
    </row>
    <row r="21" spans="1:13" ht="15.75" thickBot="1">
      <c r="A21" s="7">
        <v>7</v>
      </c>
      <c r="B21" t="str">
        <f t="shared" si="2"/>
        <v>July</v>
      </c>
      <c r="C21" s="29">
        <v>0</v>
      </c>
      <c r="I21" s="1">
        <f t="shared" si="3"/>
        <v>43600000</v>
      </c>
      <c r="J21" s="6">
        <f t="shared" si="4"/>
        <v>0</v>
      </c>
      <c r="K21" s="1" t="str">
        <f t="shared" si="5"/>
        <v/>
      </c>
      <c r="L21" s="1" t="str">
        <f t="shared" si="6"/>
        <v/>
      </c>
      <c r="M21" s="6" t="str">
        <f t="shared" si="7"/>
        <v/>
      </c>
    </row>
    <row r="22" spans="1:13" ht="15.75" thickBot="1">
      <c r="A22" s="7">
        <v>8</v>
      </c>
      <c r="B22" t="str">
        <f t="shared" si="2"/>
        <v>August</v>
      </c>
      <c r="C22" s="29">
        <v>0</v>
      </c>
      <c r="I22" s="1">
        <f t="shared" si="3"/>
        <v>43600000</v>
      </c>
      <c r="J22" s="6">
        <f t="shared" si="4"/>
        <v>0</v>
      </c>
      <c r="K22" s="1" t="str">
        <f t="shared" si="5"/>
        <v/>
      </c>
      <c r="L22" s="1" t="str">
        <f t="shared" si="6"/>
        <v/>
      </c>
      <c r="M22" s="6" t="str">
        <f t="shared" si="7"/>
        <v/>
      </c>
    </row>
    <row r="23" spans="1:13" ht="15.75" thickBot="1">
      <c r="A23" s="7">
        <v>9</v>
      </c>
      <c r="B23" t="str">
        <f t="shared" si="2"/>
        <v>September</v>
      </c>
      <c r="C23" s="29">
        <v>0</v>
      </c>
      <c r="I23" s="1">
        <f t="shared" si="3"/>
        <v>43600000</v>
      </c>
      <c r="J23" s="6">
        <f t="shared" si="4"/>
        <v>0</v>
      </c>
      <c r="K23" s="1" t="str">
        <f t="shared" si="5"/>
        <v/>
      </c>
      <c r="L23" s="1" t="str">
        <f t="shared" si="6"/>
        <v/>
      </c>
      <c r="M23" s="6" t="str">
        <f t="shared" si="7"/>
        <v/>
      </c>
    </row>
    <row r="24" spans="1:13" ht="15.75" thickBot="1">
      <c r="A24" s="7">
        <v>10</v>
      </c>
      <c r="B24" t="str">
        <f t="shared" si="2"/>
        <v>October</v>
      </c>
      <c r="C24" s="29">
        <v>0</v>
      </c>
      <c r="I24" s="1">
        <f t="shared" si="3"/>
        <v>43600000</v>
      </c>
      <c r="J24" s="6">
        <f t="shared" si="4"/>
        <v>0</v>
      </c>
      <c r="K24" s="1" t="str">
        <f t="shared" si="5"/>
        <v/>
      </c>
      <c r="L24" s="1" t="str">
        <f t="shared" si="6"/>
        <v/>
      </c>
      <c r="M24" s="6" t="str">
        <f t="shared" si="7"/>
        <v/>
      </c>
    </row>
    <row r="25" spans="1:13" ht="15.75" thickBot="1">
      <c r="A25" s="23">
        <v>11</v>
      </c>
      <c r="B25" t="str">
        <f t="shared" si="2"/>
        <v>November</v>
      </c>
      <c r="C25" s="29">
        <v>0</v>
      </c>
      <c r="I25" s="1">
        <f t="shared" ref="I25:I26" si="8">I24+C25</f>
        <v>43600000</v>
      </c>
      <c r="J25" s="6">
        <f t="shared" si="4"/>
        <v>0</v>
      </c>
      <c r="K25" s="1" t="str">
        <f t="shared" ref="K25:K26" si="9">IF($I$15&lt;90%,J24*1%,"")</f>
        <v/>
      </c>
      <c r="L25" s="1" t="str">
        <f t="shared" si="6"/>
        <v/>
      </c>
      <c r="M25" s="6" t="str">
        <f t="shared" si="7"/>
        <v/>
      </c>
    </row>
    <row r="26" spans="1:13" ht="15.75" thickBot="1">
      <c r="A26" s="23">
        <v>12</v>
      </c>
      <c r="B26" t="str">
        <f t="shared" si="2"/>
        <v>December</v>
      </c>
      <c r="C26" s="29">
        <v>0</v>
      </c>
      <c r="I26" s="1">
        <f t="shared" si="8"/>
        <v>43600000</v>
      </c>
      <c r="J26" s="6">
        <f t="shared" si="4"/>
        <v>0</v>
      </c>
      <c r="K26" s="1" t="str">
        <f t="shared" si="9"/>
        <v/>
      </c>
      <c r="L26" s="1" t="str">
        <f t="shared" si="6"/>
        <v/>
      </c>
      <c r="M26" s="6" t="str">
        <f t="shared" si="7"/>
        <v/>
      </c>
    </row>
    <row r="27" spans="1:13" hidden="1">
      <c r="A27">
        <v>1</v>
      </c>
      <c r="B27" t="s">
        <v>26</v>
      </c>
      <c r="I27" t="str">
        <f>IF(C15&gt;C8,"Yes","No")</f>
        <v>Yes</v>
      </c>
      <c r="J27">
        <f>IF(I27="Yes",C15-C8,"")</f>
        <v>3504044</v>
      </c>
      <c r="L27" s="6">
        <f>SUM(L17:L26)</f>
        <v>0</v>
      </c>
      <c r="M27" s="6">
        <f t="shared" si="7"/>
        <v>0</v>
      </c>
    </row>
    <row r="28" spans="1:13" hidden="1">
      <c r="A28">
        <v>2</v>
      </c>
      <c r="B28" t="s">
        <v>27</v>
      </c>
      <c r="M28" s="6">
        <f t="shared" si="7"/>
        <v>0</v>
      </c>
    </row>
    <row r="29" spans="1:13" hidden="1">
      <c r="A29">
        <v>3</v>
      </c>
      <c r="B29" t="s">
        <v>18</v>
      </c>
      <c r="M29" s="6">
        <f t="shared" si="7"/>
        <v>0</v>
      </c>
    </row>
    <row r="30" spans="1:13" hidden="1">
      <c r="A30">
        <v>4</v>
      </c>
      <c r="B30" t="s">
        <v>28</v>
      </c>
      <c r="M30" s="6">
        <f t="shared" si="7"/>
        <v>0</v>
      </c>
    </row>
    <row r="31" spans="1:13" hidden="1">
      <c r="A31">
        <v>5</v>
      </c>
      <c r="B31" t="s">
        <v>29</v>
      </c>
      <c r="M31" s="6">
        <f t="shared" si="7"/>
        <v>0</v>
      </c>
    </row>
    <row r="32" spans="1:13" hidden="1">
      <c r="A32">
        <v>6</v>
      </c>
      <c r="B32" t="s">
        <v>30</v>
      </c>
      <c r="M32" s="6">
        <f t="shared" si="7"/>
        <v>0</v>
      </c>
    </row>
    <row r="33" spans="1:13" hidden="1">
      <c r="A33">
        <v>7</v>
      </c>
      <c r="B33" t="s">
        <v>31</v>
      </c>
      <c r="M33" s="6">
        <f t="shared" si="7"/>
        <v>0</v>
      </c>
    </row>
    <row r="34" spans="1:13" hidden="1">
      <c r="A34">
        <v>8</v>
      </c>
      <c r="B34" t="s">
        <v>32</v>
      </c>
      <c r="M34" s="6">
        <f t="shared" si="7"/>
        <v>0</v>
      </c>
    </row>
    <row r="35" spans="1:13" hidden="1">
      <c r="A35">
        <v>9</v>
      </c>
      <c r="B35" t="s">
        <v>17</v>
      </c>
      <c r="M35" s="6">
        <f t="shared" si="7"/>
        <v>0</v>
      </c>
    </row>
    <row r="36" spans="1:13" hidden="1">
      <c r="A36">
        <v>10</v>
      </c>
      <c r="B36" t="s">
        <v>33</v>
      </c>
      <c r="M36" s="6">
        <f t="shared" si="7"/>
        <v>0</v>
      </c>
    </row>
    <row r="37" spans="1:13" hidden="1">
      <c r="A37">
        <v>11</v>
      </c>
      <c r="B37" t="s">
        <v>34</v>
      </c>
      <c r="M37" s="6">
        <f t="shared" si="7"/>
        <v>0</v>
      </c>
    </row>
    <row r="38" spans="1:13" hidden="1">
      <c r="A38">
        <v>12</v>
      </c>
      <c r="B38" t="s">
        <v>35</v>
      </c>
      <c r="M38" s="6">
        <f t="shared" si="7"/>
        <v>0</v>
      </c>
    </row>
    <row r="39" spans="1:13" hidden="1"/>
    <row r="40" spans="1:13" hidden="1"/>
    <row r="41" spans="1:13" hidden="1"/>
  </sheetData>
  <sheetProtection password="DAF5" sheet="1" objects="1" scenarios="1" selectLockedCells="1"/>
  <mergeCells count="2">
    <mergeCell ref="F19:G19"/>
    <mergeCell ref="F8:G8"/>
  </mergeCells>
  <dataValidations count="2">
    <dataValidation type="list" allowBlank="1" showInputMessage="1" showErrorMessage="1" sqref="C4">
      <formula1>$A$4:$A$5</formula1>
    </dataValidation>
    <dataValidation type="list" allowBlank="1" showInputMessage="1" showErrorMessage="1" sqref="C5">
      <formula1>$A$27:$A$38</formula1>
    </dataValidation>
  </dataValidation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Bluestar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2010-10-19T12:05:59Z</dcterms:created>
  <dcterms:modified xsi:type="dcterms:W3CDTF">2010-10-22T11:31:06Z</dcterms:modified>
</cp:coreProperties>
</file>