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2012-13" sheetId="1" r:id="rId1"/>
  </sheets>
  <calcPr calcId="144525"/>
</workbook>
</file>

<file path=xl/calcChain.xml><?xml version="1.0" encoding="utf-8"?>
<calcChain xmlns="http://schemas.openxmlformats.org/spreadsheetml/2006/main">
  <c r="N15" i="1" l="1"/>
  <c r="N14" i="1"/>
  <c r="P46" i="1" l="1"/>
  <c r="P45" i="1"/>
  <c r="P44" i="1"/>
  <c r="O46" i="1"/>
  <c r="R46" i="1" s="1"/>
  <c r="O45" i="1"/>
  <c r="R45" i="1" s="1"/>
  <c r="O44" i="1"/>
  <c r="R44" i="1" s="1"/>
  <c r="P39" i="1"/>
  <c r="P38" i="1"/>
  <c r="P37" i="1"/>
  <c r="P36" i="1"/>
  <c r="O39" i="1"/>
  <c r="R39" i="1" s="1"/>
  <c r="O38" i="1"/>
  <c r="R38" i="1" s="1"/>
  <c r="O37" i="1"/>
  <c r="O36" i="1"/>
  <c r="R36" i="1" s="1"/>
  <c r="P30" i="1"/>
  <c r="P29" i="1"/>
  <c r="P28" i="1"/>
  <c r="O31" i="1"/>
  <c r="P31" i="1" s="1"/>
  <c r="R31" i="1" s="1"/>
  <c r="O30" i="1"/>
  <c r="O29" i="1"/>
  <c r="R29" i="1" s="1"/>
  <c r="O28" i="1"/>
  <c r="R28" i="1" s="1"/>
  <c r="P22" i="1"/>
  <c r="P21" i="1"/>
  <c r="O23" i="1"/>
  <c r="O22" i="1"/>
  <c r="R22" i="1" s="1"/>
  <c r="O21" i="1"/>
  <c r="O20" i="1"/>
  <c r="P20" i="1" s="1"/>
  <c r="R20" i="1" s="1"/>
  <c r="R37" i="1"/>
  <c r="R30" i="1"/>
  <c r="P23" i="1"/>
  <c r="R23" i="1" s="1"/>
  <c r="R21" i="1"/>
  <c r="R32" i="1" l="1"/>
  <c r="R40" i="1"/>
  <c r="R47" i="1"/>
  <c r="R24" i="1"/>
  <c r="H16" i="1"/>
  <c r="I16" i="1" s="1"/>
  <c r="K16" i="1" s="1"/>
  <c r="N10" i="1" l="1"/>
  <c r="N11" i="1"/>
  <c r="N6" i="1"/>
  <c r="N5" i="1"/>
  <c r="N7" i="1" l="1"/>
  <c r="N12" i="1"/>
  <c r="H54" i="1"/>
  <c r="H53" i="1"/>
  <c r="I53" i="1" s="1"/>
  <c r="H52" i="1"/>
  <c r="I52" i="1" s="1"/>
  <c r="K52" i="1" s="1"/>
  <c r="F40" i="1"/>
  <c r="H40" i="1" s="1"/>
  <c r="F44" i="1"/>
  <c r="H44" i="1" s="1"/>
  <c r="F48" i="1"/>
  <c r="H48" i="1" s="1"/>
  <c r="F36" i="1"/>
  <c r="H36" i="1" s="1"/>
  <c r="H31" i="1"/>
  <c r="I31" i="1" s="1"/>
  <c r="H30" i="1"/>
  <c r="I30" i="1" s="1"/>
  <c r="K30" i="1" s="1"/>
  <c r="H29" i="1"/>
  <c r="I29" i="1" s="1"/>
  <c r="K29" i="1" s="1"/>
  <c r="H24" i="1"/>
  <c r="I24" i="1" s="1"/>
  <c r="K24" i="1" s="1"/>
  <c r="H23" i="1"/>
  <c r="I23" i="1" s="1"/>
  <c r="K23" i="1" s="1"/>
  <c r="H22" i="1"/>
  <c r="I22" i="1" s="1"/>
  <c r="K22" i="1" s="1"/>
  <c r="H21" i="1"/>
  <c r="I21" i="1" s="1"/>
  <c r="K21" i="1" s="1"/>
  <c r="H13" i="1"/>
  <c r="I13" i="1" s="1"/>
  <c r="I54" i="1" l="1"/>
  <c r="K54" i="1" s="1"/>
  <c r="K53" i="1"/>
  <c r="K31" i="1"/>
  <c r="K32" i="1" s="1"/>
  <c r="K25" i="1"/>
  <c r="K13" i="1"/>
  <c r="H15" i="1"/>
  <c r="H14" i="1"/>
  <c r="H5" i="1"/>
  <c r="I5" i="1" s="1"/>
  <c r="K5" i="1" s="1"/>
  <c r="H8" i="1"/>
  <c r="I8" i="1" s="1"/>
  <c r="H7" i="1"/>
  <c r="H6" i="1"/>
  <c r="I6" i="1" s="1"/>
  <c r="I14" i="1" l="1"/>
  <c r="K14" i="1" s="1"/>
  <c r="K55" i="1"/>
  <c r="I15" i="1"/>
  <c r="K15" i="1" s="1"/>
  <c r="K8" i="1"/>
  <c r="I7" i="1"/>
  <c r="K7" i="1" s="1"/>
  <c r="K6" i="1"/>
  <c r="K17" i="1" l="1"/>
  <c r="K9" i="1"/>
  <c r="B11" i="1" l="1"/>
  <c r="M16" i="1"/>
  <c r="B10" i="1" s="1"/>
  <c r="B13" i="1" l="1"/>
  <c r="B12" i="1"/>
  <c r="B14" i="1" l="1"/>
</calcChain>
</file>

<file path=xl/sharedStrings.xml><?xml version="1.0" encoding="utf-8"?>
<sst xmlns="http://schemas.openxmlformats.org/spreadsheetml/2006/main" count="45" uniqueCount="29">
  <si>
    <t>ASSESSMENT YEAR</t>
  </si>
  <si>
    <t>TYPE OF ASSESSEE</t>
  </si>
  <si>
    <t>TAXABLE INCOME</t>
  </si>
  <si>
    <t>BASIC TAX</t>
  </si>
  <si>
    <t>SURCHARGE</t>
  </si>
  <si>
    <t>EDUCATION CESS</t>
  </si>
  <si>
    <t>S.H.EDUCATION CESS</t>
  </si>
  <si>
    <t>PERSON</t>
  </si>
  <si>
    <t>TOTAL TAX</t>
  </si>
  <si>
    <t>Total basic tax</t>
  </si>
  <si>
    <t>Individual Others</t>
  </si>
  <si>
    <t>Woman</t>
  </si>
  <si>
    <t>Senior Citizen</t>
  </si>
  <si>
    <t>Super Senior Citizen</t>
  </si>
  <si>
    <t>Firm</t>
  </si>
  <si>
    <t>Domestic Company</t>
  </si>
  <si>
    <t>Foreign Company</t>
  </si>
  <si>
    <t>Local Authority</t>
  </si>
  <si>
    <t>Cooperative Society</t>
  </si>
  <si>
    <t>Income exceds</t>
  </si>
  <si>
    <t>Surcharge Appl</t>
  </si>
  <si>
    <t>Surcharge Appl.</t>
  </si>
  <si>
    <t>individual tax</t>
  </si>
  <si>
    <t>Tax calculator</t>
  </si>
  <si>
    <t>Created by Syed Raza Abbas Rizvi</t>
  </si>
  <si>
    <t>Give your feeb back at www.facebook.com/ca.abbas786</t>
  </si>
  <si>
    <t>2012-2013</t>
  </si>
  <si>
    <t>NOT APPLICABLE</t>
  </si>
  <si>
    <t>LOCAL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</si>
</sst>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20"/>
      <color theme="1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vertical="center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left" vertical="center" indent="1"/>
      <protection hidden="1"/>
    </xf>
    <xf numFmtId="0" fontId="0" fillId="0" borderId="0" xfId="0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right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4" fontId="0" fillId="0" borderId="1" xfId="0" applyNumberForma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/>
      <protection hidden="1"/>
    </xf>
    <xf numFmtId="4" fontId="0" fillId="0" borderId="1" xfId="0" applyNumberFormat="1" applyBorder="1" applyAlignment="1" applyProtection="1">
      <alignment horizontal="right"/>
      <protection hidden="1"/>
    </xf>
    <xf numFmtId="0" fontId="1" fillId="0" borderId="0" xfId="0" applyFont="1" applyAlignment="1" applyProtection="1">
      <alignment vertical="center"/>
      <protection hidden="1"/>
    </xf>
    <xf numFmtId="0" fontId="5" fillId="2" borderId="0" xfId="0" applyFont="1" applyFill="1" applyAlignment="1" applyProtection="1">
      <alignment horizontal="left" vertical="center" wrapText="1" indent="1"/>
      <protection hidden="1"/>
    </xf>
    <xf numFmtId="0" fontId="0" fillId="0" borderId="1" xfId="0" applyBorder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left" indent="1"/>
      <protection hidden="1"/>
    </xf>
    <xf numFmtId="0" fontId="0" fillId="0" borderId="1" xfId="0" applyBorder="1" applyProtection="1"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5" fillId="2" borderId="0" xfId="0" applyFont="1" applyFill="1" applyAlignment="1" applyProtection="1">
      <alignment horizontal="center" vertical="center"/>
      <protection locked="0"/>
    </xf>
    <xf numFmtId="3" fontId="5" fillId="2" borderId="0" xfId="0" applyNumberFormat="1" applyFont="1" applyFill="1" applyAlignment="1" applyProtection="1">
      <alignment horizontal="center" vertical="center"/>
      <protection hidden="1"/>
    </xf>
    <xf numFmtId="164" fontId="5" fillId="2" borderId="0" xfId="0" applyNumberFormat="1" applyFont="1" applyFill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1375089</xdr:colOff>
      <xdr:row>3</xdr:row>
      <xdr:rowOff>1</xdr:rowOff>
    </xdr:from>
    <xdr:to>
      <xdr:col>3</xdr:col>
      <xdr:colOff>603698</xdr:colOff>
      <xdr:row>15</xdr:row>
      <xdr:rowOff>6707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7008" y="375635"/>
          <a:ext cx="1220810" cy="2260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tabSelected="1" view="pageBreakPreview" topLeftCell="A2" zoomScale="150" zoomScaleNormal="100" zoomScaleSheetLayoutView="150" workbookViewId="0">
      <selection activeCell="B5" sqref="B5"/>
    </sheetView>
  </sheetViews>
  <sheetFormatPr defaultRowHeight="15" x14ac:dyDescent="0.25"/>
  <cols>
    <col min="1" max="1" width="21" bestFit="1" customWidth="1"/>
    <col min="2" max="2" width="20.7109375" style="1" customWidth="1"/>
    <col min="4" max="4" width="9.140625" customWidth="1"/>
    <col min="5" max="5" width="9.140625" hidden="1" customWidth="1"/>
    <col min="6" max="7" width="9.28515625" hidden="1" customWidth="1"/>
    <col min="8" max="9" width="11.140625" hidden="1" customWidth="1"/>
    <col min="10" max="10" width="5.85546875" hidden="1" customWidth="1"/>
    <col min="11" max="11" width="9.28515625" hidden="1" customWidth="1"/>
    <col min="12" max="12" width="9.140625" hidden="1" customWidth="1"/>
    <col min="13" max="13" width="18.28515625" hidden="1" customWidth="1"/>
    <col min="14" max="14" width="11.140625" style="11" hidden="1" customWidth="1"/>
    <col min="15" max="18" width="9.140625" hidden="1" customWidth="1"/>
    <col min="19" max="21" width="9.140625" customWidth="1"/>
  </cols>
  <sheetData>
    <row r="1" spans="1:22" hidden="1" x14ac:dyDescent="0.25"/>
    <row r="2" spans="1:22" ht="15" customHeight="1" x14ac:dyDescent="0.25">
      <c r="A2" s="35" t="s">
        <v>23</v>
      </c>
      <c r="B2" s="35"/>
      <c r="C2" s="35"/>
      <c r="D2" s="35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ht="15" customHeight="1" x14ac:dyDescent="0.25">
      <c r="A3" s="35"/>
      <c r="B3" s="35"/>
      <c r="C3" s="35"/>
      <c r="D3" s="35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x14ac:dyDescent="0.25">
      <c r="A4" s="12"/>
      <c r="B4" s="13"/>
      <c r="C4" s="14"/>
      <c r="D4" s="14"/>
      <c r="E4" s="14"/>
      <c r="F4" s="32" t="s">
        <v>10</v>
      </c>
      <c r="G4" s="33"/>
      <c r="H4" s="33"/>
      <c r="I4" s="33"/>
      <c r="J4" s="33"/>
      <c r="K4" s="34"/>
      <c r="L4" s="14"/>
      <c r="M4" s="14"/>
      <c r="N4" s="15"/>
      <c r="O4" s="14"/>
      <c r="P4" s="14"/>
      <c r="Q4" s="14"/>
      <c r="R4" s="14"/>
      <c r="S4" s="14"/>
      <c r="T4" s="14"/>
      <c r="U4" s="14"/>
      <c r="V4" s="14"/>
    </row>
    <row r="5" spans="1:22" s="1" customFormat="1" ht="15" customHeight="1" x14ac:dyDescent="0.25">
      <c r="A5" s="16" t="s">
        <v>0</v>
      </c>
      <c r="B5" s="29" t="s">
        <v>26</v>
      </c>
      <c r="C5" s="17"/>
      <c r="D5" s="17"/>
      <c r="E5" s="17"/>
      <c r="F5" s="18">
        <v>0</v>
      </c>
      <c r="G5" s="18">
        <v>180000</v>
      </c>
      <c r="H5" s="19">
        <f>IF(B8&lt;=180000,B8,180000)</f>
        <v>180000</v>
      </c>
      <c r="I5" s="19">
        <f>H5</f>
        <v>180000</v>
      </c>
      <c r="J5" s="20">
        <v>0</v>
      </c>
      <c r="K5" s="19">
        <f>I5*J5</f>
        <v>0</v>
      </c>
      <c r="L5" s="17"/>
      <c r="M5" s="21" t="s">
        <v>15</v>
      </c>
      <c r="N5" s="17" t="str">
        <f>IF(B6="domestic company", "Yes", "No")</f>
        <v>No</v>
      </c>
      <c r="O5" s="17"/>
      <c r="P5" s="17"/>
      <c r="Q5" s="17"/>
      <c r="R5" s="17"/>
      <c r="S5" s="17"/>
      <c r="T5" s="17"/>
      <c r="U5" s="17"/>
      <c r="V5" s="17"/>
    </row>
    <row r="6" spans="1:22" s="1" customFormat="1" ht="15" customHeight="1" x14ac:dyDescent="0.25">
      <c r="A6" s="16" t="s">
        <v>7</v>
      </c>
      <c r="B6" s="29" t="s">
        <v>28</v>
      </c>
      <c r="C6" s="17"/>
      <c r="D6" s="17"/>
      <c r="E6" s="17"/>
      <c r="F6" s="18">
        <v>180001</v>
      </c>
      <c r="G6" s="18">
        <v>500000</v>
      </c>
      <c r="H6" s="19">
        <f>IF(B8&lt;=500000,B8,500000)</f>
        <v>250000</v>
      </c>
      <c r="I6" s="18">
        <f>IF(H6&gt;180000,(H6-180000),0)</f>
        <v>70000</v>
      </c>
      <c r="J6" s="22">
        <v>0.1</v>
      </c>
      <c r="K6" s="19">
        <f>I6*J6</f>
        <v>7000</v>
      </c>
      <c r="L6" s="17"/>
      <c r="M6" s="23" t="s">
        <v>19</v>
      </c>
      <c r="N6" s="17" t="str">
        <f>IF(B8&gt;10000000, "Yes", "No")</f>
        <v>No</v>
      </c>
      <c r="O6" s="17"/>
      <c r="P6" s="17"/>
      <c r="Q6" s="17"/>
      <c r="R6" s="17"/>
      <c r="S6" s="17"/>
      <c r="T6" s="17"/>
      <c r="U6" s="17"/>
      <c r="V6" s="17"/>
    </row>
    <row r="7" spans="1:22" s="1" customFormat="1" ht="15" customHeight="1" x14ac:dyDescent="0.25">
      <c r="A7" s="24" t="s">
        <v>1</v>
      </c>
      <c r="B7" s="29" t="s">
        <v>27</v>
      </c>
      <c r="C7" s="17"/>
      <c r="D7" s="17"/>
      <c r="E7" s="17"/>
      <c r="F7" s="18">
        <v>500001</v>
      </c>
      <c r="G7" s="18">
        <v>800000</v>
      </c>
      <c r="H7" s="19">
        <f>IF(B8&lt;=800000,B8,800000)</f>
        <v>250000</v>
      </c>
      <c r="I7" s="18">
        <f>IF(H7&gt;500000,(H7-500000),0)</f>
        <v>0</v>
      </c>
      <c r="J7" s="22">
        <v>0.2</v>
      </c>
      <c r="K7" s="19">
        <f>I7*J7</f>
        <v>0</v>
      </c>
      <c r="L7" s="17"/>
      <c r="M7" s="23" t="s">
        <v>20</v>
      </c>
      <c r="N7" s="17" t="str">
        <f>IF(AND(N5="yes",N6="yes"),"yes","No")</f>
        <v>No</v>
      </c>
      <c r="O7" s="17"/>
      <c r="P7" s="17"/>
      <c r="Q7" s="17"/>
      <c r="R7" s="17"/>
      <c r="S7" s="17"/>
      <c r="T7" s="17"/>
      <c r="U7" s="17"/>
      <c r="V7" s="17"/>
    </row>
    <row r="8" spans="1:22" ht="15" customHeight="1" x14ac:dyDescent="0.25">
      <c r="A8" s="24" t="s">
        <v>2</v>
      </c>
      <c r="B8" s="31">
        <v>250000</v>
      </c>
      <c r="C8" s="14"/>
      <c r="D8" s="14"/>
      <c r="E8" s="14"/>
      <c r="F8" s="18">
        <v>800001</v>
      </c>
      <c r="G8" s="18"/>
      <c r="H8" s="18">
        <f>IF(B8&gt;800000, (B8-800000),0)</f>
        <v>0</v>
      </c>
      <c r="I8" s="18">
        <f>H8</f>
        <v>0</v>
      </c>
      <c r="J8" s="22">
        <v>0.3</v>
      </c>
      <c r="K8" s="25">
        <f>I8*J8</f>
        <v>0</v>
      </c>
      <c r="L8" s="14"/>
      <c r="M8" s="23"/>
      <c r="N8" s="15"/>
      <c r="O8" s="14"/>
      <c r="P8" s="14"/>
      <c r="Q8" s="14"/>
      <c r="R8" s="14"/>
      <c r="S8" s="14"/>
      <c r="T8" s="14"/>
      <c r="U8" s="14"/>
      <c r="V8" s="14"/>
    </row>
    <row r="9" spans="1:22" ht="15" customHeight="1" x14ac:dyDescent="0.25">
      <c r="A9" s="26"/>
      <c r="B9" s="13"/>
      <c r="C9" s="14"/>
      <c r="D9" s="14"/>
      <c r="E9" s="14"/>
      <c r="F9" s="32" t="s">
        <v>9</v>
      </c>
      <c r="G9" s="33"/>
      <c r="H9" s="33"/>
      <c r="I9" s="33"/>
      <c r="J9" s="34"/>
      <c r="K9" s="27">
        <f>SUM(K5:K8)</f>
        <v>7000</v>
      </c>
      <c r="L9" s="14"/>
      <c r="M9" s="23"/>
      <c r="N9" s="15"/>
      <c r="O9" s="14"/>
      <c r="P9" s="14"/>
      <c r="Q9" s="14"/>
      <c r="R9" s="14"/>
      <c r="S9" s="14"/>
      <c r="T9" s="14"/>
      <c r="U9" s="14"/>
      <c r="V9" s="14"/>
    </row>
    <row r="10" spans="1:22" s="2" customFormat="1" ht="15" customHeight="1" x14ac:dyDescent="0.25">
      <c r="A10" s="16" t="s">
        <v>3</v>
      </c>
      <c r="B10" s="30">
        <f>IF(B6="firm",H36, IF(B6="domestic company",H40,IF(B6="foreign company",H44,IF(B6="local authority",H48, IF(B6="cooperative society",K55,M16)))))</f>
        <v>75000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1" t="s">
        <v>16</v>
      </c>
      <c r="N10" s="17" t="str">
        <f>IF(B6="foreign company", "Yes", "No")</f>
        <v>No</v>
      </c>
      <c r="O10" s="28"/>
      <c r="P10" s="28"/>
      <c r="Q10" s="28"/>
      <c r="R10" s="28"/>
      <c r="S10" s="28"/>
      <c r="T10" s="28"/>
      <c r="U10" s="28"/>
      <c r="V10" s="28"/>
    </row>
    <row r="11" spans="1:22" s="2" customFormat="1" ht="15" customHeight="1" x14ac:dyDescent="0.25">
      <c r="A11" s="16" t="s">
        <v>4</v>
      </c>
      <c r="B11" s="30">
        <f>IF(N7="yes",(B10*0.05),IF(N12="yes",(B10*0.02),0))</f>
        <v>0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3" t="s">
        <v>19</v>
      </c>
      <c r="N11" s="17" t="str">
        <f>IF(B8&gt;10000000, "Yes", "No")</f>
        <v>No</v>
      </c>
      <c r="O11" s="28"/>
      <c r="P11" s="28"/>
      <c r="Q11" s="28"/>
      <c r="R11" s="28"/>
      <c r="S11" s="28"/>
      <c r="T11" s="28"/>
      <c r="U11" s="28"/>
      <c r="V11" s="28"/>
    </row>
    <row r="12" spans="1:22" s="2" customFormat="1" ht="15" customHeight="1" x14ac:dyDescent="0.25">
      <c r="A12" s="16" t="s">
        <v>5</v>
      </c>
      <c r="B12" s="30">
        <f>(B10+B11)*0.02</f>
        <v>1500</v>
      </c>
      <c r="C12" s="28"/>
      <c r="D12" s="28"/>
      <c r="E12" s="28"/>
      <c r="F12" s="32" t="s">
        <v>11</v>
      </c>
      <c r="G12" s="33"/>
      <c r="H12" s="33"/>
      <c r="I12" s="33"/>
      <c r="J12" s="33"/>
      <c r="K12" s="34"/>
      <c r="L12" s="28"/>
      <c r="M12" s="28" t="s">
        <v>21</v>
      </c>
      <c r="N12" s="17" t="str">
        <f>IF(AND(N10="yes",N11="yes"),"yes","No")</f>
        <v>No</v>
      </c>
      <c r="O12" s="28"/>
      <c r="P12" s="28"/>
      <c r="Q12" s="28"/>
      <c r="R12" s="28"/>
      <c r="S12" s="28"/>
      <c r="T12" s="28"/>
      <c r="U12" s="28"/>
      <c r="V12" s="28"/>
    </row>
    <row r="13" spans="1:22" s="2" customFormat="1" ht="15" customHeight="1" x14ac:dyDescent="0.25">
      <c r="A13" s="16" t="s">
        <v>6</v>
      </c>
      <c r="B13" s="30">
        <f>(B10+B11)*0.01</f>
        <v>750</v>
      </c>
      <c r="C13" s="28"/>
      <c r="D13" s="28"/>
      <c r="E13" s="17"/>
      <c r="F13" s="18">
        <v>0</v>
      </c>
      <c r="G13" s="18">
        <v>190000</v>
      </c>
      <c r="H13" s="19">
        <f>IF(B8&lt;=190000,B8,190000)</f>
        <v>190000</v>
      </c>
      <c r="I13" s="19">
        <f>H13</f>
        <v>190000</v>
      </c>
      <c r="J13" s="20">
        <v>0</v>
      </c>
      <c r="K13" s="19">
        <f>I13*J13</f>
        <v>0</v>
      </c>
      <c r="L13" s="28"/>
      <c r="M13" s="28"/>
      <c r="N13" s="17"/>
      <c r="O13" s="28"/>
      <c r="P13" s="28"/>
      <c r="Q13" s="28"/>
      <c r="R13" s="28"/>
      <c r="S13" s="28"/>
      <c r="T13" s="28"/>
      <c r="U13" s="28"/>
      <c r="V13" s="28"/>
    </row>
    <row r="14" spans="1:22" s="2" customFormat="1" ht="15" customHeight="1" x14ac:dyDescent="0.25">
      <c r="A14" s="16" t="s">
        <v>8</v>
      </c>
      <c r="B14" s="30">
        <f>SUM(B10:B13)</f>
        <v>77250</v>
      </c>
      <c r="C14" s="28"/>
      <c r="D14" s="28"/>
      <c r="E14" s="14"/>
      <c r="F14" s="18">
        <v>190001</v>
      </c>
      <c r="G14" s="18">
        <v>500000</v>
      </c>
      <c r="H14" s="19">
        <f>IF(B8&lt;=500000,B8,500000)</f>
        <v>250000</v>
      </c>
      <c r="I14" s="18">
        <f>IF(H14&gt;190000,(H14-190000),0)</f>
        <v>60000</v>
      </c>
      <c r="J14" s="22">
        <v>0.1</v>
      </c>
      <c r="K14" s="19">
        <f>I14*J14</f>
        <v>6000</v>
      </c>
      <c r="L14" s="28"/>
      <c r="M14" s="28" t="s">
        <v>22</v>
      </c>
      <c r="N14" s="17">
        <f>IF(B7="woman",K17,IF(B7="other individuals",K9,IF(B7="senior citizen",K25,IF(B7="super senior citizen",K32,IF(B6="aop/boi/huf",K9,0)))))</f>
        <v>0</v>
      </c>
      <c r="O14" s="28"/>
      <c r="P14" s="28"/>
      <c r="Q14" s="28"/>
      <c r="R14" s="28"/>
      <c r="S14" s="28"/>
      <c r="T14" s="28"/>
      <c r="U14" s="28"/>
      <c r="V14" s="28"/>
    </row>
    <row r="15" spans="1:22" x14ac:dyDescent="0.25">
      <c r="A15" s="12"/>
      <c r="B15" s="13"/>
      <c r="C15" s="14"/>
      <c r="D15" s="14"/>
      <c r="E15" s="17"/>
      <c r="F15" s="18">
        <v>500001</v>
      </c>
      <c r="G15" s="18">
        <v>800000</v>
      </c>
      <c r="H15" s="19">
        <f>IF(B8&lt;=800000,B8,800000)</f>
        <v>250000</v>
      </c>
      <c r="I15" s="18">
        <f>IF(H15&gt;500000,(H15-500000),0)</f>
        <v>0</v>
      </c>
      <c r="J15" s="22">
        <v>0.2</v>
      </c>
      <c r="K15" s="19">
        <f>I15*J15</f>
        <v>0</v>
      </c>
      <c r="L15" s="14"/>
      <c r="M15" s="28" t="s">
        <v>22</v>
      </c>
      <c r="N15" s="17">
        <f>IF(B7="woman",R32,IF(B7="other individuals",R24,IF(B7="senior citizen",R40,IF(B7="super senior citizen",R47,IF(B6="aop/boi/huf",R24,0)))))</f>
        <v>0</v>
      </c>
      <c r="O15" s="14"/>
      <c r="P15" s="14"/>
      <c r="Q15" s="14"/>
      <c r="R15" s="14"/>
      <c r="S15" s="14"/>
      <c r="T15" s="14"/>
      <c r="U15" s="14"/>
      <c r="V15" s="14"/>
    </row>
    <row r="16" spans="1:22" x14ac:dyDescent="0.25">
      <c r="A16" s="36" t="s">
        <v>24</v>
      </c>
      <c r="B16" s="36"/>
      <c r="C16" s="36"/>
      <c r="D16" s="36"/>
      <c r="E16" s="14"/>
      <c r="F16" s="18">
        <v>800001</v>
      </c>
      <c r="G16" s="18"/>
      <c r="H16" s="18">
        <f>IF(B16&gt;800000, (B16-800000),0)</f>
        <v>0</v>
      </c>
      <c r="I16" s="18">
        <f>H16</f>
        <v>0</v>
      </c>
      <c r="J16" s="22">
        <v>0.3</v>
      </c>
      <c r="K16" s="25">
        <f>I16*J16</f>
        <v>0</v>
      </c>
      <c r="L16" s="28"/>
      <c r="M16" s="28">
        <f>IF(B5="2012-2013",N14,IF(B5="2013-2014",N15,0))</f>
        <v>0</v>
      </c>
      <c r="N16" s="28"/>
      <c r="O16" s="28"/>
      <c r="P16" s="28"/>
      <c r="Q16" s="28"/>
      <c r="R16" s="28"/>
      <c r="S16" s="28"/>
      <c r="T16" s="28"/>
      <c r="U16" s="28"/>
      <c r="V16" s="28"/>
    </row>
    <row r="17" spans="1:22" ht="15.75" customHeight="1" x14ac:dyDescent="0.25">
      <c r="A17" s="36" t="s">
        <v>25</v>
      </c>
      <c r="B17" s="36"/>
      <c r="C17" s="36"/>
      <c r="D17" s="36"/>
      <c r="E17" s="17"/>
      <c r="F17" s="32" t="s">
        <v>9</v>
      </c>
      <c r="G17" s="33"/>
      <c r="H17" s="33"/>
      <c r="I17" s="33"/>
      <c r="J17" s="34"/>
      <c r="K17" s="27">
        <f>SUM(K13:K16)</f>
        <v>6000</v>
      </c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1:22" x14ac:dyDescent="0.25">
      <c r="E18" s="14"/>
    </row>
    <row r="19" spans="1:22" x14ac:dyDescent="0.25">
      <c r="E19" s="17"/>
      <c r="M19" s="32" t="s">
        <v>10</v>
      </c>
      <c r="N19" s="33"/>
      <c r="O19" s="33"/>
      <c r="P19" s="33"/>
      <c r="Q19" s="33"/>
      <c r="R19" s="34"/>
    </row>
    <row r="20" spans="1:22" x14ac:dyDescent="0.25">
      <c r="E20" s="14"/>
      <c r="F20" s="37" t="s">
        <v>12</v>
      </c>
      <c r="G20" s="38"/>
      <c r="H20" s="38"/>
      <c r="I20" s="38"/>
      <c r="J20" s="38"/>
      <c r="K20" s="39"/>
      <c r="M20" s="18">
        <v>0</v>
      </c>
      <c r="N20" s="18">
        <v>200000</v>
      </c>
      <c r="O20" s="19">
        <f>IF(B8&lt;=200000,B8,200000)</f>
        <v>200000</v>
      </c>
      <c r="P20" s="19">
        <f>O20</f>
        <v>200000</v>
      </c>
      <c r="Q20" s="20">
        <v>0</v>
      </c>
      <c r="R20" s="19">
        <f>P20*Q20</f>
        <v>0</v>
      </c>
    </row>
    <row r="21" spans="1:22" x14ac:dyDescent="0.25">
      <c r="E21" s="17"/>
      <c r="F21" s="4">
        <v>0</v>
      </c>
      <c r="G21" s="4">
        <v>250000</v>
      </c>
      <c r="H21" s="5">
        <f>IF(B8&lt;=250000,B8,250000)</f>
        <v>250000</v>
      </c>
      <c r="I21" s="5">
        <f>H21</f>
        <v>250000</v>
      </c>
      <c r="J21" s="6">
        <v>0</v>
      </c>
      <c r="K21" s="5">
        <f>I21*J21</f>
        <v>0</v>
      </c>
      <c r="M21" s="18">
        <v>200001</v>
      </c>
      <c r="N21" s="18">
        <v>500000</v>
      </c>
      <c r="O21" s="19">
        <f>IF(B8&lt;=500000,B8,500000)</f>
        <v>250000</v>
      </c>
      <c r="P21" s="18">
        <f>IF(O21&gt;200000,(O21-200000),0)</f>
        <v>50000</v>
      </c>
      <c r="Q21" s="22">
        <v>0.1</v>
      </c>
      <c r="R21" s="19">
        <f>P21*Q21</f>
        <v>5000</v>
      </c>
    </row>
    <row r="22" spans="1:22" x14ac:dyDescent="0.25">
      <c r="F22" s="4">
        <v>250001</v>
      </c>
      <c r="G22" s="4">
        <v>500000</v>
      </c>
      <c r="H22" s="5">
        <f>IF(B8&lt;=500000,B8,500000)</f>
        <v>250000</v>
      </c>
      <c r="I22" s="4">
        <f>IF(H22&gt;250000,(H22-250000),0)</f>
        <v>0</v>
      </c>
      <c r="J22" s="7">
        <v>0.1</v>
      </c>
      <c r="K22" s="5">
        <f>I22*J22</f>
        <v>0</v>
      </c>
      <c r="M22" s="18">
        <v>500001</v>
      </c>
      <c r="N22" s="18">
        <v>1000000</v>
      </c>
      <c r="O22" s="19">
        <f>IF(B8&lt;=1000000,B8,1000000)</f>
        <v>250000</v>
      </c>
      <c r="P22" s="18">
        <f>IF(O22&gt;500000,(O22-500000),0)</f>
        <v>0</v>
      </c>
      <c r="Q22" s="22">
        <v>0.2</v>
      </c>
      <c r="R22" s="19">
        <f>P22*Q22</f>
        <v>0</v>
      </c>
    </row>
    <row r="23" spans="1:22" ht="15.75" x14ac:dyDescent="0.25">
      <c r="C23" s="3"/>
      <c r="F23" s="4">
        <v>500001</v>
      </c>
      <c r="G23" s="4">
        <v>800000</v>
      </c>
      <c r="H23" s="5">
        <f>IF(B8&lt;=800000,B8,800000)</f>
        <v>250000</v>
      </c>
      <c r="I23" s="4">
        <f>IF(H23&gt;500000,(H23-500000),0)</f>
        <v>0</v>
      </c>
      <c r="J23" s="7">
        <v>0.2</v>
      </c>
      <c r="K23" s="5">
        <f>I23*J23</f>
        <v>0</v>
      </c>
      <c r="M23" s="18">
        <v>1000000</v>
      </c>
      <c r="N23" s="18"/>
      <c r="O23" s="18">
        <f>IF(B8&gt;800000, (B8-800000),0)</f>
        <v>0</v>
      </c>
      <c r="P23" s="18">
        <f>O23</f>
        <v>0</v>
      </c>
      <c r="Q23" s="22">
        <v>0.3</v>
      </c>
      <c r="R23" s="25">
        <f>P23*Q23</f>
        <v>0</v>
      </c>
    </row>
    <row r="24" spans="1:22" ht="15.75" x14ac:dyDescent="0.25">
      <c r="C24" s="3"/>
      <c r="F24" s="4">
        <v>800001</v>
      </c>
      <c r="G24" s="4"/>
      <c r="H24" s="4">
        <f>IF(B8&gt;800000, (B8-800000),0)</f>
        <v>0</v>
      </c>
      <c r="I24" s="4">
        <f>H24</f>
        <v>0</v>
      </c>
      <c r="J24" s="7">
        <v>0.3</v>
      </c>
      <c r="K24" s="8">
        <f>I24*J24</f>
        <v>0</v>
      </c>
      <c r="M24" s="32" t="s">
        <v>9</v>
      </c>
      <c r="N24" s="33"/>
      <c r="O24" s="33"/>
      <c r="P24" s="33"/>
      <c r="Q24" s="34"/>
      <c r="R24" s="27">
        <f>SUM(R20:R23)</f>
        <v>5000</v>
      </c>
    </row>
    <row r="25" spans="1:22" ht="15.75" x14ac:dyDescent="0.25">
      <c r="C25" s="3"/>
      <c r="F25" s="37" t="s">
        <v>9</v>
      </c>
      <c r="G25" s="38"/>
      <c r="H25" s="38"/>
      <c r="I25" s="38"/>
      <c r="J25" s="39"/>
      <c r="K25" s="9">
        <f>SUM(K21:K24)</f>
        <v>0</v>
      </c>
      <c r="M25" s="28"/>
      <c r="N25" s="28"/>
      <c r="O25" s="28"/>
      <c r="P25" s="28"/>
      <c r="Q25" s="28"/>
      <c r="R25" s="28"/>
    </row>
    <row r="26" spans="1:22" ht="15.75" x14ac:dyDescent="0.25">
      <c r="C26" s="3"/>
      <c r="F26" s="3"/>
      <c r="M26" s="28"/>
      <c r="N26" s="28"/>
      <c r="O26" s="28"/>
      <c r="P26" s="28"/>
      <c r="Q26" s="28"/>
      <c r="R26" s="28"/>
    </row>
    <row r="27" spans="1:22" x14ac:dyDescent="0.25">
      <c r="M27" s="32" t="s">
        <v>11</v>
      </c>
      <c r="N27" s="33"/>
      <c r="O27" s="33"/>
      <c r="P27" s="33"/>
      <c r="Q27" s="33"/>
      <c r="R27" s="34"/>
    </row>
    <row r="28" spans="1:22" x14ac:dyDescent="0.25">
      <c r="F28" s="37" t="s">
        <v>13</v>
      </c>
      <c r="G28" s="38"/>
      <c r="H28" s="38"/>
      <c r="I28" s="38"/>
      <c r="J28" s="38"/>
      <c r="K28" s="39"/>
      <c r="M28" s="18">
        <v>0</v>
      </c>
      <c r="N28" s="18">
        <v>200000</v>
      </c>
      <c r="O28" s="19">
        <f>IF(B8&lt;=200000,B8,2000000)</f>
        <v>2000000</v>
      </c>
      <c r="P28" s="19">
        <f>O28</f>
        <v>2000000</v>
      </c>
      <c r="Q28" s="20">
        <v>0</v>
      </c>
      <c r="R28" s="19">
        <f>P28*Q28</f>
        <v>0</v>
      </c>
    </row>
    <row r="29" spans="1:22" x14ac:dyDescent="0.25">
      <c r="F29" s="4">
        <v>0</v>
      </c>
      <c r="G29" s="4">
        <v>500000</v>
      </c>
      <c r="H29" s="5">
        <f>IF(B8&lt;=500000,B8,500000)</f>
        <v>250000</v>
      </c>
      <c r="I29" s="5">
        <f>H29</f>
        <v>250000</v>
      </c>
      <c r="J29" s="6">
        <v>0</v>
      </c>
      <c r="K29" s="5">
        <f>I29*J29</f>
        <v>0</v>
      </c>
      <c r="M29" s="18">
        <v>200001</v>
      </c>
      <c r="N29" s="18">
        <v>500000</v>
      </c>
      <c r="O29" s="19">
        <f>IF(B8&lt;=500000,B8,500000)</f>
        <v>250000</v>
      </c>
      <c r="P29" s="18">
        <f>IF(O29&gt;200000,(O29-200000),0)</f>
        <v>50000</v>
      </c>
      <c r="Q29" s="22">
        <v>0.1</v>
      </c>
      <c r="R29" s="19">
        <f>P29*Q29</f>
        <v>5000</v>
      </c>
    </row>
    <row r="30" spans="1:22" x14ac:dyDescent="0.25">
      <c r="F30" s="4">
        <v>500001</v>
      </c>
      <c r="G30" s="4">
        <v>8000008</v>
      </c>
      <c r="H30" s="5">
        <f>IF(B8&lt;=800000,B8,800000)</f>
        <v>250000</v>
      </c>
      <c r="I30" s="4">
        <f>IF(H30&gt;500000,(H30-500000),0)</f>
        <v>0</v>
      </c>
      <c r="J30" s="7">
        <v>0.2</v>
      </c>
      <c r="K30" s="5">
        <f>I30*J30</f>
        <v>0</v>
      </c>
      <c r="M30" s="18">
        <v>500001</v>
      </c>
      <c r="N30" s="18">
        <v>1000000</v>
      </c>
      <c r="O30" s="19">
        <f>IF(B8&lt;=1000000,B8,1000000)</f>
        <v>250000</v>
      </c>
      <c r="P30" s="18">
        <f>IF(O30&gt;500000,(O30-500000),0)</f>
        <v>0</v>
      </c>
      <c r="Q30" s="22">
        <v>0.2</v>
      </c>
      <c r="R30" s="19">
        <f>P30*Q30</f>
        <v>0</v>
      </c>
    </row>
    <row r="31" spans="1:22" x14ac:dyDescent="0.25">
      <c r="F31" s="4">
        <v>800001</v>
      </c>
      <c r="G31" s="4"/>
      <c r="H31" s="4">
        <f>IF(B8&gt;800000, (B8-800000),0)</f>
        <v>0</v>
      </c>
      <c r="I31" s="4">
        <f>H31</f>
        <v>0</v>
      </c>
      <c r="J31" s="7">
        <v>0.3</v>
      </c>
      <c r="K31" s="5">
        <f>I31*J31</f>
        <v>0</v>
      </c>
      <c r="M31" s="18">
        <v>1000001</v>
      </c>
      <c r="N31" s="18"/>
      <c r="O31" s="18">
        <f>IF(B8&gt;1000000, (B8-1000000),0)</f>
        <v>0</v>
      </c>
      <c r="P31" s="18">
        <f>O31</f>
        <v>0</v>
      </c>
      <c r="Q31" s="22">
        <v>0.3</v>
      </c>
      <c r="R31" s="25">
        <f>P31*Q31</f>
        <v>0</v>
      </c>
    </row>
    <row r="32" spans="1:22" x14ac:dyDescent="0.25">
      <c r="F32" s="37" t="s">
        <v>9</v>
      </c>
      <c r="G32" s="38"/>
      <c r="H32" s="38"/>
      <c r="I32" s="38"/>
      <c r="J32" s="39"/>
      <c r="K32" s="9">
        <f>SUM(K29:K31)</f>
        <v>0</v>
      </c>
      <c r="M32" s="32" t="s">
        <v>9</v>
      </c>
      <c r="N32" s="33"/>
      <c r="O32" s="33"/>
      <c r="P32" s="33"/>
      <c r="Q32" s="34"/>
      <c r="R32" s="27">
        <f>SUM(R28:R31)</f>
        <v>5000</v>
      </c>
    </row>
    <row r="33" spans="6:18" customFormat="1" x14ac:dyDescent="0.25"/>
    <row r="34" spans="6:18" customFormat="1" x14ac:dyDescent="0.25"/>
    <row r="35" spans="6:18" customFormat="1" x14ac:dyDescent="0.25">
      <c r="F35" s="40" t="s">
        <v>14</v>
      </c>
      <c r="G35" s="41"/>
      <c r="H35" s="42"/>
      <c r="M35" s="37" t="s">
        <v>12</v>
      </c>
      <c r="N35" s="38"/>
      <c r="O35" s="38"/>
      <c r="P35" s="38"/>
      <c r="Q35" s="38"/>
      <c r="R35" s="39"/>
    </row>
    <row r="36" spans="6:18" customFormat="1" x14ac:dyDescent="0.25">
      <c r="F36" s="9">
        <f>B8</f>
        <v>250000</v>
      </c>
      <c r="G36" s="9">
        <v>0.3</v>
      </c>
      <c r="H36" s="9">
        <f>F36*G36</f>
        <v>75000</v>
      </c>
      <c r="M36" s="4">
        <v>0</v>
      </c>
      <c r="N36" s="4">
        <v>250000</v>
      </c>
      <c r="O36" s="5">
        <f>IF(B8&lt;=250000,B8,250000)</f>
        <v>250000</v>
      </c>
      <c r="P36" s="5">
        <f>O36</f>
        <v>250000</v>
      </c>
      <c r="Q36" s="6">
        <v>0</v>
      </c>
      <c r="R36" s="5">
        <f>P36*Q36</f>
        <v>0</v>
      </c>
    </row>
    <row r="37" spans="6:18" x14ac:dyDescent="0.25">
      <c r="M37" s="4">
        <v>250001</v>
      </c>
      <c r="N37" s="4">
        <v>500000</v>
      </c>
      <c r="O37" s="5">
        <f>IF(B8&lt;=500000,B8,500000)</f>
        <v>250000</v>
      </c>
      <c r="P37" s="4">
        <f>IF(O37&gt;250000,(O37-250000),0)</f>
        <v>0</v>
      </c>
      <c r="Q37" s="7">
        <v>0.1</v>
      </c>
      <c r="R37" s="5">
        <f>P37*Q37</f>
        <v>0</v>
      </c>
    </row>
    <row r="38" spans="6:18" x14ac:dyDescent="0.25">
      <c r="M38" s="4">
        <v>500001</v>
      </c>
      <c r="N38" s="4">
        <v>1000000</v>
      </c>
      <c r="O38" s="5">
        <f>IF(B8&lt;=1000000,B8,1000000)</f>
        <v>250000</v>
      </c>
      <c r="P38" s="4">
        <f>IF(O38&gt;500000,(O38-500000),0)</f>
        <v>0</v>
      </c>
      <c r="Q38" s="7">
        <v>0.2</v>
      </c>
      <c r="R38" s="5">
        <f>P38*Q38</f>
        <v>0</v>
      </c>
    </row>
    <row r="39" spans="6:18" customFormat="1" x14ac:dyDescent="0.25">
      <c r="F39" s="40" t="s">
        <v>15</v>
      </c>
      <c r="G39" s="41"/>
      <c r="H39" s="42"/>
      <c r="M39" s="4">
        <v>1000001</v>
      </c>
      <c r="N39" s="4"/>
      <c r="O39" s="4">
        <f>IF(B8&gt;1000000, (B8-1000000),0)</f>
        <v>0</v>
      </c>
      <c r="P39" s="4">
        <f>O39</f>
        <v>0</v>
      </c>
      <c r="Q39" s="7">
        <v>0.3</v>
      </c>
      <c r="R39" s="8">
        <f>P39*Q39</f>
        <v>0</v>
      </c>
    </row>
    <row r="40" spans="6:18" customFormat="1" x14ac:dyDescent="0.25">
      <c r="F40" s="9">
        <f>B8</f>
        <v>250000</v>
      </c>
      <c r="G40" s="9">
        <v>0.3</v>
      </c>
      <c r="H40" s="9">
        <f>F40*G40</f>
        <v>75000</v>
      </c>
      <c r="M40" s="37" t="s">
        <v>9</v>
      </c>
      <c r="N40" s="38"/>
      <c r="O40" s="38"/>
      <c r="P40" s="38"/>
      <c r="Q40" s="39"/>
      <c r="R40" s="9">
        <f>SUM(R36:R39)</f>
        <v>0</v>
      </c>
    </row>
    <row r="41" spans="6:18" ht="15.75" x14ac:dyDescent="0.25">
      <c r="M41" s="3"/>
      <c r="N41"/>
    </row>
    <row r="42" spans="6:18" x14ac:dyDescent="0.25">
      <c r="N42"/>
    </row>
    <row r="43" spans="6:18" customFormat="1" x14ac:dyDescent="0.25">
      <c r="F43" s="40" t="s">
        <v>16</v>
      </c>
      <c r="G43" s="41"/>
      <c r="H43" s="42"/>
      <c r="M43" s="37" t="s">
        <v>13</v>
      </c>
      <c r="N43" s="38"/>
      <c r="O43" s="38"/>
      <c r="P43" s="38"/>
      <c r="Q43" s="38"/>
      <c r="R43" s="39"/>
    </row>
    <row r="44" spans="6:18" customFormat="1" x14ac:dyDescent="0.25">
      <c r="F44" s="9">
        <f>B8</f>
        <v>250000</v>
      </c>
      <c r="G44" s="9">
        <v>0.4</v>
      </c>
      <c r="H44" s="9">
        <f>F44*G44</f>
        <v>100000</v>
      </c>
      <c r="M44" s="4">
        <v>0</v>
      </c>
      <c r="N44" s="4">
        <v>500000</v>
      </c>
      <c r="O44" s="5">
        <f>IF(B8&lt;=500000,B8,500000)</f>
        <v>250000</v>
      </c>
      <c r="P44" s="5">
        <f>O44</f>
        <v>250000</v>
      </c>
      <c r="Q44" s="6">
        <v>0</v>
      </c>
      <c r="R44" s="5">
        <f>P44*Q44</f>
        <v>0</v>
      </c>
    </row>
    <row r="45" spans="6:18" x14ac:dyDescent="0.25">
      <c r="M45" s="4">
        <v>500001</v>
      </c>
      <c r="N45" s="4">
        <v>1000000</v>
      </c>
      <c r="O45" s="5">
        <f>IF(B8&lt;=1000000,B8,1000000)</f>
        <v>250000</v>
      </c>
      <c r="P45" s="4">
        <f>IF(O45&gt;500000,(O45-500000),0)</f>
        <v>0</v>
      </c>
      <c r="Q45" s="7">
        <v>0.2</v>
      </c>
      <c r="R45" s="5">
        <f>P45*Q45</f>
        <v>0</v>
      </c>
    </row>
    <row r="46" spans="6:18" x14ac:dyDescent="0.25">
      <c r="M46" s="4">
        <v>1000001</v>
      </c>
      <c r="N46" s="4"/>
      <c r="O46" s="4">
        <f>IF(B8&gt;1000000, (B8-1000000),0)</f>
        <v>0</v>
      </c>
      <c r="P46" s="4">
        <f>O46</f>
        <v>0</v>
      </c>
      <c r="Q46" s="7">
        <v>0.3</v>
      </c>
      <c r="R46" s="5">
        <f>P46*Q46</f>
        <v>0</v>
      </c>
    </row>
    <row r="47" spans="6:18" customFormat="1" x14ac:dyDescent="0.25">
      <c r="F47" s="40" t="s">
        <v>17</v>
      </c>
      <c r="G47" s="41"/>
      <c r="H47" s="42"/>
      <c r="M47" s="37" t="s">
        <v>9</v>
      </c>
      <c r="N47" s="38"/>
      <c r="O47" s="38"/>
      <c r="P47" s="38"/>
      <c r="Q47" s="39"/>
      <c r="R47" s="9">
        <f>SUM(R44:R46)</f>
        <v>0</v>
      </c>
    </row>
    <row r="48" spans="6:18" customFormat="1" x14ac:dyDescent="0.25">
      <c r="F48" s="9">
        <f>B8</f>
        <v>250000</v>
      </c>
      <c r="G48" s="9">
        <v>0.3</v>
      </c>
      <c r="H48" s="9">
        <f>F48*G48</f>
        <v>75000</v>
      </c>
      <c r="N48" s="11"/>
    </row>
    <row r="51" spans="1:14" x14ac:dyDescent="0.25">
      <c r="F51" s="37" t="s">
        <v>18</v>
      </c>
      <c r="G51" s="38"/>
      <c r="H51" s="38"/>
      <c r="I51" s="38"/>
      <c r="J51" s="38"/>
      <c r="K51" s="39"/>
      <c r="N51"/>
    </row>
    <row r="52" spans="1:14" x14ac:dyDescent="0.25">
      <c r="F52" s="4">
        <v>0</v>
      </c>
      <c r="G52" s="4">
        <v>10000</v>
      </c>
      <c r="H52" s="5">
        <f>IF(B8&lt;=10000,B8,10000)</f>
        <v>10000</v>
      </c>
      <c r="I52" s="5">
        <f>H52</f>
        <v>10000</v>
      </c>
      <c r="J52" s="6">
        <v>0.1</v>
      </c>
      <c r="K52" s="5">
        <f>I52*J52</f>
        <v>1000</v>
      </c>
      <c r="N52"/>
    </row>
    <row r="53" spans="1:14" x14ac:dyDescent="0.25">
      <c r="F53" s="4">
        <v>10001</v>
      </c>
      <c r="G53" s="4">
        <v>20000</v>
      </c>
      <c r="H53" s="5">
        <f>IF(B8&lt;=20000,B8,20000)</f>
        <v>20000</v>
      </c>
      <c r="I53" s="4">
        <f>IF(H53&gt;10000,(H53-10000),0)</f>
        <v>10000</v>
      </c>
      <c r="J53" s="7">
        <v>0.2</v>
      </c>
      <c r="K53" s="5">
        <f>I53*J53</f>
        <v>2000</v>
      </c>
      <c r="N53"/>
    </row>
    <row r="54" spans="1:14" x14ac:dyDescent="0.25">
      <c r="F54" s="4">
        <v>200001</v>
      </c>
      <c r="G54" s="4"/>
      <c r="H54" s="4">
        <f>IF(B8&gt;20000, (B8-20000),0)</f>
        <v>230000</v>
      </c>
      <c r="I54" s="4">
        <f>H54</f>
        <v>230000</v>
      </c>
      <c r="J54" s="7">
        <v>0.3</v>
      </c>
      <c r="K54" s="5">
        <f>I54*J54</f>
        <v>69000</v>
      </c>
      <c r="N54"/>
    </row>
    <row r="55" spans="1:14" ht="15.75" x14ac:dyDescent="0.25">
      <c r="A55" s="10"/>
      <c r="F55" s="37" t="s">
        <v>9</v>
      </c>
      <c r="G55" s="38"/>
      <c r="H55" s="38"/>
      <c r="I55" s="38"/>
      <c r="J55" s="39"/>
      <c r="K55" s="9">
        <f>SUM(K52:K54)</f>
        <v>72000</v>
      </c>
      <c r="N55"/>
    </row>
    <row r="56" spans="1:14" ht="15.75" x14ac:dyDescent="0.25">
      <c r="A56" s="3"/>
      <c r="N56"/>
    </row>
    <row r="57" spans="1:14" x14ac:dyDescent="0.25">
      <c r="B57"/>
      <c r="N57"/>
    </row>
    <row r="58" spans="1:14" x14ac:dyDescent="0.25">
      <c r="B58"/>
      <c r="N58"/>
    </row>
    <row r="59" spans="1:14" x14ac:dyDescent="0.25">
      <c r="B59"/>
      <c r="N59"/>
    </row>
    <row r="60" spans="1:14" x14ac:dyDescent="0.25">
      <c r="B60"/>
      <c r="N60"/>
    </row>
    <row r="61" spans="1:14" x14ac:dyDescent="0.25">
      <c r="B61"/>
      <c r="N61"/>
    </row>
    <row r="62" spans="1:14" x14ac:dyDescent="0.25">
      <c r="B62"/>
      <c r="N62"/>
    </row>
    <row r="63" spans="1:14" x14ac:dyDescent="0.25">
      <c r="B63"/>
      <c r="N63"/>
    </row>
  </sheetData>
  <sheetProtection password="E0D3" sheet="1" objects="1" scenarios="1" selectLockedCells="1"/>
  <mergeCells count="25">
    <mergeCell ref="M40:Q40"/>
    <mergeCell ref="M43:R43"/>
    <mergeCell ref="M47:Q47"/>
    <mergeCell ref="M19:R19"/>
    <mergeCell ref="M24:Q24"/>
    <mergeCell ref="M27:R27"/>
    <mergeCell ref="M32:Q32"/>
    <mergeCell ref="M35:R35"/>
    <mergeCell ref="F43:H43"/>
    <mergeCell ref="F47:H47"/>
    <mergeCell ref="F51:K51"/>
    <mergeCell ref="F55:J55"/>
    <mergeCell ref="F25:J25"/>
    <mergeCell ref="F28:K28"/>
    <mergeCell ref="F32:J32"/>
    <mergeCell ref="F35:H35"/>
    <mergeCell ref="F39:H39"/>
    <mergeCell ref="F17:J17"/>
    <mergeCell ref="A2:D3"/>
    <mergeCell ref="A16:D16"/>
    <mergeCell ref="A17:D17"/>
    <mergeCell ref="F20:K20"/>
    <mergeCell ref="F9:J9"/>
    <mergeCell ref="F4:K4"/>
    <mergeCell ref="F12:K12"/>
  </mergeCells>
  <dataValidations count="4">
    <dataValidation type="list" allowBlank="1" showInputMessage="1" showErrorMessage="1" error="PLEASE SELECT FROM DROP DOWN LIST ONLY" sqref="B5">
      <formula1>"2012-2013, 2013-2014"</formula1>
    </dataValidation>
    <dataValidation type="list" allowBlank="1" showInputMessage="1" showErrorMessage="1" error="PLEASE SELECT FROM DROP DOWN LIST ONLY" sqref="B7">
      <formula1>"NOT APPLICABLE, WOMAN, SENIOR CITIZEN, SUPER SENIOR CITIZEN, OTHER INDIVIDUALS"</formula1>
    </dataValidation>
    <dataValidation type="list" allowBlank="1" showInputMessage="1" showErrorMessage="1" error="PLEASE SELECT FROM DROP DOWN LIST ONLY" sqref="B6">
      <formula1>"INDIVIDUAL,AOP/BOI/HUF, FIRM, DOMESTIC COMPANY, FOREIGN COMPANY, COOPERATIVE SOCIETY, LOCAL AUTHORITY"</formula1>
    </dataValidation>
    <dataValidation type="whole" allowBlank="1" showInputMessage="1" showErrorMessage="1" error="Please insert taxable income" sqref="B8">
      <formula1>0</formula1>
      <formula2>9.99999999999999E+35</formula2>
    </dataValidation>
  </dataValidations>
  <pageMargins left="0.7" right="0.7" top="0.75" bottom="0.75" header="0.3" footer="0.3"/>
  <pageSetup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2012-13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2012-04-14T04:38:54Z</dcterms:modified>
</cp:coreProperties>
</file>