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7110"/>
  </bookViews>
  <sheets>
    <sheet name="Mr.VBR" sheetId="1" r:id="rId1"/>
  </sheets>
  <calcPr calcId="124519"/>
</workbook>
</file>

<file path=xl/calcChain.xml><?xml version="1.0" encoding="utf-8"?>
<calcChain xmlns="http://schemas.openxmlformats.org/spreadsheetml/2006/main">
  <c r="C45" i="1"/>
  <c r="E53"/>
  <c r="E63" s="1"/>
  <c r="F51"/>
  <c r="F52" s="1"/>
  <c r="F53" s="1"/>
  <c r="F54" s="1"/>
  <c r="F55" s="1"/>
  <c r="F56" s="1"/>
  <c r="F57" s="1"/>
  <c r="F58" s="1"/>
  <c r="F59" s="1"/>
  <c r="F60" s="1"/>
  <c r="F61" s="1"/>
  <c r="F62" s="1"/>
  <c r="F47"/>
  <c r="E43"/>
  <c r="E42"/>
  <c r="D33"/>
  <c r="K26"/>
  <c r="L26" s="1"/>
  <c r="L27" s="1"/>
  <c r="E26"/>
  <c r="E41" s="1"/>
  <c r="L25"/>
  <c r="K25"/>
  <c r="G23"/>
  <c r="E23"/>
  <c r="G22"/>
  <c r="E22"/>
  <c r="G21"/>
  <c r="E21"/>
  <c r="E39" s="1"/>
  <c r="F20"/>
  <c r="F24" s="1"/>
  <c r="G24" s="1"/>
  <c r="D20"/>
  <c r="D24" s="1"/>
  <c r="E24" s="1"/>
  <c r="K19"/>
  <c r="L19" s="1"/>
  <c r="F19"/>
  <c r="F25" s="1"/>
  <c r="G25" s="1"/>
  <c r="D19"/>
  <c r="D25" s="1"/>
  <c r="E25" s="1"/>
  <c r="K18"/>
  <c r="L18" s="1"/>
  <c r="G17"/>
  <c r="E17"/>
  <c r="F16"/>
  <c r="G16" s="1"/>
  <c r="D16"/>
  <c r="E16" s="1"/>
  <c r="F15"/>
  <c r="G15" s="1"/>
  <c r="D15"/>
  <c r="E15" s="1"/>
  <c r="G14"/>
  <c r="E14"/>
  <c r="L13"/>
  <c r="G13"/>
  <c r="E13"/>
  <c r="L12"/>
  <c r="L14" s="1"/>
  <c r="K12"/>
  <c r="G12"/>
  <c r="E12"/>
  <c r="K11"/>
  <c r="G10"/>
  <c r="F10"/>
  <c r="F11" s="1"/>
  <c r="E10"/>
  <c r="D35" s="1"/>
  <c r="D10"/>
  <c r="D11" s="1"/>
  <c r="G9"/>
  <c r="E9"/>
  <c r="C4"/>
  <c r="L20" l="1"/>
  <c r="D18"/>
  <c r="E18" s="1"/>
  <c r="E11"/>
  <c r="F18"/>
  <c r="G18" s="1"/>
  <c r="G11"/>
  <c r="E19"/>
  <c r="G19"/>
  <c r="E20"/>
  <c r="G20"/>
  <c r="E30"/>
  <c r="D32" l="1"/>
  <c r="D36" s="1"/>
  <c r="D31"/>
  <c r="E38"/>
  <c r="E37" l="1"/>
  <c r="E40" s="1"/>
  <c r="E44" s="1"/>
  <c r="F44" l="1"/>
  <c r="C46" l="1"/>
  <c r="C47" s="1"/>
  <c r="C48" s="1"/>
  <c r="C53" l="1"/>
  <c r="C54" s="1"/>
  <c r="C55" s="1"/>
  <c r="C56" s="1"/>
  <c r="C57" s="1"/>
  <c r="C58" s="1"/>
  <c r="C59" s="1"/>
  <c r="C60" s="1"/>
  <c r="C61" s="1"/>
  <c r="C62" s="1"/>
  <c r="C52"/>
  <c r="C51"/>
  <c r="C63" l="1"/>
  <c r="D51"/>
  <c r="D52" l="1"/>
  <c r="G51"/>
  <c r="D53" l="1"/>
  <c r="G52"/>
  <c r="D54" l="1"/>
  <c r="G53"/>
  <c r="D55" l="1"/>
  <c r="G54"/>
  <c r="D56" l="1"/>
  <c r="G55"/>
  <c r="D57" l="1"/>
  <c r="G56"/>
  <c r="D58" l="1"/>
  <c r="G57"/>
  <c r="D59" l="1"/>
  <c r="G58"/>
  <c r="D60" l="1"/>
  <c r="G59"/>
  <c r="D61" l="1"/>
  <c r="G60"/>
  <c r="D62" l="1"/>
  <c r="G62" s="1"/>
  <c r="G61"/>
</calcChain>
</file>

<file path=xl/sharedStrings.xml><?xml version="1.0" encoding="utf-8"?>
<sst xmlns="http://schemas.openxmlformats.org/spreadsheetml/2006/main" count="88" uniqueCount="81">
  <si>
    <t>Name of the Employee</t>
  </si>
  <si>
    <t xml:space="preserve">Mr. XY Z Rao </t>
  </si>
  <si>
    <t>Designation</t>
  </si>
  <si>
    <t>Vice President-R&amp;D</t>
  </si>
  <si>
    <t>Financial Year</t>
  </si>
  <si>
    <t>2010-2011</t>
  </si>
  <si>
    <t>CTC per annum</t>
  </si>
  <si>
    <t>Senior Citizen</t>
  </si>
  <si>
    <t>N</t>
  </si>
  <si>
    <t>Gender</t>
  </si>
  <si>
    <t>M</t>
  </si>
  <si>
    <t>Particulars</t>
  </si>
  <si>
    <t>Breakup</t>
  </si>
  <si>
    <t>Monthly</t>
  </si>
  <si>
    <t>6 Months salary</t>
  </si>
  <si>
    <t>Men</t>
  </si>
  <si>
    <t>Cost to the Company</t>
  </si>
  <si>
    <t>Breakup of CTC</t>
  </si>
  <si>
    <t>Basic Salary</t>
  </si>
  <si>
    <t>nil</t>
  </si>
  <si>
    <t>HRA</t>
  </si>
  <si>
    <t>Transport Allowance</t>
  </si>
  <si>
    <t>Medical allowance</t>
  </si>
  <si>
    <t>CEA</t>
  </si>
  <si>
    <t>Conveyance Allowance</t>
  </si>
  <si>
    <t>Helper Allowance</t>
  </si>
  <si>
    <t>Women</t>
  </si>
  <si>
    <t>PF Contribution - ER</t>
  </si>
  <si>
    <t>Special Pay</t>
  </si>
  <si>
    <t>Gross Salary</t>
  </si>
  <si>
    <t>Deductions</t>
  </si>
  <si>
    <t>PF Contribution - EE</t>
  </si>
  <si>
    <t>Professional Tax</t>
  </si>
  <si>
    <t>Income Tax</t>
  </si>
  <si>
    <t>Sr. Citizen</t>
  </si>
  <si>
    <t>Advances</t>
  </si>
  <si>
    <t>Total Deductions</t>
  </si>
  <si>
    <t>Net pay</t>
  </si>
  <si>
    <t>Less: Deduction  U/s.24</t>
  </si>
  <si>
    <t>Eligible U/s.80C</t>
  </si>
  <si>
    <t>Tax Calculations</t>
  </si>
  <si>
    <t>Basic salary</t>
  </si>
  <si>
    <t>HRA:</t>
  </si>
  <si>
    <t>Actual HRA received</t>
  </si>
  <si>
    <t>Rent paid - 10% of salary</t>
  </si>
  <si>
    <t>Rent paid pa</t>
  </si>
  <si>
    <t>40% of salary</t>
  </si>
  <si>
    <t>Taxable HRA</t>
  </si>
  <si>
    <t>Special pay</t>
  </si>
  <si>
    <t>Professional tax paid</t>
  </si>
  <si>
    <t>Gross Taxable Salary</t>
  </si>
  <si>
    <t>House loan Interest payable</t>
  </si>
  <si>
    <t>Quarter Wise</t>
  </si>
  <si>
    <t>Net taxable Income</t>
  </si>
  <si>
    <t>Income tax payable</t>
  </si>
  <si>
    <t>Add:  Educational cess@3%</t>
  </si>
  <si>
    <t>Total</t>
  </si>
  <si>
    <t>Monthly Income Tax to be deducted</t>
  </si>
  <si>
    <t>Month</t>
  </si>
  <si>
    <t>Amount to be deducted</t>
  </si>
  <si>
    <t>Cumulative</t>
  </si>
  <si>
    <t>Amount deducted</t>
  </si>
  <si>
    <t>balance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</si>
  <si>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</si>
  <si>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</si>
  <si>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</si>
  <si>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</si>
  <si>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</si>
  <si>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</si>
  <si>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</si>
  <si>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</si>
  <si>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</si>
  <si>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</si>
  <si>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</si>
  <si>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</si>
  <si>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Total:</t>
  </si>
  <si>
    <t>Contact:-</t>
  </si>
  <si>
    <t xml:space="preserve">Kancharla @nil </t>
  </si>
  <si>
    <t>kancharla007@gmail.com</t>
  </si>
  <si>
    <t>allowances are subjected to terms &amp; conditions</t>
  </si>
  <si>
    <t>Other Investments(80D+80G+80CCF)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</si>
</sst>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_(* #,##0_);_(* \(#,##0\);_(* &quot;-&quot;??_);_(@_)"/>
    <numFmt numFmtId="165" formatCode="&quot;Rs.&quot;#,##0_);[Red]\(&quot;Rs.&quot;#,##0\)"/>
    <numFmt numFmtId="166" formatCode="_(* #,##0.0_);_(* \(#,##0.0\);_(* &quot;-&quot;?_);_(@_)"/>
  </numFmts>
  <fonts count="8">
    <font>
      <sz val="10"/>
      <name val="Arial"/>
    </font>
    <font>
      <sz val="10"/>
      <name val="Arial"/>
    </font>
    <font>
      <sz val="12"/>
      <name val="Book Antiqua"/>
      <family val="1"/>
    </font>
    <font>
      <b/>
      <sz val="12"/>
      <name val="Book Antiqua"/>
      <family val="1"/>
    </font>
    <font>
      <b/>
      <sz val="16"/>
      <name val="Book Antiqua"/>
      <family val="1"/>
    </font>
    <font>
      <sz val="10"/>
      <name val="Times"/>
    </font>
    <font>
      <u/>
      <sz val="10"/>
      <color indexed="12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99FF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</cellStyleXfs>
  <cellXfs count="8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164" fontId="3" fillId="0" borderId="0" xfId="1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164" fontId="3" fillId="0" borderId="9" xfId="1" applyNumberFormat="1" applyFont="1" applyBorder="1"/>
    <xf numFmtId="164" fontId="3" fillId="0" borderId="10" xfId="1" applyNumberFormat="1" applyFont="1" applyBorder="1"/>
    <xf numFmtId="164" fontId="3" fillId="0" borderId="5" xfId="1" applyNumberFormat="1" applyFont="1" applyBorder="1"/>
    <xf numFmtId="0" fontId="2" fillId="0" borderId="9" xfId="0" applyFont="1" applyBorder="1"/>
    <xf numFmtId="0" fontId="2" fillId="0" borderId="8" xfId="0" applyFont="1" applyBorder="1"/>
    <xf numFmtId="164" fontId="2" fillId="0" borderId="9" xfId="1" applyNumberFormat="1" applyFont="1" applyBorder="1"/>
    <xf numFmtId="9" fontId="2" fillId="0" borderId="9" xfId="0" applyNumberFormat="1" applyFont="1" applyBorder="1"/>
    <xf numFmtId="1" fontId="3" fillId="0" borderId="9" xfId="0" applyNumberFormat="1" applyFont="1" applyBorder="1"/>
    <xf numFmtId="1" fontId="2" fillId="0" borderId="9" xfId="0" applyNumberFormat="1" applyFont="1" applyBorder="1"/>
    <xf numFmtId="0" fontId="3" fillId="0" borderId="8" xfId="0" applyFont="1" applyBorder="1"/>
    <xf numFmtId="0" fontId="3" fillId="0" borderId="9" xfId="0" applyFont="1" applyBorder="1"/>
    <xf numFmtId="164" fontId="2" fillId="0" borderId="10" xfId="1" applyNumberFormat="1" applyFont="1" applyBorder="1"/>
    <xf numFmtId="164" fontId="2" fillId="2" borderId="10" xfId="1" applyNumberFormat="1" applyFont="1" applyFill="1" applyBorder="1"/>
    <xf numFmtId="164" fontId="2" fillId="2" borderId="5" xfId="1" applyNumberFormat="1" applyFont="1" applyFill="1" applyBorder="1"/>
    <xf numFmtId="0" fontId="2" fillId="0" borderId="11" xfId="0" applyFont="1" applyBorder="1"/>
    <xf numFmtId="0" fontId="2" fillId="0" borderId="12" xfId="0" applyFont="1" applyBorder="1"/>
    <xf numFmtId="164" fontId="2" fillId="0" borderId="12" xfId="1" applyNumberFormat="1" applyFont="1" applyBorder="1"/>
    <xf numFmtId="164" fontId="2" fillId="2" borderId="13" xfId="1" applyNumberFormat="1" applyFont="1" applyFill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2" fillId="0" borderId="17" xfId="0" applyFont="1" applyBorder="1"/>
    <xf numFmtId="0" fontId="2" fillId="0" borderId="18" xfId="0" applyFont="1" applyBorder="1"/>
    <xf numFmtId="164" fontId="2" fillId="0" borderId="3" xfId="0" applyNumberFormat="1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19" xfId="0" applyFont="1" applyBorder="1"/>
    <xf numFmtId="164" fontId="2" fillId="0" borderId="10" xfId="0" applyNumberFormat="1" applyFont="1" applyBorder="1"/>
    <xf numFmtId="0" fontId="2" fillId="0" borderId="10" xfId="0" applyFont="1" applyBorder="1"/>
    <xf numFmtId="164" fontId="2" fillId="0" borderId="13" xfId="0" applyNumberFormat="1" applyFont="1" applyBorder="1"/>
    <xf numFmtId="0" fontId="2" fillId="0" borderId="20" xfId="0" applyFont="1" applyBorder="1"/>
    <xf numFmtId="0" fontId="2" fillId="0" borderId="21" xfId="0" applyFont="1" applyBorder="1"/>
    <xf numFmtId="164" fontId="2" fillId="0" borderId="21" xfId="0" applyNumberFormat="1" applyFont="1" applyBorder="1"/>
    <xf numFmtId="0" fontId="2" fillId="0" borderId="8" xfId="0" applyFont="1" applyFill="1" applyBorder="1"/>
    <xf numFmtId="165" fontId="2" fillId="0" borderId="22" xfId="2" applyNumberFormat="1" applyFont="1" applyBorder="1" applyAlignment="1">
      <alignment horizontal="right"/>
    </xf>
    <xf numFmtId="1" fontId="3" fillId="0" borderId="0" xfId="0" applyNumberFormat="1" applyFont="1"/>
    <xf numFmtId="164" fontId="2" fillId="0" borderId="0" xfId="0" applyNumberFormat="1" applyFont="1"/>
    <xf numFmtId="164" fontId="3" fillId="0" borderId="23" xfId="1" applyNumberFormat="1" applyFont="1" applyFill="1" applyBorder="1" applyAlignment="1">
      <alignment horizontal="left" vertical="top" wrapText="1"/>
    </xf>
    <xf numFmtId="164" fontId="2" fillId="0" borderId="25" xfId="1" applyNumberFormat="1" applyFont="1" applyBorder="1"/>
    <xf numFmtId="166" fontId="2" fillId="0" borderId="0" xfId="0" applyNumberFormat="1" applyFont="1"/>
    <xf numFmtId="164" fontId="3" fillId="0" borderId="8" xfId="1" applyNumberFormat="1" applyFont="1" applyFill="1" applyBorder="1" applyAlignment="1">
      <alignment horizontal="left" vertical="top" wrapText="1"/>
    </xf>
    <xf numFmtId="164" fontId="2" fillId="0" borderId="0" xfId="1" applyNumberFormat="1" applyFont="1"/>
    <xf numFmtId="0" fontId="2" fillId="0" borderId="0" xfId="0" applyFont="1" applyAlignment="1">
      <alignment horizontal="center"/>
    </xf>
    <xf numFmtId="0" fontId="3" fillId="2" borderId="9" xfId="0" applyFont="1" applyFill="1" applyBorder="1" applyAlignment="1">
      <alignment vertical="top" wrapText="1"/>
    </xf>
    <xf numFmtId="164" fontId="3" fillId="2" borderId="9" xfId="1" applyNumberFormat="1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9" xfId="0" applyFont="1" applyBorder="1" applyAlignment="1">
      <alignment horizontal="left"/>
    </xf>
    <xf numFmtId="164" fontId="2" fillId="0" borderId="9" xfId="1" applyNumberFormat="1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0" fontId="2" fillId="0" borderId="9" xfId="0" applyFont="1" applyFill="1" applyBorder="1" applyAlignment="1">
      <alignment horizontal="left"/>
    </xf>
    <xf numFmtId="0" fontId="2" fillId="4" borderId="0" xfId="0" applyFont="1" applyFill="1"/>
    <xf numFmtId="0" fontId="6" fillId="4" borderId="0" xfId="3" applyFill="1" applyAlignment="1" applyProtection="1"/>
    <xf numFmtId="0" fontId="2" fillId="0" borderId="11" xfId="0" applyFont="1" applyBorder="1" applyAlignment="1">
      <alignment wrapText="1"/>
    </xf>
    <xf numFmtId="0" fontId="2" fillId="0" borderId="8" xfId="0" applyFont="1" applyBorder="1" applyAlignment="1"/>
    <xf numFmtId="164" fontId="2" fillId="0" borderId="3" xfId="1" applyNumberFormat="1" applyFont="1" applyBorder="1" applyProtection="1"/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5" borderId="8" xfId="0" applyFont="1" applyFill="1" applyBorder="1"/>
    <xf numFmtId="0" fontId="3" fillId="5" borderId="9" xfId="0" applyFont="1" applyFill="1" applyBorder="1"/>
    <xf numFmtId="164" fontId="3" fillId="5" borderId="9" xfId="1" applyNumberFormat="1" applyFont="1" applyFill="1" applyBorder="1"/>
    <xf numFmtId="164" fontId="3" fillId="5" borderId="10" xfId="1" applyNumberFormat="1" applyFont="1" applyFill="1" applyBorder="1"/>
    <xf numFmtId="164" fontId="3" fillId="5" borderId="5" xfId="1" applyNumberFormat="1" applyFont="1" applyFill="1" applyBorder="1"/>
    <xf numFmtId="0" fontId="3" fillId="5" borderId="23" xfId="0" applyFont="1" applyFill="1" applyBorder="1"/>
    <xf numFmtId="0" fontId="3" fillId="5" borderId="24" xfId="0" applyFont="1" applyFill="1" applyBorder="1"/>
    <xf numFmtId="0" fontId="3" fillId="5" borderId="12" xfId="0" applyFont="1" applyFill="1" applyBorder="1"/>
    <xf numFmtId="164" fontId="3" fillId="5" borderId="13" xfId="0" applyNumberFormat="1" applyFont="1" applyFill="1" applyBorder="1"/>
    <xf numFmtId="0" fontId="2" fillId="5" borderId="11" xfId="0" applyFont="1" applyFill="1" applyBorder="1"/>
    <xf numFmtId="164" fontId="2" fillId="5" borderId="13" xfId="1" applyNumberFormat="1" applyFont="1" applyFill="1" applyBorder="1"/>
    <xf numFmtId="0" fontId="3" fillId="5" borderId="9" xfId="0" applyFont="1" applyFill="1" applyBorder="1" applyAlignment="1">
      <alignment horizontal="left"/>
    </xf>
    <xf numFmtId="164" fontId="3" fillId="5" borderId="9" xfId="0" applyNumberFormat="1" applyFont="1" applyFill="1" applyBorder="1"/>
    <xf numFmtId="164" fontId="3" fillId="5" borderId="10" xfId="0" applyNumberFormat="1" applyFont="1" applyFill="1" applyBorder="1"/>
  </cellXfs>
  <cellStyles count="7">
    <cellStyle name="Comma" xfId="1" builtinId="3"/>
    <cellStyle name="Comma 2" xfId="4"/>
    <cellStyle name="Comma 3" xfId="5"/>
    <cellStyle name="Hyperlink" xfId="3" builtinId="8"/>
    <cellStyle name="Normal" xfId="0" builtinId="0"/>
    <cellStyle name="Normal 2" xfId="6"/>
    <cellStyle name="Normal_Form 16" xfId="2"/>
  </cellStyles>
  <dxfs count="0"/>
  <tableStyles count="0" defaultTableStyle="TableStyleMedium9" defaultPivotStyle="PivotStyleLight16"/>
  <colors>
    <mruColors>
      <color rgb="FF66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ncharla00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68"/>
  <sheetViews>
    <sheetView showGridLines="0" tabSelected="1" showRuler="0" workbookViewId="0">
      <selection activeCell="B40" sqref="B40:E40"/>
    </sheetView>
  </sheetViews>
  <sheetFormatPr defaultRowHeight="15.75"/>
  <cols>
    <col min="1" max="1" width="3.140625" style="1" customWidth="1"/>
    <col min="2" max="2" width="24.28515625" style="1" customWidth="1"/>
    <col min="3" max="3" width="23.42578125" style="1" bestFit="1" customWidth="1"/>
    <col min="4" max="4" width="14" style="1" bestFit="1" customWidth="1"/>
    <col min="5" max="5" width="14.28515625" style="1" customWidth="1"/>
    <col min="6" max="6" width="14.85546875" style="1" bestFit="1" customWidth="1"/>
    <col min="7" max="7" width="14.42578125" style="1" customWidth="1"/>
    <col min="8" max="11" width="9.140625" style="1"/>
    <col min="12" max="12" width="10.7109375" style="1" bestFit="1" customWidth="1"/>
    <col min="13" max="16384" width="9.140625" style="1"/>
  </cols>
  <sheetData>
    <row r="1" spans="2:12">
      <c r="B1" s="1" t="s">
        <v>0</v>
      </c>
      <c r="C1" s="2" t="s">
        <v>1</v>
      </c>
      <c r="D1" s="2"/>
      <c r="E1" s="2"/>
    </row>
    <row r="2" spans="2:12">
      <c r="B2" s="1" t="s">
        <v>2</v>
      </c>
      <c r="C2" s="2" t="s">
        <v>3</v>
      </c>
      <c r="D2" s="2"/>
      <c r="E2" s="2"/>
    </row>
    <row r="3" spans="2:12">
      <c r="B3" s="1" t="s">
        <v>4</v>
      </c>
      <c r="C3" s="2" t="s">
        <v>5</v>
      </c>
      <c r="D3" s="2"/>
      <c r="E3" s="2"/>
    </row>
    <row r="4" spans="2:12" s="3" customFormat="1" ht="16.5">
      <c r="B4" s="3" t="s">
        <v>6</v>
      </c>
      <c r="C4" s="4">
        <f>200000*6+240000*6</f>
        <v>2640000</v>
      </c>
      <c r="D4" s="5"/>
      <c r="E4" s="5"/>
    </row>
    <row r="5" spans="2:12">
      <c r="B5" s="1" t="s">
        <v>7</v>
      </c>
      <c r="C5" s="1" t="s">
        <v>8</v>
      </c>
    </row>
    <row r="7" spans="2:12" ht="16.5" thickBot="1">
      <c r="B7" s="1" t="s">
        <v>9</v>
      </c>
      <c r="C7" s="1" t="s">
        <v>10</v>
      </c>
    </row>
    <row r="8" spans="2:12" s="3" customFormat="1" ht="33">
      <c r="B8" s="69" t="s">
        <v>11</v>
      </c>
      <c r="C8" s="70" t="s">
        <v>12</v>
      </c>
      <c r="D8" s="6" t="s">
        <v>13</v>
      </c>
      <c r="E8" s="7" t="s">
        <v>14</v>
      </c>
      <c r="F8" s="6" t="s">
        <v>13</v>
      </c>
      <c r="G8" s="8" t="s">
        <v>14</v>
      </c>
      <c r="H8" s="9" t="s">
        <v>15</v>
      </c>
      <c r="I8" s="10"/>
      <c r="J8" s="10"/>
      <c r="K8" s="10"/>
      <c r="L8" s="11"/>
    </row>
    <row r="9" spans="2:12" s="3" customFormat="1" ht="16.5">
      <c r="B9" s="12" t="s">
        <v>16</v>
      </c>
      <c r="C9" s="13"/>
      <c r="D9" s="14">
        <v>200000</v>
      </c>
      <c r="E9" s="15">
        <f>+D9*6</f>
        <v>1200000</v>
      </c>
      <c r="F9" s="14">
        <v>240000</v>
      </c>
      <c r="G9" s="16">
        <f>+F9*6</f>
        <v>1440000</v>
      </c>
      <c r="H9" s="17"/>
      <c r="I9" s="17"/>
      <c r="J9" s="17"/>
      <c r="K9" s="17"/>
      <c r="L9" s="17"/>
    </row>
    <row r="10" spans="2:12" ht="16.5">
      <c r="B10" s="18" t="s">
        <v>17</v>
      </c>
      <c r="C10" s="17" t="s">
        <v>18</v>
      </c>
      <c r="D10" s="19">
        <f>+D9*40%</f>
        <v>80000</v>
      </c>
      <c r="E10" s="15">
        <f t="shared" ref="E10:E25" si="0">+D10*6</f>
        <v>480000</v>
      </c>
      <c r="F10" s="19">
        <f>+F9*40%</f>
        <v>96000</v>
      </c>
      <c r="G10" s="16">
        <f t="shared" ref="G10:G25" si="1">+F10*6</f>
        <v>576000</v>
      </c>
      <c r="H10" s="17">
        <v>180000</v>
      </c>
      <c r="I10" s="17"/>
      <c r="J10" s="17" t="s">
        <v>19</v>
      </c>
      <c r="K10" s="17"/>
      <c r="L10" s="17"/>
    </row>
    <row r="11" spans="2:12" ht="16.5">
      <c r="B11" s="18"/>
      <c r="C11" s="17" t="s">
        <v>20</v>
      </c>
      <c r="D11" s="19">
        <f>+D10*40%</f>
        <v>32000</v>
      </c>
      <c r="E11" s="15">
        <f t="shared" si="0"/>
        <v>192000</v>
      </c>
      <c r="F11" s="19">
        <f>+F10*40%</f>
        <v>38400</v>
      </c>
      <c r="G11" s="16">
        <f t="shared" si="1"/>
        <v>230400</v>
      </c>
      <c r="H11" s="17">
        <v>180001</v>
      </c>
      <c r="I11" s="17">
        <v>500000</v>
      </c>
      <c r="J11" s="20">
        <v>0.1</v>
      </c>
      <c r="K11" s="17">
        <f>+I11-H11</f>
        <v>319999</v>
      </c>
      <c r="L11" s="21">
        <v>0</v>
      </c>
    </row>
    <row r="12" spans="2:12" ht="16.5">
      <c r="B12" s="18"/>
      <c r="C12" s="17" t="s">
        <v>21</v>
      </c>
      <c r="D12" s="19">
        <v>800</v>
      </c>
      <c r="E12" s="15">
        <f t="shared" si="0"/>
        <v>4800</v>
      </c>
      <c r="F12" s="19">
        <v>800</v>
      </c>
      <c r="G12" s="16">
        <f t="shared" si="1"/>
        <v>4800</v>
      </c>
      <c r="H12" s="17">
        <v>500001</v>
      </c>
      <c r="I12" s="17">
        <v>800000</v>
      </c>
      <c r="J12" s="20">
        <v>0.2</v>
      </c>
      <c r="K12" s="17">
        <f>+I12-H12</f>
        <v>299999</v>
      </c>
      <c r="L12" s="22">
        <f>+(I11-H11)*10%</f>
        <v>31999.9</v>
      </c>
    </row>
    <row r="13" spans="2:12" ht="16.5">
      <c r="B13" s="18"/>
      <c r="C13" s="17" t="s">
        <v>22</v>
      </c>
      <c r="D13" s="19">
        <v>1250</v>
      </c>
      <c r="E13" s="15">
        <f t="shared" si="0"/>
        <v>7500</v>
      </c>
      <c r="F13" s="19">
        <v>1250</v>
      </c>
      <c r="G13" s="16">
        <f t="shared" si="1"/>
        <v>7500</v>
      </c>
      <c r="H13" s="17">
        <v>800000</v>
      </c>
      <c r="I13" s="17"/>
      <c r="J13" s="20">
        <v>0.3</v>
      </c>
      <c r="K13" s="17"/>
      <c r="L13" s="22">
        <f>+(I12-H12)*20%</f>
        <v>59999.8</v>
      </c>
    </row>
    <row r="14" spans="2:12" ht="16.5">
      <c r="B14" s="18"/>
      <c r="C14" s="17" t="s">
        <v>23</v>
      </c>
      <c r="D14" s="19">
        <v>200</v>
      </c>
      <c r="E14" s="15">
        <f t="shared" si="0"/>
        <v>1200</v>
      </c>
      <c r="F14" s="19">
        <v>200</v>
      </c>
      <c r="G14" s="16">
        <f t="shared" si="1"/>
        <v>1200</v>
      </c>
      <c r="H14" s="17"/>
      <c r="I14" s="17"/>
      <c r="J14" s="17"/>
      <c r="K14" s="17"/>
      <c r="L14" s="22">
        <f>+L12+L13</f>
        <v>91999.700000000012</v>
      </c>
    </row>
    <row r="15" spans="2:12" ht="16.5">
      <c r="B15" s="18"/>
      <c r="C15" s="17" t="s">
        <v>24</v>
      </c>
      <c r="D15" s="19">
        <f>+IF(D9&gt;60000,D9*20%,IF(D9&lt;=40000,"0","8000"))</f>
        <v>40000</v>
      </c>
      <c r="E15" s="15">
        <f t="shared" si="0"/>
        <v>240000</v>
      </c>
      <c r="F15" s="19">
        <f>+IF(F9&gt;60000,F9*20%,IF(F9&lt;=40000,"0","8000"))</f>
        <v>48000</v>
      </c>
      <c r="G15" s="16">
        <f t="shared" si="1"/>
        <v>288000</v>
      </c>
      <c r="H15" s="17"/>
      <c r="I15" s="17"/>
      <c r="J15" s="17"/>
      <c r="K15" s="17"/>
      <c r="L15" s="17"/>
    </row>
    <row r="16" spans="2:12" ht="16.5">
      <c r="B16" s="18"/>
      <c r="C16" s="17" t="s">
        <v>25</v>
      </c>
      <c r="D16" s="19">
        <f>+IF(D9&gt;60000,D9*8%,IF(D9&lt;=40000,"0","3000"))</f>
        <v>16000</v>
      </c>
      <c r="E16" s="15">
        <f t="shared" si="0"/>
        <v>96000</v>
      </c>
      <c r="F16" s="19">
        <f>+IF(F9&gt;60000,F9*8%,IF(F9&lt;=40000,"0","3000"))</f>
        <v>19200</v>
      </c>
      <c r="G16" s="16">
        <f t="shared" si="1"/>
        <v>115200</v>
      </c>
      <c r="H16" s="9" t="s">
        <v>26</v>
      </c>
      <c r="I16" s="10"/>
      <c r="J16" s="10"/>
      <c r="K16" s="10"/>
      <c r="L16" s="11"/>
    </row>
    <row r="17" spans="2:12" ht="16.5">
      <c r="B17" s="18"/>
      <c r="C17" s="17" t="s">
        <v>27</v>
      </c>
      <c r="D17" s="19">
        <v>0</v>
      </c>
      <c r="E17" s="15">
        <f t="shared" si="0"/>
        <v>0</v>
      </c>
      <c r="F17" s="19">
        <v>0</v>
      </c>
      <c r="G17" s="16">
        <f t="shared" si="1"/>
        <v>0</v>
      </c>
      <c r="H17" s="17">
        <v>190000</v>
      </c>
      <c r="I17" s="17"/>
      <c r="J17" s="17" t="s">
        <v>19</v>
      </c>
      <c r="K17" s="17"/>
      <c r="L17" s="17"/>
    </row>
    <row r="18" spans="2:12" ht="16.5">
      <c r="B18" s="18"/>
      <c r="C18" s="17" t="s">
        <v>28</v>
      </c>
      <c r="D18" s="19">
        <f>+D9-SUM(D10:D17)</f>
        <v>29750</v>
      </c>
      <c r="E18" s="15">
        <f t="shared" si="0"/>
        <v>178500</v>
      </c>
      <c r="F18" s="19">
        <f>+F9-SUM(F10:F17)</f>
        <v>36150</v>
      </c>
      <c r="G18" s="16">
        <f t="shared" si="1"/>
        <v>216900</v>
      </c>
      <c r="H18" s="17">
        <v>190001</v>
      </c>
      <c r="I18" s="17">
        <v>500000</v>
      </c>
      <c r="J18" s="20">
        <v>0.1</v>
      </c>
      <c r="K18" s="17">
        <f>+I18-H18</f>
        <v>309999</v>
      </c>
      <c r="L18" s="22">
        <f>+K18*10%</f>
        <v>30999.9</v>
      </c>
    </row>
    <row r="19" spans="2:12" s="3" customFormat="1" ht="16.5">
      <c r="B19" s="71"/>
      <c r="C19" s="72" t="s">
        <v>29</v>
      </c>
      <c r="D19" s="73">
        <f>+D9-D17</f>
        <v>200000</v>
      </c>
      <c r="E19" s="74">
        <f t="shared" si="0"/>
        <v>1200000</v>
      </c>
      <c r="F19" s="73">
        <f>+F9-F17</f>
        <v>240000</v>
      </c>
      <c r="G19" s="75">
        <f t="shared" si="1"/>
        <v>1440000</v>
      </c>
      <c r="H19" s="17">
        <v>500001</v>
      </c>
      <c r="I19" s="17">
        <v>800000</v>
      </c>
      <c r="J19" s="20">
        <v>0.2</v>
      </c>
      <c r="K19" s="17">
        <f>+I19-H19</f>
        <v>299999</v>
      </c>
      <c r="L19" s="22">
        <f>+K19*20%</f>
        <v>59999.8</v>
      </c>
    </row>
    <row r="20" spans="2:12" ht="16.5">
      <c r="B20" s="18" t="s">
        <v>30</v>
      </c>
      <c r="C20" s="17" t="s">
        <v>31</v>
      </c>
      <c r="D20" s="19">
        <f>+D17</f>
        <v>0</v>
      </c>
      <c r="E20" s="15">
        <f t="shared" si="0"/>
        <v>0</v>
      </c>
      <c r="F20" s="19">
        <f>+F17</f>
        <v>0</v>
      </c>
      <c r="G20" s="16">
        <f t="shared" si="1"/>
        <v>0</v>
      </c>
      <c r="H20" s="17">
        <v>800000</v>
      </c>
      <c r="I20" s="17"/>
      <c r="J20" s="20">
        <v>0.3</v>
      </c>
      <c r="K20" s="17"/>
      <c r="L20" s="22">
        <f>+L19+L18</f>
        <v>90999.700000000012</v>
      </c>
    </row>
    <row r="21" spans="2:12" ht="16.5">
      <c r="B21" s="18"/>
      <c r="C21" s="17" t="s">
        <v>32</v>
      </c>
      <c r="D21" s="19">
        <v>0</v>
      </c>
      <c r="E21" s="15">
        <f t="shared" si="0"/>
        <v>0</v>
      </c>
      <c r="F21" s="19">
        <v>0</v>
      </c>
      <c r="G21" s="16">
        <f t="shared" si="1"/>
        <v>0</v>
      </c>
      <c r="H21" s="17"/>
      <c r="I21" s="17"/>
      <c r="J21" s="17"/>
      <c r="K21" s="17"/>
      <c r="L21" s="17"/>
    </row>
    <row r="22" spans="2:12" ht="16.5">
      <c r="B22" s="18"/>
      <c r="C22" s="17" t="s">
        <v>33</v>
      </c>
      <c r="D22" s="25"/>
      <c r="E22" s="15">
        <f t="shared" si="0"/>
        <v>0</v>
      </c>
      <c r="F22" s="25"/>
      <c r="G22" s="16">
        <f t="shared" si="1"/>
        <v>0</v>
      </c>
      <c r="H22" s="9" t="s">
        <v>34</v>
      </c>
      <c r="I22" s="10"/>
      <c r="J22" s="10"/>
      <c r="K22" s="10"/>
      <c r="L22" s="11"/>
    </row>
    <row r="23" spans="2:12" ht="16.5">
      <c r="B23" s="18"/>
      <c r="C23" s="17" t="s">
        <v>35</v>
      </c>
      <c r="D23" s="19"/>
      <c r="E23" s="15">
        <f t="shared" si="0"/>
        <v>0</v>
      </c>
      <c r="F23" s="19"/>
      <c r="G23" s="16">
        <f t="shared" si="1"/>
        <v>0</v>
      </c>
      <c r="H23" s="17"/>
      <c r="I23" s="17"/>
      <c r="J23" s="17"/>
      <c r="K23" s="17"/>
      <c r="L23" s="17"/>
    </row>
    <row r="24" spans="2:12" s="3" customFormat="1" ht="16.5">
      <c r="B24" s="23"/>
      <c r="C24" s="24" t="s">
        <v>36</v>
      </c>
      <c r="D24" s="14">
        <f>+SUM(D20:D23)</f>
        <v>0</v>
      </c>
      <c r="E24" s="15">
        <f t="shared" si="0"/>
        <v>0</v>
      </c>
      <c r="F24" s="14">
        <f>+SUM(F20:F23)</f>
        <v>0</v>
      </c>
      <c r="G24" s="16">
        <f t="shared" si="1"/>
        <v>0</v>
      </c>
      <c r="H24" s="17">
        <v>250000</v>
      </c>
      <c r="I24" s="17"/>
      <c r="J24" s="17" t="s">
        <v>19</v>
      </c>
      <c r="K24" s="17"/>
      <c r="L24" s="17"/>
    </row>
    <row r="25" spans="2:12" s="3" customFormat="1" ht="16.5">
      <c r="B25" s="71" t="s">
        <v>37</v>
      </c>
      <c r="C25" s="72"/>
      <c r="D25" s="73">
        <f>+D19-D24</f>
        <v>200000</v>
      </c>
      <c r="E25" s="74">
        <f t="shared" si="0"/>
        <v>1200000</v>
      </c>
      <c r="F25" s="73">
        <f>+F19-F24</f>
        <v>240000</v>
      </c>
      <c r="G25" s="75">
        <f t="shared" si="1"/>
        <v>1440000</v>
      </c>
      <c r="H25" s="17">
        <v>250001</v>
      </c>
      <c r="I25" s="17">
        <v>500000</v>
      </c>
      <c r="J25" s="20">
        <v>0.1</v>
      </c>
      <c r="K25" s="17">
        <f>+I25-H25</f>
        <v>249999</v>
      </c>
      <c r="L25" s="22">
        <f>+K25*10%</f>
        <v>24999.9</v>
      </c>
    </row>
    <row r="26" spans="2:12">
      <c r="B26" s="18" t="s">
        <v>38</v>
      </c>
      <c r="C26" s="17"/>
      <c r="D26" s="19"/>
      <c r="E26" s="26">
        <f>182445/2</f>
        <v>91222.5</v>
      </c>
      <c r="F26" s="19"/>
      <c r="G26" s="27"/>
      <c r="H26" s="17">
        <v>500001</v>
      </c>
      <c r="I26" s="17">
        <v>800000</v>
      </c>
      <c r="J26" s="20">
        <v>0.2</v>
      </c>
      <c r="K26" s="17">
        <f>+I26-H26</f>
        <v>299999</v>
      </c>
      <c r="L26" s="22">
        <f>+K26*20%</f>
        <v>59999.8</v>
      </c>
    </row>
    <row r="27" spans="2:12">
      <c r="B27" s="67" t="s">
        <v>39</v>
      </c>
      <c r="C27" s="17"/>
      <c r="D27" s="19"/>
      <c r="E27" s="26">
        <v>100000</v>
      </c>
      <c r="F27" s="19"/>
      <c r="G27" s="27"/>
      <c r="H27" s="17">
        <v>500000</v>
      </c>
      <c r="I27" s="17"/>
      <c r="J27" s="20">
        <v>0.3</v>
      </c>
      <c r="K27" s="17"/>
      <c r="L27" s="22">
        <f>+L26+L25</f>
        <v>84999.700000000012</v>
      </c>
    </row>
    <row r="28" spans="2:12" ht="48" thickBot="1">
      <c r="B28" s="66" t="s">
        <v>80</v>
      </c>
      <c r="C28" s="29"/>
      <c r="D28" s="30"/>
      <c r="E28" s="31">
        <v>0</v>
      </c>
      <c r="F28" s="30"/>
      <c r="G28" s="31">
        <v>0</v>
      </c>
    </row>
    <row r="29" spans="2:12" ht="21" thickBot="1">
      <c r="B29" s="32" t="s">
        <v>40</v>
      </c>
      <c r="C29" s="33"/>
      <c r="D29" s="33"/>
      <c r="E29" s="34"/>
    </row>
    <row r="30" spans="2:12" ht="16.5" thickBot="1">
      <c r="B30" s="35" t="s">
        <v>41</v>
      </c>
      <c r="C30" s="36"/>
      <c r="D30" s="36"/>
      <c r="E30" s="37">
        <f>+E10+E14+G10+G14</f>
        <v>1058400</v>
      </c>
    </row>
    <row r="31" spans="2:12">
      <c r="B31" s="38" t="s">
        <v>42</v>
      </c>
      <c r="C31" s="39"/>
      <c r="D31" s="37">
        <f>+E11+G11</f>
        <v>422400</v>
      </c>
      <c r="E31" s="40"/>
    </row>
    <row r="32" spans="2:12">
      <c r="B32" s="18" t="s">
        <v>43</v>
      </c>
      <c r="C32" s="17"/>
      <c r="D32" s="41">
        <f>+E11+G11</f>
        <v>422400</v>
      </c>
      <c r="E32" s="40"/>
    </row>
    <row r="33" spans="2:7">
      <c r="B33" s="18" t="s">
        <v>44</v>
      </c>
      <c r="C33" s="17"/>
      <c r="D33" s="41">
        <f>+IF(C34-(10%*D10)&gt;0,(C34-(10%*D10)),0)</f>
        <v>0</v>
      </c>
      <c r="E33" s="40"/>
    </row>
    <row r="34" spans="2:7">
      <c r="B34" s="18" t="s">
        <v>45</v>
      </c>
      <c r="C34" s="17">
        <v>0</v>
      </c>
      <c r="D34" s="42"/>
      <c r="E34" s="40"/>
    </row>
    <row r="35" spans="2:7" ht="16.5" thickBot="1">
      <c r="B35" s="28" t="s">
        <v>46</v>
      </c>
      <c r="C35" s="29"/>
      <c r="D35" s="43">
        <f>+(E10+G10)*40%</f>
        <v>422400</v>
      </c>
      <c r="E35" s="40"/>
    </row>
    <row r="36" spans="2:7">
      <c r="B36" s="44"/>
      <c r="C36" s="45"/>
      <c r="D36" s="46">
        <f>+MIN(D32:D35)</f>
        <v>0</v>
      </c>
      <c r="E36" s="42"/>
    </row>
    <row r="37" spans="2:7">
      <c r="B37" s="47" t="s">
        <v>47</v>
      </c>
      <c r="C37" s="17"/>
      <c r="D37" s="17"/>
      <c r="E37" s="41">
        <f>+D31-D36</f>
        <v>422400</v>
      </c>
    </row>
    <row r="38" spans="2:7">
      <c r="B38" s="47" t="s">
        <v>48</v>
      </c>
      <c r="C38" s="17"/>
      <c r="D38" s="17"/>
      <c r="E38" s="41">
        <f>+E18+G18</f>
        <v>395400</v>
      </c>
    </row>
    <row r="39" spans="2:7">
      <c r="B39" s="47" t="s">
        <v>49</v>
      </c>
      <c r="C39" s="17"/>
      <c r="D39" s="17"/>
      <c r="E39" s="41">
        <f>+-E21</f>
        <v>0</v>
      </c>
    </row>
    <row r="40" spans="2:7" s="3" customFormat="1" ht="16.5">
      <c r="B40" s="71" t="s">
        <v>50</v>
      </c>
      <c r="C40" s="72"/>
      <c r="D40" s="72"/>
      <c r="E40" s="84">
        <f>+SUM(E30:E39)</f>
        <v>1876200</v>
      </c>
    </row>
    <row r="41" spans="2:7">
      <c r="B41" s="47" t="s">
        <v>51</v>
      </c>
      <c r="C41" s="17"/>
      <c r="D41" s="17"/>
      <c r="E41" s="25">
        <f>+E26+G26</f>
        <v>91222.5</v>
      </c>
    </row>
    <row r="42" spans="2:7">
      <c r="B42" s="67" t="s">
        <v>39</v>
      </c>
      <c r="C42" s="17"/>
      <c r="D42" s="17"/>
      <c r="E42" s="48">
        <f>MIN(E27,100000)</f>
        <v>100000</v>
      </c>
    </row>
    <row r="43" spans="2:7" ht="48" thickBot="1">
      <c r="B43" s="66" t="s">
        <v>80</v>
      </c>
      <c r="C43" s="17"/>
      <c r="D43" s="17"/>
      <c r="E43" s="25">
        <f>+E28</f>
        <v>0</v>
      </c>
      <c r="F43" s="1" t="s">
        <v>52</v>
      </c>
    </row>
    <row r="44" spans="2:7" s="3" customFormat="1" ht="17.25" thickBot="1">
      <c r="B44" s="76" t="s">
        <v>53</v>
      </c>
      <c r="C44" s="77"/>
      <c r="D44" s="78"/>
      <c r="E44" s="79">
        <f>+E40-E41-E42-E43</f>
        <v>1684977.5</v>
      </c>
      <c r="F44" s="49">
        <f>+E44/4</f>
        <v>421244.375</v>
      </c>
      <c r="G44" s="49"/>
    </row>
    <row r="45" spans="2:7">
      <c r="B45" s="38" t="s">
        <v>54</v>
      </c>
      <c r="C45" s="68">
        <f>IF($C$5="Y",IF(E44&gt;800000,((E44-800000)*30%+85000),IF(E44&gt;500000,((E44-500000)*20%)+25000,IF(E44&gt;250000,((E44-250000)*10%),0))),IF($C$7="F",IF(E44&gt;800000,((E44-800000)*30%)+91000,IF(E44&gt;500000,((E44-500000)*20%)+31000,IF(E44&gt;190000,((E44-190000)*10%),0))),IF(E44&gt;800000,((E44-800000)*30%)+92000,IF(E44&gt;500000,((E44-500000)*20%)+32000,IF(E44&gt;180000,((E44-180000)*10%),0)))))</f>
        <v>357493.25</v>
      </c>
      <c r="G45" s="50"/>
    </row>
    <row r="46" spans="2:7" ht="33">
      <c r="B46" s="51" t="s">
        <v>55</v>
      </c>
      <c r="C46" s="52">
        <f>+C45*3%</f>
        <v>10724.797499999999</v>
      </c>
    </row>
    <row r="47" spans="2:7" ht="16.5" thickBot="1">
      <c r="B47" s="80" t="s">
        <v>56</v>
      </c>
      <c r="C47" s="81">
        <f>+C45+C46</f>
        <v>368218.04749999999</v>
      </c>
      <c r="F47" s="53">
        <f>+F46*30%</f>
        <v>0</v>
      </c>
    </row>
    <row r="48" spans="2:7" ht="33">
      <c r="B48" s="54" t="s">
        <v>57</v>
      </c>
      <c r="C48" s="14">
        <f>+C47/12</f>
        <v>30684.837291666667</v>
      </c>
      <c r="D48" s="55"/>
      <c r="E48" s="55"/>
      <c r="G48" s="55"/>
    </row>
    <row r="49" spans="2:7">
      <c r="B49" s="56"/>
      <c r="C49" s="55"/>
      <c r="D49" s="55"/>
      <c r="E49" s="55"/>
      <c r="F49" s="55"/>
      <c r="G49" s="55"/>
    </row>
    <row r="50" spans="2:7" s="59" customFormat="1" ht="33">
      <c r="B50" s="57" t="s">
        <v>58</v>
      </c>
      <c r="C50" s="58" t="s">
        <v>59</v>
      </c>
      <c r="D50" s="58" t="s">
        <v>60</v>
      </c>
      <c r="E50" s="58" t="s">
        <v>61</v>
      </c>
      <c r="F50" s="58" t="s">
        <v>60</v>
      </c>
      <c r="G50" s="58" t="s">
        <v>62</v>
      </c>
    </row>
    <row r="51" spans="2:7">
      <c r="B51" s="60" t="s">
        <v>63</v>
      </c>
      <c r="C51" s="61">
        <f>+C48</f>
        <v>30684.837291666667</v>
      </c>
      <c r="D51" s="61">
        <f>+C51</f>
        <v>30684.837291666667</v>
      </c>
      <c r="E51" s="61">
        <v>24000</v>
      </c>
      <c r="F51" s="61">
        <f>+E51</f>
        <v>24000</v>
      </c>
      <c r="G51" s="62">
        <f t="shared" ref="G51:G62" si="2">D51-F51</f>
        <v>6684.8372916666667</v>
      </c>
    </row>
    <row r="52" spans="2:7">
      <c r="B52" s="60" t="s">
        <v>64</v>
      </c>
      <c r="C52" s="62">
        <f>+C48</f>
        <v>30684.837291666667</v>
      </c>
      <c r="D52" s="61">
        <f t="shared" ref="D52:D62" si="3">+D51+C52</f>
        <v>61369.674583333333</v>
      </c>
      <c r="E52" s="62">
        <v>28238</v>
      </c>
      <c r="F52" s="62">
        <f t="shared" ref="F52:F62" si="4">+F51+E52</f>
        <v>52238</v>
      </c>
      <c r="G52" s="62">
        <f t="shared" si="2"/>
        <v>9131.6745833333334</v>
      </c>
    </row>
    <row r="53" spans="2:7">
      <c r="B53" s="60" t="s">
        <v>65</v>
      </c>
      <c r="C53" s="62">
        <f>+C48</f>
        <v>30684.837291666667</v>
      </c>
      <c r="D53" s="61">
        <f t="shared" si="3"/>
        <v>92054.511874999997</v>
      </c>
      <c r="E53" s="61">
        <f>26119+186</f>
        <v>26305</v>
      </c>
      <c r="F53" s="62">
        <f t="shared" si="4"/>
        <v>78543</v>
      </c>
      <c r="G53" s="62">
        <f t="shared" si="2"/>
        <v>13511.511874999997</v>
      </c>
    </row>
    <row r="54" spans="2:7">
      <c r="B54" s="60" t="s">
        <v>66</v>
      </c>
      <c r="C54" s="62">
        <f t="shared" ref="C54:C62" si="5">+C53</f>
        <v>30684.837291666667</v>
      </c>
      <c r="D54" s="61">
        <f t="shared" si="3"/>
        <v>122739.34916666667</v>
      </c>
      <c r="E54" s="61">
        <v>26181</v>
      </c>
      <c r="F54" s="62">
        <f t="shared" si="4"/>
        <v>104724</v>
      </c>
      <c r="G54" s="62">
        <f t="shared" si="2"/>
        <v>18015.349166666667</v>
      </c>
    </row>
    <row r="55" spans="2:7">
      <c r="B55" s="60" t="s">
        <v>67</v>
      </c>
      <c r="C55" s="62">
        <f t="shared" si="5"/>
        <v>30684.837291666667</v>
      </c>
      <c r="D55" s="61">
        <f t="shared" si="3"/>
        <v>153424.18645833334</v>
      </c>
      <c r="E55" s="61">
        <v>26180</v>
      </c>
      <c r="F55" s="62">
        <f t="shared" si="4"/>
        <v>130904</v>
      </c>
      <c r="G55" s="62">
        <f t="shared" si="2"/>
        <v>22520.186458333337</v>
      </c>
    </row>
    <row r="56" spans="2:7">
      <c r="B56" s="60" t="s">
        <v>68</v>
      </c>
      <c r="C56" s="62">
        <f t="shared" si="5"/>
        <v>30684.837291666667</v>
      </c>
      <c r="D56" s="61">
        <f t="shared" si="3"/>
        <v>184109.02374999999</v>
      </c>
      <c r="E56" s="61">
        <v>26181</v>
      </c>
      <c r="F56" s="62">
        <f t="shared" si="4"/>
        <v>157085</v>
      </c>
      <c r="G56" s="62">
        <f t="shared" si="2"/>
        <v>27024.023749999993</v>
      </c>
    </row>
    <row r="57" spans="2:7">
      <c r="B57" s="63" t="s">
        <v>69</v>
      </c>
      <c r="C57" s="62">
        <f t="shared" si="5"/>
        <v>30684.837291666667</v>
      </c>
      <c r="D57" s="61">
        <f t="shared" si="3"/>
        <v>214793.86104166665</v>
      </c>
      <c r="E57" s="61">
        <v>26181</v>
      </c>
      <c r="F57" s="62">
        <f t="shared" si="4"/>
        <v>183266</v>
      </c>
      <c r="G57" s="62">
        <f t="shared" si="2"/>
        <v>31527.861041666649</v>
      </c>
    </row>
    <row r="58" spans="2:7">
      <c r="B58" s="60" t="s">
        <v>70</v>
      </c>
      <c r="C58" s="62">
        <f t="shared" si="5"/>
        <v>30684.837291666667</v>
      </c>
      <c r="D58" s="61">
        <f t="shared" si="3"/>
        <v>245478.6983333333</v>
      </c>
      <c r="E58" s="61">
        <v>36860</v>
      </c>
      <c r="F58" s="62">
        <f t="shared" si="4"/>
        <v>220126</v>
      </c>
      <c r="G58" s="62">
        <f t="shared" si="2"/>
        <v>25352.698333333305</v>
      </c>
    </row>
    <row r="59" spans="2:7">
      <c r="B59" s="63" t="s">
        <v>71</v>
      </c>
      <c r="C59" s="62">
        <f t="shared" si="5"/>
        <v>30684.837291666667</v>
      </c>
      <c r="D59" s="61">
        <f t="shared" si="3"/>
        <v>276163.53562499996</v>
      </c>
      <c r="E59" s="61">
        <v>36860</v>
      </c>
      <c r="F59" s="62">
        <f t="shared" si="4"/>
        <v>256986</v>
      </c>
      <c r="G59" s="62">
        <f t="shared" si="2"/>
        <v>19177.53562499996</v>
      </c>
    </row>
    <row r="60" spans="2:7">
      <c r="B60" s="60" t="s">
        <v>72</v>
      </c>
      <c r="C60" s="62">
        <f t="shared" si="5"/>
        <v>30684.837291666667</v>
      </c>
      <c r="D60" s="61">
        <f t="shared" si="3"/>
        <v>306848.37291666662</v>
      </c>
      <c r="E60" s="61">
        <v>36860</v>
      </c>
      <c r="F60" s="62">
        <f t="shared" si="4"/>
        <v>293846</v>
      </c>
      <c r="G60" s="62">
        <f t="shared" si="2"/>
        <v>13002.372916666616</v>
      </c>
    </row>
    <row r="61" spans="2:7">
      <c r="B61" s="63" t="s">
        <v>73</v>
      </c>
      <c r="C61" s="62">
        <f t="shared" si="5"/>
        <v>30684.837291666667</v>
      </c>
      <c r="D61" s="61">
        <f t="shared" si="3"/>
        <v>337533.21020833327</v>
      </c>
      <c r="E61" s="61">
        <v>36860</v>
      </c>
      <c r="F61" s="62">
        <f t="shared" si="4"/>
        <v>330706</v>
      </c>
      <c r="G61" s="62">
        <f t="shared" si="2"/>
        <v>6827.210208333272</v>
      </c>
    </row>
    <row r="62" spans="2:7">
      <c r="B62" s="60" t="s">
        <v>74</v>
      </c>
      <c r="C62" s="62">
        <f t="shared" si="5"/>
        <v>30684.837291666667</v>
      </c>
      <c r="D62" s="61">
        <f t="shared" si="3"/>
        <v>368218.04749999993</v>
      </c>
      <c r="E62" s="61">
        <v>37512</v>
      </c>
      <c r="F62" s="62">
        <f t="shared" si="4"/>
        <v>368218</v>
      </c>
      <c r="G62" s="62">
        <f t="shared" si="2"/>
        <v>4.74999999278225E-2</v>
      </c>
    </row>
    <row r="63" spans="2:7" s="3" customFormat="1" ht="16.5">
      <c r="B63" s="82" t="s">
        <v>75</v>
      </c>
      <c r="C63" s="83">
        <f>SUM(C51:C62)</f>
        <v>368218.04749999993</v>
      </c>
      <c r="D63" s="83"/>
      <c r="E63" s="83">
        <f>SUM(E51:E62)</f>
        <v>368218</v>
      </c>
      <c r="F63" s="72"/>
      <c r="G63" s="72"/>
    </row>
    <row r="64" spans="2:7">
      <c r="B64" s="64" t="s">
        <v>76</v>
      </c>
      <c r="G64" s="50"/>
    </row>
    <row r="65" spans="2:2">
      <c r="B65" s="64" t="s">
        <v>77</v>
      </c>
    </row>
    <row r="66" spans="2:2">
      <c r="B66" s="65" t="s">
        <v>78</v>
      </c>
    </row>
    <row r="68" spans="2:2" ht="16.5">
      <c r="B68" s="3" t="s">
        <v>79</v>
      </c>
    </row>
  </sheetData>
  <sheetProtection formatCells="0"/>
  <mergeCells count="8">
    <mergeCell ref="H22:L22"/>
    <mergeCell ref="B29:E29"/>
    <mergeCell ref="C1:E1"/>
    <mergeCell ref="C2:E2"/>
    <mergeCell ref="C3:E3"/>
    <mergeCell ref="H8:L8"/>
    <mergeCell ref="B9:C9"/>
    <mergeCell ref="H16:L16"/>
  </mergeCells>
  <hyperlinks>
    <hyperlink ref="B66" r:id="rId1"/>
  </hyperlinks>
  <printOptions horizontalCentered="1"/>
  <pageMargins left="0.25" right="0.25" top="0.5" bottom="0.5" header="0.5" footer="0.5"/>
  <pageSetup paperSize="9" orientation="portrait" verticalDpi="12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Mr.VBR</vt:lpstr>
    </vt:vector>
  </TitlesOfParts>
  <Company>nandan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kamesh</dc:creator>
  <cp:lastModifiedBy>kamesh</cp:lastModifiedBy>
  <dcterms:created xsi:type="dcterms:W3CDTF">2011-06-30T09:05:28Z</dcterms:created>
  <dcterms:modified xsi:type="dcterms:W3CDTF">2011-06-30T09:10:16Z</dcterms:modified>
</cp:coreProperties>
</file>