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255" windowHeight="8160" firstSheet="2" activeTab="9"/>
  </bookViews>
  <sheets>
    <sheet name="DetReqd" sheetId="11" r:id="rId1"/>
    <sheet name="I.TAX" sheetId="1" r:id="rId2"/>
    <sheet name="Notes" sheetId="10" r:id="rId3"/>
    <sheet name="STCG" sheetId="9" r:id="rId4"/>
    <sheet name="LTCG" sheetId="13" r:id="rId5"/>
    <sheet name="LTCASold" sheetId="23" r:id="rId6"/>
    <sheet name="CII" sheetId="14" r:id="rId7"/>
    <sheet name="MAT115JB" sheetId="6" r:id="rId8"/>
    <sheet name="MAT-CF115JAA" sheetId="4" r:id="rId9"/>
    <sheet name="CF's" sheetId="5" r:id="rId10"/>
    <sheet name="Sec50" sheetId="2" r:id="rId11"/>
    <sheet name="sections(CF)" sheetId="7" r:id="rId12"/>
    <sheet name="115JAA(MAT-CF)" sheetId="8" r:id="rId13"/>
    <sheet name="VRS35DDA" sheetId="3" r:id="rId14"/>
    <sheet name="MiscExp" sheetId="19" r:id="rId15"/>
    <sheet name="SWE" sheetId="15" r:id="rId16"/>
    <sheet name="MiscInc" sheetId="18" r:id="rId17"/>
    <sheet name="OL" sheetId="17" r:id="rId18"/>
    <sheet name="DepnITax" sheetId="24" r:id="rId19"/>
    <sheet name="Dep on NPK Plant " sheetId="25"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CAT1">#REF!</definedName>
    <definedName name="__CAT2">#REF!</definedName>
    <definedName name="_1">#REF!</definedName>
    <definedName name="_11">#REF!</definedName>
    <definedName name="_13">#REF!</definedName>
    <definedName name="_14">#REF!</definedName>
    <definedName name="_14A">#REF!</definedName>
    <definedName name="_15">#REF!</definedName>
    <definedName name="_2">#REF!</definedName>
    <definedName name="_20">#REF!</definedName>
    <definedName name="_3">#REF!</definedName>
    <definedName name="_5A">#REF!</definedName>
    <definedName name="_7A">#REF!</definedName>
    <definedName name="_7C">#REF!</definedName>
    <definedName name="_8">#REF!</definedName>
    <definedName name="_9">#REF!</definedName>
    <definedName name="_cha1">[1]form26!#REF!</definedName>
    <definedName name="_cha2">[1]form26!#REF!</definedName>
    <definedName name="_cha4">[1]form26!#REF!</definedName>
    <definedName name="_cha5">[1]form26!#REF!</definedName>
    <definedName name="_cha6">[1]form26!#REF!</definedName>
    <definedName name="_xlnm._FilterDatabase">#REF!</definedName>
    <definedName name="_Order1" hidden="1">0</definedName>
    <definedName name="_s1">[2]Sheet1!$A$1:$Q$111</definedName>
    <definedName name="AddInFound">[3]Control!$B$14</definedName>
    <definedName name="ADMIN_EXP">#REF!</definedName>
    <definedName name="ALL">#REF!</definedName>
    <definedName name="ALNG">#REF!</definedName>
    <definedName name="Annex2">#REF!</definedName>
    <definedName name="Annex9">[4]Annexures!#REF!</definedName>
    <definedName name="ANX_2">#REF!</definedName>
    <definedName name="ANX_2A">#REF!</definedName>
    <definedName name="ANX_3">#REF!</definedName>
    <definedName name="APN">#REF!</definedName>
    <definedName name="ASD">#REF!</definedName>
    <definedName name="BS">#REF!</definedName>
    <definedName name="BuildingCost">#REF!</definedName>
    <definedName name="CA">#REF!</definedName>
    <definedName name="Calculation">[3]Control!$B$13</definedName>
    <definedName name="CAPITAL">#REF!</definedName>
    <definedName name="challan">[1]form26!#REF!</definedName>
    <definedName name="CheckForm">'[3]405'!$G$8:$G$25</definedName>
    <definedName name="CheckGainLoss">'[3]427'!$N$7:$N$39</definedName>
    <definedName name="CL">#REF!</definedName>
    <definedName name="_xlnm.Criteria">[3]Control!$A$18:$B$19</definedName>
    <definedName name="CurrentYear">[3]Control!$B$2</definedName>
    <definedName name="_xlnm.Data_Form">#N/A</definedName>
    <definedName name="data1">'[5]Fcst vs Budgets'!#REF!</definedName>
    <definedName name="details">[2]Sheet1!$A$1:$Q$111</definedName>
    <definedName name="DPC">#REF!</definedName>
    <definedName name="DragandDrop">[3]Control!$B$12</definedName>
    <definedName name="DTS">#REF!</definedName>
    <definedName name="Efficiency">#REF!</definedName>
    <definedName name="emi">#REF!</definedName>
    <definedName name="EMP_BENFIT_EXP">#REF!</definedName>
    <definedName name="FA">#REF!</definedName>
    <definedName name="FileDirectory">[3]Control!$B$7</definedName>
    <definedName name="FY">#REF!</definedName>
    <definedName name="gig">[6]Acc_wise_global!#REF!</definedName>
    <definedName name="gigrp">#REF!</definedName>
    <definedName name="giilacs">#REF!</definedName>
    <definedName name="gilacs">#REF!</definedName>
    <definedName name="Glacs">#REF!</definedName>
    <definedName name="GLOBAL">#REF!</definedName>
    <definedName name="Globalgii">[6]Acc_wise_global!#REF!</definedName>
    <definedName name="GlobalGrp">#REF!</definedName>
    <definedName name="Globalgrpgii">#REF!</definedName>
    <definedName name="hdr2WorksheetNames">[3]Control!$D$21</definedName>
    <definedName name="hdrWorksheetNames">[3]Control!$B$21</definedName>
    <definedName name="header">#REF!</definedName>
    <definedName name="HLREC">#REF!</definedName>
    <definedName name="homePlate">'[3]403'!$H$5</definedName>
    <definedName name="IDN">'[7]adp-budget'!#REF!</definedName>
    <definedName name="IFN">'[7]adp-budget'!#REF!</definedName>
    <definedName name="INCOME">#REF!</definedName>
    <definedName name="INTT">#REF!</definedName>
    <definedName name="INTT_EXP">#REF!</definedName>
    <definedName name="INV">#REF!</definedName>
    <definedName name="link">'[8]original pbc'!#REF!</definedName>
    <definedName name="LocationCode">[3]Control!$B$4</definedName>
    <definedName name="LYN">'[7]adp-budget'!#REF!</definedName>
    <definedName name="MachineryCost">#REF!</definedName>
    <definedName name="MANU_EXP">#REF!</definedName>
    <definedName name="MISC_EXP">#REF!</definedName>
    <definedName name="NG">#REF!</definedName>
    <definedName name="NvsASD">"V1999-07-15"</definedName>
    <definedName name="NvsAutoDrillOk">"VN"</definedName>
    <definedName name="NvsElapsedTime">0.000326736109855119</definedName>
    <definedName name="NvsEndTime">35992.179075463</definedName>
    <definedName name="NvsInstSpec">"%,FDEPTID,V1608"</definedName>
    <definedName name="NvsLayoutType">"M3"</definedName>
    <definedName name="NvsNplSpec">"%,X,RZF.ACCOUNT.,CZF.."</definedName>
    <definedName name="NvsPanelEffdt">"V1998-01-16"</definedName>
    <definedName name="NvsPanelSetid">"VBISG"</definedName>
    <definedName name="NvsReqBU">"VWILCO"</definedName>
    <definedName name="NvsReqBUOnly">"VY"</definedName>
    <definedName name="NvsTransLed">"VN"</definedName>
    <definedName name="NvsTreeASD">"V1999-07-15"</definedName>
    <definedName name="NvsValTbl.ACCOUNT">"GL_ACCOUNT_TBL"</definedName>
    <definedName name="NvsValTbl.CURRENCY_CD">"CURRENCY_CD_TBL"</definedName>
    <definedName name="OTH_INC">#REF!</definedName>
    <definedName name="PAY">#REF!</definedName>
    <definedName name="PER">#REF!</definedName>
    <definedName name="PF_BS">#REF!</definedName>
    <definedName name="PF_PL">#REF!</definedName>
    <definedName name="PL">#REF!</definedName>
    <definedName name="PREPAID">#REF!</definedName>
    <definedName name="print">#REF!</definedName>
    <definedName name="_xlnm.Print_Area" localSheetId="19">'Dep on NPK Plant '!$A$1:$F$74</definedName>
    <definedName name="_xlnm.Print_Area" localSheetId="18">DepnITax!$A$1:$I$59</definedName>
    <definedName name="_xlnm.Print_Area" localSheetId="0">DetReqd!$A$1:$F$27</definedName>
    <definedName name="_xlnm.Print_Area" localSheetId="1">I.TAX!$A$1:$E$246</definedName>
    <definedName name="_xlnm.Print_Area" localSheetId="5">LTCASold!$A$1:$J$44</definedName>
    <definedName name="_xlnm.Print_Area" localSheetId="4">LTCG!$A$2:$E$34</definedName>
    <definedName name="_xlnm.Print_Area" localSheetId="7">MAT115JB!$A$1:$E$75</definedName>
    <definedName name="_xlnm.Print_Area" localSheetId="8">'MAT-CF115JAA'!$A$1:$J$17</definedName>
    <definedName name="_xlnm.Print_Area" localSheetId="16">MiscInc!$A$1:$C$17</definedName>
    <definedName name="_xlnm.Print_Area" localSheetId="2">Notes!$A$2:$C$27</definedName>
    <definedName name="_xlnm.Print_Area" localSheetId="3">STCG!$A$1:$E$34</definedName>
    <definedName name="_xlnm.Print_Area">#REF!</definedName>
    <definedName name="PRINT_AREA_MI">#REF!</definedName>
    <definedName name="_xlnm.Print_Titles" localSheetId="19">'Dep on NPK Plant '!$6:$7</definedName>
    <definedName name="_xlnm.Print_Titles" localSheetId="1">I.TAX!$1:$2</definedName>
    <definedName name="_xlnm.Print_Titles" localSheetId="7">MAT115JB!$1:$3</definedName>
    <definedName name="ProjectCost">#REF!</definedName>
    <definedName name="prtWorksheetNames">[3]Control!$E$22:$E$61</definedName>
    <definedName name="QDub_Price">#REF!</definedName>
    <definedName name="QFX_Price">#REF!</definedName>
    <definedName name="QJam_Price">#REF!</definedName>
    <definedName name="QMix_Price">#REF!</definedName>
    <definedName name="range">#REF!</definedName>
    <definedName name="RESERVE">#REF!</definedName>
    <definedName name="Revenue">#REF!</definedName>
    <definedName name="reworking">[8]Acc_wise!#REF!</definedName>
    <definedName name="RTT">#REF!</definedName>
    <definedName name="Sch1A">[1]form26!#REF!</definedName>
    <definedName name="Schedule_5_to_8">'[9]B&amp;S31-03-04'!#REF!</definedName>
    <definedName name="SEC_LOAN">#REF!</definedName>
    <definedName name="SeedCapital">#REF!</definedName>
    <definedName name="SFD_QDEPTID">#REF!</definedName>
    <definedName name="SFV">#REF!</definedName>
    <definedName name="ShareCapital">#REF!</definedName>
    <definedName name="stn">#REF!</definedName>
    <definedName name="Target_Market">#REF!</definedName>
    <definedName name="TaxRate">#REF!</definedName>
    <definedName name="TermLoan">#REF!</definedName>
    <definedName name="TermLoanIntRate">#REF!</definedName>
    <definedName name="THIS_FILE">[3]Control!$B$6</definedName>
    <definedName name="TOOLS">#REF!</definedName>
    <definedName name="Total_Market">#REF!</definedName>
    <definedName name="Total_Penetration">#REF!</definedName>
    <definedName name="Total_Studios">#REF!</definedName>
    <definedName name="UNSEC_LOAN">#REF!</definedName>
    <definedName name="UnsecuredLoan">#REF!</definedName>
    <definedName name="UnsecuredLoanIntRate">#REF!</definedName>
    <definedName name="UserFirstName">[3]Control!$B$10</definedName>
    <definedName name="UserName">[3]Control!$B$9</definedName>
    <definedName name="Version">[3]Control!$B$16</definedName>
    <definedName name="WCLoanIntRate">#REF!</definedName>
    <definedName name="WorksheetNames">[3]Control!$B$22:$B$61</definedName>
    <definedName name="Z_05D2BB21_1ABC_11D8_A251_0050BA898C9C_.wvu.PrintArea" localSheetId="18" hidden="1">DepnITax!$A$1:$I$51</definedName>
    <definedName name="Z_096B92BD_BDE3_11D8_89CE_0080C8901142_.wvu.PrintArea" localSheetId="18" hidden="1">DepnITax!$A$1:$I$51</definedName>
    <definedName name="Z_30098135_1ABD_11D8_AA41_0050BA37DF2A_.wvu.PrintArea" localSheetId="18" hidden="1">DepnITax!$A$1:$I$51</definedName>
    <definedName name="Z_B4A811F3_B9F1_11D8_ABCE_0050BA898C9C_.wvu.PrintArea" localSheetId="18" hidden="1">DepnITax!$A$1:$I$51</definedName>
  </definedNames>
  <calcPr calcId="124519"/>
</workbook>
</file>

<file path=xl/calcChain.xml><?xml version="1.0" encoding="utf-8"?>
<calcChain xmlns="http://schemas.openxmlformats.org/spreadsheetml/2006/main">
  <c r="E21" i="1"/>
  <c r="E20"/>
  <c r="E19"/>
  <c r="E18"/>
  <c r="E70" i="25"/>
  <c r="E69"/>
  <c r="E68"/>
  <c r="E67"/>
  <c r="D70"/>
  <c r="D69"/>
  <c r="D68"/>
  <c r="D67"/>
  <c r="F54"/>
  <c r="D55" s="1"/>
  <c r="E54"/>
  <c r="F40"/>
  <c r="D41" s="1"/>
  <c r="E40"/>
  <c r="D30"/>
  <c r="E30" s="1"/>
  <c r="F26"/>
  <c r="D27" s="1"/>
  <c r="E26"/>
  <c r="A25"/>
  <c r="A39" s="1"/>
  <c r="F11"/>
  <c r="D12" s="1"/>
  <c r="E11"/>
  <c r="E41" l="1"/>
  <c r="F41" s="1"/>
  <c r="D42" s="1"/>
  <c r="E55"/>
  <c r="F55" s="1"/>
  <c r="D56" s="1"/>
  <c r="E12"/>
  <c r="F12" s="1"/>
  <c r="D13" s="1"/>
  <c r="E27"/>
  <c r="F27" s="1"/>
  <c r="D28" s="1"/>
  <c r="F30"/>
  <c r="D31" s="1"/>
  <c r="E13" l="1"/>
  <c r="F13" s="1"/>
  <c r="D14" s="1"/>
  <c r="E42"/>
  <c r="F42" s="1"/>
  <c r="D43" s="1"/>
  <c r="E28"/>
  <c r="F28" s="1"/>
  <c r="D29" s="1"/>
  <c r="E56"/>
  <c r="F56" s="1"/>
  <c r="D57" s="1"/>
  <c r="E31"/>
  <c r="F31" s="1"/>
  <c r="D32" s="1"/>
  <c r="E32" l="1"/>
  <c r="F32" s="1"/>
  <c r="D33" s="1"/>
  <c r="F29"/>
  <c r="E29"/>
  <c r="F14"/>
  <c r="D15" s="1"/>
  <c r="E14"/>
  <c r="F57"/>
  <c r="D58" s="1"/>
  <c r="E57"/>
  <c r="E43"/>
  <c r="F43" s="1"/>
  <c r="D44" s="1"/>
  <c r="E44" l="1"/>
  <c r="F44" s="1"/>
  <c r="D45" s="1"/>
  <c r="F33"/>
  <c r="D34" s="1"/>
  <c r="E33"/>
  <c r="E58"/>
  <c r="F58" s="1"/>
  <c r="D59" s="1"/>
  <c r="E15"/>
  <c r="F15" s="1"/>
  <c r="D16" s="1"/>
  <c r="E16" l="1"/>
  <c r="F16" s="1"/>
  <c r="D17" s="1"/>
  <c r="E45"/>
  <c r="F45" s="1"/>
  <c r="D46" s="1"/>
  <c r="E59"/>
  <c r="F59" s="1"/>
  <c r="D60" s="1"/>
  <c r="E34"/>
  <c r="F34"/>
  <c r="D35" s="1"/>
  <c r="E60" l="1"/>
  <c r="F60" s="1"/>
  <c r="D61" s="1"/>
  <c r="E17"/>
  <c r="F17" s="1"/>
  <c r="D18" s="1"/>
  <c r="E46"/>
  <c r="F46" s="1"/>
  <c r="D47" s="1"/>
  <c r="F35"/>
  <c r="D36" s="1"/>
  <c r="E35"/>
  <c r="E47" l="1"/>
  <c r="F47" s="1"/>
  <c r="D48" s="1"/>
  <c r="E61"/>
  <c r="F61" s="1"/>
  <c r="D62" s="1"/>
  <c r="E18"/>
  <c r="F18" s="1"/>
  <c r="D19" s="1"/>
  <c r="E36"/>
  <c r="F36"/>
  <c r="D37" s="1"/>
  <c r="E19" l="1"/>
  <c r="F19" s="1"/>
  <c r="D20" s="1"/>
  <c r="E48"/>
  <c r="F48" s="1"/>
  <c r="D49" s="1"/>
  <c r="E62"/>
  <c r="F62" s="1"/>
  <c r="D63" s="1"/>
  <c r="F37"/>
  <c r="E37"/>
  <c r="E63" l="1"/>
  <c r="E20"/>
  <c r="F20" s="1"/>
  <c r="D21" s="1"/>
  <c r="E49"/>
  <c r="F49" s="1"/>
  <c r="D50" s="1"/>
  <c r="E50" l="1"/>
  <c r="E21"/>
  <c r="F21" s="1"/>
  <c r="D22" s="1"/>
  <c r="F63"/>
  <c r="E22" l="1"/>
  <c r="F22" s="1"/>
  <c r="D23" s="1"/>
  <c r="F50"/>
  <c r="E23" l="1"/>
  <c r="F23" s="1"/>
  <c r="D24" s="1"/>
  <c r="E24" l="1"/>
  <c r="E73" s="1"/>
  <c r="E74" s="1"/>
  <c r="F24" l="1"/>
  <c r="D73" s="1"/>
  <c r="D74" s="1"/>
  <c r="D55" i="24" l="1"/>
  <c r="C55"/>
  <c r="E55" s="1"/>
  <c r="C46"/>
  <c r="D43"/>
  <c r="C43"/>
  <c r="E43" s="1"/>
  <c r="C39"/>
  <c r="E39" s="1"/>
  <c r="B39"/>
  <c r="D39" s="1"/>
  <c r="C19"/>
  <c r="F18"/>
  <c r="E18"/>
  <c r="D18"/>
  <c r="K17"/>
  <c r="H17"/>
  <c r="G17"/>
  <c r="I17" s="1"/>
  <c r="F16"/>
  <c r="E16"/>
  <c r="D16"/>
  <c r="K15"/>
  <c r="L15" s="1"/>
  <c r="H15"/>
  <c r="G15"/>
  <c r="I15" s="1"/>
  <c r="F14"/>
  <c r="E14"/>
  <c r="G14" s="1"/>
  <c r="D14"/>
  <c r="J13"/>
  <c r="F13"/>
  <c r="E13"/>
  <c r="G13" s="1"/>
  <c r="D13"/>
  <c r="F12"/>
  <c r="E12"/>
  <c r="D12"/>
  <c r="K12" s="1"/>
  <c r="K11"/>
  <c r="H11"/>
  <c r="L11" s="1"/>
  <c r="G11"/>
  <c r="I11" s="1"/>
  <c r="E10"/>
  <c r="D10"/>
  <c r="E9"/>
  <c r="E19" s="1"/>
  <c r="D8"/>
  <c r="G8" s="1"/>
  <c r="N60" i="5"/>
  <c r="M60"/>
  <c r="L60"/>
  <c r="K60"/>
  <c r="M59"/>
  <c r="L59"/>
  <c r="K59"/>
  <c r="J59"/>
  <c r="N59" s="1"/>
  <c r="E58"/>
  <c r="M58" s="1"/>
  <c r="D58"/>
  <c r="L58" s="1"/>
  <c r="C58"/>
  <c r="K58" s="1"/>
  <c r="F57"/>
  <c r="N57" s="1"/>
  <c r="E57"/>
  <c r="M57" s="1"/>
  <c r="D57"/>
  <c r="L57" s="1"/>
  <c r="C57"/>
  <c r="K57" s="1"/>
  <c r="F56"/>
  <c r="N56" s="1"/>
  <c r="E56"/>
  <c r="M56" s="1"/>
  <c r="D56"/>
  <c r="L56" s="1"/>
  <c r="C56"/>
  <c r="K56" s="1"/>
  <c r="F55"/>
  <c r="N55" s="1"/>
  <c r="E55"/>
  <c r="M55" s="1"/>
  <c r="D55"/>
  <c r="L55" s="1"/>
  <c r="C55"/>
  <c r="K55" s="1"/>
  <c r="F54"/>
  <c r="N54" s="1"/>
  <c r="E54"/>
  <c r="M54" s="1"/>
  <c r="D54"/>
  <c r="L54" s="1"/>
  <c r="C54"/>
  <c r="K54" s="1"/>
  <c r="F53"/>
  <c r="N53" s="1"/>
  <c r="E53"/>
  <c r="M53" s="1"/>
  <c r="D53"/>
  <c r="L53" s="1"/>
  <c r="C53"/>
  <c r="K53" s="1"/>
  <c r="F52"/>
  <c r="N52" s="1"/>
  <c r="E52"/>
  <c r="M52" s="1"/>
  <c r="D52"/>
  <c r="L52" s="1"/>
  <c r="C52"/>
  <c r="K52" s="1"/>
  <c r="C15" i="13"/>
  <c r="C19"/>
  <c r="E19" s="1"/>
  <c r="C17"/>
  <c r="E17" s="1"/>
  <c r="E7"/>
  <c r="E6"/>
  <c r="C38" i="23"/>
  <c r="C36"/>
  <c r="C43" s="1"/>
  <c r="E25"/>
  <c r="C25"/>
  <c r="I25" s="1"/>
  <c r="F19"/>
  <c r="F17"/>
  <c r="F15"/>
  <c r="F13"/>
  <c r="F11"/>
  <c r="K16" i="24" l="1"/>
  <c r="L17"/>
  <c r="H18"/>
  <c r="F19"/>
  <c r="H16"/>
  <c r="K18"/>
  <c r="K10"/>
  <c r="G12"/>
  <c r="K13"/>
  <c r="H13"/>
  <c r="K14"/>
  <c r="H14"/>
  <c r="G16"/>
  <c r="I16" s="1"/>
  <c r="G18"/>
  <c r="I18" s="1"/>
  <c r="L14"/>
  <c r="I14"/>
  <c r="L16"/>
  <c r="L18"/>
  <c r="H8"/>
  <c r="H9"/>
  <c r="K9"/>
  <c r="G10"/>
  <c r="H12"/>
  <c r="L12" s="1"/>
  <c r="D19"/>
  <c r="D46"/>
  <c r="E46" s="1"/>
  <c r="G9"/>
  <c r="I9" s="1"/>
  <c r="H10"/>
  <c r="L10" s="1"/>
  <c r="F21" i="23"/>
  <c r="E12" i="13"/>
  <c r="E23" s="1"/>
  <c r="E31" s="1"/>
  <c r="J47" i="5" s="1"/>
  <c r="J25" i="23"/>
  <c r="F25"/>
  <c r="C14" i="10"/>
  <c r="E221" i="1"/>
  <c r="C20" i="19"/>
  <c r="C17" i="18"/>
  <c r="C13"/>
  <c r="C42" i="17"/>
  <c r="C27" i="15"/>
  <c r="D32" i="9"/>
  <c r="D22"/>
  <c r="C10" i="11"/>
  <c r="E36" i="1"/>
  <c r="E35"/>
  <c r="F231"/>
  <c r="F226"/>
  <c r="F228" s="1"/>
  <c r="E33" i="6"/>
  <c r="D33"/>
  <c r="E32"/>
  <c r="E53"/>
  <c r="E35"/>
  <c r="E23"/>
  <c r="E187" i="1"/>
  <c r="E191"/>
  <c r="E210" s="1"/>
  <c r="E174"/>
  <c r="D210"/>
  <c r="E142"/>
  <c r="E5" i="6"/>
  <c r="E11"/>
  <c r="E10"/>
  <c r="E9"/>
  <c r="E8"/>
  <c r="D237" i="1"/>
  <c r="D69" i="6"/>
  <c r="D62"/>
  <c r="D32"/>
  <c r="D35"/>
  <c r="F54"/>
  <c r="D23"/>
  <c r="D187" i="1"/>
  <c r="D36"/>
  <c r="D35"/>
  <c r="D34"/>
  <c r="D221"/>
  <c r="L9" i="24" l="1"/>
  <c r="L13"/>
  <c r="D69"/>
  <c r="D71" s="1"/>
  <c r="D20"/>
  <c r="I13"/>
  <c r="H19"/>
  <c r="E17" i="1" s="1"/>
  <c r="E184" s="1"/>
  <c r="I12" i="24"/>
  <c r="G19"/>
  <c r="I10"/>
  <c r="I8"/>
  <c r="I19" s="1"/>
  <c r="C24" i="19"/>
  <c r="C22"/>
  <c r="F230" i="1"/>
  <c r="E211"/>
  <c r="E54" i="6"/>
  <c r="D54"/>
  <c r="D63" s="1"/>
  <c r="D184" i="1"/>
  <c r="D211" s="1"/>
  <c r="D215" s="1"/>
  <c r="D216" s="1"/>
  <c r="D223" s="1"/>
  <c r="D226" s="1"/>
  <c r="F69" i="6"/>
  <c r="E69"/>
  <c r="F62"/>
  <c r="E62"/>
  <c r="F70"/>
  <c r="F71" s="1"/>
  <c r="E70"/>
  <c r="E71" s="1"/>
  <c r="N48" i="5"/>
  <c r="M48"/>
  <c r="L48"/>
  <c r="K48"/>
  <c r="N47"/>
  <c r="F58" s="1"/>
  <c r="N58" s="1"/>
  <c r="M47"/>
  <c r="L47"/>
  <c r="K47"/>
  <c r="N36"/>
  <c r="M36"/>
  <c r="L36"/>
  <c r="K36"/>
  <c r="N35"/>
  <c r="F46" s="1"/>
  <c r="N46" s="1"/>
  <c r="M35"/>
  <c r="E46" s="1"/>
  <c r="M46" s="1"/>
  <c r="L35"/>
  <c r="D46" s="1"/>
  <c r="L46" s="1"/>
  <c r="K35"/>
  <c r="C46" s="1"/>
  <c r="K46" s="1"/>
  <c r="N24"/>
  <c r="M24"/>
  <c r="L24"/>
  <c r="K24"/>
  <c r="N12"/>
  <c r="F23" s="1"/>
  <c r="N23" s="1"/>
  <c r="F34" s="1"/>
  <c r="N34" s="1"/>
  <c r="F45" s="1"/>
  <c r="N45" s="1"/>
  <c r="M12"/>
  <c r="E23" s="1"/>
  <c r="M23" s="1"/>
  <c r="E34" s="1"/>
  <c r="M34" s="1"/>
  <c r="E45" s="1"/>
  <c r="M45" s="1"/>
  <c r="L12"/>
  <c r="D23" s="1"/>
  <c r="L23" s="1"/>
  <c r="D34" s="1"/>
  <c r="L34" s="1"/>
  <c r="D45" s="1"/>
  <c r="L45" s="1"/>
  <c r="K12"/>
  <c r="C23" s="1"/>
  <c r="K23" s="1"/>
  <c r="C34" s="1"/>
  <c r="K34" s="1"/>
  <c r="C45" s="1"/>
  <c r="K45" s="1"/>
  <c r="N11"/>
  <c r="F22" s="1"/>
  <c r="N22" s="1"/>
  <c r="F33" s="1"/>
  <c r="N33" s="1"/>
  <c r="F44" s="1"/>
  <c r="N44" s="1"/>
  <c r="M11"/>
  <c r="E22" s="1"/>
  <c r="M22" s="1"/>
  <c r="E33" s="1"/>
  <c r="M33" s="1"/>
  <c r="E44" s="1"/>
  <c r="M44" s="1"/>
  <c r="L11"/>
  <c r="D22" s="1"/>
  <c r="L22" s="1"/>
  <c r="D33" s="1"/>
  <c r="L33" s="1"/>
  <c r="D44" s="1"/>
  <c r="L44" s="1"/>
  <c r="K11"/>
  <c r="C22" s="1"/>
  <c r="K22" s="1"/>
  <c r="C33" s="1"/>
  <c r="K33" s="1"/>
  <c r="C44" s="1"/>
  <c r="K44" s="1"/>
  <c r="N10"/>
  <c r="F21" s="1"/>
  <c r="N21" s="1"/>
  <c r="F32" s="1"/>
  <c r="N32" s="1"/>
  <c r="F43" s="1"/>
  <c r="N43" s="1"/>
  <c r="M10"/>
  <c r="E21" s="1"/>
  <c r="M21" s="1"/>
  <c r="E32" s="1"/>
  <c r="M32" s="1"/>
  <c r="E43" s="1"/>
  <c r="M43" s="1"/>
  <c r="L10"/>
  <c r="D21" s="1"/>
  <c r="L21" s="1"/>
  <c r="D32" s="1"/>
  <c r="L32" s="1"/>
  <c r="D43" s="1"/>
  <c r="L43" s="1"/>
  <c r="K10"/>
  <c r="C21" s="1"/>
  <c r="K21" s="1"/>
  <c r="C32" s="1"/>
  <c r="K32" s="1"/>
  <c r="C43" s="1"/>
  <c r="K43" s="1"/>
  <c r="N9"/>
  <c r="F20" s="1"/>
  <c r="N20" s="1"/>
  <c r="F31" s="1"/>
  <c r="N31" s="1"/>
  <c r="F42" s="1"/>
  <c r="N42" s="1"/>
  <c r="M9"/>
  <c r="E20" s="1"/>
  <c r="M20" s="1"/>
  <c r="E31" s="1"/>
  <c r="M31" s="1"/>
  <c r="E42" s="1"/>
  <c r="M42" s="1"/>
  <c r="L9"/>
  <c r="D20" s="1"/>
  <c r="L20" s="1"/>
  <c r="D31" s="1"/>
  <c r="L31" s="1"/>
  <c r="D42" s="1"/>
  <c r="L42" s="1"/>
  <c r="K9"/>
  <c r="C20" s="1"/>
  <c r="K20" s="1"/>
  <c r="C31" s="1"/>
  <c r="K31" s="1"/>
  <c r="C42" s="1"/>
  <c r="K42" s="1"/>
  <c r="N8"/>
  <c r="F19" s="1"/>
  <c r="N19" s="1"/>
  <c r="F30" s="1"/>
  <c r="N30" s="1"/>
  <c r="F41" s="1"/>
  <c r="N41" s="1"/>
  <c r="M8"/>
  <c r="E19" s="1"/>
  <c r="M19" s="1"/>
  <c r="E30" s="1"/>
  <c r="M30" s="1"/>
  <c r="E41" s="1"/>
  <c r="M41" s="1"/>
  <c r="L8"/>
  <c r="D19" s="1"/>
  <c r="L19" s="1"/>
  <c r="D30" s="1"/>
  <c r="L30" s="1"/>
  <c r="D41" s="1"/>
  <c r="L41" s="1"/>
  <c r="K8"/>
  <c r="C19" s="1"/>
  <c r="K19" s="1"/>
  <c r="C30" s="1"/>
  <c r="K30" s="1"/>
  <c r="C41" s="1"/>
  <c r="K41" s="1"/>
  <c r="N7"/>
  <c r="M7"/>
  <c r="E18" s="1"/>
  <c r="M18" s="1"/>
  <c r="E29" s="1"/>
  <c r="M29" s="1"/>
  <c r="E40" s="1"/>
  <c r="M40" s="1"/>
  <c r="L7"/>
  <c r="D18" s="1"/>
  <c r="L18" s="1"/>
  <c r="D29" s="1"/>
  <c r="L29" s="1"/>
  <c r="D40" s="1"/>
  <c r="L40" s="1"/>
  <c r="K7"/>
  <c r="C18" s="1"/>
  <c r="K18" s="1"/>
  <c r="C29" s="1"/>
  <c r="K29" s="1"/>
  <c r="C40" s="1"/>
  <c r="K40" s="1"/>
  <c r="N6"/>
  <c r="F17" s="1"/>
  <c r="N17" s="1"/>
  <c r="F28" s="1"/>
  <c r="N28" s="1"/>
  <c r="M6"/>
  <c r="E17" s="1"/>
  <c r="M17" s="1"/>
  <c r="E28" s="1"/>
  <c r="M28" s="1"/>
  <c r="L6"/>
  <c r="D17" s="1"/>
  <c r="L17" s="1"/>
  <c r="D28" s="1"/>
  <c r="L28" s="1"/>
  <c r="K6"/>
  <c r="C17" s="1"/>
  <c r="K17" s="1"/>
  <c r="C28" s="1"/>
  <c r="K28" s="1"/>
  <c r="N5"/>
  <c r="F16" s="1"/>
  <c r="N16" s="1"/>
  <c r="M5"/>
  <c r="E16" s="1"/>
  <c r="M16" s="1"/>
  <c r="L5"/>
  <c r="D16" s="1"/>
  <c r="L16" s="1"/>
  <c r="K5"/>
  <c r="C16" s="1"/>
  <c r="K16" s="1"/>
  <c r="N4"/>
  <c r="M4"/>
  <c r="L4"/>
  <c r="K4"/>
  <c r="F17" i="4"/>
  <c r="E17"/>
  <c r="F16"/>
  <c r="E16"/>
  <c r="F15"/>
  <c r="E15"/>
  <c r="F14"/>
  <c r="E14"/>
  <c r="F13"/>
  <c r="E13"/>
  <c r="F12"/>
  <c r="E12"/>
  <c r="F11"/>
  <c r="E11"/>
  <c r="F10"/>
  <c r="E10"/>
  <c r="F9"/>
  <c r="E9"/>
  <c r="F8"/>
  <c r="E8"/>
  <c r="F6"/>
  <c r="E6"/>
  <c r="F5"/>
  <c r="E5"/>
  <c r="F4"/>
  <c r="E4"/>
  <c r="H5" s="1"/>
  <c r="H6" s="1"/>
  <c r="F3"/>
  <c r="E3"/>
  <c r="G3" s="1"/>
  <c r="B4" s="1"/>
  <c r="G4" s="1"/>
  <c r="B5" s="1"/>
  <c r="G5" s="1"/>
  <c r="B6" s="1"/>
  <c r="G6" s="1"/>
  <c r="B7" s="1"/>
  <c r="E215" i="1" l="1"/>
  <c r="E216" s="1"/>
  <c r="E223" s="1"/>
  <c r="E226" s="1"/>
  <c r="E228" s="1"/>
  <c r="E230" s="1"/>
  <c r="E231" s="1"/>
  <c r="F18" i="5"/>
  <c r="N18" s="1"/>
  <c r="F29" s="1"/>
  <c r="N29" s="1"/>
  <c r="F40" s="1"/>
  <c r="N40" s="1"/>
  <c r="E233" i="1"/>
  <c r="D7" i="4"/>
  <c r="D70" i="6"/>
  <c r="D71" s="1"/>
  <c r="D233" i="1" s="1"/>
  <c r="D228"/>
  <c r="F63" i="6"/>
  <c r="E63"/>
  <c r="H4" i="4"/>
  <c r="C7" l="1"/>
  <c r="F7" s="1"/>
  <c r="E235" i="1"/>
  <c r="D230"/>
  <c r="D231" s="1"/>
  <c r="D235" s="1"/>
  <c r="D239" s="1"/>
  <c r="D245" s="1"/>
  <c r="E237" l="1"/>
  <c r="E239" s="1"/>
  <c r="E245" s="1"/>
  <c r="H7" i="4"/>
  <c r="E7"/>
  <c r="G7" l="1"/>
  <c r="B8" s="1"/>
  <c r="G8" s="1"/>
  <c r="B9" s="1"/>
  <c r="G9" s="1"/>
  <c r="B10" s="1"/>
  <c r="G10" s="1"/>
  <c r="B11" s="1"/>
  <c r="G11" s="1"/>
  <c r="B12" s="1"/>
  <c r="G12" s="1"/>
  <c r="B13" s="1"/>
  <c r="G13" s="1"/>
  <c r="B14" s="1"/>
  <c r="G14" s="1"/>
  <c r="B15" s="1"/>
  <c r="G15" s="1"/>
  <c r="B16" s="1"/>
  <c r="G16" s="1"/>
  <c r="B17" s="1"/>
  <c r="G17" s="1"/>
</calcChain>
</file>

<file path=xl/sharedStrings.xml><?xml version="1.0" encoding="utf-8"?>
<sst xmlns="http://schemas.openxmlformats.org/spreadsheetml/2006/main" count="1523" uniqueCount="843">
  <si>
    <t>MAT</t>
  </si>
  <si>
    <t>Formula based do not input values</t>
  </si>
  <si>
    <t>A.Y.</t>
  </si>
  <si>
    <t>Opg.Balances                    (A)</t>
  </si>
  <si>
    <t>Tax as per I.Tax (B)</t>
  </si>
  <si>
    <t>Tax as per 115JB  (C )</t>
  </si>
  <si>
    <t xml:space="preserve"> Set-off             (B) - (C )</t>
  </si>
  <si>
    <t>Clg.Balances</t>
  </si>
  <si>
    <t>Balance to be set-off</t>
  </si>
  <si>
    <t>Balance relating to AY</t>
  </si>
  <si>
    <t>Set-off allowed upto AY</t>
  </si>
  <si>
    <t>2006-07</t>
  </si>
  <si>
    <t>2007-08</t>
  </si>
  <si>
    <t>2014-15</t>
  </si>
  <si>
    <t>2008-09</t>
  </si>
  <si>
    <t>2009-10</t>
  </si>
  <si>
    <t>2010-11</t>
  </si>
  <si>
    <t>2011-12</t>
  </si>
  <si>
    <t>2012-13</t>
  </si>
  <si>
    <t>2013-14</t>
  </si>
  <si>
    <t>2015-16</t>
  </si>
  <si>
    <t>2016-17</t>
  </si>
  <si>
    <t>2017-18</t>
  </si>
  <si>
    <t>2018-19</t>
  </si>
  <si>
    <t>2019-20</t>
  </si>
  <si>
    <t>2020-21</t>
  </si>
  <si>
    <t>Opg.Balances</t>
  </si>
  <si>
    <t>C/Years</t>
  </si>
  <si>
    <t>Years</t>
  </si>
  <si>
    <t>Unabsorbed Depreciation</t>
  </si>
  <si>
    <t>Business Loss</t>
  </si>
  <si>
    <t>STCL</t>
  </si>
  <si>
    <t>LTCL</t>
  </si>
  <si>
    <t>1999-00</t>
  </si>
  <si>
    <t>2000-01</t>
  </si>
  <si>
    <t>2002-03</t>
  </si>
  <si>
    <t>2003-04</t>
  </si>
  <si>
    <t>2004-05</t>
  </si>
  <si>
    <t>2005-06</t>
  </si>
  <si>
    <t>Particulars</t>
  </si>
  <si>
    <t>Computation of Book Profits u/s 115JB</t>
  </si>
  <si>
    <t>AY2010-11</t>
  </si>
  <si>
    <t>AY2011-12</t>
  </si>
  <si>
    <t>A</t>
  </si>
  <si>
    <t>Expl(1)</t>
  </si>
  <si>
    <t>Net Profit as P&amp;L A/C(as per part II &amp;III of Sch VI)</t>
  </si>
  <si>
    <t xml:space="preserve">B </t>
  </si>
  <si>
    <t>Add:</t>
  </si>
  <si>
    <t>If debited to P&amp;L Account:-</t>
  </si>
  <si>
    <t>1(a)</t>
  </si>
  <si>
    <t>1(b)</t>
  </si>
  <si>
    <r>
      <t xml:space="preserve">Amounts credited to any </t>
    </r>
    <r>
      <rPr>
        <b/>
        <sz val="11"/>
        <rFont val="Calibri"/>
        <family val="2"/>
      </rPr>
      <t>reserves</t>
    </r>
    <r>
      <rPr>
        <sz val="11"/>
        <rFont val="Calibri"/>
        <family val="2"/>
      </rPr>
      <t xml:space="preserve"> by whatever name called(w.e.f AY2003-04 other than a reserve for shipping business created U/S 33AC)</t>
    </r>
  </si>
  <si>
    <t>1(c)</t>
  </si>
  <si>
    <r>
      <t xml:space="preserve">Provision for </t>
    </r>
    <r>
      <rPr>
        <b/>
        <sz val="11"/>
        <rFont val="Calibri"/>
        <family val="2"/>
      </rPr>
      <t>Un-Ascertained Liabilities</t>
    </r>
  </si>
  <si>
    <t>1(d)</t>
  </si>
  <si>
    <r>
      <t xml:space="preserve">Provision for </t>
    </r>
    <r>
      <rPr>
        <b/>
        <sz val="11"/>
        <rFont val="Calibri"/>
        <family val="2"/>
      </rPr>
      <t>losses of Subsidiary</t>
    </r>
    <r>
      <rPr>
        <sz val="11"/>
        <rFont val="Calibri"/>
        <family val="2"/>
      </rPr>
      <t xml:space="preserve"> companies</t>
    </r>
  </si>
  <si>
    <t>1(e)</t>
  </si>
  <si>
    <r>
      <rPr>
        <b/>
        <sz val="11"/>
        <rFont val="Calibri"/>
        <family val="2"/>
      </rPr>
      <t>Dividends</t>
    </r>
    <r>
      <rPr>
        <sz val="11"/>
        <rFont val="Calibri"/>
        <family val="2"/>
      </rPr>
      <t xml:space="preserve"> paid / proposed</t>
    </r>
  </si>
  <si>
    <t>1(f)</t>
  </si>
  <si>
    <r>
      <rPr>
        <b/>
        <sz val="11"/>
        <rFont val="Calibri"/>
        <family val="2"/>
      </rPr>
      <t>Expenditure related to exempt incomes</t>
    </r>
    <r>
      <rPr>
        <sz val="11"/>
        <rFont val="Calibri"/>
        <family val="2"/>
      </rPr>
      <t xml:space="preserve"> u/s 10/10A/10B/11/12 (w.e.f.AY 2008-09 except 10(23G),10(38),10A,10B)</t>
    </r>
  </si>
  <si>
    <t>1(g)</t>
  </si>
  <si>
    <r>
      <t>Amount of</t>
    </r>
    <r>
      <rPr>
        <b/>
        <sz val="11"/>
        <rFont val="Calibri"/>
        <family val="2"/>
      </rPr>
      <t xml:space="preserve"> Depreciation</t>
    </r>
    <r>
      <rPr>
        <sz val="11"/>
        <rFont val="Calibri"/>
        <family val="2"/>
      </rPr>
      <t xml:space="preserve"> (w.e.f.AY2007-08)</t>
    </r>
  </si>
  <si>
    <t>1(h)</t>
  </si>
  <si>
    <r>
      <t xml:space="preserve">Amount of </t>
    </r>
    <r>
      <rPr>
        <b/>
        <sz val="11"/>
        <rFont val="Calibri"/>
        <family val="2"/>
      </rPr>
      <t>Deferred Tax</t>
    </r>
    <r>
      <rPr>
        <sz val="11"/>
        <rFont val="Calibri"/>
        <family val="2"/>
      </rPr>
      <t xml:space="preserve"> &amp; the provision for Deferred Tax (w.r.e.f 1-4-2001)</t>
    </r>
  </si>
  <si>
    <t>1(i)</t>
  </si>
  <si>
    <r>
      <t xml:space="preserve">Provision for </t>
    </r>
    <r>
      <rPr>
        <b/>
        <sz val="11"/>
        <rFont val="Calibri"/>
        <family val="2"/>
      </rPr>
      <t>dimunition</t>
    </r>
    <r>
      <rPr>
        <sz val="11"/>
        <rFont val="Calibri"/>
        <family val="2"/>
      </rPr>
      <t xml:space="preserve"> in the value of </t>
    </r>
    <r>
      <rPr>
        <b/>
        <sz val="11"/>
        <rFont val="Calibri"/>
        <family val="2"/>
      </rPr>
      <t>any asset</t>
    </r>
    <r>
      <rPr>
        <sz val="11"/>
        <rFont val="Calibri"/>
        <family val="2"/>
      </rPr>
      <t xml:space="preserve"> (w.r.e.f 1-4-2001)</t>
    </r>
  </si>
  <si>
    <t>C</t>
  </si>
  <si>
    <t>Less:</t>
  </si>
  <si>
    <t>If Credited to P&amp;L Account:-</t>
  </si>
  <si>
    <r>
      <t xml:space="preserve">Amount </t>
    </r>
    <r>
      <rPr>
        <b/>
        <sz val="11"/>
        <rFont val="Calibri"/>
        <family val="2"/>
      </rPr>
      <t>with drawn</t>
    </r>
    <r>
      <rPr>
        <sz val="11"/>
        <rFont val="Calibri"/>
        <family val="2"/>
      </rPr>
      <t xml:space="preserve"> from any </t>
    </r>
    <r>
      <rPr>
        <b/>
        <sz val="11"/>
        <rFont val="Calibri"/>
        <family val="2"/>
      </rPr>
      <t>reserves</t>
    </r>
    <r>
      <rPr>
        <sz val="11"/>
        <rFont val="Calibri"/>
        <family val="2"/>
      </rPr>
      <t xml:space="preserve"> or provision </t>
    </r>
    <r>
      <rPr>
        <b/>
        <sz val="11"/>
        <rFont val="Calibri"/>
        <family val="2"/>
      </rPr>
      <t>(see note)</t>
    </r>
  </si>
  <si>
    <t>1(ii)</t>
  </si>
  <si>
    <r>
      <rPr>
        <b/>
        <sz val="11"/>
        <rFont val="Calibri"/>
        <family val="2"/>
      </rPr>
      <t>Exempted incomes</t>
    </r>
    <r>
      <rPr>
        <sz val="11"/>
        <rFont val="Calibri"/>
        <family val="2"/>
      </rPr>
      <t xml:space="preserve"> u/s 10/10A/10B/11/12 (w.e.f.AY 2008-09 except 10(23G),10(38),10A,10B)</t>
    </r>
  </si>
  <si>
    <t>1(ii)a</t>
  </si>
  <si>
    <r>
      <rPr>
        <b/>
        <sz val="11"/>
        <rFont val="Calibri"/>
        <family val="2"/>
      </rPr>
      <t>Depreciation debited</t>
    </r>
    <r>
      <rPr>
        <sz val="11"/>
        <rFont val="Calibri"/>
        <family val="2"/>
      </rPr>
      <t xml:space="preserve"> </t>
    </r>
    <r>
      <rPr>
        <b/>
        <sz val="11"/>
        <rFont val="Calibri"/>
        <family val="2"/>
      </rPr>
      <t xml:space="preserve">excluding </t>
    </r>
    <r>
      <rPr>
        <sz val="11"/>
        <rFont val="Calibri"/>
        <family val="2"/>
      </rPr>
      <t>depreciation on account of</t>
    </r>
    <r>
      <rPr>
        <b/>
        <sz val="11"/>
        <rFont val="Calibri"/>
        <family val="2"/>
      </rPr>
      <t xml:space="preserve"> revaluation</t>
    </r>
    <r>
      <rPr>
        <sz val="11"/>
        <rFont val="Calibri"/>
        <family val="2"/>
      </rPr>
      <t xml:space="preserve"> of assets (w.e.fAY2007-08)</t>
    </r>
  </si>
  <si>
    <t>1(ii)b</t>
  </si>
  <si>
    <r>
      <rPr>
        <b/>
        <sz val="11"/>
        <rFont val="Calibri"/>
        <family val="2"/>
      </rPr>
      <t xml:space="preserve">Withdrawal from Revaluation Reserve </t>
    </r>
    <r>
      <rPr>
        <sz val="11"/>
        <rFont val="Calibri"/>
        <family val="2"/>
      </rPr>
      <t xml:space="preserve">to the extent it does not exceed the </t>
    </r>
    <r>
      <rPr>
        <b/>
        <sz val="11"/>
        <rFont val="Calibri"/>
        <family val="2"/>
      </rPr>
      <t>amount of depreciation on account of revaluation</t>
    </r>
    <r>
      <rPr>
        <sz val="11"/>
        <rFont val="Calibri"/>
        <family val="2"/>
      </rPr>
      <t>(w.e.fAY2007-08)</t>
    </r>
  </si>
  <si>
    <t>1(iii)</t>
  </si>
  <si>
    <r>
      <t xml:space="preserve">B/F Loss (other than depn.) or unabsorbed depreciation </t>
    </r>
    <r>
      <rPr>
        <b/>
        <sz val="11"/>
        <rFont val="Calibri"/>
        <family val="2"/>
      </rPr>
      <t>whichever is less</t>
    </r>
    <r>
      <rPr>
        <sz val="11"/>
        <rFont val="Calibri"/>
        <family val="2"/>
      </rPr>
      <t xml:space="preserve"> as per books of accounts-(No deduction in case </t>
    </r>
    <r>
      <rPr>
        <b/>
        <sz val="11"/>
        <rFont val="Calibri"/>
        <family val="2"/>
      </rPr>
      <t xml:space="preserve">either </t>
    </r>
    <r>
      <rPr>
        <sz val="11"/>
        <rFont val="Calibri"/>
        <family val="2"/>
      </rPr>
      <t>B/F Loss or unabsorbed depreciation</t>
    </r>
    <r>
      <rPr>
        <b/>
        <sz val="11"/>
        <rFont val="Calibri"/>
        <family val="2"/>
      </rPr>
      <t xml:space="preserve"> is NIL</t>
    </r>
    <r>
      <rPr>
        <sz val="11"/>
        <rFont val="Calibri"/>
        <family val="2"/>
      </rPr>
      <t>)</t>
    </r>
  </si>
  <si>
    <t>1(iv)</t>
  </si>
  <si>
    <r>
      <t xml:space="preserve">the amount of profit eligible for deduction U/s </t>
    </r>
    <r>
      <rPr>
        <b/>
        <sz val="11"/>
        <rFont val="Calibri"/>
        <family val="2"/>
      </rPr>
      <t>80HHC</t>
    </r>
  </si>
  <si>
    <t>1(v)</t>
  </si>
  <si>
    <r>
      <t xml:space="preserve">the amount of profit eligible for deduction U/s </t>
    </r>
    <r>
      <rPr>
        <b/>
        <sz val="11"/>
        <rFont val="Calibri"/>
        <family val="2"/>
      </rPr>
      <t>80HHE</t>
    </r>
  </si>
  <si>
    <t>1(vi)</t>
  </si>
  <si>
    <r>
      <t xml:space="preserve">the amount of profit eligible for deduction U/s </t>
    </r>
    <r>
      <rPr>
        <b/>
        <sz val="11"/>
        <rFont val="Calibri"/>
        <family val="2"/>
      </rPr>
      <t>80HHF</t>
    </r>
  </si>
  <si>
    <t>1(vii)</t>
  </si>
  <si>
    <r>
      <rPr>
        <b/>
        <sz val="11"/>
        <rFont val="Calibri"/>
        <family val="2"/>
      </rPr>
      <t>Profits</t>
    </r>
    <r>
      <rPr>
        <sz val="11"/>
        <rFont val="Calibri"/>
        <family val="2"/>
      </rPr>
      <t xml:space="preserve"> derived from </t>
    </r>
    <r>
      <rPr>
        <b/>
        <sz val="11"/>
        <rFont val="Calibri"/>
        <family val="2"/>
      </rPr>
      <t>sick</t>
    </r>
    <r>
      <rPr>
        <sz val="11"/>
        <rFont val="Calibri"/>
        <family val="2"/>
      </rPr>
      <t xml:space="preserve"> indstrial undertakings</t>
    </r>
  </si>
  <si>
    <t>1(viii)</t>
  </si>
  <si>
    <r>
      <t xml:space="preserve">Amount of </t>
    </r>
    <r>
      <rPr>
        <b/>
        <sz val="11"/>
        <rFont val="Calibri"/>
        <family val="2"/>
      </rPr>
      <t>Deferred Tax</t>
    </r>
    <r>
      <rPr>
        <sz val="11"/>
        <rFont val="Calibri"/>
        <family val="2"/>
      </rPr>
      <t xml:space="preserve">  credited to P&amp;L A/C (w.r.e.f 1-4-2001)</t>
    </r>
  </si>
  <si>
    <t>D</t>
  </si>
  <si>
    <t>Expl(6)</t>
  </si>
  <si>
    <t>i</t>
  </si>
  <si>
    <t>Profits/losses of a Tonnage Tax Co. u/s 115V-O(w.e.f.AY2005-06)</t>
  </si>
  <si>
    <t>ii</t>
  </si>
  <si>
    <t>Income from business in or services rendered from a unit in SEZ</t>
  </si>
  <si>
    <t>iii</t>
  </si>
  <si>
    <t>Income of a Developer from development of SEZ</t>
  </si>
  <si>
    <t>E</t>
  </si>
  <si>
    <t>FBT Shown seperately in calculation (if forms part of Taxes under 1(a))</t>
  </si>
  <si>
    <t>CBDT Circular No.8 dated 29-08-2005 states FBT is not to be added to the profits for computation u/s 115JB</t>
  </si>
  <si>
    <t>F</t>
  </si>
  <si>
    <t>TAX on Book Profits u/s 115JB</t>
  </si>
  <si>
    <t>If Book Profits is upto Rs.1.00Crores</t>
  </si>
  <si>
    <t>(i)</t>
  </si>
  <si>
    <t>I.Tax Rate</t>
  </si>
  <si>
    <t>(ii)</t>
  </si>
  <si>
    <t>SC</t>
  </si>
  <si>
    <t>(iii)</t>
  </si>
  <si>
    <t>EC</t>
  </si>
  <si>
    <t>(iv)</t>
  </si>
  <si>
    <t>SHEC</t>
  </si>
  <si>
    <t>(v)</t>
  </si>
  <si>
    <t>Total Tax rate as % of Book Profit</t>
  </si>
  <si>
    <t>(vi)</t>
  </si>
  <si>
    <t>(vii)</t>
  </si>
  <si>
    <t xml:space="preserve">FINAL TAX on Book Profits u/s 115JB </t>
  </si>
  <si>
    <t>Notes:-</t>
  </si>
  <si>
    <t>The amount withdrawn from reserves created before 1-4-1997 otherwise than by way of a debit to the P&amp;L A/C shall not be reduced from the book profits</t>
  </si>
  <si>
    <t>The amount withdrawn from reserves created on or after 1-4-1997 which are credited to the P&amp;L A/C shall not be reduced from the book profits unless the book profits were increased by the amount transferred to such reserves in the year of creation of such reserves (out of which the said amount was withdrawn)</t>
  </si>
  <si>
    <t>Income From PGBP</t>
  </si>
  <si>
    <t>ADD:</t>
  </si>
  <si>
    <t>Sections</t>
  </si>
  <si>
    <t>I</t>
  </si>
  <si>
    <t>Profit / (Loss) before tax as per Accounting P&amp;L A/C's</t>
  </si>
  <si>
    <t>AY2009-10</t>
  </si>
  <si>
    <t>35DDA</t>
  </si>
  <si>
    <t>40(a)(iia)</t>
  </si>
  <si>
    <t>40(a)(ia)</t>
  </si>
  <si>
    <t>43B</t>
  </si>
  <si>
    <t>40(a)(iv)</t>
  </si>
  <si>
    <t>Delay in payment to labour welfare fund</t>
  </si>
  <si>
    <t>Pension Fund</t>
  </si>
  <si>
    <t>Provident Fund</t>
  </si>
  <si>
    <t>Leave Encashment</t>
  </si>
  <si>
    <t>PF on leave encashment</t>
  </si>
  <si>
    <t>Disallowances u/s 40 (a)</t>
  </si>
  <si>
    <t>40(a)</t>
  </si>
  <si>
    <t>Wealth Tax disallowed</t>
  </si>
  <si>
    <r>
      <t xml:space="preserve">Deduction Not allowable for any payments to a </t>
    </r>
    <r>
      <rPr>
        <b/>
        <sz val="10"/>
        <rFont val="Arial"/>
        <family val="2"/>
      </rPr>
      <t>PF/Any Other Fund</t>
    </r>
    <r>
      <rPr>
        <sz val="10"/>
        <rFont val="Arial"/>
        <family val="2"/>
      </rPr>
      <t xml:space="preserve"> for the benefit of</t>
    </r>
    <r>
      <rPr>
        <b/>
        <sz val="10"/>
        <rFont val="Arial"/>
        <family val="2"/>
      </rPr>
      <t xml:space="preserve"> EMPLOYEES unless arrangements </t>
    </r>
    <r>
      <rPr>
        <sz val="10"/>
        <rFont val="Arial"/>
        <family val="2"/>
      </rPr>
      <t xml:space="preserve">made to </t>
    </r>
    <r>
      <rPr>
        <b/>
        <sz val="10"/>
        <rFont val="Arial"/>
        <family val="2"/>
      </rPr>
      <t>secure TDS</t>
    </r>
    <r>
      <rPr>
        <sz val="10"/>
        <rFont val="Arial"/>
        <family val="2"/>
      </rPr>
      <t xml:space="preserve"> on payments from such funds</t>
    </r>
  </si>
  <si>
    <t>Securities Transaction Tax (A.Y.2005-06 to 2008-09 ONLY)</t>
  </si>
  <si>
    <t>40(a)(ib)</t>
  </si>
  <si>
    <t>40(a)(ic)</t>
  </si>
  <si>
    <t xml:space="preserve">Book Depreciation </t>
  </si>
  <si>
    <t>Depreciation as per accounts</t>
  </si>
  <si>
    <t>40(a)(v)</t>
  </si>
  <si>
    <t>Any Tax of the Employee paid by the employer u/s 10(10CC) (w.e.f.A.Y.2006-07)</t>
  </si>
  <si>
    <t>PBT as per Accounting P&amp;L A/C</t>
  </si>
  <si>
    <r>
      <rPr>
        <b/>
        <sz val="10"/>
        <rFont val="Arial"/>
        <family val="2"/>
      </rPr>
      <t>Salaries</t>
    </r>
    <r>
      <rPr>
        <sz val="10"/>
        <rFont val="Arial"/>
        <family val="2"/>
      </rPr>
      <t xml:space="preserve"> paid outside India or to Non-Resident (w.e.f A.Y.2004-05) </t>
    </r>
    <r>
      <rPr>
        <b/>
        <sz val="10"/>
        <rFont val="Arial"/>
        <family val="2"/>
      </rPr>
      <t>without deducting TDS</t>
    </r>
  </si>
  <si>
    <t>40(a)(iii)</t>
  </si>
  <si>
    <r>
      <t xml:space="preserve">Deduction Not allowable on Interest/Commission/Brokerage/Fees for Technical or Professional Services to a </t>
    </r>
    <r>
      <rPr>
        <b/>
        <sz val="10"/>
        <rFont val="Arial"/>
        <family val="2"/>
      </rPr>
      <t xml:space="preserve">RESIDENT on which TDS has not been deducted (or) if deducted not been paid </t>
    </r>
    <r>
      <rPr>
        <sz val="10"/>
        <rFont val="Arial"/>
        <family val="2"/>
      </rPr>
      <t>before the due date of furnishing return u/s 139(1) (w.e.f.AY2010-11)</t>
    </r>
  </si>
  <si>
    <t>Fringe Benefits Tax under Chapter XII-H (w.e.f.A.Y.2006-07)</t>
  </si>
  <si>
    <t>Rates or Taxes levied on PGBP</t>
  </si>
  <si>
    <t>40(a)(ii)</t>
  </si>
  <si>
    <t>Disallowances u/s 40 A(2)(b)</t>
  </si>
  <si>
    <t>40A(2)(b)</t>
  </si>
  <si>
    <t>Unreasonable (or) Excessive Expenditure to:-</t>
  </si>
  <si>
    <t>Any Director of the Company (or) Relative of SUCH DIRECTOR</t>
  </si>
  <si>
    <t>A Company having a Substantial Interest in the Business of ZIL</t>
  </si>
  <si>
    <t>Member,Director (or Relative of Such Director) of the company mentioned in (ii)</t>
  </si>
  <si>
    <t>40A(3)</t>
  </si>
  <si>
    <t>Disallowances u/s 40 A(3) Read with Rule 6DD</t>
  </si>
  <si>
    <t>Payments Otherwise than by an Account payee Cheque Exceeding Rs.20,000/-</t>
  </si>
  <si>
    <t>43A</t>
  </si>
  <si>
    <t>40A(9)</t>
  </si>
  <si>
    <t>Disallowance for Payment to any Unrecognised Welfare Fund (eg:PF/SPF)</t>
  </si>
  <si>
    <t>No Action</t>
  </si>
  <si>
    <t>The increase or reduction in liability shall be adjusted towards the cost of the Asset (Hence will be allowed as Depreciation)</t>
  </si>
  <si>
    <t>40A(7)</t>
  </si>
  <si>
    <t>Allowance of Provision for Contribution to Approved Gratuity Fund or if payable during the year</t>
  </si>
  <si>
    <t>Provision for Contribution to Approved Gratuity Fund</t>
  </si>
  <si>
    <t>Provision for Gratuity due &amp; payable during the P.Y.</t>
  </si>
  <si>
    <t>Contribution made by the Assessee as an Employer</t>
  </si>
  <si>
    <t>Disallowance u/s 43B if not paid on or before the due date of filing return u/s 139(1) w.e.f.AY 2004-05 (Deductions on Actual Payment basis in the Year of Payment):-</t>
  </si>
  <si>
    <t>Exchange Rate Fluctuations - Capital Asset acquired on Credit,Deferred payment or Loan in Foreign Currency w.e.f. AY 2003-04</t>
  </si>
  <si>
    <t>Deemed Business Incomes</t>
  </si>
  <si>
    <t>41(1)</t>
  </si>
  <si>
    <t>41(4)</t>
  </si>
  <si>
    <r>
      <rPr>
        <b/>
        <sz val="10"/>
        <rFont val="Arial"/>
        <family val="2"/>
      </rPr>
      <t>Bad Debts</t>
    </r>
    <r>
      <rPr>
        <sz val="10"/>
        <rFont val="Arial"/>
        <family val="2"/>
      </rPr>
      <t xml:space="preserve"> earlier allowed (u/s 36(1)(vii) subsequently recovered by the Assessee</t>
    </r>
  </si>
  <si>
    <t>41(3)</t>
  </si>
  <si>
    <r>
      <t xml:space="preserve">Amount Realised on </t>
    </r>
    <r>
      <rPr>
        <b/>
        <sz val="10"/>
        <rFont val="Arial"/>
        <family val="2"/>
      </rPr>
      <t>Sale</t>
    </r>
    <r>
      <rPr>
        <sz val="10"/>
        <rFont val="Arial"/>
        <family val="2"/>
      </rPr>
      <t xml:space="preserve"> of Capital Assets used for </t>
    </r>
    <r>
      <rPr>
        <b/>
        <sz val="10"/>
        <rFont val="Arial"/>
        <family val="2"/>
      </rPr>
      <t>Scientific Research</t>
    </r>
  </si>
  <si>
    <t>(a)</t>
  </si>
  <si>
    <t>41(4A)</t>
  </si>
  <si>
    <r>
      <t xml:space="preserve">Amount </t>
    </r>
    <r>
      <rPr>
        <b/>
        <sz val="10"/>
        <rFont val="Arial"/>
        <family val="2"/>
      </rPr>
      <t>withdrawn</t>
    </r>
    <r>
      <rPr>
        <sz val="10"/>
        <rFont val="Arial"/>
        <family val="2"/>
      </rPr>
      <t xml:space="preserve"> from </t>
    </r>
    <r>
      <rPr>
        <b/>
        <sz val="10"/>
        <rFont val="Arial"/>
        <family val="2"/>
      </rPr>
      <t xml:space="preserve">Special Reserve </t>
    </r>
    <r>
      <rPr>
        <sz val="10"/>
        <rFont val="Arial"/>
        <family val="2"/>
      </rPr>
      <t>created u/s 36(1)(viii)</t>
    </r>
  </si>
  <si>
    <t>(b)</t>
  </si>
  <si>
    <t>(c)</t>
  </si>
  <si>
    <t>(d)</t>
  </si>
  <si>
    <t>(e)</t>
  </si>
  <si>
    <t>(f)</t>
  </si>
  <si>
    <t>(g)</t>
  </si>
  <si>
    <t>(h)</t>
  </si>
  <si>
    <t>( c )</t>
  </si>
  <si>
    <t xml:space="preserve"> (Template only for Internal Working)</t>
  </si>
  <si>
    <t>COMPUTATION OF TAXABLE INCOME &amp; TAX PAYABLE                (Template only for Internal Working)</t>
  </si>
  <si>
    <t>Allowance for Buildings</t>
  </si>
  <si>
    <t>( d )</t>
  </si>
  <si>
    <t>Allowance for Plant &amp; Machinery</t>
  </si>
  <si>
    <t>Additional Depreciation (w.e.f.AY 2006-07)</t>
  </si>
  <si>
    <r>
      <t xml:space="preserve">Additional Depreciation </t>
    </r>
    <r>
      <rPr>
        <b/>
        <sz val="10"/>
        <rFont val="Arial"/>
        <family val="2"/>
      </rPr>
      <t xml:space="preserve">@ 20% </t>
    </r>
    <r>
      <rPr>
        <sz val="10"/>
        <rFont val="Arial"/>
        <family val="2"/>
      </rPr>
      <t>of the Cost of New Plant &amp; Machinery acquired &amp; installed after 31-3-2005  (If asset is put to use for less than 180 days rate of additional depreciation shall be 10%)</t>
    </r>
  </si>
  <si>
    <t>Scientific Research Expenditure</t>
  </si>
  <si>
    <t>35(1);35(2)</t>
  </si>
  <si>
    <t xml:space="preserve"> Current Year Revenue or Capital Expenditure</t>
  </si>
  <si>
    <r>
      <t xml:space="preserve">Payment to Scientific Research Co. (if approved by </t>
    </r>
    <r>
      <rPr>
        <b/>
        <sz val="10"/>
        <rFont val="Arial"/>
        <family val="2"/>
      </rPr>
      <t xml:space="preserve"> in Form 3CF-III) @125% of the Sum. W.e.f AY 2009-10</t>
    </r>
  </si>
  <si>
    <t>35(1)(iia)</t>
  </si>
  <si>
    <t>Amortisation of Preliminary Expenses</t>
  </si>
  <si>
    <t>35D</t>
  </si>
  <si>
    <r>
      <rPr>
        <b/>
        <sz val="10"/>
        <rFont val="Arial"/>
        <family val="2"/>
      </rPr>
      <t>5 Equal Instalment of LEAST of ACTUALS (OR) [5%</t>
    </r>
    <r>
      <rPr>
        <sz val="10"/>
        <rFont val="Arial"/>
        <family val="2"/>
      </rPr>
      <t xml:space="preserve"> of the </t>
    </r>
    <r>
      <rPr>
        <b/>
        <sz val="10"/>
        <rFont val="Arial"/>
        <family val="2"/>
      </rPr>
      <t>Cost of the Project</t>
    </r>
    <r>
      <rPr>
        <sz val="10"/>
        <rFont val="Arial"/>
        <family val="2"/>
      </rPr>
      <t xml:space="preserve"> (Cost of Fixed Assets as shown in the Books) </t>
    </r>
    <r>
      <rPr>
        <b/>
        <sz val="10"/>
        <rFont val="Arial"/>
        <family val="2"/>
      </rPr>
      <t>(OR)</t>
    </r>
    <r>
      <rPr>
        <sz val="10"/>
        <rFont val="Arial"/>
        <family val="2"/>
      </rPr>
      <t xml:space="preserve"> </t>
    </r>
    <r>
      <rPr>
        <b/>
        <sz val="10"/>
        <rFont val="Arial"/>
        <family val="2"/>
      </rPr>
      <t>5%</t>
    </r>
    <r>
      <rPr>
        <sz val="10"/>
        <rFont val="Arial"/>
        <family val="2"/>
      </rPr>
      <t xml:space="preserve"> of the </t>
    </r>
    <r>
      <rPr>
        <b/>
        <sz val="10"/>
        <rFont val="Arial"/>
        <family val="2"/>
      </rPr>
      <t>Capital Employed</t>
    </r>
    <r>
      <rPr>
        <sz val="10"/>
        <rFont val="Arial"/>
        <family val="2"/>
      </rPr>
      <t xml:space="preserve"> (Issued Share Capital + Debentures + Long Term Borrowings) </t>
    </r>
    <r>
      <rPr>
        <b/>
        <sz val="10"/>
        <rFont val="Arial"/>
        <family val="2"/>
      </rPr>
      <t>w.e.h</t>
    </r>
    <r>
      <rPr>
        <sz val="10"/>
        <rFont val="Arial"/>
        <family val="2"/>
      </rPr>
      <t>]</t>
    </r>
  </si>
  <si>
    <t>Amalgamation / Demerger Expenditure</t>
  </si>
  <si>
    <t>35DD</t>
  </si>
  <si>
    <r>
      <t xml:space="preserve">5 Equal Instalment </t>
    </r>
    <r>
      <rPr>
        <sz val="10"/>
        <rFont val="Arial"/>
        <family val="2"/>
      </rPr>
      <t>from the P.Y. in which Amalgamation/Demerger took place</t>
    </r>
  </si>
  <si>
    <t>VRS</t>
  </si>
  <si>
    <r>
      <t xml:space="preserve">5 Equal Instalment </t>
    </r>
    <r>
      <rPr>
        <sz val="10"/>
        <rFont val="Arial"/>
        <family val="2"/>
      </rPr>
      <t xml:space="preserve">from the P.Y. in which Payment/Part Payment was made </t>
    </r>
    <r>
      <rPr>
        <b/>
        <sz val="10"/>
        <rFont val="Arial"/>
        <family val="2"/>
      </rPr>
      <t>w.e.f AY 2006-07</t>
    </r>
  </si>
  <si>
    <t>Payments to Rural Development Programme</t>
  </si>
  <si>
    <t>35CCA</t>
  </si>
  <si>
    <t>Actual Payments to National Fund for Rural Development</t>
  </si>
  <si>
    <t>Actual Payments to National Urban Poverty Eradication Fund</t>
  </si>
  <si>
    <t>35AD</t>
  </si>
  <si>
    <t>Specified Business (w.e.f AY2010-11)</t>
  </si>
  <si>
    <t>100% Capital Expenditure of P.Y. for setting of Cold Chain Facility</t>
  </si>
  <si>
    <t>100% Capital Expenditure of P.Y. for W/H Facility for Agricultural Produce</t>
  </si>
  <si>
    <t>36(1)(iii)</t>
  </si>
  <si>
    <t>Proviso:- w.e.f AY 2004-05 in case of existing business interest upto the date such asset was 1st put to USE shall not be allowed as a Deduction</t>
  </si>
  <si>
    <t>Proviso to 36(1)(iii)</t>
  </si>
  <si>
    <t>Interest Paid on Borrowed Capital (for Working Capital (or) acquiring Capital Asset</t>
  </si>
  <si>
    <t>36(1)(iv)</t>
  </si>
  <si>
    <t>Payment / Contribution to RPF / ASF</t>
  </si>
  <si>
    <t>36(1)(v)</t>
  </si>
  <si>
    <t>Payment / Contribution to Approved Gratuity Fund</t>
  </si>
  <si>
    <t>36(1)(va)</t>
  </si>
  <si>
    <t>Recognised Provident Fund / Approved Superannuation Fund</t>
  </si>
  <si>
    <t xml:space="preserve"> Approved Gratuity Fund</t>
  </si>
  <si>
    <t>Employee Welfare Fund Accounts</t>
  </si>
  <si>
    <t>Payment / Contribution to Employee Welfare fund accounts</t>
  </si>
  <si>
    <t>Bad Debts</t>
  </si>
  <si>
    <t>36(1)(vii)</t>
  </si>
  <si>
    <t>Bad Debts (Excluding Provision for Bad Debts)</t>
  </si>
  <si>
    <t>36(1)(ix)</t>
  </si>
  <si>
    <t>Promoting Family Planning amongst Employees</t>
  </si>
  <si>
    <t>Banking Cash Transaction Tax (w.e.f.AY 2006-07)</t>
  </si>
  <si>
    <t xml:space="preserve">Banking Cash Transaction Tax </t>
  </si>
  <si>
    <t>Securities Transaction Tax (w.e.f.AY 2009-10)</t>
  </si>
  <si>
    <t>36(1)(xv)</t>
  </si>
  <si>
    <t xml:space="preserve">Securities Transaction Tax </t>
  </si>
  <si>
    <t>36(1)(xvi)</t>
  </si>
  <si>
    <t>Commodities Transaction Tax (w.e.f.AY 2009-10)</t>
  </si>
  <si>
    <t xml:space="preserve">Commodities Transaction Tax </t>
  </si>
  <si>
    <t>Business Related Expenses not covered u/s 30-36</t>
  </si>
  <si>
    <t>Professional Tax Paid (CBDT Circular 16&amp;18/18-9-1969)</t>
  </si>
  <si>
    <t>ROC Expenses (CBDT Circular 10/25/63/18-6-1994)</t>
  </si>
  <si>
    <t>Listing Fees paid to Stock Exchange  (CBDTCircular F-10/67/65/26-8-1965)</t>
  </si>
  <si>
    <t>Interest on Unpaid Purchase of Plant &amp; Machinery (CBDTCircular F.No.10/92/64-IT(A-I)/13-09-1965)</t>
  </si>
  <si>
    <t>Diwali &amp; Muharat Expenses (C.no.13/A/20/68/3-10-1968)</t>
  </si>
  <si>
    <t>Replacement of Fluorescent Tubes (C.No.69/27-11-1951)</t>
  </si>
  <si>
    <t>Case Law Based Allowable Deductions</t>
  </si>
  <si>
    <t>Commitment Charges paid by borrower to lender (C.No.2B/23-08-1965)</t>
  </si>
  <si>
    <t>(viii)</t>
  </si>
  <si>
    <t>(ix)</t>
  </si>
  <si>
    <t>(x)</t>
  </si>
  <si>
    <t>(aa)</t>
  </si>
  <si>
    <t xml:space="preserve">Writing Back to P&amp;L A/C, the unclaimed balances in the names of Customers received as Advances (Batliboi &amp; Co.P.Ltd.149 ITR 604 (Bom) </t>
  </si>
  <si>
    <t>Depreciation as per I.TAX</t>
  </si>
  <si>
    <r>
      <t xml:space="preserve">Depreciation on capitalisation of </t>
    </r>
    <r>
      <rPr>
        <b/>
        <sz val="10"/>
        <rFont val="Arial"/>
        <family val="2"/>
      </rPr>
      <t xml:space="preserve">Exchange Rate Fluctuation </t>
    </r>
    <r>
      <rPr>
        <sz val="10"/>
        <rFont val="Arial"/>
        <family val="2"/>
      </rPr>
      <t>(CIT v/s MULtd.(2009)TIOL-116-SC-IT)</t>
    </r>
  </si>
  <si>
    <r>
      <t xml:space="preserve">Renovation &amp; Repair of Building of </t>
    </r>
    <r>
      <rPr>
        <b/>
        <sz val="10"/>
        <rFont val="Arial"/>
        <family val="2"/>
      </rPr>
      <t>CLUB</t>
    </r>
    <r>
      <rPr>
        <sz val="10"/>
        <rFont val="Arial"/>
        <family val="2"/>
      </rPr>
      <t xml:space="preserve"> used by employees (Assam Brook ltd.139 Taxman 229 (Cal.)</t>
    </r>
  </si>
  <si>
    <r>
      <rPr>
        <b/>
        <sz val="10"/>
        <rFont val="Arial"/>
        <family val="2"/>
      </rPr>
      <t>Interest</t>
    </r>
    <r>
      <rPr>
        <sz val="10"/>
        <rFont val="Arial"/>
        <family val="2"/>
      </rPr>
      <t xml:space="preserve"> on Unpaid Sales Tax if interest is</t>
    </r>
    <r>
      <rPr>
        <b/>
        <sz val="10"/>
        <rFont val="Arial"/>
        <family val="2"/>
      </rPr>
      <t xml:space="preserve"> Compensatory in nature </t>
    </r>
    <r>
      <rPr>
        <sz val="10"/>
        <rFont val="Arial"/>
        <family val="2"/>
      </rPr>
      <t>&amp; not for Contravention of Law (Std.batteries ltd.211ITR 444(SC))</t>
    </r>
  </si>
  <si>
    <r>
      <rPr>
        <b/>
        <sz val="10"/>
        <rFont val="Arial"/>
        <family val="2"/>
      </rPr>
      <t>Excise Duty &amp; Customs Duty Paid</t>
    </r>
    <r>
      <rPr>
        <sz val="10"/>
        <rFont val="Arial"/>
        <family val="2"/>
      </rPr>
      <t xml:space="preserve"> (Berger Paint India Ltd.266 ITR 99 (SC)) </t>
    </r>
  </si>
  <si>
    <r>
      <t xml:space="preserve">Expenses for </t>
    </r>
    <r>
      <rPr>
        <b/>
        <sz val="10"/>
        <rFont val="Arial"/>
        <family val="2"/>
      </rPr>
      <t>obtaining loan</t>
    </r>
    <r>
      <rPr>
        <sz val="10"/>
        <rFont val="Arial"/>
        <family val="2"/>
      </rPr>
      <t xml:space="preserve"> for acquiring Capital Assets (Patel Filters ltd.264ITR 21 (Guj.))</t>
    </r>
  </si>
  <si>
    <r>
      <rPr>
        <b/>
        <sz val="10"/>
        <rFont val="Arial"/>
        <family val="2"/>
      </rPr>
      <t>Guarantee Commission</t>
    </r>
    <r>
      <rPr>
        <sz val="10"/>
        <rFont val="Arial"/>
        <family val="2"/>
      </rPr>
      <t xml:space="preserve"> paid to Bank for assuring due payment of instalments (Sivakami Mills Ltd.227ITR 465 (SC))</t>
    </r>
  </si>
  <si>
    <r>
      <rPr>
        <b/>
        <sz val="10"/>
        <rFont val="Arial"/>
        <family val="2"/>
      </rPr>
      <t>Entertainment Expenses</t>
    </r>
    <r>
      <rPr>
        <sz val="10"/>
        <rFont val="Arial"/>
        <family val="2"/>
      </rPr>
      <t xml:space="preserve"> towards guests or customers (Escorts Tractors P Ltd.(2005)TIOL 68 (Del.))</t>
    </r>
  </si>
  <si>
    <r>
      <t xml:space="preserve">Expenses in relation to </t>
    </r>
    <r>
      <rPr>
        <b/>
        <sz val="10"/>
        <rFont val="Arial"/>
        <family val="2"/>
      </rPr>
      <t>issue of Debentures</t>
    </r>
    <r>
      <rPr>
        <sz val="10"/>
        <rFont val="Arial"/>
        <family val="2"/>
      </rPr>
      <t xml:space="preserve"> (CITv/s Secure Meters ltd.175 Taxman 567(Raj.)</t>
    </r>
  </si>
  <si>
    <r>
      <rPr>
        <b/>
        <sz val="10"/>
        <rFont val="Arial"/>
        <family val="2"/>
      </rPr>
      <t>Discount</t>
    </r>
    <r>
      <rPr>
        <sz val="10"/>
        <rFont val="Arial"/>
        <family val="2"/>
      </rPr>
      <t xml:space="preserve"> on issue of Redeemable Debentures is allowable </t>
    </r>
    <r>
      <rPr>
        <b/>
        <sz val="10"/>
        <rFont val="Arial"/>
        <family val="2"/>
      </rPr>
      <t>PROPORTIONATELY over the years of Redemption</t>
    </r>
    <r>
      <rPr>
        <sz val="10"/>
        <rFont val="Arial"/>
        <family val="2"/>
      </rPr>
      <t xml:space="preserve"> (Madras Industrial Investment Corporation,225 ITR 802 (SC))</t>
    </r>
  </si>
  <si>
    <r>
      <t xml:space="preserve">Expenditure incurred as a </t>
    </r>
    <r>
      <rPr>
        <b/>
        <sz val="10"/>
        <rFont val="Arial"/>
        <family val="2"/>
      </rPr>
      <t>goodwill measure</t>
    </r>
    <r>
      <rPr>
        <sz val="10"/>
        <rFont val="Arial"/>
        <family val="2"/>
      </rPr>
      <t xml:space="preserve"> to provide Drinking Water &amp; School Facility for local residents (Madras Refineries Ltd.266 ITR 170(Mad))</t>
    </r>
  </si>
  <si>
    <t>Disallowances u/s 37</t>
  </si>
  <si>
    <t>(Nil if NOT DEBITED to P&amp;L A/C)</t>
  </si>
  <si>
    <t>(Nil if already debited to P&amp;L A/C)</t>
  </si>
  <si>
    <r>
      <rPr>
        <b/>
        <sz val="10"/>
        <rFont val="Arial"/>
        <family val="2"/>
      </rPr>
      <t>Interest</t>
    </r>
    <r>
      <rPr>
        <sz val="10"/>
        <rFont val="Arial"/>
        <family val="2"/>
      </rPr>
      <t xml:space="preserve"> Paid for </t>
    </r>
    <r>
      <rPr>
        <b/>
        <sz val="10"/>
        <rFont val="Arial"/>
        <family val="2"/>
      </rPr>
      <t>delayed payment of Advance Tax</t>
    </r>
    <r>
      <rPr>
        <sz val="10"/>
        <rFont val="Arial"/>
        <family val="2"/>
      </rPr>
      <t xml:space="preserve"> (Bharat Commerce &amp; Ind.Ltd.98 Tax 151 (SC))</t>
    </r>
  </si>
  <si>
    <r>
      <rPr>
        <b/>
        <sz val="10"/>
        <rFont val="Arial"/>
        <family val="2"/>
      </rPr>
      <t>Expenses for violation of law</t>
    </r>
    <r>
      <rPr>
        <sz val="10"/>
        <rFont val="Arial"/>
        <family val="2"/>
      </rPr>
      <t xml:space="preserve"> eg:-Damages paid for late payment of Provident Fund (L.H.Sugar factories &amp; Oil Mills Ltd.123 ITR 596 (All.))</t>
    </r>
  </si>
  <si>
    <t xml:space="preserve">Capital Gains on Transfer of Depreciable Assets </t>
  </si>
  <si>
    <t>Set-off and Carry Forward Provisions</t>
  </si>
  <si>
    <t>Head of Income under which loss is incurred</t>
  </si>
  <si>
    <t>Set off in the Year of loss</t>
  </si>
  <si>
    <t>C/F &amp; Set-Off in subsequent P.Y.</t>
  </si>
  <si>
    <t>Time limit for C/F &amp; set off of losses</t>
  </si>
  <si>
    <t>Return u/s 139(1) Apply</t>
  </si>
  <si>
    <t>Under Same Head (Sec.70)</t>
  </si>
  <si>
    <t>Under Other Head (Sec.71)</t>
  </si>
  <si>
    <t>Profits &amp; Gains of Business or Profession:-</t>
  </si>
  <si>
    <t>Non-Speculation Business</t>
  </si>
  <si>
    <t>YES</t>
  </si>
  <si>
    <t>YES (Except on Salaries)</t>
  </si>
  <si>
    <t>NO</t>
  </si>
  <si>
    <t>8 A.Y.</t>
  </si>
  <si>
    <t>ANY No.of Yrs.</t>
  </si>
  <si>
    <t>Specified Business u/s 35AD</t>
  </si>
  <si>
    <t>ANY No.</t>
  </si>
  <si>
    <t>Speculation Business</t>
  </si>
  <si>
    <t>4 A.Y.</t>
  </si>
  <si>
    <t>Capital Gains:-</t>
  </si>
  <si>
    <t>Long Term</t>
  </si>
  <si>
    <t>Short Term (W.e.f. A.Y.2003-04)</t>
  </si>
  <si>
    <t>NO (except LTCG)</t>
  </si>
  <si>
    <t>Income From Other Sources:-</t>
  </si>
  <si>
    <t>Other Income</t>
  </si>
  <si>
    <t>N.A.</t>
  </si>
  <si>
    <t>Income From House Property</t>
  </si>
  <si>
    <t>Order of priority in C/F &amp; Set-off of losses</t>
  </si>
  <si>
    <t>Nature of Losses</t>
  </si>
  <si>
    <t>Section</t>
  </si>
  <si>
    <t>Sr.No.</t>
  </si>
  <si>
    <t>Current Scientific research capital expenditure</t>
  </si>
  <si>
    <t>35(1)</t>
  </si>
  <si>
    <t>Current Depreciation</t>
  </si>
  <si>
    <t>32(1)</t>
  </si>
  <si>
    <t>Unabsorbed business losses of Previous years</t>
  </si>
  <si>
    <t>72(1)</t>
  </si>
  <si>
    <t>Unabsorbed family planning promotion expenditure of previous year</t>
  </si>
  <si>
    <t>Unabsorbed depreciation of Previous Years</t>
  </si>
  <si>
    <t>32(2)</t>
  </si>
  <si>
    <t>unabsorbed scientific research capital expenditure of previous years</t>
  </si>
  <si>
    <t>35(4)</t>
  </si>
  <si>
    <t>(A) - (B) = C (Tax Credit)</t>
  </si>
  <si>
    <t>C)</t>
  </si>
  <si>
    <t>at 18% w.e.f.AY2010-11</t>
  </si>
  <si>
    <t>Tax Payable on Book Profits u/s 115JB</t>
  </si>
  <si>
    <t>B)</t>
  </si>
  <si>
    <t>Tax Payable on Total Income</t>
  </si>
  <si>
    <t>A)</t>
  </si>
  <si>
    <t>Procedure:-</t>
  </si>
  <si>
    <r>
      <t xml:space="preserve">In the Year in which Tax Payable is </t>
    </r>
    <r>
      <rPr>
        <b/>
        <sz val="11"/>
        <color theme="1"/>
        <rFont val="Calibri"/>
        <family val="2"/>
        <scheme val="minor"/>
      </rPr>
      <t>more than MAT (MAT as per 115JB)</t>
    </r>
  </si>
  <si>
    <t>Set-off:-</t>
  </si>
  <si>
    <t>10 Years (w.e.f.A.Y.2010-11)</t>
  </si>
  <si>
    <t>7 Years</t>
  </si>
  <si>
    <t>C/F:-</t>
  </si>
  <si>
    <t>MAT Credit w.e.f AY 2006-07</t>
  </si>
  <si>
    <t>W.E.F:-</t>
  </si>
  <si>
    <t>115JAA</t>
  </si>
  <si>
    <t>Section:-</t>
  </si>
  <si>
    <t>Consideration for Transfer</t>
  </si>
  <si>
    <t>Less:-</t>
  </si>
  <si>
    <t>Expenses of Transfer</t>
  </si>
  <si>
    <t>Opg.WDV</t>
  </si>
  <si>
    <t>Actual Cost of assets acquired during the P.Y.</t>
  </si>
  <si>
    <t>Difference</t>
  </si>
  <si>
    <t>D)</t>
  </si>
  <si>
    <r>
      <t xml:space="preserve">If difference is </t>
    </r>
    <r>
      <rPr>
        <b/>
        <sz val="11"/>
        <color theme="1"/>
        <rFont val="Calibri"/>
        <family val="2"/>
        <scheme val="minor"/>
      </rPr>
      <t>Profit</t>
    </r>
    <r>
      <rPr>
        <sz val="11"/>
        <color theme="1"/>
        <rFont val="Calibri"/>
        <family val="2"/>
        <charset val="1"/>
        <scheme val="minor"/>
      </rPr>
      <t xml:space="preserve">,it is taxable as </t>
    </r>
    <r>
      <rPr>
        <b/>
        <sz val="11"/>
        <color theme="1"/>
        <rFont val="Calibri"/>
        <family val="2"/>
        <scheme val="minor"/>
      </rPr>
      <t>Short Term Capital Gains</t>
    </r>
  </si>
  <si>
    <r>
      <t xml:space="preserve">If difference is </t>
    </r>
    <r>
      <rPr>
        <b/>
        <sz val="11"/>
        <color theme="1"/>
        <rFont val="Calibri"/>
        <family val="2"/>
        <scheme val="minor"/>
      </rPr>
      <t>Loss</t>
    </r>
    <r>
      <rPr>
        <sz val="11"/>
        <color theme="1"/>
        <rFont val="Calibri"/>
        <family val="2"/>
        <charset val="1"/>
        <scheme val="minor"/>
      </rPr>
      <t>.</t>
    </r>
    <r>
      <rPr>
        <b/>
        <sz val="11"/>
        <color theme="1"/>
        <rFont val="Calibri"/>
        <family val="2"/>
        <scheme val="minor"/>
      </rPr>
      <t>Depreciation</t>
    </r>
    <r>
      <rPr>
        <sz val="11"/>
        <color theme="1"/>
        <rFont val="Calibri"/>
        <family val="2"/>
        <charset val="1"/>
        <scheme val="minor"/>
      </rPr>
      <t xml:space="preserve"> is claimed </t>
    </r>
    <r>
      <rPr>
        <b/>
        <sz val="11"/>
        <color theme="1"/>
        <rFont val="Calibri"/>
        <family val="2"/>
        <scheme val="minor"/>
      </rPr>
      <t>u/s 32</t>
    </r>
  </si>
  <si>
    <t>Loss on Sale of Fixed Assets</t>
  </si>
  <si>
    <t>Profit on Sale of Fixed Assets taxable asShort Term Capital Gains</t>
  </si>
  <si>
    <t>Profit on Sale of Fixed Assets is taxable as Short Term Capital Gains</t>
  </si>
  <si>
    <t>II</t>
  </si>
  <si>
    <t>Income From Other Sources</t>
  </si>
  <si>
    <t>III</t>
  </si>
  <si>
    <t>Income From Capital Gains</t>
  </si>
  <si>
    <t>Total of Capital Gains</t>
  </si>
  <si>
    <t>Total of Income from Other Sources</t>
  </si>
  <si>
    <t>Interest on Income Tax Refunds</t>
  </si>
  <si>
    <t>Interest from Securities</t>
  </si>
  <si>
    <t>Interest from Bank Deposits</t>
  </si>
  <si>
    <t>Interest on Inter Corporate Deposits (ICD)</t>
  </si>
  <si>
    <t>Additions</t>
  </si>
  <si>
    <t>Exemptions</t>
  </si>
  <si>
    <t>IV</t>
  </si>
  <si>
    <t>Gross Total Income</t>
  </si>
  <si>
    <t>V</t>
  </si>
  <si>
    <t>Total Income Chargeable to I.TAX</t>
  </si>
  <si>
    <t>Total of Taxable Profits and Gains from Business</t>
  </si>
  <si>
    <t>Set -off - Carry Forward of Business Losses \ Unabsorbed Depreciation</t>
  </si>
  <si>
    <t>Deductions under chapter VI-A</t>
  </si>
  <si>
    <t>VI-A</t>
  </si>
  <si>
    <t>80G</t>
  </si>
  <si>
    <t>Donations</t>
  </si>
  <si>
    <t>Actual Donations</t>
  </si>
  <si>
    <t>10% of Adjusted Gross Total Income</t>
  </si>
  <si>
    <t>Least of (i) &amp; (ii)</t>
  </si>
  <si>
    <t>Contribution to Political Party w.e.f 2004-05</t>
  </si>
  <si>
    <t>80GGB</t>
  </si>
  <si>
    <t>Deduction for Additional Employment</t>
  </si>
  <si>
    <t>80JJAA</t>
  </si>
  <si>
    <t>Additional Wages Payable (New Regular workmen x wages payable)</t>
  </si>
  <si>
    <t>30% of Additional Wages payable (only for 2 AY's from the P.Y.)</t>
  </si>
  <si>
    <t>Interest on delayed payment of TDS</t>
  </si>
  <si>
    <t>No Such Payments made</t>
  </si>
  <si>
    <t>( Nil if already CREDITED to the P&amp;L A/C ) or Not Applicable</t>
  </si>
  <si>
    <t>Current Repairs (Nil if already debited to P&amp;L A/C (or) N/A)</t>
  </si>
  <si>
    <t>Insuarance Premium (Nil if already debited to P&amp;L A/C (or) N/A)</t>
  </si>
  <si>
    <t>Rent paid as a tenant (Nil if already debited to P&amp;L A/C (or) N/A)</t>
  </si>
  <si>
    <t>Repair Expenses (Nil if already debited to P&amp;L A/C (or) N/A)</t>
  </si>
  <si>
    <t>Rates or Taxes  (Nil if already debited to P&amp;L A/C (or) N/A)</t>
  </si>
  <si>
    <t>Insuarance Premium   (Nil if already debited to P&amp;L A/C (or) N/A)</t>
  </si>
  <si>
    <t>N/A</t>
  </si>
  <si>
    <t>Write Back of Provision for Doubtful Debts</t>
  </si>
  <si>
    <t xml:space="preserve">  Loss on Sale of Fixed Assets is not allowed (as depn is already claimed u/s32)</t>
  </si>
  <si>
    <t>Loss on Sale of Current Investments</t>
  </si>
  <si>
    <t>Profit on Sale of Current Investments taxable asShort Term Capital Gains</t>
  </si>
  <si>
    <t>45(1)</t>
  </si>
  <si>
    <t>Profit on Sale of Current Investments is taxable as Short Term Capital Gains</t>
  </si>
  <si>
    <t>Dimunition in value of fertiliser bonds</t>
  </si>
  <si>
    <t>Increase in value of fertiliser bonds</t>
  </si>
  <si>
    <t>Increase in Value of Fertiliser Bonds ??</t>
  </si>
  <si>
    <t>Income From INVESTMENTS as it is taxable as Income from Other Sources</t>
  </si>
  <si>
    <t>Dividend from Companies</t>
  </si>
  <si>
    <t>Dividend from Mutual Funds</t>
  </si>
  <si>
    <t>5th Year - Rs.15,21,636/5</t>
  </si>
  <si>
    <t>4th Year - Rs.6,55,775/5</t>
  </si>
  <si>
    <t>3rd Year - Rs.98,175/5</t>
  </si>
  <si>
    <t>Disallowed in 2008-09 u/s 40(a),admissible in AY 2009-10</t>
  </si>
  <si>
    <t>Depreciation on RAILWAY SIDINGS</t>
  </si>
  <si>
    <t>Depreciation on HOT BOILER</t>
  </si>
  <si>
    <t>Depreciation on Expansion of NPK PLANT</t>
  </si>
  <si>
    <t>Unabsorbed Business Loss</t>
  </si>
  <si>
    <t>Sr.</t>
  </si>
  <si>
    <t>Amount</t>
  </si>
  <si>
    <t>Withdrawal of depreciation due to amount of Rs.2,47,000/- received for FLATS (AY 2002-03),not reduced from the Block but credited to miscellaneous income - (Rs.1,24,702*10%)</t>
  </si>
  <si>
    <t>Depreciation (added back see Notes-1 for AY2009-10)</t>
  </si>
  <si>
    <t>10(23D)</t>
  </si>
  <si>
    <t>Dividends referred to in section 115-O (w.e.f.AY 2004-05)</t>
  </si>
  <si>
    <t>10(34)</t>
  </si>
  <si>
    <t>Income received by way of Units of Mutual Fund specified u/s 10(23D)</t>
  </si>
  <si>
    <t>10(35)</t>
  </si>
  <si>
    <t>Income received by way of Units of Specified Undertaking</t>
  </si>
  <si>
    <t>Income received by way of Units of Specified Company</t>
  </si>
  <si>
    <t>(w.e.f 2004-05)</t>
  </si>
  <si>
    <t>Computation of I.Tax Payable:-</t>
  </si>
  <si>
    <t>I.TAX</t>
  </si>
  <si>
    <t>S.C.</t>
  </si>
  <si>
    <t>Total I.Tax Computed as Payable</t>
  </si>
  <si>
    <t>VI</t>
  </si>
  <si>
    <t>If Book Profits is More than Rs.1.00 Crores</t>
  </si>
  <si>
    <t>G</t>
  </si>
  <si>
    <t>H</t>
  </si>
  <si>
    <t>Profit after Tax (PAT) as per Audited P&amp;L A/C</t>
  </si>
  <si>
    <t>Current Tax</t>
  </si>
  <si>
    <t>Current Tax adjustment relating to earlier years</t>
  </si>
  <si>
    <t>Deferred tax Charge (credit)</t>
  </si>
  <si>
    <t>FBT</t>
  </si>
  <si>
    <r>
      <t>Income</t>
    </r>
    <r>
      <rPr>
        <b/>
        <sz val="11"/>
        <rFont val="Calibri"/>
        <family val="2"/>
      </rPr>
      <t xml:space="preserve"> Tax Paid or payable or provision for tax</t>
    </r>
  </si>
  <si>
    <t>(N/A as PAT figures are before appropriation of profits)</t>
  </si>
  <si>
    <t>Book Depreciation</t>
  </si>
  <si>
    <t>Book Profits as per 115 JB (A + B + C+ D + E)</t>
  </si>
  <si>
    <t>(Already included in 1 (a)</t>
  </si>
  <si>
    <t>VII</t>
  </si>
  <si>
    <t>MAT on Book Profits u/s 115JB</t>
  </si>
  <si>
    <t>VIII</t>
  </si>
  <si>
    <t>Higher of I.TAX as per (VI) (OR) MAT as per (VII)</t>
  </si>
  <si>
    <t>IX</t>
  </si>
  <si>
    <t>Less : - MAT Credit u/s 115JAA</t>
  </si>
  <si>
    <t>X</t>
  </si>
  <si>
    <t>TAX after MAT Credit (VIII - IX)</t>
  </si>
  <si>
    <t>XI</t>
  </si>
  <si>
    <t>Less:- TDS</t>
  </si>
  <si>
    <t>XII</t>
  </si>
  <si>
    <t>Less:- Advance Taxes</t>
  </si>
  <si>
    <t>XIII</t>
  </si>
  <si>
    <t>TAX PAYABLE / (REFUNDABLE)</t>
  </si>
  <si>
    <t>115JB</t>
  </si>
  <si>
    <t>Income taxable as Income from Other Sources but credited to P&amp;L A/C</t>
  </si>
  <si>
    <t>37(1)</t>
  </si>
  <si>
    <t xml:space="preserve">Write Back of Provision for Bad Debts / Doubtful Debts </t>
  </si>
  <si>
    <t>Interest on Loans &amp; Deposits</t>
  </si>
  <si>
    <t>Interest on Loans to EMPLOYEES</t>
  </si>
  <si>
    <r>
      <t xml:space="preserve">Income from </t>
    </r>
    <r>
      <rPr>
        <b/>
        <sz val="10"/>
        <rFont val="Arial"/>
        <family val="2"/>
      </rPr>
      <t>Mutual Funds</t>
    </r>
    <r>
      <rPr>
        <sz val="10"/>
        <rFont val="Arial"/>
        <family val="2"/>
      </rPr>
      <t xml:space="preserve"> specified u/s 10(23D)</t>
    </r>
  </si>
  <si>
    <r>
      <rPr>
        <b/>
        <sz val="10"/>
        <rFont val="Arial"/>
        <family val="2"/>
      </rPr>
      <t>Dividends</t>
    </r>
    <r>
      <rPr>
        <sz val="10"/>
        <rFont val="Arial"/>
        <family val="2"/>
      </rPr>
      <t xml:space="preserve"> referred to in section </t>
    </r>
    <r>
      <rPr>
        <b/>
        <sz val="10"/>
        <rFont val="Arial"/>
        <family val="2"/>
      </rPr>
      <t>115-O</t>
    </r>
    <r>
      <rPr>
        <sz val="10"/>
        <rFont val="Arial"/>
        <family val="2"/>
      </rPr>
      <t xml:space="preserve"> (w.e.f.AY 2004-05)</t>
    </r>
  </si>
  <si>
    <t xml:space="preserve">  Loss on Sale of Current Investments </t>
  </si>
  <si>
    <r>
      <rPr>
        <b/>
        <sz val="11"/>
        <color theme="1"/>
        <rFont val="Calibri"/>
        <family val="2"/>
        <scheme val="minor"/>
      </rPr>
      <t>Interest</t>
    </r>
    <r>
      <rPr>
        <sz val="11"/>
        <color theme="1"/>
        <rFont val="Calibri"/>
        <family val="2"/>
        <charset val="1"/>
        <scheme val="minor"/>
      </rPr>
      <t xml:space="preserve"> on delayed payment of TDS</t>
    </r>
  </si>
  <si>
    <r>
      <rPr>
        <b/>
        <sz val="11"/>
        <color theme="1"/>
        <rFont val="Calibri"/>
        <family val="2"/>
        <scheme val="minor"/>
      </rPr>
      <t>Donations</t>
    </r>
    <r>
      <rPr>
        <sz val="11"/>
        <color theme="1"/>
        <rFont val="Calibri"/>
        <family val="2"/>
        <charset val="1"/>
        <scheme val="minor"/>
      </rPr>
      <t xml:space="preserve"> (non-business related)</t>
    </r>
  </si>
  <si>
    <r>
      <t>Interest inadmissible u/s23 of the</t>
    </r>
    <r>
      <rPr>
        <b/>
        <sz val="10"/>
        <rFont val="Arial"/>
        <family val="2"/>
      </rPr>
      <t xml:space="preserve"> "Micro,Small &amp; Medium Enterprises Development Act"</t>
    </r>
  </si>
  <si>
    <t>Rent Recovered</t>
  </si>
  <si>
    <t>Subsidy claims written off</t>
  </si>
  <si>
    <t>Sundry balances writtenoff</t>
  </si>
  <si>
    <r>
      <t xml:space="preserve">Disallowance of </t>
    </r>
    <r>
      <rPr>
        <b/>
        <sz val="10"/>
        <rFont val="Arial"/>
        <family val="2"/>
      </rPr>
      <t>Dimunition in Value of Fertiliser Bonds</t>
    </r>
  </si>
  <si>
    <r>
      <t xml:space="preserve">Rent Recovered (as chargeable as </t>
    </r>
    <r>
      <rPr>
        <b/>
        <sz val="10"/>
        <rFont val="Arial"/>
        <family val="2"/>
      </rPr>
      <t>Income from Other Sources</t>
    </r>
    <r>
      <rPr>
        <sz val="10"/>
        <rFont val="Arial"/>
        <family val="2"/>
      </rPr>
      <t>)</t>
    </r>
  </si>
  <si>
    <t>Income from Mutual Funds (set up by Banks;PFI;registered under SEBI)</t>
  </si>
  <si>
    <r>
      <t xml:space="preserve">Interest on </t>
    </r>
    <r>
      <rPr>
        <b/>
        <sz val="10"/>
        <rFont val="Arial"/>
        <family val="2"/>
      </rPr>
      <t>Income Tax Refunds</t>
    </r>
  </si>
  <si>
    <r>
      <t xml:space="preserve">Interest from </t>
    </r>
    <r>
      <rPr>
        <b/>
        <sz val="10"/>
        <rFont val="Arial"/>
        <family val="2"/>
      </rPr>
      <t>Securities</t>
    </r>
  </si>
  <si>
    <r>
      <t xml:space="preserve">Interest from </t>
    </r>
    <r>
      <rPr>
        <b/>
        <sz val="10"/>
        <rFont val="Arial"/>
        <family val="2"/>
      </rPr>
      <t>Bank Deposits</t>
    </r>
  </si>
  <si>
    <r>
      <t xml:space="preserve">Interest on Inter Corporate Deposits </t>
    </r>
    <r>
      <rPr>
        <b/>
        <sz val="10"/>
        <rFont val="Arial"/>
        <family val="2"/>
      </rPr>
      <t>(ICD)</t>
    </r>
  </si>
  <si>
    <r>
      <t xml:space="preserve">Interest on </t>
    </r>
    <r>
      <rPr>
        <b/>
        <sz val="10"/>
        <rFont val="Arial"/>
        <family val="2"/>
      </rPr>
      <t>Loans &amp; Deposits</t>
    </r>
  </si>
  <si>
    <r>
      <t xml:space="preserve">Interest on </t>
    </r>
    <r>
      <rPr>
        <b/>
        <sz val="10"/>
        <rFont val="Arial"/>
        <family val="2"/>
      </rPr>
      <t>Loans to EMPLOYEES</t>
    </r>
  </si>
  <si>
    <r>
      <rPr>
        <b/>
        <sz val="10"/>
        <rFont val="Arial"/>
        <family val="2"/>
      </rPr>
      <t>Recovery</t>
    </r>
    <r>
      <rPr>
        <sz val="10"/>
        <rFont val="Arial"/>
        <family val="2"/>
      </rPr>
      <t xml:space="preserve"> of Loss (or) Expenditure (or) Trading Liability which was already allowed (u/s 30-38) -</t>
    </r>
    <r>
      <rPr>
        <b/>
        <sz val="10"/>
        <rFont val="Arial"/>
        <family val="2"/>
      </rPr>
      <t xml:space="preserve"> (Recovered or Written Off)</t>
    </r>
  </si>
  <si>
    <t xml:space="preserve">Amount </t>
  </si>
  <si>
    <t>E.Cess +S.H.E.Cess on (I.TAX + S.C.)</t>
  </si>
  <si>
    <t>Profit on Sale of LONG TERM Investments taxable as LTCG</t>
  </si>
  <si>
    <t xml:space="preserve">  Loss on Sale of LONG TERM Investments taxable as LTCG</t>
  </si>
  <si>
    <t>Loss on Sale of Long Term Investments</t>
  </si>
  <si>
    <t>AY 2010-11</t>
  </si>
  <si>
    <t>Figure of Depreciation as per I.Tax</t>
  </si>
  <si>
    <t>Amortisation Figure of VRS u/s 35DDA</t>
  </si>
  <si>
    <t>Disallowance u/s 40(a)-Payments on which TDS has not been deducted</t>
  </si>
  <si>
    <t>Figure of Donations for Deduction under Chapter VI-A</t>
  </si>
  <si>
    <t>Figure of Advance Tax &amp; TDS</t>
  </si>
  <si>
    <t>Interest on Fertiliser Companies' Government of India Special Bonds</t>
  </si>
  <si>
    <r>
      <t xml:space="preserve">Interest on </t>
    </r>
    <r>
      <rPr>
        <b/>
        <sz val="10"/>
        <rFont val="Arial"/>
        <family val="2"/>
      </rPr>
      <t>Fertiliser Companies' GoI Special Bonds</t>
    </r>
  </si>
  <si>
    <t>Unamortised premium on forward contracts (whether allowable)</t>
  </si>
  <si>
    <t>MAT Credit Entitlement as per book</t>
  </si>
  <si>
    <t>MAT Credit Entitlement as per Return</t>
  </si>
  <si>
    <t>Details of Other liabilities (to be checked)</t>
  </si>
  <si>
    <t>As regards VRS -  figure will be 1,50,800  as per following table</t>
  </si>
  <si>
    <t xml:space="preserve">Details of VRS for Tax Computation </t>
  </si>
  <si>
    <t xml:space="preserve">  </t>
  </si>
  <si>
    <t xml:space="preserve">(Rs.in lacs) </t>
  </si>
  <si>
    <t xml:space="preserve">Financial Year </t>
  </si>
  <si>
    <t xml:space="preserve">Assessment Year </t>
  </si>
  <si>
    <t xml:space="preserve">VRS amounts paid </t>
  </si>
  <si>
    <t xml:space="preserve">VRS amounts charged to P&amp;L </t>
  </si>
  <si>
    <t xml:space="preserve">To be claimed in Return of Income ( on the basis of 1/5 of the payment) </t>
  </si>
  <si>
    <t xml:space="preserve">Balance to be claimed. </t>
  </si>
  <si>
    <t xml:space="preserve">Total to be claimed in Tax </t>
  </si>
  <si>
    <t xml:space="preserve">2003-04 </t>
  </si>
  <si>
    <t xml:space="preserve">2004-05 </t>
  </si>
  <si>
    <t xml:space="preserve">2005-06 </t>
  </si>
  <si>
    <t xml:space="preserve">2006-07 </t>
  </si>
  <si>
    <t xml:space="preserve">2007-08 </t>
  </si>
  <si>
    <t xml:space="preserve">2008-09 </t>
  </si>
  <si>
    <t xml:space="preserve">2009-10 </t>
  </si>
  <si>
    <t xml:space="preserve">2010-11 </t>
  </si>
  <si>
    <t>Status</t>
  </si>
  <si>
    <t>Dates</t>
  </si>
  <si>
    <t>DONE</t>
  </si>
  <si>
    <t>Miscellaneous Income (to be checked)</t>
  </si>
  <si>
    <t>Staff welfare expenses (to be checked)</t>
  </si>
  <si>
    <t>Miscellaneous Expenses (to be checked)</t>
  </si>
  <si>
    <t>Details of Interests (to be checked)</t>
  </si>
  <si>
    <t>Reqd.</t>
  </si>
  <si>
    <t>To be Checked</t>
  </si>
  <si>
    <t>Computation of Short Term Capital Gains</t>
  </si>
  <si>
    <t>Sr.no.</t>
  </si>
  <si>
    <t>Amounts</t>
  </si>
  <si>
    <t>Profit on Sale of Long Term Investments is taxable as LTCG</t>
  </si>
  <si>
    <t>Sales Value/Consideration Received on Sale of Fixed Assets</t>
  </si>
  <si>
    <t>FIXED ASSETS (Depreciable Assets)</t>
  </si>
  <si>
    <t>All the Assets in the Block are NOT Transferred</t>
  </si>
  <si>
    <t>50(1)</t>
  </si>
  <si>
    <t>Opening WDV</t>
  </si>
  <si>
    <t>Actual Cost of Assets acquired during the P.Y.</t>
  </si>
  <si>
    <t xml:space="preserve">If Profit  -then it is Short Term Capital Gain </t>
  </si>
  <si>
    <t>If Loss (Depreciation u/s 32 claimed on the balance)</t>
  </si>
  <si>
    <t>(B)</t>
  </si>
  <si>
    <t>(A)</t>
  </si>
  <si>
    <t>All the Assets in the Block are Transferred</t>
  </si>
  <si>
    <t>50(2)</t>
  </si>
  <si>
    <t>If Loss then it is SHORT TERM CAPITAL LOSS</t>
  </si>
  <si>
    <t>(C)</t>
  </si>
  <si>
    <t>FINANCIAL ASSETS HELD FOR LESS THAN 12 MONTHS</t>
  </si>
  <si>
    <t xml:space="preserve">Sales Value/Consideration Received on Sale </t>
  </si>
  <si>
    <t>Cost of Acquisition</t>
  </si>
  <si>
    <t>(D)</t>
  </si>
  <si>
    <t>Total of SHORT TERM CAPITAL GAIN/(LOSS)</t>
  </si>
  <si>
    <t>ASSETS HELD FOR MORE THAN 36 MONTHS</t>
  </si>
  <si>
    <t>Computation of Long Term Capital Gains (LTCG)</t>
  </si>
  <si>
    <t>Net Consideration</t>
  </si>
  <si>
    <t>Indexed Cost of Acquisition</t>
  </si>
  <si>
    <t>Indexed Cost of Improvement</t>
  </si>
  <si>
    <t>Exemption u/s 54 to 54GA</t>
  </si>
  <si>
    <t>Figure of WealthTax</t>
  </si>
  <si>
    <t>54EC</t>
  </si>
  <si>
    <t>Bonds Issued between 1-4-2006 to 31-03-2007</t>
  </si>
  <si>
    <t>a)</t>
  </si>
  <si>
    <t>b)</t>
  </si>
  <si>
    <t>Rural Electrification Corporation limited (RECL)</t>
  </si>
  <si>
    <t>National Highway Authority of India (NHAI)</t>
  </si>
  <si>
    <t>Details Required for PGBP:-</t>
  </si>
  <si>
    <t>Details Required for STCG:-</t>
  </si>
  <si>
    <t>Details Required for LTCG:-</t>
  </si>
  <si>
    <t>Cost Inflation Index (as per CGoI)</t>
  </si>
  <si>
    <t>Financial Year</t>
  </si>
  <si>
    <t>CII</t>
  </si>
  <si>
    <t>1981-82</t>
  </si>
  <si>
    <t>1982-83</t>
  </si>
  <si>
    <t>1983-84</t>
  </si>
  <si>
    <t>1984-85</t>
  </si>
  <si>
    <t>1985-86</t>
  </si>
  <si>
    <t>1986-87</t>
  </si>
  <si>
    <t>1987-88</t>
  </si>
  <si>
    <t>1988-89</t>
  </si>
  <si>
    <t>1989-90</t>
  </si>
  <si>
    <t>1990-91</t>
  </si>
  <si>
    <t>1991-92</t>
  </si>
  <si>
    <t>1992-93</t>
  </si>
  <si>
    <t>1993-94</t>
  </si>
  <si>
    <t>1994-95</t>
  </si>
  <si>
    <t>1995-96</t>
  </si>
  <si>
    <t>1996-97</t>
  </si>
  <si>
    <t>1997-98</t>
  </si>
  <si>
    <t>1998-99</t>
  </si>
  <si>
    <t>2001-02</t>
  </si>
  <si>
    <t>Staff Welfare Expense</t>
  </si>
  <si>
    <t>Recovery School Bus Expenses</t>
  </si>
  <si>
    <t>GHI Employees Contribution</t>
  </si>
  <si>
    <t>Recovery-Canteen Coupons</t>
  </si>
  <si>
    <t>Employees State Insurance</t>
  </si>
  <si>
    <t>Administration Charges on PF/FPS/DL</t>
  </si>
  <si>
    <t>Employers Contribution to Labour Welfare Fund</t>
  </si>
  <si>
    <t>Leave Travel</t>
  </si>
  <si>
    <t>Medical Benefits &amp; Group Health Insurance</t>
  </si>
  <si>
    <t>Canteen</t>
  </si>
  <si>
    <t>Sports &amp; Recreation</t>
  </si>
  <si>
    <t>Dispensary &amp; Medicines</t>
  </si>
  <si>
    <t>Uniforms,Raincoats,Helmets,Shoes</t>
  </si>
  <si>
    <t>Training Expenses</t>
  </si>
  <si>
    <t>Washing Allowance</t>
  </si>
  <si>
    <t>School Bus Expenses</t>
  </si>
  <si>
    <t>Wedding Gifts</t>
  </si>
  <si>
    <t>Tempo Hire Charges-Colony Distribution</t>
  </si>
  <si>
    <t>Mini Bus Hire Charges - J.K.Ladies Club</t>
  </si>
  <si>
    <t>Service Awards</t>
  </si>
  <si>
    <t>Safety Expenses</t>
  </si>
  <si>
    <t>Miscellaneous Benefits - Others</t>
  </si>
  <si>
    <t>Write Housing Loan</t>
  </si>
  <si>
    <t>Meal Allowance</t>
  </si>
  <si>
    <t>Canteen Coupon Recovery</t>
  </si>
  <si>
    <t>Total Amounts</t>
  </si>
  <si>
    <t>Excise Duty Payable - Basic</t>
  </si>
  <si>
    <t>Excise Duty Payable - Ecess</t>
  </si>
  <si>
    <t>Excise Duty Payable - SEcess</t>
  </si>
  <si>
    <t>TDS from Contractors Bills</t>
  </si>
  <si>
    <t>Surcharge on TDS from Contractors Bills</t>
  </si>
  <si>
    <t>Education Cess on TDS from Contractors Bills</t>
  </si>
  <si>
    <t>Sec &amp; Higer Edu Cess on TDS from Contractors Bills</t>
  </si>
  <si>
    <t>TDS on Rent Paid</t>
  </si>
  <si>
    <t>Surcharge on TDS on Rent paid</t>
  </si>
  <si>
    <t>Education Cess - TDS on Rent Paid</t>
  </si>
  <si>
    <t>Sec &amp; Higer Edu Cess on TDS on Rent Paid</t>
  </si>
  <si>
    <t>TDS on Prof./Technical Fees</t>
  </si>
  <si>
    <t>Surcharge on TDS on Prof./Technical Fees</t>
  </si>
  <si>
    <t>Education Cess on TDS on Prof./Technical Fees</t>
  </si>
  <si>
    <t>Sec &amp; Higer Edu Cess on TDS on Prof./Technical Fees</t>
  </si>
  <si>
    <t>TDS on Interest on Sec.Deposit</t>
  </si>
  <si>
    <t>TDS on Interest Paid</t>
  </si>
  <si>
    <t>Sec &amp; Higer Edu Cess on TDS on Int.on Sec.Deposit</t>
  </si>
  <si>
    <t>Education Cess on TDS on Interest paid</t>
  </si>
  <si>
    <t>TDS on Commission &amp; Brokerage</t>
  </si>
  <si>
    <t>Surcharge on TDS on Commission &amp; Brokerage</t>
  </si>
  <si>
    <t>Education Cess on TDS on Commission &amp; Brokerage</t>
  </si>
  <si>
    <t>Sec &amp; Higher Edu Cess on TDS on Commission &amp; Brokerage</t>
  </si>
  <si>
    <t>Other Liabilities</t>
  </si>
  <si>
    <t>TDS on Salary</t>
  </si>
  <si>
    <t>TDS on Interest on Securities</t>
  </si>
  <si>
    <t>Education Cess TDS on Interest on Securities</t>
  </si>
  <si>
    <t>Secondary &amp; Higher Edu Cess on Interest on Securities</t>
  </si>
  <si>
    <t>Tax Collection at Source</t>
  </si>
  <si>
    <t>Accounts Payable Sales Tax</t>
  </si>
  <si>
    <t>Accounts Payable Central Sales Tax</t>
  </si>
  <si>
    <t>Deductions Provident Fund</t>
  </si>
  <si>
    <t>Deductions Super Annuation Fund</t>
  </si>
  <si>
    <t>Employees Contribution to Labour Welfare Fund</t>
  </si>
  <si>
    <t>Employess Cont.to ESI</t>
  </si>
  <si>
    <t>Deductions Family Pension Scheme</t>
  </si>
  <si>
    <t>Misc.Security Deposits</t>
  </si>
  <si>
    <t>Purchase Asset Contra</t>
  </si>
  <si>
    <t>Misc.Security Deposits-Customers</t>
  </si>
  <si>
    <t>Sale of Scrap</t>
  </si>
  <si>
    <t>Penalty-Late Submission of Bills</t>
  </si>
  <si>
    <t>Refund of Customs/Excise Duty</t>
  </si>
  <si>
    <t>Misc.Income Others</t>
  </si>
  <si>
    <t>Stale Cheques Written Back</t>
  </si>
  <si>
    <t>Sale of Newspapers,Scrapped items</t>
  </si>
  <si>
    <t>Insurance Claims</t>
  </si>
  <si>
    <t>Dealers Credit Balances Written Back</t>
  </si>
  <si>
    <t>Soil Sampling Charges - Blore</t>
  </si>
  <si>
    <t>Recovery-Damages to Company Property</t>
  </si>
  <si>
    <t>Less:Stale Cheques Regrouped</t>
  </si>
  <si>
    <t>Total Amounts as per B/S</t>
  </si>
  <si>
    <t>Miscellaneous Income</t>
  </si>
  <si>
    <t>Miscellaneous Expenses</t>
  </si>
  <si>
    <t>Foreign Exchange Variation Buyers Credit</t>
  </si>
  <si>
    <t>Foreign Exchange Variation Others</t>
  </si>
  <si>
    <t>Directors Fees</t>
  </si>
  <si>
    <t>Miscellaneous Expenses - Others</t>
  </si>
  <si>
    <t>Forward Cover Premium - Buyers Credit</t>
  </si>
  <si>
    <t>Club &amp; Membership Fees</t>
  </si>
  <si>
    <t>Gift to Business Associate (without ZACL Logo)</t>
  </si>
  <si>
    <t>SMRC Expenses</t>
  </si>
  <si>
    <t>Transit Flat Expenses Bandra</t>
  </si>
  <si>
    <t>Holiday Home Expenses</t>
  </si>
  <si>
    <t>Sales Tax payment against previous years</t>
  </si>
  <si>
    <t>Penalties (Sales Tax / Customs etc)</t>
  </si>
  <si>
    <t>Canteen Expenses of Railway Staff</t>
  </si>
  <si>
    <t>Transit Flat Expenses Meher Apt</t>
  </si>
  <si>
    <t>Transit Flat Expenses Banglore</t>
  </si>
  <si>
    <t>Transit Flat Expenses Pune</t>
  </si>
  <si>
    <t>Transit Flat Expenses Baramati</t>
  </si>
  <si>
    <t>Add: Others</t>
  </si>
  <si>
    <t>Less:Sundry balances w.o.f,Regrouped</t>
  </si>
  <si>
    <t>Unamortised Premium on Forward Contracts</t>
  </si>
  <si>
    <t>The Company has written back Rs.16,91,91,691/- w.r.t. diminishing in value of GOI Bonds,which was disallowed in the computation of PGBP for AY2008-09(revised return),Accordingly such written back has been excluded from the total income</t>
  </si>
  <si>
    <t>Unamortised Premium on Forward Contracts (allowable)</t>
  </si>
  <si>
    <t>W.E.F 2004-05 Where the payments referred u/s 43B is made subsequent to the due date of Filing Return,it shall be allowed only in the year of payment</t>
  </si>
  <si>
    <t>Subsidy claims written off in the FY 2009-10</t>
  </si>
  <si>
    <t>Sundry balances written off in the FY 2009-10</t>
  </si>
  <si>
    <r>
      <t>Forward Cover Premium Buyers Credit amounting to Rs.11,97,51,389.00 is included in Miscellaneous Expenses in the Books;</t>
    </r>
    <r>
      <rPr>
        <b/>
        <sz val="11"/>
        <color theme="1"/>
        <rFont val="Calibri"/>
        <family val="2"/>
        <scheme val="minor"/>
      </rPr>
      <t>since this relates to trade it is a revenue expenditure; as amortised amount would have already been debited to P&amp;L A/C the balance which is the unamortised amount is deducted in the Computation</t>
    </r>
  </si>
  <si>
    <r>
      <t xml:space="preserve">Leave Encashment </t>
    </r>
    <r>
      <rPr>
        <b/>
        <sz val="10"/>
        <rFont val="Arial"/>
        <family val="2"/>
      </rPr>
      <t>(Disallowed as it is Provision)</t>
    </r>
  </si>
  <si>
    <t>Debited to Staff Welfare Expense:-</t>
  </si>
  <si>
    <r>
      <t xml:space="preserve">There have been </t>
    </r>
    <r>
      <rPr>
        <b/>
        <sz val="11"/>
        <color theme="1"/>
        <rFont val="Calibri"/>
        <family val="2"/>
        <scheme val="minor"/>
      </rPr>
      <t>Disallowances for Similar expenses</t>
    </r>
    <r>
      <rPr>
        <sz val="11"/>
        <color theme="1"/>
        <rFont val="Calibri"/>
        <family val="2"/>
        <charset val="1"/>
        <scheme val="minor"/>
      </rPr>
      <t xml:space="preserve"> in past Assessments for which ZIL has already appealed to ITAT;However the same has not been added to the computation of Profits:-</t>
    </r>
  </si>
  <si>
    <t>Debited to Miscellaneous Expenses:-</t>
  </si>
  <si>
    <t>Penalties (Sales Tax / Customs etc) - the amount is debited to Miscellaneous Expenses</t>
  </si>
  <si>
    <t>Remarks</t>
  </si>
  <si>
    <t>Pension Fund (Disallowance in Previous AY u/s 43B now allowable)</t>
  </si>
  <si>
    <t>Provident Fund (Disallowance in Previous AY u/s 43B now allowable)</t>
  </si>
  <si>
    <t>Leave Encashment (Disallowance in Previous AY u/s 43B now allowable)</t>
  </si>
  <si>
    <t>PF on leave encashment (Disallowance in Previous AY u/s 43B now allowable)</t>
  </si>
  <si>
    <t>Delay in payment to labour welfare fund (Disallowance in Previous AY u/s 43B now allowable)</t>
  </si>
  <si>
    <t>ZUARI INDUSTRIES LIMITED</t>
  </si>
  <si>
    <t>AUDIT 30.03.10</t>
  </si>
  <si>
    <t xml:space="preserve">PROFIT / LOSS ON SALE / REDEMPTION </t>
  </si>
  <si>
    <t>Rs. In lacs</t>
  </si>
  <si>
    <t>INVESTMENT AMOUNT</t>
  </si>
  <si>
    <t>SALE AMOUNT</t>
  </si>
  <si>
    <t>NO. OF SHARES</t>
  </si>
  <si>
    <t>BOOK VALUE</t>
  </si>
  <si>
    <t>PROFIT ON SALE</t>
  </si>
  <si>
    <t xml:space="preserve">Taxable </t>
  </si>
  <si>
    <t xml:space="preserve">Indexed cost </t>
  </si>
  <si>
    <t xml:space="preserve">Capital (Loss) / Profit </t>
  </si>
  <si>
    <t>HDFC</t>
  </si>
  <si>
    <t>quoted</t>
  </si>
  <si>
    <t>No</t>
  </si>
  <si>
    <t>L&amp;T</t>
  </si>
  <si>
    <t>Ultratech</t>
  </si>
  <si>
    <t xml:space="preserve">Sale Of share in Gobind Sugar Mills </t>
  </si>
  <si>
    <t>Preference shares Redemption</t>
  </si>
  <si>
    <t>ZMPL</t>
  </si>
  <si>
    <t>Unquoted</t>
  </si>
  <si>
    <t>Yes</t>
  </si>
  <si>
    <t xml:space="preserve">Long term capital gain on Land </t>
  </si>
  <si>
    <t xml:space="preserve">Land </t>
  </si>
  <si>
    <t>Long term capital gain will be set off against carried forward LTCG</t>
  </si>
  <si>
    <t>Capital gains</t>
  </si>
  <si>
    <t>Sales consideration</t>
  </si>
  <si>
    <t>Equity shares 28416250</t>
  </si>
  <si>
    <t>Cash</t>
  </si>
  <si>
    <t>Less Indexed cost of acquisition</t>
  </si>
  <si>
    <t>Cost</t>
  </si>
  <si>
    <t>Index 2006-07</t>
  </si>
  <si>
    <t>Index 2009-10</t>
  </si>
  <si>
    <t xml:space="preserve">Long term capital loss </t>
  </si>
  <si>
    <r>
      <t>LTCG on</t>
    </r>
    <r>
      <rPr>
        <b/>
        <sz val="11"/>
        <color theme="1"/>
        <rFont val="Calibri"/>
        <family val="2"/>
        <scheme val="minor"/>
      </rPr>
      <t xml:space="preserve"> listed Securities being Equity Shares</t>
    </r>
    <r>
      <rPr>
        <sz val="11"/>
        <color theme="1"/>
        <rFont val="Calibri"/>
        <family val="2"/>
        <charset val="1"/>
        <scheme val="minor"/>
      </rPr>
      <t xml:space="preserve"> &amp; </t>
    </r>
    <r>
      <rPr>
        <b/>
        <sz val="11"/>
        <color theme="1"/>
        <rFont val="Calibri"/>
        <family val="2"/>
        <scheme val="minor"/>
      </rPr>
      <t>units</t>
    </r>
    <r>
      <rPr>
        <sz val="11"/>
        <color theme="1"/>
        <rFont val="Calibri"/>
        <family val="2"/>
        <charset val="1"/>
        <scheme val="minor"/>
      </rPr>
      <t xml:space="preserve"> of Equity Oriented Fund </t>
    </r>
    <r>
      <rPr>
        <b/>
        <sz val="11"/>
        <color theme="1"/>
        <rFont val="Calibri"/>
        <family val="2"/>
        <scheme val="minor"/>
      </rPr>
      <t>(EOF) set up under a scheme of Mutual Fund</t>
    </r>
    <r>
      <rPr>
        <sz val="11"/>
        <color theme="1"/>
        <rFont val="Calibri"/>
        <family val="2"/>
        <charset val="1"/>
        <scheme val="minor"/>
      </rPr>
      <t xml:space="preserve"> specified u/s 10(23D) which is </t>
    </r>
    <r>
      <rPr>
        <b/>
        <sz val="11"/>
        <color theme="1"/>
        <rFont val="Calibri"/>
        <family val="2"/>
        <scheme val="minor"/>
      </rPr>
      <t>subject to STT</t>
    </r>
    <r>
      <rPr>
        <sz val="11"/>
        <color theme="1"/>
        <rFont val="Calibri"/>
        <family val="2"/>
        <charset val="1"/>
        <scheme val="minor"/>
      </rPr>
      <t xml:space="preserve">, transferred on or after </t>
    </r>
    <r>
      <rPr>
        <b/>
        <sz val="11"/>
        <color theme="1"/>
        <rFont val="Calibri"/>
        <family val="2"/>
        <scheme val="minor"/>
      </rPr>
      <t>1-10-2004 is exempt from tax u/s 10(38)</t>
    </r>
  </si>
  <si>
    <t>Preference Shares - Unquoted (ZMPL)</t>
  </si>
  <si>
    <t>Land</t>
  </si>
  <si>
    <t>B</t>
  </si>
  <si>
    <t>CII of FY 2009-10 :-</t>
  </si>
  <si>
    <t>CII of FY 2006-07 :-</t>
  </si>
  <si>
    <t>CII of FY 1981-82 :-</t>
  </si>
  <si>
    <t>Total Long Term Capital Gain</t>
  </si>
  <si>
    <t>10(38)</t>
  </si>
  <si>
    <t>Total LTCG Taxable</t>
  </si>
  <si>
    <t xml:space="preserve">C/Years </t>
  </si>
  <si>
    <t>EXEMPT FROM LTCG</t>
  </si>
  <si>
    <r>
      <t>It would be Dis-allowable if it has already been allowed in the previous Assessment Years.</t>
    </r>
    <r>
      <rPr>
        <b/>
        <sz val="11"/>
        <color theme="1"/>
        <rFont val="Calibri"/>
        <family val="2"/>
        <scheme val="minor"/>
      </rPr>
      <t>Subsidy Claims w.o.f amounting to Rs.45.01 lacs was debited to P&amp;L A/C in the FY 2008-09 &amp; hence was allowed.</t>
    </r>
  </si>
  <si>
    <r>
      <t xml:space="preserve">It Should be noted that Dimunition in Value was </t>
    </r>
    <r>
      <rPr>
        <b/>
        <sz val="11"/>
        <color theme="1"/>
        <rFont val="Calibri"/>
        <family val="2"/>
        <scheme val="minor"/>
      </rPr>
      <t>disallowed in the AY 2008-09 and is a Disallowable expense u/s 37(1).The Co.treats these Bonds as "Other Current Assets".</t>
    </r>
  </si>
  <si>
    <t>Zuari Industries Limited</t>
  </si>
  <si>
    <t>Annexure III</t>
  </si>
  <si>
    <t>Previous Year  :2009-2010</t>
  </si>
  <si>
    <t>Assessment Year : 2010-2011</t>
  </si>
  <si>
    <t xml:space="preserve"> </t>
  </si>
  <si>
    <t>Clause 14 : Statement of Depreciation  computed as per Income Tax Rules</t>
  </si>
  <si>
    <t>(Amount in Rs.)</t>
  </si>
  <si>
    <t>Description of 
Block of Asset</t>
  </si>
  <si>
    <t>Rate of  Depreciation %</t>
  </si>
  <si>
    <t>WDV as at 01.04.2009</t>
  </si>
  <si>
    <t xml:space="preserve">Additions &gt; 180 Days </t>
  </si>
  <si>
    <t xml:space="preserve">Additions     &lt; 180 Days </t>
  </si>
  <si>
    <t>Sales/ Adjustment</t>
  </si>
  <si>
    <t>Total Block as at 31.03.2010</t>
  </si>
  <si>
    <t>Depreciation allowable</t>
  </si>
  <si>
    <t>WDV as at 31.03.2010</t>
  </si>
  <si>
    <t>Depreciation Check</t>
  </si>
  <si>
    <t>Diff</t>
  </si>
  <si>
    <t>Residential Buildings</t>
  </si>
  <si>
    <t>Factory Office and Other Buildings</t>
  </si>
  <si>
    <t>Building with Dwelling units</t>
  </si>
  <si>
    <t xml:space="preserve">Furniture &amp; fixtures </t>
  </si>
  <si>
    <t xml:space="preserve">Plant &amp; Machinery </t>
  </si>
  <si>
    <t xml:space="preserve">Motor Vehicles </t>
  </si>
  <si>
    <t>Motor Vehicles *</t>
  </si>
  <si>
    <t xml:space="preserve">Computers </t>
  </si>
  <si>
    <t>Vehicles Leased</t>
  </si>
  <si>
    <t>Intangible Assets (Softwares)</t>
  </si>
  <si>
    <t xml:space="preserve"> Total </t>
  </si>
  <si>
    <t xml:space="preserve">   </t>
  </si>
  <si>
    <t>* In accordance with third proviso to clause (ii) of sub section (1) of Section 32</t>
  </si>
  <si>
    <t>Notes:</t>
  </si>
  <si>
    <t>a)  Depreciation for the year on plant and machinery includes additional depreciation of Rs. 6,786,792 on machineries purchased during the current previous year.</t>
  </si>
  <si>
    <t>b) Depreciation at 50% of the normal rate is claimed, in respect of assets put to use for a period of less than 180 days [2nd proviso to Section 32(1)(ii)]</t>
  </si>
  <si>
    <t>c) Date put to use is as certified by the management.</t>
  </si>
  <si>
    <t>d) There are no adjustments to additions/ deductions on account of requirements as per Clause 14(d) (i) to (iii)</t>
  </si>
  <si>
    <t>e) Plant and Machinery excludes the following items which have been treated as capital expenditure and depreciation has been allowed pursuant to orders of</t>
  </si>
  <si>
    <t>CIT(Appeals)</t>
  </si>
  <si>
    <t>COST</t>
  </si>
  <si>
    <t>Depreciation</t>
  </si>
  <si>
    <t>WDV as on</t>
  </si>
  <si>
    <t>upto  31.03.2008</t>
  </si>
  <si>
    <t>for 2008-09</t>
  </si>
  <si>
    <t>31.03.2009</t>
  </si>
  <si>
    <t>Replacement of railway siding</t>
  </si>
  <si>
    <t>(AY 1997-98-Rs.7,31,51,815 &amp; AY 1998-99</t>
  </si>
  <si>
    <t xml:space="preserve"> -Rs.2,03,63,365 &amp; Rs.3,57,23,729).</t>
  </si>
  <si>
    <t>Expansion of NPK Plant**</t>
  </si>
  <si>
    <t>(AY 2000-01 - Rs.42,350,016)</t>
  </si>
  <si>
    <t>Waste Heat Boiler &amp; diesel generator</t>
  </si>
  <si>
    <t>(AY 2000-01 - Rs.339,759)</t>
  </si>
  <si>
    <t>f) Plant and Machinery excludes the following items which have been treated as capital expenditure and depreciation has been claimed as per Return of Income filed</t>
  </si>
  <si>
    <t>upto  31.03.2007</t>
  </si>
  <si>
    <t>for 2007-08</t>
  </si>
  <si>
    <t>31.03.2008</t>
  </si>
  <si>
    <t>Custom duty on imported Spectrometer</t>
  </si>
  <si>
    <t>(AY 1999-00-Rs.3,59,371 )</t>
  </si>
  <si>
    <t>** After considering the reduction in cost and reversal of accumulated depreciation thereon subsequent to ITAT order dated June 1, 2006 for AY 2001-02.</t>
  </si>
  <si>
    <t>Zuari industries Ltd</t>
  </si>
  <si>
    <t>Income tax Assessment Year 2011-12</t>
  </si>
  <si>
    <t>Tax Depreciation for the period ended on 31.03.2011</t>
  </si>
  <si>
    <t>S.No</t>
  </si>
  <si>
    <t>Depn</t>
  </si>
  <si>
    <t xml:space="preserve">Op. WDV </t>
  </si>
  <si>
    <t>Cl. WDV</t>
  </si>
  <si>
    <t>%</t>
  </si>
  <si>
    <t>Railway Sidings</t>
  </si>
  <si>
    <t>AY 1998-99</t>
  </si>
  <si>
    <t>AY 1999-00</t>
  </si>
  <si>
    <t>AY 2000-01</t>
  </si>
  <si>
    <t>AY 2001-02</t>
  </si>
  <si>
    <t>AY 2002-03</t>
  </si>
  <si>
    <t>AY 2003-04</t>
  </si>
  <si>
    <t>AY 2004-05</t>
  </si>
  <si>
    <t>AY 2005-06</t>
  </si>
  <si>
    <t>AY 2006-07</t>
  </si>
  <si>
    <t>AY 2007-08</t>
  </si>
  <si>
    <t>AY 2008-09</t>
  </si>
  <si>
    <t>AY 2009-10</t>
  </si>
  <si>
    <t>AY 2011-12</t>
  </si>
  <si>
    <t>Heat Boiler</t>
  </si>
  <si>
    <t>Expansion of NKP plant</t>
  </si>
  <si>
    <t>21.07 Lakhs Considered Seperately(As Int 36(1)(iii)is allowed by ITAT on 01-06.2006</t>
  </si>
  <si>
    <t>Withdrawal of depreciation</t>
  </si>
  <si>
    <t>Amount received from flats</t>
  </si>
  <si>
    <t>Railway Siding</t>
  </si>
  <si>
    <t>Expansion of NPK Plant</t>
  </si>
  <si>
    <t>Depreciation withdrawl on flats</t>
  </si>
  <si>
    <t>Amount allowed u/s 36(1)(iii) on NPK Expansion Plant</t>
  </si>
  <si>
    <t>By ITAT oredr so Reversal of Dep.-</t>
  </si>
  <si>
    <t>Rs. In lakhs</t>
  </si>
  <si>
    <t>As per financial statement</t>
  </si>
  <si>
    <t>WDV as on  31/03/2010</t>
  </si>
  <si>
    <t>Tax Depreciation for  PY 1/4/2009 to 31/03/2010</t>
  </si>
  <si>
    <t>Sales Tax Deduction on Works Contract</t>
  </si>
  <si>
    <t>Taxes</t>
  </si>
  <si>
    <t>C/Year Tax under MAT      (If C &gt; B)</t>
  </si>
</sst>
</file>

<file path=xl/styles.xml><?xml version="1.0" encoding="utf-8"?>
<styleSheet xmlns="http://schemas.openxmlformats.org/spreadsheetml/2006/main">
  <numFmts count="21">
    <numFmt numFmtId="43" formatCode="_ * #,##0.00_ ;_ * \-#,##0.00_ ;_ * &quot;-&quot;??_ ;_ @_ "/>
    <numFmt numFmtId="164" formatCode="_(* #,##0.00_);_(* \(#,##0.00\);_(* &quot;-&quot;??_);_(@_)"/>
    <numFmt numFmtId="165" formatCode="_-* #,##0.00_-;\-* #,##0.00_-;_-* &quot;-&quot;??_-;_-@_-"/>
    <numFmt numFmtId="166" formatCode="0.000%"/>
    <numFmt numFmtId="167" formatCode="0.0000%"/>
    <numFmt numFmtId="168" formatCode="&quot;$&quot;#,##0\ ;\(&quot;$&quot;#,##0\)"/>
    <numFmt numFmtId="169" formatCode="_(* #,##0_);_(* \(#,##0\);_(* &quot;-&quot;_);_(@_)"/>
    <numFmt numFmtId="170" formatCode="_-* #,##0_-;\-* #,##0_-;_-* &quot;-&quot;??_-;_-@_-"/>
    <numFmt numFmtId="171" formatCode="_(* #,##0_);_(* \(#,##0\);_(* &quot;-&quot;??_);_(@_)"/>
    <numFmt numFmtId="172" formatCode="#,##0.0_);[Red]\(#,##0.0\)"/>
    <numFmt numFmtId="173" formatCode="#,##0_);[Red]\(#,##0\);"/>
    <numFmt numFmtId="174" formatCode="#,##0.0000_);[Red]\(#,##0.00000\)"/>
    <numFmt numFmtId="175" formatCode="&quot;$&quot;#,##0_);[Red]\(&quot;$&quot;#,##0\);"/>
    <numFmt numFmtId="176" formatCode=";;;"/>
    <numFmt numFmtId="177" formatCode="0.00_)"/>
    <numFmt numFmtId="178" formatCode="0_)%;[Red]\(0\)%"/>
    <numFmt numFmtId="179" formatCode="0.0\ %;[Red]\(0.0\)%"/>
    <numFmt numFmtId="180" formatCode="0.00\ %;[Red]\(0.00\)%"/>
    <numFmt numFmtId="181" formatCode="0000"/>
    <numFmt numFmtId="182" formatCode="00"/>
    <numFmt numFmtId="183" formatCode="000"/>
  </numFmts>
  <fonts count="44">
    <font>
      <sz val="11"/>
      <color theme="1"/>
      <name val="Calibri"/>
      <family val="2"/>
      <charset val="1"/>
      <scheme val="minor"/>
    </font>
    <font>
      <sz val="11"/>
      <color theme="1"/>
      <name val="Calibri"/>
      <family val="2"/>
      <scheme val="minor"/>
    </font>
    <font>
      <sz val="11"/>
      <color theme="1"/>
      <name val="Calibri"/>
      <family val="2"/>
      <charset val="1"/>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name val="Calibri"/>
      <family val="2"/>
      <scheme val="minor"/>
    </font>
    <font>
      <sz val="11"/>
      <name val="Arial"/>
      <family val="2"/>
    </font>
    <font>
      <b/>
      <sz val="11"/>
      <name val="Calibri"/>
      <family val="2"/>
      <scheme val="minor"/>
    </font>
    <font>
      <i/>
      <sz val="11"/>
      <name val="Calibri"/>
      <family val="2"/>
      <scheme val="minor"/>
    </font>
    <font>
      <b/>
      <sz val="11"/>
      <name val="Calibri"/>
      <family val="2"/>
    </font>
    <font>
      <sz val="11"/>
      <name val="Calibri"/>
      <family val="2"/>
    </font>
    <font>
      <b/>
      <sz val="11"/>
      <name val="Arial"/>
      <family val="2"/>
    </font>
    <font>
      <b/>
      <sz val="10"/>
      <name val="Arial"/>
      <family val="2"/>
    </font>
    <font>
      <b/>
      <sz val="11"/>
      <color theme="1"/>
      <name val="Calibri"/>
      <family val="2"/>
      <charset val="1"/>
      <scheme val="minor"/>
    </font>
    <font>
      <b/>
      <sz val="11"/>
      <color rgb="FFFF0000"/>
      <name val="Calibri"/>
      <family val="2"/>
      <scheme val="minor"/>
    </font>
    <font>
      <sz val="10"/>
      <color theme="1"/>
      <name val="Verdana"/>
      <family val="2"/>
    </font>
    <font>
      <sz val="11"/>
      <color theme="1"/>
      <name val="Verdana"/>
      <family val="2"/>
    </font>
    <font>
      <b/>
      <u/>
      <sz val="11"/>
      <color theme="1"/>
      <name val="Calibri"/>
      <family val="2"/>
    </font>
    <font>
      <sz val="11"/>
      <color theme="1"/>
      <name val="Calibri"/>
      <family val="2"/>
    </font>
    <font>
      <b/>
      <sz val="11"/>
      <color theme="1"/>
      <name val="Calibri"/>
      <family val="2"/>
    </font>
    <font>
      <sz val="10"/>
      <name val="Calibri"/>
      <family val="2"/>
      <scheme val="minor"/>
    </font>
    <font>
      <b/>
      <sz val="10"/>
      <name val="Calibri"/>
      <family val="2"/>
      <scheme val="minor"/>
    </font>
    <font>
      <b/>
      <u/>
      <sz val="10"/>
      <name val="Calibri"/>
      <family val="2"/>
      <scheme val="minor"/>
    </font>
    <font>
      <b/>
      <sz val="11"/>
      <name val="Times New Roman"/>
      <family val="1"/>
    </font>
    <font>
      <sz val="11"/>
      <name val="Times New Roman"/>
      <family val="1"/>
    </font>
    <font>
      <b/>
      <u/>
      <sz val="11"/>
      <name val="Times New Roman"/>
      <family val="1"/>
    </font>
    <font>
      <b/>
      <i/>
      <sz val="10"/>
      <name val="Times New Roman"/>
      <family val="1"/>
    </font>
    <font>
      <i/>
      <sz val="10"/>
      <name val="Times New Roman"/>
      <family val="1"/>
    </font>
    <font>
      <sz val="10"/>
      <name val="Times New Roman"/>
      <family val="1"/>
    </font>
    <font>
      <b/>
      <sz val="10"/>
      <name val="Times New Roman"/>
      <family val="1"/>
    </font>
    <font>
      <i/>
      <sz val="10"/>
      <color indexed="10"/>
      <name val="Times New Roman"/>
      <family val="1"/>
    </font>
    <font>
      <sz val="10"/>
      <color indexed="10"/>
      <name val="Times New Roman"/>
      <family val="1"/>
    </font>
    <font>
      <i/>
      <sz val="11"/>
      <name val="Times New Roman"/>
      <family val="1"/>
    </font>
    <font>
      <sz val="11"/>
      <name val="돋움"/>
      <family val="3"/>
      <charset val="129"/>
    </font>
    <font>
      <sz val="10"/>
      <name val="Tms Rmn"/>
    </font>
    <font>
      <sz val="12"/>
      <name val="Helv"/>
    </font>
    <font>
      <b/>
      <i/>
      <sz val="16"/>
      <name val="Helv"/>
    </font>
    <font>
      <b/>
      <sz val="11"/>
      <color indexed="16"/>
      <name val="Times New Roman"/>
      <family val="1"/>
    </font>
    <font>
      <sz val="10"/>
      <name val="MS Sans Serif"/>
      <family val="2"/>
    </font>
    <font>
      <sz val="9"/>
      <name val="Tms Rmn"/>
    </font>
    <font>
      <b/>
      <u/>
      <sz val="10"/>
      <name val="Times New Roman"/>
      <family val="1"/>
    </font>
    <font>
      <u/>
      <sz val="10"/>
      <name val="Times New Roman"/>
      <family val="1"/>
    </font>
  </fonts>
  <fills count="18">
    <fill>
      <patternFill patternType="none"/>
    </fill>
    <fill>
      <patternFill patternType="gray125"/>
    </fill>
    <fill>
      <patternFill patternType="solid">
        <fgColor theme="1" tint="0.499984740745262"/>
        <bgColor indexed="64"/>
      </patternFill>
    </fill>
    <fill>
      <patternFill patternType="solid">
        <fgColor theme="0" tint="-0.34998626667073579"/>
        <bgColor indexed="64"/>
      </patternFill>
    </fill>
    <fill>
      <patternFill patternType="solid">
        <fgColor them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patternFill>
    </fill>
    <fill>
      <patternFill patternType="solid">
        <fgColor indexed="9"/>
        <bgColor indexed="64"/>
      </patternFill>
    </fill>
    <fill>
      <patternFill patternType="solid">
        <fgColor indexed="42"/>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57">
    <xf numFmtId="0" fontId="0" fillId="0" borderId="0"/>
    <xf numFmtId="43" fontId="2" fillId="0" borderId="0" applyFont="0" applyFill="0" applyBorder="0" applyAlignment="0" applyProtection="0"/>
    <xf numFmtId="0" fontId="5" fillId="0" borderId="0" applyFont="0" applyFill="0" applyBorder="0" applyAlignment="0" applyProtection="0"/>
    <xf numFmtId="164" fontId="5" fillId="0" borderId="0" applyFont="0" applyFill="0" applyBorder="0" applyAlignment="0" applyProtection="0"/>
    <xf numFmtId="0" fontId="5" fillId="0" borderId="0" applyFont="0" applyFill="0" applyBorder="0" applyAlignment="0" applyProtection="0"/>
    <xf numFmtId="0" fontId="5" fillId="0" borderId="0"/>
    <xf numFmtId="0" fontId="6" fillId="0" borderId="0"/>
    <xf numFmtId="168" fontId="6" fillId="0" borderId="0" applyFont="0" applyFill="0" applyBorder="0" applyAlignment="0" applyProtection="0"/>
    <xf numFmtId="3" fontId="6" fillId="0" borderId="0" applyFont="0" applyFill="0" applyBorder="0" applyAlignment="0" applyProtection="0"/>
    <xf numFmtId="3" fontId="5" fillId="0" borderId="0" applyFont="0" applyFill="0" applyBorder="0" applyAlignment="0" applyProtection="0"/>
    <xf numFmtId="168" fontId="6" fillId="0" borderId="0" applyFont="0" applyFill="0" applyBorder="0" applyAlignment="0" applyProtection="0"/>
    <xf numFmtId="168" fontId="5" fillId="0" borderId="0" applyFont="0" applyFill="0" applyBorder="0" applyAlignment="0" applyProtection="0"/>
    <xf numFmtId="0" fontId="6" fillId="0" borderId="0" applyFont="0" applyFill="0" applyBorder="0" applyAlignment="0" applyProtection="0"/>
    <xf numFmtId="0" fontId="5" fillId="0" borderId="0" applyFont="0" applyFill="0" applyBorder="0" applyAlignment="0" applyProtection="0"/>
    <xf numFmtId="2" fontId="6" fillId="0" borderId="0" applyFont="0" applyFill="0" applyBorder="0" applyAlignment="0" applyProtection="0"/>
    <xf numFmtId="2" fontId="5" fillId="0" borderId="0" applyFont="0" applyFill="0" applyBorder="0" applyAlignment="0" applyProtection="0"/>
    <xf numFmtId="4" fontId="5" fillId="0" borderId="0" applyFont="0" applyFill="0" applyBorder="0" applyAlignment="0" applyProtection="0"/>
    <xf numFmtId="4" fontId="5" fillId="0" borderId="0" applyFont="0" applyFill="0" applyBorder="0" applyAlignment="0" applyProtection="0"/>
    <xf numFmtId="166" fontId="5" fillId="0" borderId="0" applyFont="0" applyFill="0" applyBorder="0" applyAlignment="0" applyProtection="0"/>
    <xf numFmtId="0" fontId="5" fillId="0" borderId="0"/>
    <xf numFmtId="166" fontId="5" fillId="0" borderId="0" applyFont="0" applyFill="0" applyBorder="0" applyAlignment="0" applyProtection="0"/>
    <xf numFmtId="166" fontId="5" fillId="0" borderId="0" applyFont="0" applyFill="0" applyBorder="0" applyAlignment="0" applyProtection="0"/>
    <xf numFmtId="0" fontId="35" fillId="0" borderId="0"/>
    <xf numFmtId="172" fontId="36" fillId="0" borderId="0" applyFill="0" applyBorder="0" applyAlignment="0" applyProtection="0"/>
    <xf numFmtId="40" fontId="36" fillId="0" borderId="0" applyFill="0" applyBorder="0" applyAlignment="0" applyProtection="0"/>
    <xf numFmtId="173" fontId="36" fillId="14" borderId="0" applyFill="0" applyBorder="0" applyAlignment="0">
      <alignment vertical="top"/>
    </xf>
    <xf numFmtId="174" fontId="36" fillId="0" borderId="0" applyFill="0" applyBorder="0" applyAlignment="0" applyProtection="0"/>
    <xf numFmtId="164" fontId="1" fillId="0" borderId="0" applyFont="0" applyFill="0" applyBorder="0" applyAlignment="0" applyProtection="0"/>
    <xf numFmtId="175" fontId="36" fillId="14" borderId="18" applyFill="0" applyBorder="0" applyAlignment="0">
      <alignment horizontal="right"/>
    </xf>
    <xf numFmtId="0" fontId="37" fillId="0" borderId="0"/>
    <xf numFmtId="0" fontId="36" fillId="0" borderId="0" applyNumberFormat="0" applyFill="0" applyBorder="0" applyAlignment="0" applyProtection="0"/>
    <xf numFmtId="0" fontId="37" fillId="0" borderId="0"/>
    <xf numFmtId="176" fontId="36" fillId="0" borderId="0" applyFill="0" applyBorder="0" applyAlignment="0" applyProtection="0"/>
    <xf numFmtId="177" fontId="38" fillId="0" borderId="0"/>
    <xf numFmtId="0" fontId="37" fillId="0" borderId="0"/>
    <xf numFmtId="0" fontId="39" fillId="15" borderId="19"/>
    <xf numFmtId="178" fontId="36" fillId="14" borderId="0" applyFill="0" applyBorder="0" applyAlignment="0" applyProtection="0">
      <protection locked="0"/>
    </xf>
    <xf numFmtId="179" fontId="36" fillId="14" borderId="0" applyFill="0" applyBorder="0" applyAlignment="0" applyProtection="0">
      <alignment vertical="top"/>
    </xf>
    <xf numFmtId="180" fontId="36" fillId="0" borderId="0" applyFill="0" applyBorder="0" applyAlignment="0" applyProtection="0"/>
    <xf numFmtId="9" fontId="5" fillId="0" borderId="0" applyFont="0" applyFill="0" applyBorder="0" applyAlignment="0" applyProtection="0"/>
    <xf numFmtId="0" fontId="40" fillId="0" borderId="0" applyNumberFormat="0" applyFont="0" applyFill="0" applyBorder="0" applyAlignment="0" applyProtection="0">
      <alignment horizontal="left"/>
    </xf>
    <xf numFmtId="15" fontId="40" fillId="0" borderId="0" applyFont="0" applyFill="0" applyBorder="0" applyAlignment="0" applyProtection="0"/>
    <xf numFmtId="0" fontId="5"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41" fillId="0" borderId="0" applyNumberFormat="0" applyFill="0" applyBorder="0" applyAlignment="0" applyProtection="0"/>
    <xf numFmtId="181" fontId="5" fillId="0" borderId="4" applyFont="0" applyFill="0" applyBorder="0" applyProtection="0">
      <alignment horizontal="center"/>
      <protection locked="0"/>
    </xf>
    <xf numFmtId="182" fontId="14" fillId="0" borderId="7" applyFont="0" applyFill="0" applyBorder="0" applyProtection="0">
      <alignment horizontal="center"/>
    </xf>
    <xf numFmtId="38" fontId="5" fillId="0" borderId="1" applyFont="0" applyFill="0" applyBorder="0" applyAlignment="0" applyProtection="0">
      <protection locked="0"/>
    </xf>
    <xf numFmtId="15" fontId="5" fillId="0" borderId="1" applyFont="0" applyFill="0" applyBorder="0" applyProtection="0">
      <alignment horizontal="center"/>
      <protection locked="0"/>
    </xf>
    <xf numFmtId="10" fontId="5" fillId="0" borderId="1" applyFont="0" applyFill="0" applyBorder="0" applyProtection="0">
      <alignment horizontal="center"/>
      <protection locked="0"/>
    </xf>
    <xf numFmtId="183" fontId="5" fillId="0" borderId="1" applyFont="0" applyFill="0" applyBorder="0" applyProtection="0">
      <alignment horizontal="center"/>
    </xf>
    <xf numFmtId="0" fontId="35" fillId="0" borderId="0"/>
    <xf numFmtId="164" fontId="5" fillId="0" borderId="0" applyFont="0" applyFill="0" applyBorder="0" applyAlignment="0" applyProtection="0"/>
  </cellStyleXfs>
  <cellXfs count="351">
    <xf numFmtId="0" fontId="0" fillId="0" borderId="0" xfId="0"/>
    <xf numFmtId="0" fontId="3" fillId="0" borderId="1" xfId="0" applyFont="1" applyBorder="1"/>
    <xf numFmtId="0" fontId="0" fillId="0" borderId="1" xfId="0" applyBorder="1"/>
    <xf numFmtId="0" fontId="4" fillId="2" borderId="1" xfId="0" applyFont="1" applyFill="1" applyBorder="1" applyAlignment="1">
      <alignment vertical="top" wrapText="1"/>
    </xf>
    <xf numFmtId="0" fontId="3" fillId="3" borderId="1" xfId="0" applyFont="1" applyFill="1" applyBorder="1"/>
    <xf numFmtId="0" fontId="3" fillId="4" borderId="1"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6" borderId="1" xfId="0" applyFont="1" applyFill="1" applyBorder="1" applyAlignment="1">
      <alignment horizontal="center" vertical="top" wrapText="1"/>
    </xf>
    <xf numFmtId="0" fontId="3" fillId="7" borderId="1" xfId="0" applyFont="1" applyFill="1" applyBorder="1" applyAlignment="1">
      <alignment horizontal="center" vertical="top"/>
    </xf>
    <xf numFmtId="0" fontId="3" fillId="0" borderId="1" xfId="0" applyFont="1" applyFill="1" applyBorder="1" applyAlignment="1">
      <alignment horizontal="center" vertical="top" wrapText="1"/>
    </xf>
    <xf numFmtId="43" fontId="0" fillId="0" borderId="1" xfId="1" applyFont="1" applyBorder="1"/>
    <xf numFmtId="43" fontId="0" fillId="8" borderId="1" xfId="1" applyFont="1" applyFill="1" applyBorder="1"/>
    <xf numFmtId="43" fontId="0" fillId="0" borderId="1" xfId="0" applyNumberFormat="1" applyBorder="1"/>
    <xf numFmtId="0" fontId="0" fillId="3" borderId="0" xfId="0" applyFill="1"/>
    <xf numFmtId="0" fontId="3" fillId="3" borderId="0" xfId="0" applyFont="1" applyFill="1"/>
    <xf numFmtId="0" fontId="3" fillId="0" borderId="1" xfId="0" applyFont="1" applyBorder="1" applyAlignment="1">
      <alignmen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3" fillId="7" borderId="1" xfId="0" applyFont="1" applyFill="1" applyBorder="1" applyAlignment="1">
      <alignment vertical="top" wrapText="1"/>
    </xf>
    <xf numFmtId="0" fontId="0" fillId="0" borderId="1" xfId="0" applyBorder="1" applyAlignment="1">
      <alignment horizontal="left"/>
    </xf>
    <xf numFmtId="0" fontId="4" fillId="0" borderId="1" xfId="0" applyFont="1" applyBorder="1" applyAlignment="1">
      <alignment horizontal="left" vertical="top" wrapText="1"/>
    </xf>
    <xf numFmtId="43" fontId="4" fillId="4" borderId="1" xfId="0" applyNumberFormat="1" applyFont="1" applyFill="1" applyBorder="1" applyAlignment="1">
      <alignment vertical="top" wrapText="1"/>
    </xf>
    <xf numFmtId="43" fontId="0" fillId="7" borderId="1" xfId="1" applyFont="1" applyFill="1" applyBorder="1"/>
    <xf numFmtId="3" fontId="4" fillId="4" borderId="1" xfId="0" applyNumberFormat="1" applyFont="1" applyFill="1" applyBorder="1" applyAlignment="1">
      <alignment vertical="top" wrapText="1"/>
    </xf>
    <xf numFmtId="0" fontId="4" fillId="0" borderId="1" xfId="0" applyFont="1" applyBorder="1" applyAlignment="1">
      <alignment vertical="top" wrapText="1"/>
    </xf>
    <xf numFmtId="0" fontId="7" fillId="0" borderId="0" xfId="6" applyFont="1"/>
    <xf numFmtId="0" fontId="8" fillId="0" borderId="0" xfId="6" applyFont="1"/>
    <xf numFmtId="0" fontId="7" fillId="0" borderId="1" xfId="6" applyFont="1" applyBorder="1" applyAlignment="1">
      <alignment horizontal="center"/>
    </xf>
    <xf numFmtId="0" fontId="9" fillId="0" borderId="1" xfId="6" applyFont="1" applyBorder="1" applyAlignment="1">
      <alignment horizontal="center"/>
    </xf>
    <xf numFmtId="0" fontId="7" fillId="0" borderId="1" xfId="6" applyFont="1" applyBorder="1"/>
    <xf numFmtId="165" fontId="7" fillId="0" borderId="1" xfId="7" applyNumberFormat="1" applyFont="1" applyBorder="1"/>
    <xf numFmtId="0" fontId="7" fillId="0" borderId="1" xfId="6" applyFont="1" applyBorder="1" applyAlignment="1">
      <alignment horizontal="center" vertical="top"/>
    </xf>
    <xf numFmtId="0" fontId="7" fillId="0" borderId="1" xfId="6" applyFont="1" applyBorder="1" applyAlignment="1">
      <alignment vertical="top" wrapText="1"/>
    </xf>
    <xf numFmtId="164" fontId="7" fillId="0" borderId="1" xfId="7" applyNumberFormat="1" applyFont="1" applyBorder="1"/>
    <xf numFmtId="0" fontId="7" fillId="0" borderId="0" xfId="6" applyFont="1" applyAlignment="1">
      <alignment horizontal="center"/>
    </xf>
    <xf numFmtId="2" fontId="7" fillId="0" borderId="0" xfId="6" applyNumberFormat="1" applyFont="1"/>
    <xf numFmtId="10" fontId="7" fillId="0" borderId="1" xfId="6" applyNumberFormat="1" applyFont="1" applyBorder="1"/>
    <xf numFmtId="0" fontId="7" fillId="0" borderId="1" xfId="6" applyFont="1" applyFill="1" applyBorder="1"/>
    <xf numFmtId="166" fontId="7" fillId="0" borderId="1" xfId="6" applyNumberFormat="1" applyFont="1" applyBorder="1"/>
    <xf numFmtId="0" fontId="9" fillId="0" borderId="1" xfId="6" applyFont="1" applyBorder="1"/>
    <xf numFmtId="166" fontId="9" fillId="0" borderId="1" xfId="6" applyNumberFormat="1" applyFont="1" applyBorder="1"/>
    <xf numFmtId="167" fontId="7" fillId="0" borderId="1" xfId="6" applyNumberFormat="1" applyFont="1" applyBorder="1"/>
    <xf numFmtId="167" fontId="9" fillId="0" borderId="1" xfId="6" applyNumberFormat="1" applyFont="1" applyBorder="1"/>
    <xf numFmtId="0" fontId="14" fillId="0" borderId="1" xfId="0" applyFont="1" applyBorder="1" applyAlignment="1">
      <alignment horizontal="center"/>
    </xf>
    <xf numFmtId="0" fontId="5" fillId="0" borderId="1" xfId="0" applyFont="1" applyBorder="1"/>
    <xf numFmtId="0" fontId="5" fillId="0" borderId="1" xfId="0" applyFont="1" applyBorder="1" applyAlignment="1">
      <alignment horizontal="center"/>
    </xf>
    <xf numFmtId="0" fontId="14" fillId="0" borderId="1" xfId="0" applyFont="1" applyBorder="1"/>
    <xf numFmtId="0" fontId="14" fillId="0" borderId="1" xfId="0" applyFont="1" applyBorder="1" applyAlignment="1">
      <alignment vertical="top" wrapText="1"/>
    </xf>
    <xf numFmtId="0" fontId="5" fillId="0" borderId="1" xfId="0" applyFont="1" applyBorder="1" applyAlignment="1">
      <alignment vertical="top" wrapText="1"/>
    </xf>
    <xf numFmtId="0" fontId="0" fillId="0" borderId="1" xfId="0" applyBorder="1" applyAlignment="1">
      <alignment horizontal="center"/>
    </xf>
    <xf numFmtId="4" fontId="0" fillId="0" borderId="1" xfId="0" applyNumberFormat="1" applyBorder="1"/>
    <xf numFmtId="0" fontId="3" fillId="0" borderId="1" xfId="0" applyFont="1" applyBorder="1" applyAlignment="1">
      <alignment horizontal="center"/>
    </xf>
    <xf numFmtId="0" fontId="14" fillId="9" borderId="1" xfId="0" applyFont="1" applyFill="1" applyBorder="1" applyAlignment="1">
      <alignment horizontal="center"/>
    </xf>
    <xf numFmtId="4" fontId="0" fillId="9" borderId="1" xfId="0" applyNumberFormat="1" applyFill="1" applyBorder="1"/>
    <xf numFmtId="0" fontId="14" fillId="0" borderId="1" xfId="0" applyFont="1" applyFill="1" applyBorder="1" applyAlignment="1">
      <alignment horizontal="center"/>
    </xf>
    <xf numFmtId="0" fontId="0" fillId="0" borderId="0" xfId="0" applyFill="1"/>
    <xf numFmtId="0" fontId="0" fillId="0" borderId="0" xfId="0" applyAlignment="1">
      <alignment horizontal="center"/>
    </xf>
    <xf numFmtId="0" fontId="0" fillId="9" borderId="1" xfId="0" applyFill="1" applyBorder="1" applyAlignment="1">
      <alignment horizontal="center"/>
    </xf>
    <xf numFmtId="4" fontId="15" fillId="9" borderId="1" xfId="0" applyNumberFormat="1" applyFont="1" applyFill="1" applyBorder="1"/>
    <xf numFmtId="43" fontId="0" fillId="0" borderId="1" xfId="0" applyNumberFormat="1" applyBorder="1" applyAlignment="1">
      <alignment horizontal="center" vertical="center"/>
    </xf>
    <xf numFmtId="0" fontId="5" fillId="9" borderId="1" xfId="0" applyFont="1" applyFill="1" applyBorder="1" applyAlignment="1">
      <alignment horizontal="center"/>
    </xf>
    <xf numFmtId="0" fontId="14" fillId="9" borderId="1" xfId="0" applyFont="1" applyFill="1" applyBorder="1"/>
    <xf numFmtId="0" fontId="3" fillId="9"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Fill="1" applyBorder="1" applyAlignment="1">
      <alignment horizontal="left"/>
    </xf>
    <xf numFmtId="0" fontId="14" fillId="0" borderId="1" xfId="0" applyFont="1" applyFill="1" applyBorder="1" applyAlignment="1">
      <alignment horizontal="center" vertical="top" wrapText="1"/>
    </xf>
    <xf numFmtId="0" fontId="14" fillId="9" borderId="1" xfId="0" applyFont="1" applyFill="1" applyBorder="1" applyAlignment="1">
      <alignment horizontal="center" vertical="top" wrapText="1"/>
    </xf>
    <xf numFmtId="0" fontId="14" fillId="0" borderId="1" xfId="0" applyFont="1" applyBorder="1" applyAlignment="1">
      <alignment horizontal="center" vertical="top" wrapText="1"/>
    </xf>
    <xf numFmtId="0" fontId="5" fillId="9" borderId="1" xfId="0" applyFont="1" applyFill="1" applyBorder="1" applyAlignment="1">
      <alignment vertical="top" wrapText="1"/>
    </xf>
    <xf numFmtId="43" fontId="0" fillId="9" borderId="1" xfId="0" applyNumberFormat="1" applyFill="1" applyBorder="1" applyAlignment="1">
      <alignment horizontal="center" vertical="center"/>
    </xf>
    <xf numFmtId="0" fontId="0" fillId="5" borderId="0" xfId="0" applyFill="1"/>
    <xf numFmtId="0" fontId="0" fillId="5" borderId="0" xfId="0" applyFill="1" applyAlignment="1">
      <alignment horizontal="center"/>
    </xf>
    <xf numFmtId="0" fontId="7" fillId="5" borderId="0" xfId="6" applyFont="1" applyFill="1"/>
    <xf numFmtId="0" fontId="7" fillId="5" borderId="0" xfId="6" applyFont="1" applyFill="1" applyBorder="1"/>
    <xf numFmtId="0" fontId="8" fillId="5" borderId="0" xfId="6" applyFont="1" applyFill="1"/>
    <xf numFmtId="0" fontId="3" fillId="5" borderId="0" xfId="0" applyFont="1" applyFill="1" applyAlignment="1">
      <alignment horizontal="center" vertical="top" wrapText="1"/>
    </xf>
    <xf numFmtId="0" fontId="7" fillId="5" borderId="1" xfId="6" applyFont="1" applyFill="1" applyBorder="1" applyAlignment="1">
      <alignment horizontal="center"/>
    </xf>
    <xf numFmtId="0" fontId="9" fillId="5" borderId="1" xfId="6" applyFont="1" applyFill="1" applyBorder="1" applyAlignment="1">
      <alignment horizontal="center"/>
    </xf>
    <xf numFmtId="0" fontId="10" fillId="5" borderId="1" xfId="6" applyFont="1" applyFill="1" applyBorder="1"/>
    <xf numFmtId="0" fontId="8" fillId="5" borderId="1" xfId="6" applyFont="1" applyFill="1" applyBorder="1"/>
    <xf numFmtId="0" fontId="14" fillId="10" borderId="1" xfId="0" applyFont="1" applyFill="1" applyBorder="1" applyAlignment="1">
      <alignment horizontal="center" vertical="top" wrapText="1"/>
    </xf>
    <xf numFmtId="0" fontId="3" fillId="10" borderId="1" xfId="0" applyFont="1" applyFill="1" applyBorder="1" applyAlignment="1">
      <alignment horizontal="center" vertical="center" wrapText="1"/>
    </xf>
    <xf numFmtId="4" fontId="15" fillId="10" borderId="1" xfId="0" applyNumberFormat="1" applyFont="1" applyFill="1" applyBorder="1"/>
    <xf numFmtId="0" fontId="14" fillId="3" borderId="1" xfId="0" applyFont="1" applyFill="1" applyBorder="1" applyAlignment="1">
      <alignment horizontal="center"/>
    </xf>
    <xf numFmtId="0" fontId="3" fillId="3" borderId="1" xfId="0" applyFont="1" applyFill="1" applyBorder="1" applyAlignment="1">
      <alignment horizontal="center"/>
    </xf>
    <xf numFmtId="0" fontId="7" fillId="3" borderId="1" xfId="6" applyFont="1" applyFill="1" applyBorder="1" applyAlignment="1">
      <alignment horizontal="center"/>
    </xf>
    <xf numFmtId="0" fontId="9" fillId="3" borderId="1" xfId="6" applyFont="1" applyFill="1" applyBorder="1"/>
    <xf numFmtId="0" fontId="7" fillId="0" borderId="0" xfId="6" applyFont="1" applyBorder="1" applyAlignment="1">
      <alignment vertical="top" wrapText="1"/>
    </xf>
    <xf numFmtId="0" fontId="3" fillId="9" borderId="1" xfId="0" applyFont="1" applyFill="1" applyBorder="1" applyAlignment="1">
      <alignment horizontal="center"/>
    </xf>
    <xf numFmtId="0" fontId="3" fillId="0" borderId="1" xfId="0" applyFont="1" applyBorder="1" applyAlignment="1">
      <alignment horizontal="center" vertical="top" wrapText="1"/>
    </xf>
    <xf numFmtId="0" fontId="14" fillId="8" borderId="1" xfId="0" applyFont="1" applyFill="1" applyBorder="1" applyAlignment="1">
      <alignment horizontal="center"/>
    </xf>
    <xf numFmtId="0" fontId="3" fillId="8" borderId="1" xfId="0" applyFont="1" applyFill="1" applyBorder="1" applyAlignment="1">
      <alignment horizontal="center"/>
    </xf>
    <xf numFmtId="4" fontId="0" fillId="8" borderId="1" xfId="0" applyNumberFormat="1" applyFill="1" applyBorder="1"/>
    <xf numFmtId="0" fontId="3" fillId="0" borderId="0" xfId="0" applyFont="1"/>
    <xf numFmtId="0" fontId="0" fillId="0" borderId="1" xfId="0" applyBorder="1" applyAlignment="1">
      <alignmen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0" fillId="0" borderId="0" xfId="0" applyAlignment="1">
      <alignment vertical="top" wrapText="1"/>
    </xf>
    <xf numFmtId="0" fontId="3" fillId="0" borderId="0" xfId="0" applyFont="1" applyAlignment="1">
      <alignment vertical="top" wrapText="1"/>
    </xf>
    <xf numFmtId="0" fontId="4" fillId="0" borderId="0" xfId="0" applyFont="1"/>
    <xf numFmtId="0" fontId="3" fillId="0" borderId="0" xfId="0" applyFont="1" applyAlignment="1">
      <alignment horizontal="center"/>
    </xf>
    <xf numFmtId="0" fontId="14" fillId="5" borderId="1" xfId="0" applyFont="1" applyFill="1" applyBorder="1" applyAlignment="1">
      <alignment horizontal="center" vertical="top" wrapText="1"/>
    </xf>
    <xf numFmtId="0" fontId="3" fillId="5" borderId="1" xfId="0" applyFont="1" applyFill="1" applyBorder="1" applyAlignment="1">
      <alignment horizontal="center" vertical="center" wrapText="1"/>
    </xf>
    <xf numFmtId="0" fontId="14" fillId="11" borderId="1" xfId="0" applyFont="1" applyFill="1" applyBorder="1" applyAlignment="1">
      <alignment horizontal="center"/>
    </xf>
    <xf numFmtId="0" fontId="3" fillId="11" borderId="1" xfId="0" applyFont="1" applyFill="1" applyBorder="1" applyAlignment="1">
      <alignment horizontal="center"/>
    </xf>
    <xf numFmtId="43" fontId="0" fillId="11" borderId="1" xfId="0" applyNumberFormat="1" applyFill="1" applyBorder="1" applyAlignment="1">
      <alignment horizontal="center" vertical="center"/>
    </xf>
    <xf numFmtId="4" fontId="0" fillId="11" borderId="1" xfId="0" applyNumberFormat="1" applyFill="1" applyBorder="1"/>
    <xf numFmtId="0" fontId="14" fillId="11" borderId="1" xfId="0" applyFont="1" applyFill="1" applyBorder="1" applyAlignment="1">
      <alignment horizontal="center" vertical="top" wrapText="1"/>
    </xf>
    <xf numFmtId="0" fontId="3" fillId="11" borderId="1" xfId="0" applyFont="1" applyFill="1" applyBorder="1" applyAlignment="1">
      <alignment horizontal="center" vertical="center" wrapText="1"/>
    </xf>
    <xf numFmtId="4" fontId="15" fillId="11" borderId="1" xfId="0" applyNumberFormat="1" applyFont="1" applyFill="1" applyBorder="1"/>
    <xf numFmtId="0" fontId="14" fillId="5" borderId="1" xfId="0" applyFont="1" applyFill="1" applyBorder="1" applyAlignment="1">
      <alignment horizontal="center"/>
    </xf>
    <xf numFmtId="0" fontId="5" fillId="5" borderId="1" xfId="0" applyFont="1" applyFill="1" applyBorder="1"/>
    <xf numFmtId="0" fontId="3" fillId="5" borderId="1" xfId="0" applyFont="1" applyFill="1" applyBorder="1" applyAlignment="1">
      <alignment horizontal="center"/>
    </xf>
    <xf numFmtId="164" fontId="3" fillId="5" borderId="1" xfId="0" applyNumberFormat="1" applyFont="1" applyFill="1" applyBorder="1"/>
    <xf numFmtId="164" fontId="4" fillId="0" borderId="1" xfId="0" applyNumberFormat="1" applyFont="1" applyFill="1" applyBorder="1"/>
    <xf numFmtId="164" fontId="4" fillId="0" borderId="1" xfId="0" applyNumberFormat="1" applyFont="1" applyFill="1" applyBorder="1" applyAlignment="1">
      <alignment vertical="center" wrapText="1"/>
    </xf>
    <xf numFmtId="4" fontId="0" fillId="0" borderId="1" xfId="0" applyNumberFormat="1" applyBorder="1" applyAlignment="1">
      <alignment vertical="center" wrapText="1"/>
    </xf>
    <xf numFmtId="0" fontId="14" fillId="0" borderId="1" xfId="0" applyFont="1" applyBorder="1" applyAlignment="1">
      <alignment horizontal="center" vertical="top"/>
    </xf>
    <xf numFmtId="10" fontId="3" fillId="0" borderId="1" xfId="0" applyNumberFormat="1" applyFont="1" applyBorder="1" applyAlignment="1">
      <alignment horizontal="center"/>
    </xf>
    <xf numFmtId="4" fontId="3" fillId="0" borderId="1" xfId="0" applyNumberFormat="1" applyFont="1" applyBorder="1" applyAlignment="1">
      <alignment horizontal="center"/>
    </xf>
    <xf numFmtId="0" fontId="9" fillId="9" borderId="1" xfId="6" applyFont="1" applyFill="1" applyBorder="1" applyAlignment="1">
      <alignment horizontal="center"/>
    </xf>
    <xf numFmtId="0" fontId="13" fillId="9" borderId="1" xfId="6" applyFont="1" applyFill="1" applyBorder="1" applyAlignment="1">
      <alignment horizontal="center"/>
    </xf>
    <xf numFmtId="165" fontId="9" fillId="9" borderId="1" xfId="7" applyNumberFormat="1" applyFont="1" applyFill="1" applyBorder="1"/>
    <xf numFmtId="0" fontId="13" fillId="10" borderId="1" xfId="6" applyFont="1" applyFill="1" applyBorder="1" applyAlignment="1">
      <alignment horizontal="center"/>
    </xf>
    <xf numFmtId="0" fontId="9" fillId="10" borderId="1" xfId="6" applyFont="1" applyFill="1" applyBorder="1" applyAlignment="1">
      <alignment horizontal="center"/>
    </xf>
    <xf numFmtId="0" fontId="9" fillId="10" borderId="1" xfId="6" applyFont="1" applyFill="1" applyBorder="1" applyAlignment="1">
      <alignment vertical="top" wrapText="1"/>
    </xf>
    <xf numFmtId="165" fontId="9" fillId="10" borderId="1" xfId="7" applyNumberFormat="1" applyFont="1" applyFill="1" applyBorder="1"/>
    <xf numFmtId="0" fontId="9" fillId="9" borderId="1" xfId="6" applyFont="1" applyFill="1" applyBorder="1" applyAlignment="1">
      <alignment horizontal="center" vertical="top" wrapText="1"/>
    </xf>
    <xf numFmtId="0" fontId="9" fillId="10" borderId="1" xfId="6" applyFont="1" applyFill="1" applyBorder="1" applyAlignment="1">
      <alignment horizontal="center" vertical="center"/>
    </xf>
    <xf numFmtId="0" fontId="9" fillId="12" borderId="1" xfId="6" applyFont="1" applyFill="1" applyBorder="1" applyAlignment="1">
      <alignment horizontal="center"/>
    </xf>
    <xf numFmtId="165" fontId="7" fillId="12" borderId="1" xfId="7" applyNumberFormat="1" applyFont="1" applyFill="1" applyBorder="1" applyAlignment="1">
      <alignment horizontal="center"/>
    </xf>
    <xf numFmtId="0" fontId="7" fillId="12" borderId="1" xfId="6" applyFont="1" applyFill="1" applyBorder="1" applyAlignment="1">
      <alignment horizontal="left"/>
    </xf>
    <xf numFmtId="0" fontId="9" fillId="12" borderId="1" xfId="6" applyFont="1" applyFill="1" applyBorder="1" applyAlignment="1">
      <alignment horizontal="left"/>
    </xf>
    <xf numFmtId="165" fontId="9" fillId="12" borderId="1" xfId="7" applyNumberFormat="1" applyFont="1" applyFill="1" applyBorder="1" applyAlignment="1">
      <alignment horizontal="center"/>
    </xf>
    <xf numFmtId="0" fontId="13" fillId="12" borderId="1" xfId="6" applyFont="1" applyFill="1" applyBorder="1" applyAlignment="1">
      <alignment horizontal="center"/>
    </xf>
    <xf numFmtId="0" fontId="9" fillId="3" borderId="1" xfId="6" applyFont="1" applyFill="1" applyBorder="1" applyAlignment="1">
      <alignment horizontal="center"/>
    </xf>
    <xf numFmtId="164" fontId="7" fillId="0" borderId="1" xfId="7" applyNumberFormat="1" applyFont="1" applyBorder="1" applyAlignment="1">
      <alignment vertical="center"/>
    </xf>
    <xf numFmtId="0" fontId="9" fillId="0" borderId="1" xfId="6" applyFont="1" applyBorder="1" applyAlignment="1">
      <alignment horizontal="center" vertical="top"/>
    </xf>
    <xf numFmtId="0" fontId="9" fillId="9" borderId="1" xfId="6" applyFont="1" applyFill="1" applyBorder="1" applyAlignment="1">
      <alignment horizontal="center" vertical="center"/>
    </xf>
    <xf numFmtId="164" fontId="3" fillId="12" borderId="1" xfId="0" applyNumberFormat="1" applyFont="1" applyFill="1" applyBorder="1"/>
    <xf numFmtId="0" fontId="14" fillId="12" borderId="1" xfId="0" applyFont="1" applyFill="1" applyBorder="1" applyAlignment="1">
      <alignment horizontal="center" vertical="top" wrapText="1"/>
    </xf>
    <xf numFmtId="0" fontId="3" fillId="12" borderId="1" xfId="0" applyFont="1" applyFill="1" applyBorder="1" applyAlignment="1">
      <alignment horizontal="center" vertical="center" wrapText="1"/>
    </xf>
    <xf numFmtId="4" fontId="15" fillId="12" borderId="1" xfId="0" applyNumberFormat="1" applyFont="1" applyFill="1" applyBorder="1"/>
    <xf numFmtId="0" fontId="14" fillId="12" borderId="1" xfId="0" applyFont="1" applyFill="1" applyBorder="1" applyAlignment="1">
      <alignment horizontal="center"/>
    </xf>
    <xf numFmtId="0" fontId="5" fillId="0" borderId="1" xfId="0" applyFont="1" applyFill="1" applyBorder="1" applyAlignment="1">
      <alignment vertical="top" wrapText="1"/>
    </xf>
    <xf numFmtId="0" fontId="3" fillId="0" borderId="1" xfId="0" applyFont="1" applyFill="1" applyBorder="1" applyAlignment="1">
      <alignment horizontal="center"/>
    </xf>
    <xf numFmtId="43" fontId="0" fillId="0" borderId="1" xfId="0" applyNumberFormat="1" applyFill="1" applyBorder="1" applyAlignment="1">
      <alignment horizontal="center" vertical="center"/>
    </xf>
    <xf numFmtId="0" fontId="0" fillId="12" borderId="1" xfId="0" applyFill="1" applyBorder="1" applyAlignment="1">
      <alignment horizontal="center"/>
    </xf>
    <xf numFmtId="4" fontId="3" fillId="12" borderId="1" xfId="0" applyNumberFormat="1" applyFont="1" applyFill="1" applyBorder="1" applyAlignment="1">
      <alignment horizontal="center"/>
    </xf>
    <xf numFmtId="0" fontId="3" fillId="12" borderId="1" xfId="0" applyFont="1" applyFill="1" applyBorder="1" applyAlignment="1">
      <alignment horizontal="center"/>
    </xf>
    <xf numFmtId="164" fontId="4" fillId="0" borderId="1" xfId="0" applyNumberFormat="1" applyFont="1" applyFill="1" applyBorder="1" applyAlignment="1">
      <alignment vertical="center"/>
    </xf>
    <xf numFmtId="0" fontId="4" fillId="0" borderId="1" xfId="0" applyFont="1" applyBorder="1"/>
    <xf numFmtId="10" fontId="16" fillId="0" borderId="1" xfId="0" applyNumberFormat="1" applyFont="1" applyBorder="1" applyAlignment="1">
      <alignment horizontal="center"/>
    </xf>
    <xf numFmtId="0" fontId="0" fillId="0" borderId="5" xfId="0" applyBorder="1" applyAlignment="1">
      <alignment vertical="top" wrapText="1"/>
    </xf>
    <xf numFmtId="0" fontId="0" fillId="0" borderId="1" xfId="0" applyFill="1" applyBorder="1" applyAlignment="1">
      <alignment vertical="top" wrapText="1"/>
    </xf>
    <xf numFmtId="0" fontId="0" fillId="0" borderId="6" xfId="0" applyBorder="1"/>
    <xf numFmtId="0" fontId="18" fillId="0" borderId="1" xfId="0" applyFont="1" applyBorder="1" applyAlignment="1">
      <alignment wrapText="1"/>
    </xf>
    <xf numFmtId="0" fontId="19" fillId="0" borderId="1" xfId="0" applyFont="1" applyBorder="1" applyAlignment="1">
      <alignment wrapText="1"/>
    </xf>
    <xf numFmtId="0" fontId="20" fillId="0" borderId="1" xfId="0" applyFont="1" applyBorder="1" applyAlignment="1">
      <alignment wrapText="1"/>
    </xf>
    <xf numFmtId="4" fontId="20" fillId="0" borderId="1" xfId="0" applyNumberFormat="1" applyFont="1" applyBorder="1" applyAlignment="1">
      <alignment wrapText="1"/>
    </xf>
    <xf numFmtId="0" fontId="21" fillId="0" borderId="1" xfId="0" applyFont="1" applyBorder="1" applyAlignment="1">
      <alignment wrapText="1"/>
    </xf>
    <xf numFmtId="0" fontId="0" fillId="0" borderId="2" xfId="0" applyBorder="1"/>
    <xf numFmtId="43" fontId="0" fillId="0" borderId="2" xfId="1" applyFont="1" applyBorder="1"/>
    <xf numFmtId="43" fontId="3" fillId="0" borderId="1" xfId="1" applyFont="1" applyBorder="1" applyAlignment="1">
      <alignment horizontal="center"/>
    </xf>
    <xf numFmtId="0" fontId="0" fillId="11" borderId="0" xfId="0" applyFill="1" applyAlignment="1">
      <alignment horizontal="center"/>
    </xf>
    <xf numFmtId="0" fontId="3" fillId="11" borderId="0" xfId="0" applyFont="1" applyFill="1" applyAlignment="1">
      <alignment horizontal="center"/>
    </xf>
    <xf numFmtId="0" fontId="0" fillId="11" borderId="1" xfId="0" applyFill="1" applyBorder="1"/>
    <xf numFmtId="164" fontId="4" fillId="5" borderId="1" xfId="0" applyNumberFormat="1" applyFont="1" applyFill="1" applyBorder="1" applyAlignment="1">
      <alignment vertical="center"/>
    </xf>
    <xf numFmtId="43" fontId="3" fillId="0" borderId="1" xfId="1" applyFont="1" applyBorder="1"/>
    <xf numFmtId="164" fontId="3" fillId="0" borderId="1" xfId="0" applyNumberFormat="1" applyFont="1" applyFill="1" applyBorder="1"/>
    <xf numFmtId="0" fontId="0" fillId="0" borderId="6" xfId="0" applyBorder="1" applyAlignment="1">
      <alignment horizontal="center"/>
    </xf>
    <xf numFmtId="43" fontId="0" fillId="0" borderId="6" xfId="1" applyFont="1" applyBorder="1"/>
    <xf numFmtId="14" fontId="0" fillId="0" borderId="6" xfId="0" applyNumberFormat="1" applyBorder="1"/>
    <xf numFmtId="0" fontId="0" fillId="0" borderId="1" xfId="0" applyBorder="1" applyAlignment="1">
      <alignment horizontal="center" vertical="top"/>
    </xf>
    <xf numFmtId="164" fontId="3" fillId="0" borderId="1" xfId="0" applyNumberFormat="1" applyFont="1" applyFill="1" applyBorder="1" applyAlignment="1">
      <alignment vertical="center"/>
    </xf>
    <xf numFmtId="0" fontId="0" fillId="6" borderId="1" xfId="0" applyFill="1" applyBorder="1"/>
    <xf numFmtId="164" fontId="4" fillId="6" borderId="1" xfId="0" applyNumberFormat="1" applyFont="1" applyFill="1" applyBorder="1" applyAlignment="1">
      <alignment vertical="center"/>
    </xf>
    <xf numFmtId="0" fontId="3" fillId="0" borderId="1" xfId="0" applyFont="1" applyFill="1" applyBorder="1"/>
    <xf numFmtId="0" fontId="0" fillId="0" borderId="1" xfId="0" applyFill="1" applyBorder="1"/>
    <xf numFmtId="164" fontId="4" fillId="0" borderId="0" xfId="0" applyNumberFormat="1" applyFont="1" applyFill="1" applyBorder="1" applyAlignment="1">
      <alignment vertical="center"/>
    </xf>
    <xf numFmtId="43" fontId="0" fillId="0" borderId="1" xfId="1" applyFont="1" applyFill="1" applyBorder="1"/>
    <xf numFmtId="0" fontId="0" fillId="2" borderId="1" xfId="0" applyFill="1" applyBorder="1"/>
    <xf numFmtId="0" fontId="3" fillId="2" borderId="1" xfId="0" applyFont="1" applyFill="1" applyBorder="1" applyAlignment="1">
      <alignment horizontal="center"/>
    </xf>
    <xf numFmtId="0" fontId="0" fillId="0" borderId="1" xfId="0" applyBorder="1" applyAlignment="1">
      <alignment vertical="justify" wrapText="1"/>
    </xf>
    <xf numFmtId="164" fontId="4" fillId="0" borderId="1" xfId="0" applyNumberFormat="1" applyFont="1" applyFill="1" applyBorder="1" applyAlignment="1">
      <alignment vertical="top" wrapText="1"/>
    </xf>
    <xf numFmtId="0" fontId="0" fillId="10" borderId="1" xfId="0" applyFill="1" applyBorder="1"/>
    <xf numFmtId="164" fontId="4" fillId="10" borderId="1" xfId="0" applyNumberFormat="1" applyFont="1" applyFill="1" applyBorder="1" applyAlignment="1">
      <alignment vertical="center"/>
    </xf>
    <xf numFmtId="0" fontId="3" fillId="2" borderId="1" xfId="0" applyFont="1" applyFill="1" applyBorder="1"/>
    <xf numFmtId="0" fontId="3" fillId="0" borderId="1" xfId="0" applyFont="1" applyBorder="1" applyAlignment="1">
      <alignment vertical="top"/>
    </xf>
    <xf numFmtId="0" fontId="3" fillId="0" borderId="1" xfId="0" applyFont="1" applyBorder="1" applyAlignment="1">
      <alignment vertical="justify" wrapText="1"/>
    </xf>
    <xf numFmtId="14" fontId="0" fillId="0" borderId="1" xfId="0" applyNumberFormat="1" applyBorder="1"/>
    <xf numFmtId="14" fontId="0" fillId="0" borderId="6" xfId="0" applyNumberFormat="1" applyBorder="1" applyAlignment="1">
      <alignment vertical="center" wrapText="1"/>
    </xf>
    <xf numFmtId="0" fontId="3" fillId="0" borderId="1" xfId="0" applyFont="1" applyBorder="1" applyAlignment="1">
      <alignment horizontal="center" vertical="center"/>
    </xf>
    <xf numFmtId="0" fontId="22" fillId="0" borderId="0" xfId="6" applyFont="1"/>
    <xf numFmtId="0" fontId="22" fillId="0" borderId="0" xfId="6" applyFont="1" applyAlignment="1">
      <alignment horizontal="center"/>
    </xf>
    <xf numFmtId="0" fontId="22" fillId="0" borderId="7" xfId="6" applyFont="1" applyBorder="1"/>
    <xf numFmtId="0" fontId="22" fillId="0" borderId="7" xfId="6" applyFont="1" applyBorder="1" applyAlignment="1">
      <alignment horizontal="center"/>
    </xf>
    <xf numFmtId="0" fontId="22" fillId="0" borderId="0" xfId="6" applyFont="1" applyBorder="1"/>
    <xf numFmtId="0" fontId="22" fillId="0" borderId="0" xfId="6" applyFont="1" applyBorder="1" applyAlignment="1">
      <alignment horizontal="center"/>
    </xf>
    <xf numFmtId="0" fontId="22" fillId="0" borderId="8" xfId="6" applyFont="1" applyBorder="1"/>
    <xf numFmtId="0" fontId="22" fillId="0" borderId="8" xfId="6" applyFont="1" applyBorder="1" applyAlignment="1">
      <alignment horizontal="center" vertical="top" wrapText="1"/>
    </xf>
    <xf numFmtId="0" fontId="23" fillId="0" borderId="0" xfId="6" applyFont="1"/>
    <xf numFmtId="169" fontId="22" fillId="0" borderId="0" xfId="6" applyNumberFormat="1" applyFont="1" applyAlignment="1">
      <alignment horizontal="right"/>
    </xf>
    <xf numFmtId="164" fontId="22" fillId="0" borderId="0" xfId="6" applyNumberFormat="1" applyFont="1"/>
    <xf numFmtId="0" fontId="23" fillId="0" borderId="0" xfId="6" applyFont="1" applyAlignment="1">
      <alignment horizontal="center"/>
    </xf>
    <xf numFmtId="0" fontId="24" fillId="0" borderId="0" xfId="6" applyFont="1"/>
    <xf numFmtId="164" fontId="22" fillId="0" borderId="3" xfId="6" applyNumberFormat="1" applyFont="1" applyBorder="1"/>
    <xf numFmtId="164" fontId="23" fillId="0" borderId="0" xfId="6" applyNumberFormat="1" applyFont="1"/>
    <xf numFmtId="165" fontId="22" fillId="0" borderId="0" xfId="21" applyNumberFormat="1" applyFont="1"/>
    <xf numFmtId="170" fontId="22" fillId="0" borderId="0" xfId="21" applyNumberFormat="1" applyFont="1"/>
    <xf numFmtId="164" fontId="22" fillId="0" borderId="0" xfId="21" applyNumberFormat="1" applyFont="1"/>
    <xf numFmtId="164" fontId="23" fillId="0" borderId="0" xfId="21" applyNumberFormat="1" applyFont="1"/>
    <xf numFmtId="0" fontId="0" fillId="11" borderId="1" xfId="0" applyFill="1" applyBorder="1" applyAlignment="1">
      <alignment horizontal="center"/>
    </xf>
    <xf numFmtId="164" fontId="3" fillId="0" borderId="1" xfId="0" applyNumberFormat="1" applyFont="1" applyFill="1" applyBorder="1" applyAlignment="1">
      <alignment vertical="center" wrapText="1"/>
    </xf>
    <xf numFmtId="164" fontId="3" fillId="0" borderId="0" xfId="0" applyNumberFormat="1" applyFont="1" applyFill="1" applyBorder="1"/>
    <xf numFmtId="0" fontId="0" fillId="0" borderId="1" xfId="0" applyBorder="1" applyAlignment="1">
      <alignment horizontal="left" vertical="top" wrapText="1"/>
    </xf>
    <xf numFmtId="164" fontId="3" fillId="13" borderId="1" xfId="0" applyNumberFormat="1" applyFont="1" applyFill="1" applyBorder="1" applyAlignment="1">
      <alignment vertical="center" wrapText="1"/>
    </xf>
    <xf numFmtId="0" fontId="14" fillId="13" borderId="1" xfId="0" applyFont="1" applyFill="1" applyBorder="1" applyAlignment="1">
      <alignment horizontal="center" vertical="top" wrapText="1"/>
    </xf>
    <xf numFmtId="0" fontId="3" fillId="13" borderId="1" xfId="0" applyFont="1" applyFill="1" applyBorder="1" applyAlignment="1">
      <alignment horizontal="center" vertical="center" wrapText="1"/>
    </xf>
    <xf numFmtId="4" fontId="15" fillId="13" borderId="1" xfId="0" applyNumberFormat="1" applyFont="1" applyFill="1" applyBorder="1"/>
    <xf numFmtId="0" fontId="0" fillId="0" borderId="9" xfId="0" applyFill="1" applyBorder="1"/>
    <xf numFmtId="164" fontId="3" fillId="12" borderId="1" xfId="0" applyNumberFormat="1" applyFont="1" applyFill="1" applyBorder="1" applyAlignment="1">
      <alignment vertical="center" wrapText="1"/>
    </xf>
    <xf numFmtId="43" fontId="0" fillId="0" borderId="1" xfId="1" applyFont="1" applyBorder="1" applyAlignment="1">
      <alignment vertical="center" wrapText="1"/>
    </xf>
    <xf numFmtId="0" fontId="25" fillId="0" borderId="0" xfId="5" applyFont="1" applyFill="1"/>
    <xf numFmtId="0" fontId="26" fillId="0" borderId="0" xfId="5" applyFont="1" applyFill="1" applyAlignment="1">
      <alignment horizontal="centerContinuous"/>
    </xf>
    <xf numFmtId="0" fontId="26" fillId="0" borderId="0" xfId="5" applyFont="1" applyFill="1"/>
    <xf numFmtId="0" fontId="27" fillId="0" borderId="0" xfId="5" applyFont="1" applyFill="1" applyAlignment="1">
      <alignment horizontal="right"/>
    </xf>
    <xf numFmtId="0" fontId="25" fillId="0" borderId="0" xfId="5" applyFont="1" applyFill="1" applyBorder="1"/>
    <xf numFmtId="0" fontId="26" fillId="0" borderId="0" xfId="5" applyFont="1" applyFill="1" applyBorder="1" applyAlignment="1">
      <alignment horizontal="centerContinuous"/>
    </xf>
    <xf numFmtId="0" fontId="26" fillId="0" borderId="0" xfId="5" applyFont="1" applyFill="1" applyBorder="1"/>
    <xf numFmtId="169" fontId="26" fillId="0" borderId="0" xfId="5" applyNumberFormat="1" applyFont="1" applyFill="1" applyBorder="1"/>
    <xf numFmtId="171" fontId="26" fillId="0" borderId="0" xfId="3" applyNumberFormat="1" applyFont="1" applyFill="1" applyBorder="1" applyAlignment="1">
      <alignment horizontal="center" wrapText="1"/>
    </xf>
    <xf numFmtId="0" fontId="27" fillId="0" borderId="0" xfId="5" applyFont="1" applyFill="1"/>
    <xf numFmtId="0" fontId="28" fillId="0" borderId="0" xfId="5" applyFont="1" applyFill="1" applyAlignment="1">
      <alignment horizontal="right"/>
    </xf>
    <xf numFmtId="0" fontId="25" fillId="0" borderId="1" xfId="5" applyFont="1" applyFill="1" applyBorder="1" applyAlignment="1">
      <alignment horizontal="center" wrapText="1"/>
    </xf>
    <xf numFmtId="0" fontId="26" fillId="0" borderId="0" xfId="5" applyFont="1" applyFill="1" applyAlignment="1">
      <alignment horizontal="center"/>
    </xf>
    <xf numFmtId="0" fontId="25" fillId="0" borderId="0" xfId="5" applyFont="1" applyFill="1" applyAlignment="1">
      <alignment horizontal="center"/>
    </xf>
    <xf numFmtId="0" fontId="26" fillId="0" borderId="1" xfId="5" applyFont="1" applyFill="1" applyBorder="1" applyAlignment="1">
      <alignment wrapText="1"/>
    </xf>
    <xf numFmtId="164" fontId="26" fillId="0" borderId="1" xfId="3" applyFont="1" applyFill="1" applyBorder="1" applyAlignment="1">
      <alignment horizontal="center" wrapText="1"/>
    </xf>
    <xf numFmtId="169" fontId="26" fillId="0" borderId="1" xfId="5" applyNumberFormat="1" applyFont="1" applyFill="1" applyBorder="1" applyAlignment="1">
      <alignment horizontal="center" vertical="top" wrapText="1"/>
    </xf>
    <xf numFmtId="169" fontId="26" fillId="0" borderId="1" xfId="3" applyNumberFormat="1" applyFont="1" applyFill="1" applyBorder="1" applyAlignment="1">
      <alignment horizontal="center" wrapText="1"/>
    </xf>
    <xf numFmtId="169" fontId="26" fillId="0" borderId="1" xfId="5" applyNumberFormat="1" applyFont="1" applyFill="1" applyBorder="1" applyAlignment="1">
      <alignment horizontal="right" vertical="center"/>
    </xf>
    <xf numFmtId="171" fontId="26" fillId="0" borderId="1" xfId="3" applyNumberFormat="1" applyFont="1" applyFill="1" applyBorder="1" applyAlignment="1">
      <alignment horizontal="right" vertical="center"/>
    </xf>
    <xf numFmtId="169" fontId="26" fillId="0" borderId="0" xfId="5" applyNumberFormat="1" applyFont="1" applyFill="1"/>
    <xf numFmtId="0" fontId="26" fillId="0" borderId="1" xfId="5" applyFont="1" applyFill="1" applyBorder="1"/>
    <xf numFmtId="164" fontId="26" fillId="0" borderId="1" xfId="3" applyFont="1" applyFill="1" applyBorder="1" applyAlignment="1">
      <alignment horizontal="center" vertical="center"/>
    </xf>
    <xf numFmtId="171" fontId="26" fillId="0" borderId="0" xfId="5" applyNumberFormat="1" applyFont="1" applyFill="1"/>
    <xf numFmtId="0" fontId="25" fillId="0" borderId="1" xfId="5" applyFont="1" applyFill="1" applyBorder="1" applyAlignment="1">
      <alignment horizontal="center"/>
    </xf>
    <xf numFmtId="164" fontId="25" fillId="0" borderId="1" xfId="3" applyFont="1" applyFill="1" applyBorder="1" applyAlignment="1">
      <alignment horizontal="center" vertical="center"/>
    </xf>
    <xf numFmtId="169" fontId="25" fillId="0" borderId="1" xfId="5" applyNumberFormat="1" applyFont="1" applyFill="1" applyBorder="1" applyAlignment="1">
      <alignment horizontal="right" vertical="center"/>
    </xf>
    <xf numFmtId="3" fontId="26" fillId="0" borderId="0" xfId="5" applyNumberFormat="1" applyFont="1" applyFill="1"/>
    <xf numFmtId="0" fontId="29" fillId="0" borderId="0" xfId="5" applyFont="1" applyFill="1"/>
    <xf numFmtId="169" fontId="29" fillId="0" borderId="0" xfId="5" applyNumberFormat="1" applyFont="1" applyFill="1"/>
    <xf numFmtId="0" fontId="30" fillId="0" borderId="0" xfId="5" applyFont="1" applyFill="1"/>
    <xf numFmtId="164" fontId="29" fillId="0" borderId="0" xfId="3" applyFont="1" applyFill="1"/>
    <xf numFmtId="0" fontId="29" fillId="0" borderId="0" xfId="5" applyFont="1" applyFill="1" applyAlignment="1">
      <alignment vertical="top"/>
    </xf>
    <xf numFmtId="0" fontId="30" fillId="0" borderId="0" xfId="5" applyFont="1" applyFill="1" applyAlignment="1">
      <alignment vertical="top" wrapText="1"/>
    </xf>
    <xf numFmtId="0" fontId="28" fillId="0" borderId="0" xfId="5" applyFont="1" applyFill="1" applyAlignment="1">
      <alignment horizontal="center"/>
    </xf>
    <xf numFmtId="0" fontId="31" fillId="0" borderId="0" xfId="5" applyFont="1" applyFill="1" applyAlignment="1">
      <alignment horizontal="center"/>
    </xf>
    <xf numFmtId="0" fontId="29" fillId="0" borderId="0" xfId="5" applyFont="1" applyFill="1" applyAlignment="1">
      <alignment horizontal="center"/>
    </xf>
    <xf numFmtId="171" fontId="29" fillId="0" borderId="0" xfId="3" applyNumberFormat="1" applyFont="1" applyFill="1"/>
    <xf numFmtId="171" fontId="29" fillId="0" borderId="0" xfId="3" applyNumberFormat="1" applyFont="1" applyFill="1" applyAlignment="1">
      <alignment horizontal="center"/>
    </xf>
    <xf numFmtId="171" fontId="29" fillId="0" borderId="0" xfId="5" applyNumberFormat="1" applyFont="1" applyFill="1"/>
    <xf numFmtId="171" fontId="30" fillId="0" borderId="0" xfId="5" applyNumberFormat="1" applyFont="1" applyFill="1"/>
    <xf numFmtId="0" fontId="29" fillId="0" borderId="0" xfId="5" quotePrefix="1" applyFont="1" applyFill="1"/>
    <xf numFmtId="171" fontId="29" fillId="0" borderId="0" xfId="5" applyNumberFormat="1" applyFont="1" applyFill="1" applyAlignment="1">
      <alignment horizontal="center"/>
    </xf>
    <xf numFmtId="171" fontId="30" fillId="0" borderId="0" xfId="3" applyNumberFormat="1" applyFont="1" applyFill="1"/>
    <xf numFmtId="0" fontId="31" fillId="0" borderId="0" xfId="5" applyFont="1" applyFill="1"/>
    <xf numFmtId="169" fontId="30" fillId="0" borderId="0" xfId="5" applyNumberFormat="1" applyFont="1" applyFill="1"/>
    <xf numFmtId="0" fontId="28" fillId="0" borderId="10" xfId="5" applyFont="1" applyFill="1" applyBorder="1" applyAlignment="1">
      <alignment horizontal="center"/>
    </xf>
    <xf numFmtId="0" fontId="28" fillId="0" borderId="11" xfId="5" applyFont="1" applyFill="1" applyBorder="1" applyAlignment="1">
      <alignment horizontal="center"/>
    </xf>
    <xf numFmtId="0" fontId="28" fillId="0" borderId="12" xfId="5" applyFont="1" applyFill="1" applyBorder="1" applyAlignment="1">
      <alignment horizontal="center"/>
    </xf>
    <xf numFmtId="0" fontId="29" fillId="0" borderId="13" xfId="5" applyFont="1" applyFill="1" applyBorder="1"/>
    <xf numFmtId="0" fontId="29" fillId="0" borderId="0" xfId="5" applyFont="1" applyFill="1" applyBorder="1"/>
    <xf numFmtId="0" fontId="28" fillId="0" borderId="0" xfId="5" applyFont="1" applyFill="1" applyBorder="1" applyAlignment="1">
      <alignment horizontal="center"/>
    </xf>
    <xf numFmtId="0" fontId="28" fillId="0" borderId="14" xfId="5" applyFont="1" applyFill="1" applyBorder="1" applyAlignment="1">
      <alignment horizontal="center"/>
    </xf>
    <xf numFmtId="0" fontId="29" fillId="0" borderId="14" xfId="5" applyFont="1" applyFill="1" applyBorder="1"/>
    <xf numFmtId="0" fontId="32" fillId="0" borderId="0" xfId="5" applyFont="1" applyFill="1" applyBorder="1"/>
    <xf numFmtId="0" fontId="32" fillId="0" borderId="14" xfId="5" applyFont="1" applyFill="1" applyBorder="1"/>
    <xf numFmtId="171" fontId="30" fillId="0" borderId="0" xfId="3" applyNumberFormat="1" applyFont="1" applyFill="1" applyBorder="1"/>
    <xf numFmtId="169" fontId="30" fillId="0" borderId="0" xfId="5" applyNumberFormat="1" applyFont="1" applyFill="1" applyBorder="1"/>
    <xf numFmtId="171" fontId="29" fillId="0" borderId="0" xfId="3" applyNumberFormat="1" applyFont="1" applyFill="1" applyBorder="1" applyAlignment="1">
      <alignment horizontal="center"/>
    </xf>
    <xf numFmtId="171" fontId="29" fillId="0" borderId="14" xfId="5" applyNumberFormat="1" applyFont="1" applyFill="1" applyBorder="1"/>
    <xf numFmtId="0" fontId="29" fillId="0" borderId="15" xfId="5" applyFont="1" applyFill="1" applyBorder="1"/>
    <xf numFmtId="171" fontId="33" fillId="0" borderId="16" xfId="3" applyNumberFormat="1" applyFont="1" applyFill="1" applyBorder="1"/>
    <xf numFmtId="169" fontId="33" fillId="0" borderId="16" xfId="5" applyNumberFormat="1" applyFont="1" applyFill="1" applyBorder="1"/>
    <xf numFmtId="171" fontId="32" fillId="0" borderId="16" xfId="3" applyNumberFormat="1" applyFont="1" applyFill="1" applyBorder="1" applyAlignment="1">
      <alignment horizontal="center"/>
    </xf>
    <xf numFmtId="171" fontId="32" fillId="0" borderId="17" xfId="5" applyNumberFormat="1" applyFont="1" applyFill="1" applyBorder="1"/>
    <xf numFmtId="0" fontId="34" fillId="0" borderId="0" xfId="5" applyFont="1" applyFill="1"/>
    <xf numFmtId="164" fontId="26" fillId="0" borderId="0" xfId="3" applyFont="1" applyFill="1"/>
    <xf numFmtId="164" fontId="25" fillId="0" borderId="0" xfId="5" applyNumberFormat="1" applyFont="1" applyFill="1"/>
    <xf numFmtId="0" fontId="30" fillId="0" borderId="0" xfId="5" applyFont="1"/>
    <xf numFmtId="0" fontId="31" fillId="0" borderId="5" xfId="5" applyFont="1" applyBorder="1"/>
    <xf numFmtId="0" fontId="31" fillId="0" borderId="20" xfId="5" applyFont="1" applyBorder="1" applyAlignment="1">
      <alignment horizontal="center"/>
    </xf>
    <xf numFmtId="171" fontId="31" fillId="0" borderId="20" xfId="56" applyNumberFormat="1" applyFont="1" applyBorder="1" applyAlignment="1">
      <alignment horizontal="center"/>
    </xf>
    <xf numFmtId="0" fontId="31" fillId="0" borderId="6" xfId="5" applyFont="1" applyBorder="1"/>
    <xf numFmtId="0" fontId="31" fillId="0" borderId="21" xfId="5" applyFont="1" applyBorder="1"/>
    <xf numFmtId="0" fontId="31" fillId="0" borderId="21" xfId="5" applyFont="1" applyBorder="1" applyAlignment="1">
      <alignment horizontal="center"/>
    </xf>
    <xf numFmtId="171" fontId="31" fillId="0" borderId="21" xfId="56" applyNumberFormat="1" applyFont="1" applyBorder="1" applyAlignment="1">
      <alignment horizontal="center"/>
    </xf>
    <xf numFmtId="0" fontId="30" fillId="0" borderId="9" xfId="5" applyFont="1" applyBorder="1"/>
    <xf numFmtId="0" fontId="30" fillId="0" borderId="19" xfId="5" applyFont="1" applyBorder="1"/>
    <xf numFmtId="171" fontId="30" fillId="0" borderId="19" xfId="56" applyNumberFormat="1" applyFont="1" applyBorder="1"/>
    <xf numFmtId="0" fontId="30" fillId="0" borderId="19" xfId="5" applyFont="1" applyBorder="1" applyAlignment="1">
      <alignment horizontal="right"/>
    </xf>
    <xf numFmtId="0" fontId="30" fillId="0" borderId="19" xfId="5" applyFont="1" applyBorder="1" applyAlignment="1">
      <alignment horizontal="center"/>
    </xf>
    <xf numFmtId="0" fontId="42" fillId="0" borderId="19" xfId="5" applyFont="1" applyBorder="1" applyAlignment="1">
      <alignment horizontal="left"/>
    </xf>
    <xf numFmtId="171" fontId="30" fillId="0" borderId="9" xfId="56" applyNumberFormat="1" applyFont="1" applyBorder="1"/>
    <xf numFmtId="0" fontId="30" fillId="2" borderId="19" xfId="5" applyFont="1" applyFill="1" applyBorder="1" applyAlignment="1">
      <alignment horizontal="right"/>
    </xf>
    <xf numFmtId="0" fontId="30" fillId="2" borderId="19" xfId="5" applyFont="1" applyFill="1" applyBorder="1" applyAlignment="1">
      <alignment horizontal="center"/>
    </xf>
    <xf numFmtId="171" fontId="30" fillId="2" borderId="19" xfId="56" applyNumberFormat="1" applyFont="1" applyFill="1" applyBorder="1"/>
    <xf numFmtId="171" fontId="30" fillId="2" borderId="9" xfId="56" applyNumberFormat="1" applyFont="1" applyFill="1" applyBorder="1"/>
    <xf numFmtId="0" fontId="42" fillId="0" borderId="19" xfId="5" applyFont="1" applyBorder="1"/>
    <xf numFmtId="0" fontId="30" fillId="16" borderId="0" xfId="5" applyFont="1" applyFill="1"/>
    <xf numFmtId="0" fontId="30" fillId="0" borderId="19" xfId="5" applyFont="1" applyFill="1" applyBorder="1" applyAlignment="1">
      <alignment horizontal="right"/>
    </xf>
    <xf numFmtId="171" fontId="30" fillId="0" borderId="0" xfId="5" applyNumberFormat="1" applyFont="1"/>
    <xf numFmtId="0" fontId="30" fillId="0" borderId="0" xfId="5" applyFont="1" applyBorder="1" applyAlignment="1">
      <alignment horizontal="center"/>
    </xf>
    <xf numFmtId="171" fontId="30" fillId="0" borderId="0" xfId="56" applyNumberFormat="1" applyFont="1" applyBorder="1"/>
    <xf numFmtId="0" fontId="30" fillId="0" borderId="0" xfId="5" applyFont="1" applyBorder="1"/>
    <xf numFmtId="0" fontId="30" fillId="0" borderId="22" xfId="5" applyFont="1" applyBorder="1"/>
    <xf numFmtId="0" fontId="43" fillId="0" borderId="9" xfId="5" applyFont="1" applyBorder="1"/>
    <xf numFmtId="0" fontId="30" fillId="0" borderId="22" xfId="5" applyFont="1" applyBorder="1" applyAlignment="1">
      <alignment horizontal="center"/>
    </xf>
    <xf numFmtId="0" fontId="30" fillId="0" borderId="9" xfId="5" applyFont="1" applyBorder="1" applyAlignment="1">
      <alignment horizontal="right"/>
    </xf>
    <xf numFmtId="0" fontId="30" fillId="0" borderId="9" xfId="5" applyFont="1" applyBorder="1" applyAlignment="1">
      <alignment horizontal="center"/>
    </xf>
    <xf numFmtId="0" fontId="30" fillId="0" borderId="0" xfId="5" applyFont="1" applyBorder="1" applyAlignment="1">
      <alignment horizontal="right"/>
    </xf>
    <xf numFmtId="0" fontId="30" fillId="0" borderId="0" xfId="5" applyFont="1" applyAlignment="1">
      <alignment vertical="top" wrapText="1"/>
    </xf>
    <xf numFmtId="171" fontId="30" fillId="0" borderId="0" xfId="56" applyNumberFormat="1" applyFont="1" applyAlignment="1">
      <alignment horizontal="center" vertical="top" wrapText="1"/>
    </xf>
    <xf numFmtId="171" fontId="30" fillId="0" borderId="0" xfId="56" applyNumberFormat="1" applyFont="1" applyAlignment="1">
      <alignment vertical="top" wrapText="1"/>
    </xf>
    <xf numFmtId="171" fontId="30" fillId="0" borderId="0" xfId="56" applyNumberFormat="1" applyFont="1"/>
    <xf numFmtId="171" fontId="30" fillId="0" borderId="8" xfId="56" applyNumberFormat="1" applyFont="1" applyBorder="1"/>
    <xf numFmtId="164" fontId="31" fillId="0" borderId="0" xfId="56" applyNumberFormat="1" applyFont="1" applyFill="1"/>
    <xf numFmtId="0" fontId="30" fillId="17" borderId="19" xfId="5" applyFont="1" applyFill="1" applyBorder="1" applyAlignment="1">
      <alignment horizontal="right"/>
    </xf>
    <xf numFmtId="0" fontId="30" fillId="17" borderId="19" xfId="5" applyFont="1" applyFill="1" applyBorder="1" applyAlignment="1">
      <alignment horizontal="center"/>
    </xf>
    <xf numFmtId="171" fontId="30" fillId="17" borderId="19" xfId="56" applyNumberFormat="1" applyFont="1" applyFill="1" applyBorder="1"/>
    <xf numFmtId="171" fontId="30" fillId="17" borderId="9" xfId="56" applyNumberFormat="1" applyFont="1" applyFill="1" applyBorder="1"/>
    <xf numFmtId="0" fontId="30" fillId="17" borderId="9" xfId="5" applyFont="1" applyFill="1" applyBorder="1" applyAlignment="1">
      <alignment horizontal="center"/>
    </xf>
    <xf numFmtId="164" fontId="4" fillId="11" borderId="1" xfId="0" applyNumberFormat="1" applyFont="1" applyFill="1" applyBorder="1" applyAlignment="1">
      <alignment vertical="center"/>
    </xf>
    <xf numFmtId="0" fontId="22" fillId="0" borderId="0" xfId="6" applyFont="1" applyAlignment="1">
      <alignment horizontal="center"/>
    </xf>
    <xf numFmtId="0" fontId="22" fillId="0" borderId="3" xfId="6" applyFont="1" applyBorder="1" applyAlignment="1">
      <alignment horizontal="center"/>
    </xf>
    <xf numFmtId="0" fontId="3" fillId="4" borderId="0" xfId="0" applyFont="1" applyFill="1" applyAlignment="1">
      <alignment horizontal="center"/>
    </xf>
    <xf numFmtId="0" fontId="3" fillId="5" borderId="0" xfId="0" applyFont="1" applyFill="1" applyAlignment="1">
      <alignment horizontal="center"/>
    </xf>
    <xf numFmtId="0" fontId="3" fillId="7" borderId="0" xfId="0" applyFont="1" applyFill="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1" xfId="0" applyFont="1" applyBorder="1" applyAlignment="1">
      <alignment horizontal="center" vertical="top" wrapText="1"/>
    </xf>
    <xf numFmtId="0" fontId="17" fillId="0" borderId="0" xfId="0" applyFont="1" applyAlignment="1">
      <alignment wrapText="1"/>
    </xf>
    <xf numFmtId="0" fontId="20" fillId="0" borderId="1" xfId="0" applyFont="1" applyBorder="1" applyAlignment="1">
      <alignment wrapText="1"/>
    </xf>
    <xf numFmtId="0" fontId="31" fillId="0" borderId="0" xfId="5" applyFont="1" applyAlignment="1">
      <alignment horizontal="center"/>
    </xf>
  </cellXfs>
  <cellStyles count="57">
    <cellStyle name="0,0_x000d_&#10;NA_x000d_&#10;" xfId="22"/>
    <cellStyle name="Comma" xfId="1" builtinId="3"/>
    <cellStyle name="Comma (0.0)" xfId="23"/>
    <cellStyle name="Comma (0.00)" xfId="24"/>
    <cellStyle name="Comma (hidden)" xfId="25"/>
    <cellStyle name="Comma (index)" xfId="26"/>
    <cellStyle name="Comma 10" xfId="17"/>
    <cellStyle name="Comma 2" xfId="2"/>
    <cellStyle name="Comma 2 2" xfId="3"/>
    <cellStyle name="Comma 2 3" xfId="16"/>
    <cellStyle name="Comma 3" xfId="4"/>
    <cellStyle name="Comma 4" xfId="7"/>
    <cellStyle name="Comma 5" xfId="18"/>
    <cellStyle name="Comma 5 2" xfId="20"/>
    <cellStyle name="Comma 5 3" xfId="21"/>
    <cellStyle name="Comma 6" xfId="27"/>
    <cellStyle name="Comma_Copy of IT details for earlier years 2" xfId="56"/>
    <cellStyle name="Comma0" xfId="8"/>
    <cellStyle name="Comma0 2" xfId="9"/>
    <cellStyle name="Currency (hidden)" xfId="28"/>
    <cellStyle name="Currency0" xfId="10"/>
    <cellStyle name="Currency0 2" xfId="11"/>
    <cellStyle name="Date" xfId="12"/>
    <cellStyle name="Date 2" xfId="13"/>
    <cellStyle name="e - Style2" xfId="29"/>
    <cellStyle name="E&amp;Y House" xfId="30"/>
    <cellStyle name="ed - Style6" xfId="31"/>
    <cellStyle name="Fixed" xfId="14"/>
    <cellStyle name="Fixed 2" xfId="15"/>
    <cellStyle name="Hidden" xfId="32"/>
    <cellStyle name="Normal" xfId="0" builtinId="0"/>
    <cellStyle name="Normal - Style1" xfId="33"/>
    <cellStyle name="Normal 2" xfId="5"/>
    <cellStyle name="Normal 3" xfId="6"/>
    <cellStyle name="Normal 4" xfId="19"/>
    <cellStyle name="o - Style1" xfId="34"/>
    <cellStyle name="Output Line Items" xfId="35"/>
    <cellStyle name="Percent (0%)" xfId="36"/>
    <cellStyle name="Percent (0.0%)" xfId="37"/>
    <cellStyle name="Percent (0.00%)" xfId="38"/>
    <cellStyle name="Percent 2" xfId="39"/>
    <cellStyle name="PSChar" xfId="40"/>
    <cellStyle name="PSDate" xfId="41"/>
    <cellStyle name="Style 1" xfId="42"/>
    <cellStyle name="Style3" xfId="43"/>
    <cellStyle name="Style4" xfId="44"/>
    <cellStyle name="Style5" xfId="45"/>
    <cellStyle name="Style7" xfId="46"/>
    <cellStyle name="Style8" xfId="47"/>
    <cellStyle name="Text" xfId="48"/>
    <cellStyle name="UNIDAGSCode" xfId="49"/>
    <cellStyle name="UNIDAGSCode2" xfId="50"/>
    <cellStyle name="UNIDAGSCurrency" xfId="51"/>
    <cellStyle name="UNIDAGSDate" xfId="52"/>
    <cellStyle name="UNIDAGSPercent" xfId="53"/>
    <cellStyle name="UNIDAGSPercent2" xfId="54"/>
    <cellStyle name="표준_NEW COA 설명" xfId="5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s>
</file>

<file path=xl/drawings/drawing1.xml><?xml version="1.0" encoding="utf-8"?>
<xdr:wsDr xmlns:xdr="http://schemas.openxmlformats.org/drawingml/2006/spreadsheetDrawing" xmlns:a="http://schemas.openxmlformats.org/drawingml/2006/main">
  <xdr:twoCellAnchor>
    <xdr:from>
      <xdr:col>0</xdr:col>
      <xdr:colOff>1285876</xdr:colOff>
      <xdr:row>19</xdr:row>
      <xdr:rowOff>123824</xdr:rowOff>
    </xdr:from>
    <xdr:to>
      <xdr:col>2</xdr:col>
      <xdr:colOff>142876</xdr:colOff>
      <xdr:row>30</xdr:row>
      <xdr:rowOff>66674</xdr:rowOff>
    </xdr:to>
    <xdr:cxnSp macro="">
      <xdr:nvCxnSpPr>
        <xdr:cNvPr id="2" name="Straight Arrow Connector 1"/>
        <xdr:cNvCxnSpPr/>
      </xdr:nvCxnSpPr>
      <xdr:spPr>
        <a:xfrm rot="5400000">
          <a:off x="1171576" y="3476624"/>
          <a:ext cx="1724025" cy="14954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oogle%20Financial%20Statements%20FY%2005/Form%2026/Form%2026%20Final/Form%2026%20v1(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Babu/Documents/TAX-AUDIT/AY2010-11workings/TaxAuditAY201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TEMP/notesE1EF34/Documents%20and%20Settings/audit1/Desktop/New%20Microsoft%20Excel%20Workshe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hydemeyfl01\data\DOCUME~1\DLSARI~1\LOCALS~1\Temp\499_116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hemanth.vadhan/Local%20Settings/Temp/Auditors%20Copy%20of%20IT_Form3CD_2003_2004_P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adwords-temp/Local%20Settings/Temporary%20Internet%20Files/Content.IE5/2FUFQLAF/Fy00/Wilco%20India%20Files/9910/Wilco%20India%20Fcst%20Nov1999%20-%20Jan%202000%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Aditya.Arora/Desktop/Data%20transfer%20310105/Chambal%20Gadepan/CFCL%20Dec%2004%20Gadepan/Varun%20Fixed%20Asset%20Files/DEC%20-%2004v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adwords-temp/Local%20Settings/Temporary%20Internet%20Files/Content.IE5/2FUFQLAF/DOCUME~1/giridhar/LOCALS~1/Temp/Temporary%20Directory%202%20for%20audit9900.zip/TEMP/Budget%20makeup%20reviewed%20Oct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Aditya.Arora/Desktop/Data%20transfer%20310105/Chambal%20Gadepan/CFCL%20Dec%2004%20Gadepan/Varun%20Fixed%20Asset%20Files/FA%20Schedule%20JUNE-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adwords-temp/Local%20Settings/Temporary%20Internet%20Files/Content.IE5/2FUFQLAF/Documents%20and%20Settings/giridhar/Local%20Settings/Temp/Temporary%20Directory%201%20for%20Attachments.zip/Sample%20Financial%20Statement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wait"/>
      <sheetName val="Guidelines"/>
      <sheetName val="form26"/>
      <sheetName val="Challan"/>
      <sheetName val="deductee"/>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lause 9 (b) &amp; (c)"/>
      <sheetName val="Clause 12 (b)"/>
      <sheetName val="Clause 14"/>
      <sheetName val="SAP"/>
      <sheetName val="Additions"/>
      <sheetName val="AssetSales"/>
      <sheetName val="Sch-1A"/>
      <sheetName val="Sch-1"/>
      <sheetName val="Sch-2"/>
      <sheetName val="Sch-3"/>
      <sheetName val="Sch-4"/>
      <sheetName val="Sch-5"/>
      <sheetName val="Sch-6"/>
      <sheetName val="Sch-7"/>
      <sheetName val="Sch-8"/>
      <sheetName val="Sch-9"/>
      <sheetName val="Sch-10"/>
      <sheetName val="Sch-11"/>
      <sheetName val="Sch-12"/>
      <sheetName val="Sch-13"/>
      <sheetName val="Sch-14"/>
      <sheetName val="Sch-15"/>
      <sheetName val="Sch-16"/>
      <sheetName val="Sch-17"/>
      <sheetName val="Clause 16(b) PF"/>
      <sheetName val="Clause 16 (b) EPS"/>
      <sheetName val="Pension"/>
      <sheetName val="Clause 16(b) ESI "/>
      <sheetName val="Clause 16(b) LWF"/>
      <sheetName val="Clause 17 (d)"/>
      <sheetName val="Clause 17 (f)"/>
      <sheetName val="Clause 18 "/>
      <sheetName val="Clause 20 "/>
      <sheetName val="Clause 21(i)"/>
      <sheetName val="Clause 24(a)"/>
      <sheetName val="Clause 24(b)"/>
      <sheetName val="Clause 25 "/>
      <sheetName val="Clause 25"/>
      <sheetName val="Clause 26"/>
      <sheetName val="Clause 27(b)(i)"/>
      <sheetName val="Clause 27(b)(ii)"/>
      <sheetName val="Clause 28 (a) Traded"/>
      <sheetName val="Clause 28(b) RM"/>
      <sheetName val="Clause 28(b) FG"/>
      <sheetName val="Clause 28 (b) By-Product"/>
      <sheetName val="Clause 32"/>
      <sheetName val="Clause 17 (a)"/>
      <sheetName val="ANN -II TO 3CD"/>
      <sheetName val="Sheet1"/>
    </sheetNames>
    <sheetDataSet>
      <sheetData sheetId="0"/>
      <sheetData sheetId="1"/>
      <sheetData sheetId="2"/>
      <sheetData sheetId="3"/>
      <sheetData sheetId="4">
        <row r="11">
          <cell r="C11">
            <v>76974230</v>
          </cell>
        </row>
        <row r="16">
          <cell r="C16">
            <v>0</v>
          </cell>
        </row>
        <row r="19">
          <cell r="C19">
            <v>2177694</v>
          </cell>
        </row>
        <row r="20">
          <cell r="C20">
            <v>3925622.46</v>
          </cell>
        </row>
        <row r="23">
          <cell r="C23">
            <v>7281671.5</v>
          </cell>
        </row>
        <row r="24">
          <cell r="C24">
            <v>4674873.6600000011</v>
          </cell>
        </row>
        <row r="27">
          <cell r="C27">
            <v>50346095.400000006</v>
          </cell>
        </row>
        <row r="28">
          <cell r="C28">
            <v>41571158.079999983</v>
          </cell>
        </row>
        <row r="31">
          <cell r="C31">
            <v>1639479.45</v>
          </cell>
        </row>
        <row r="32">
          <cell r="C32">
            <v>6379749</v>
          </cell>
        </row>
        <row r="35">
          <cell r="C35">
            <v>14721829.960000001</v>
          </cell>
        </row>
        <row r="36">
          <cell r="C36">
            <v>7409527.709999999</v>
          </cell>
        </row>
        <row r="39">
          <cell r="C39">
            <v>47272724.280000001</v>
          </cell>
        </row>
        <row r="40">
          <cell r="C40">
            <v>1252985.2000000002</v>
          </cell>
        </row>
      </sheetData>
      <sheetData sheetId="5">
        <row r="11">
          <cell r="C11">
            <v>622016</v>
          </cell>
        </row>
        <row r="13">
          <cell r="C13">
            <v>0</v>
          </cell>
        </row>
        <row r="15">
          <cell r="C15">
            <v>0</v>
          </cell>
        </row>
        <row r="17">
          <cell r="C17">
            <v>47713</v>
          </cell>
        </row>
      </sheetData>
      <sheetData sheetId="6"/>
      <sheetData sheetId="7"/>
      <sheetData sheetId="8"/>
      <sheetData sheetId="9"/>
      <sheetData sheetId="10"/>
      <sheetData sheetId="11"/>
      <sheetData sheetId="12">
        <row r="79">
          <cell r="D79">
            <v>50075169</v>
          </cell>
        </row>
      </sheetData>
      <sheetData sheetId="13">
        <row r="80">
          <cell r="D80">
            <v>86525.89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403"/>
      <sheetName val="405"/>
      <sheetName val="427"/>
      <sheetName val="Control"/>
    </sheetNames>
    <sheetDataSet>
      <sheetData sheetId="0" refreshError="1">
        <row r="5">
          <cell r="H5">
            <v>-33687942</v>
          </cell>
        </row>
      </sheetData>
      <sheetData sheetId="1" refreshError="1">
        <row r="8">
          <cell r="G8" t="str">
            <v/>
          </cell>
        </row>
        <row r="9">
          <cell r="G9" t="str">
            <v/>
          </cell>
        </row>
        <row r="10">
          <cell r="G10" t="str">
            <v/>
          </cell>
        </row>
        <row r="11">
          <cell r="G11" t="str">
            <v/>
          </cell>
        </row>
        <row r="12">
          <cell r="G12" t="str">
            <v/>
          </cell>
        </row>
        <row r="13">
          <cell r="G13" t="str">
            <v/>
          </cell>
        </row>
        <row r="14">
          <cell r="G14" t="str">
            <v/>
          </cell>
        </row>
        <row r="15">
          <cell r="G15" t="str">
            <v/>
          </cell>
        </row>
        <row r="16">
          <cell r="G16" t="str">
            <v/>
          </cell>
        </row>
        <row r="17">
          <cell r="G17" t="str">
            <v/>
          </cell>
        </row>
        <row r="18">
          <cell r="G18" t="str">
            <v/>
          </cell>
        </row>
        <row r="19">
          <cell r="G19" t="str">
            <v/>
          </cell>
        </row>
        <row r="20">
          <cell r="G20" t="str">
            <v/>
          </cell>
        </row>
        <row r="21">
          <cell r="G21" t="str">
            <v/>
          </cell>
        </row>
        <row r="22">
          <cell r="G22" t="str">
            <v/>
          </cell>
        </row>
        <row r="23">
          <cell r="G23" t="str">
            <v/>
          </cell>
        </row>
      </sheetData>
      <sheetData sheetId="2" refreshError="1">
        <row r="7">
          <cell r="N7" t="str">
            <v/>
          </cell>
        </row>
        <row r="8">
          <cell r="N8" t="str">
            <v/>
          </cell>
        </row>
        <row r="11">
          <cell r="N11" t="str">
            <v/>
          </cell>
        </row>
        <row r="12">
          <cell r="N12" t="str">
            <v/>
          </cell>
        </row>
        <row r="13">
          <cell r="N13" t="str">
            <v/>
          </cell>
        </row>
        <row r="16">
          <cell r="N16" t="str">
            <v/>
          </cell>
        </row>
        <row r="17">
          <cell r="N17" t="str">
            <v/>
          </cell>
        </row>
        <row r="18">
          <cell r="N18" t="str">
            <v/>
          </cell>
        </row>
        <row r="21">
          <cell r="N21" t="str">
            <v/>
          </cell>
        </row>
        <row r="22">
          <cell r="N22" t="str">
            <v/>
          </cell>
        </row>
        <row r="23">
          <cell r="N23" t="str">
            <v/>
          </cell>
        </row>
        <row r="26">
          <cell r="N26" t="str">
            <v/>
          </cell>
        </row>
        <row r="27">
          <cell r="N27" t="str">
            <v/>
          </cell>
        </row>
        <row r="28">
          <cell r="N28" t="str">
            <v/>
          </cell>
        </row>
        <row r="31">
          <cell r="N31" t="str">
            <v/>
          </cell>
        </row>
        <row r="32">
          <cell r="N32" t="str">
            <v/>
          </cell>
        </row>
        <row r="35">
          <cell r="N35" t="str">
            <v/>
          </cell>
        </row>
        <row r="36">
          <cell r="N36" t="str">
            <v/>
          </cell>
        </row>
      </sheetData>
      <sheetData sheetId="3" refreshError="1">
        <row r="2">
          <cell r="B2">
            <v>2001</v>
          </cell>
        </row>
        <row r="4">
          <cell r="B4">
            <v>1165</v>
          </cell>
        </row>
        <row r="6">
          <cell r="B6" t="str">
            <v>499_1165.XLS</v>
          </cell>
        </row>
        <row r="7">
          <cell r="B7" t="str">
            <v>C:\DOCUME~1\DLSARI~1\LOCALS~1\Temp\</v>
          </cell>
        </row>
        <row r="9">
          <cell r="B9" t="str">
            <v>Ernst &amp; Young</v>
          </cell>
        </row>
        <row r="10">
          <cell r="B10" t="str">
            <v>Ernst</v>
          </cell>
        </row>
        <row r="12">
          <cell r="B12" t="b">
            <v>1</v>
          </cell>
        </row>
        <row r="13">
          <cell r="B13">
            <v>-4105</v>
          </cell>
        </row>
        <row r="14">
          <cell r="B14" t="b">
            <v>0</v>
          </cell>
        </row>
        <row r="16">
          <cell r="B16">
            <v>7</v>
          </cell>
        </row>
        <row r="18">
          <cell r="A18" t="str">
            <v>Visible?</v>
          </cell>
          <cell r="B18" t="str">
            <v>Worksheet Name</v>
          </cell>
        </row>
        <row r="19">
          <cell r="A19" t="b">
            <v>1</v>
          </cell>
        </row>
        <row r="21">
          <cell r="B21" t="str">
            <v>Worksheet Name</v>
          </cell>
          <cell r="D21" t="str">
            <v>Selected?</v>
          </cell>
        </row>
        <row r="22">
          <cell r="B22">
            <v>401</v>
          </cell>
          <cell r="E22">
            <v>401</v>
          </cell>
        </row>
        <row r="23">
          <cell r="B23">
            <v>402</v>
          </cell>
          <cell r="E23">
            <v>402</v>
          </cell>
        </row>
        <row r="24">
          <cell r="B24">
            <v>403</v>
          </cell>
          <cell r="E24">
            <v>403</v>
          </cell>
        </row>
        <row r="25">
          <cell r="B25">
            <v>405</v>
          </cell>
          <cell r="E25">
            <v>405</v>
          </cell>
        </row>
        <row r="26">
          <cell r="B26">
            <v>406</v>
          </cell>
          <cell r="E26">
            <v>406</v>
          </cell>
        </row>
        <row r="27">
          <cell r="B27">
            <v>410</v>
          </cell>
          <cell r="E27">
            <v>410</v>
          </cell>
        </row>
        <row r="28">
          <cell r="B28">
            <v>411</v>
          </cell>
          <cell r="E28">
            <v>411</v>
          </cell>
        </row>
        <row r="29">
          <cell r="B29">
            <v>413</v>
          </cell>
          <cell r="E29">
            <v>413</v>
          </cell>
        </row>
        <row r="30">
          <cell r="B30">
            <v>414</v>
          </cell>
          <cell r="E30">
            <v>414</v>
          </cell>
        </row>
        <row r="31">
          <cell r="B31">
            <v>415</v>
          </cell>
          <cell r="E31">
            <v>415</v>
          </cell>
        </row>
        <row r="32">
          <cell r="B32">
            <v>420</v>
          </cell>
          <cell r="E32">
            <v>420</v>
          </cell>
        </row>
        <row r="33">
          <cell r="B33">
            <v>421</v>
          </cell>
          <cell r="E33">
            <v>421</v>
          </cell>
        </row>
        <row r="34">
          <cell r="B34">
            <v>422</v>
          </cell>
          <cell r="E34">
            <v>422</v>
          </cell>
        </row>
        <row r="35">
          <cell r="B35">
            <v>424</v>
          </cell>
          <cell r="E35">
            <v>424</v>
          </cell>
        </row>
        <row r="36">
          <cell r="B36">
            <v>425</v>
          </cell>
          <cell r="E36">
            <v>425</v>
          </cell>
        </row>
        <row r="37">
          <cell r="B37">
            <v>427</v>
          </cell>
          <cell r="E37">
            <v>427</v>
          </cell>
        </row>
        <row r="38">
          <cell r="B38">
            <v>428</v>
          </cell>
          <cell r="E38">
            <v>428</v>
          </cell>
        </row>
        <row r="39">
          <cell r="B39">
            <v>430</v>
          </cell>
          <cell r="E39">
            <v>430</v>
          </cell>
        </row>
        <row r="40">
          <cell r="B40">
            <v>431</v>
          </cell>
          <cell r="E40">
            <v>431</v>
          </cell>
        </row>
        <row r="41">
          <cell r="B41">
            <v>433</v>
          </cell>
          <cell r="E41">
            <v>433</v>
          </cell>
        </row>
        <row r="42">
          <cell r="B42">
            <v>438</v>
          </cell>
          <cell r="E42">
            <v>438</v>
          </cell>
        </row>
        <row r="43">
          <cell r="B43">
            <v>441</v>
          </cell>
          <cell r="E43">
            <v>441</v>
          </cell>
        </row>
        <row r="44">
          <cell r="B44">
            <v>444</v>
          </cell>
          <cell r="E44">
            <v>444</v>
          </cell>
        </row>
        <row r="45">
          <cell r="B45">
            <v>447</v>
          </cell>
          <cell r="E45">
            <v>447</v>
          </cell>
        </row>
        <row r="46">
          <cell r="B46">
            <v>448</v>
          </cell>
          <cell r="E46">
            <v>448</v>
          </cell>
        </row>
        <row r="47">
          <cell r="B47">
            <v>450</v>
          </cell>
          <cell r="E47">
            <v>450</v>
          </cell>
        </row>
        <row r="48">
          <cell r="B48">
            <v>451</v>
          </cell>
          <cell r="E48">
            <v>451</v>
          </cell>
        </row>
        <row r="49">
          <cell r="B49">
            <v>452</v>
          </cell>
          <cell r="E49">
            <v>452</v>
          </cell>
        </row>
        <row r="50">
          <cell r="B50">
            <v>453</v>
          </cell>
          <cell r="E50">
            <v>453</v>
          </cell>
        </row>
        <row r="51">
          <cell r="B51">
            <v>457</v>
          </cell>
          <cell r="E51">
            <v>457</v>
          </cell>
        </row>
        <row r="52">
          <cell r="B52">
            <v>461</v>
          </cell>
          <cell r="E52">
            <v>461</v>
          </cell>
        </row>
        <row r="53">
          <cell r="B53">
            <v>465</v>
          </cell>
          <cell r="E53">
            <v>465</v>
          </cell>
        </row>
        <row r="54">
          <cell r="B54">
            <v>466</v>
          </cell>
          <cell r="E54">
            <v>466</v>
          </cell>
        </row>
        <row r="55">
          <cell r="B55">
            <v>467</v>
          </cell>
          <cell r="E55">
            <v>467</v>
          </cell>
        </row>
        <row r="56">
          <cell r="B56">
            <v>468</v>
          </cell>
          <cell r="E56">
            <v>468</v>
          </cell>
        </row>
        <row r="57">
          <cell r="B57">
            <v>470</v>
          </cell>
          <cell r="E57">
            <v>470</v>
          </cell>
        </row>
        <row r="58">
          <cell r="B58">
            <v>475</v>
          </cell>
          <cell r="E58">
            <v>475</v>
          </cell>
        </row>
        <row r="59">
          <cell r="B59">
            <v>477</v>
          </cell>
          <cell r="E59">
            <v>477</v>
          </cell>
        </row>
        <row r="60">
          <cell r="B60">
            <v>482</v>
          </cell>
          <cell r="E60">
            <v>482</v>
          </cell>
        </row>
        <row r="61">
          <cell r="B61">
            <v>499</v>
          </cell>
          <cell r="E61">
            <v>499</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3CA"/>
      <sheetName val="3CD_Off_copy"/>
      <sheetName val="Annexures"/>
      <sheetName val="Depreciation_Annex_2"/>
      <sheetName val="F.Assets_Additions_Annex2.1"/>
      <sheetName val="F.Assets_sold_Annex2.2"/>
      <sheetName val="F.Software-purchase_Annex2.1(2)"/>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con"/>
      <sheetName val="Fcst vs Budgets"/>
      <sheetName val="Fcst vs Budget - summary"/>
      <sheetName val="budget + mapping"/>
      <sheetName val="July, 1999 - June, 2000"/>
      <sheetName val="Depreciation"/>
      <sheetName val="SG"/>
      <sheetName val="HC"/>
      <sheetName val="secondments"/>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cc_wise_GII"/>
      <sheetName val="Acc_wise_global"/>
      <sheetName val="Rs._lacs"/>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base+pb"/>
      <sheetName val="v8-budget + mapping"/>
      <sheetName val="adp-budget"/>
      <sheetName val="forecast impact"/>
      <sheetName val="curr tb"/>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revised srb wkg (2)"/>
      <sheetName val="Sheet2"/>
      <sheetName val="Sheet3"/>
      <sheetName val="revised srb wkg"/>
      <sheetName val="Acc_wise"/>
      <sheetName val="original pbc"/>
      <sheetName val="Rs._lacs"/>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B&amp;S31-03-04"/>
      <sheetName val="P&amp;L 31-03-04"/>
      <sheetName val="Schd 4"/>
      <sheetName val="Schd 5-11"/>
      <sheetName val="Schd 12-16"/>
      <sheetName val="BS Groupings"/>
      <sheetName val="PL Groupings"/>
    </sheetNames>
    <sheetDataSet>
      <sheetData sheetId="0"/>
      <sheetData sheetId="1"/>
      <sheetData sheetId="2" refreshError="1"/>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5" tint="-0.249977111117893"/>
  </sheetPr>
  <dimension ref="A1:F27"/>
  <sheetViews>
    <sheetView workbookViewId="0">
      <pane xSplit="5" ySplit="2" topLeftCell="F3" activePane="bottomRight" state="frozen"/>
      <selection pane="topRight" activeCell="F1" sqref="F1"/>
      <selection pane="bottomLeft" activeCell="A3" sqref="A3"/>
      <selection pane="bottomRight" activeCell="C12" sqref="C12"/>
    </sheetView>
  </sheetViews>
  <sheetFormatPr defaultRowHeight="15"/>
  <cols>
    <col min="1" max="1" width="9.28515625" bestFit="1" customWidth="1"/>
    <col min="2" max="2" width="40.5703125" bestFit="1" customWidth="1"/>
    <col min="3" max="3" width="17.7109375" bestFit="1" customWidth="1"/>
    <col min="4" max="4" width="14" bestFit="1" customWidth="1"/>
    <col min="5" max="5" width="10.42578125" bestFit="1" customWidth="1"/>
    <col min="6" max="6" width="8.5703125" bestFit="1" customWidth="1"/>
  </cols>
  <sheetData>
    <row r="1" spans="1:6">
      <c r="A1" s="2"/>
      <c r="B1" s="1" t="s">
        <v>481</v>
      </c>
      <c r="C1" s="2"/>
      <c r="D1" s="2"/>
      <c r="E1" s="2"/>
      <c r="F1" s="2"/>
    </row>
    <row r="2" spans="1:6">
      <c r="A2" s="1" t="s">
        <v>305</v>
      </c>
      <c r="B2" s="1" t="s">
        <v>557</v>
      </c>
      <c r="C2" s="163"/>
      <c r="D2" s="1" t="s">
        <v>512</v>
      </c>
      <c r="E2" s="1" t="s">
        <v>513</v>
      </c>
      <c r="F2" s="1" t="s">
        <v>692</v>
      </c>
    </row>
    <row r="3" spans="1:6">
      <c r="A3" s="97">
        <v>1</v>
      </c>
      <c r="B3" s="96" t="s">
        <v>482</v>
      </c>
      <c r="C3" s="163"/>
      <c r="D3" s="96" t="s">
        <v>514</v>
      </c>
      <c r="E3" s="193">
        <v>40366</v>
      </c>
      <c r="F3" s="2"/>
    </row>
    <row r="4" spans="1:6">
      <c r="A4" s="97">
        <v>2</v>
      </c>
      <c r="B4" s="96" t="s">
        <v>550</v>
      </c>
      <c r="C4" s="2"/>
      <c r="D4" s="96" t="s">
        <v>519</v>
      </c>
      <c r="E4" s="193">
        <v>40359</v>
      </c>
      <c r="F4" s="2"/>
    </row>
    <row r="5" spans="1:6">
      <c r="A5" s="172">
        <v>3</v>
      </c>
      <c r="B5" s="157" t="s">
        <v>483</v>
      </c>
      <c r="C5" s="173">
        <v>150790</v>
      </c>
      <c r="D5" s="96" t="s">
        <v>514</v>
      </c>
      <c r="E5" s="174">
        <v>40359</v>
      </c>
      <c r="F5" s="2"/>
    </row>
    <row r="6" spans="1:6" ht="30">
      <c r="A6" s="97">
        <v>4</v>
      </c>
      <c r="B6" s="96" t="s">
        <v>484</v>
      </c>
      <c r="C6" s="163"/>
      <c r="D6" s="96" t="s">
        <v>519</v>
      </c>
      <c r="E6" s="193">
        <v>40359</v>
      </c>
      <c r="F6" s="2"/>
    </row>
    <row r="7" spans="1:6" ht="30">
      <c r="A7" s="97">
        <v>5</v>
      </c>
      <c r="B7" s="96" t="s">
        <v>485</v>
      </c>
      <c r="C7" s="163"/>
      <c r="D7" s="96" t="s">
        <v>519</v>
      </c>
      <c r="E7" s="193">
        <v>40359</v>
      </c>
      <c r="F7" s="2"/>
    </row>
    <row r="8" spans="1:6">
      <c r="A8" s="97">
        <v>6</v>
      </c>
      <c r="B8" s="2" t="s">
        <v>486</v>
      </c>
      <c r="C8" s="163"/>
      <c r="D8" s="96" t="s">
        <v>519</v>
      </c>
      <c r="E8" s="193">
        <v>40359</v>
      </c>
      <c r="F8" s="2"/>
    </row>
    <row r="9" spans="1:6" ht="30">
      <c r="A9" s="175">
        <v>7</v>
      </c>
      <c r="B9" s="155" t="s">
        <v>489</v>
      </c>
      <c r="C9" s="224">
        <v>89676414</v>
      </c>
      <c r="D9" s="96" t="s">
        <v>520</v>
      </c>
      <c r="E9" s="2"/>
      <c r="F9" s="2"/>
    </row>
    <row r="10" spans="1:6">
      <c r="A10" s="49">
        <v>8</v>
      </c>
      <c r="B10" s="156" t="s">
        <v>490</v>
      </c>
      <c r="C10" s="10">
        <f>695.79*100000</f>
        <v>69579000</v>
      </c>
      <c r="D10" s="96" t="s">
        <v>520</v>
      </c>
      <c r="E10" s="2"/>
      <c r="F10" s="2"/>
    </row>
    <row r="11" spans="1:6">
      <c r="A11" s="172">
        <v>9</v>
      </c>
      <c r="B11" s="156" t="s">
        <v>491</v>
      </c>
      <c r="C11" s="164">
        <v>127613086</v>
      </c>
      <c r="D11" s="96" t="s">
        <v>520</v>
      </c>
      <c r="E11" s="2"/>
      <c r="F11" s="2"/>
    </row>
    <row r="12" spans="1:6">
      <c r="A12" s="49">
        <v>10</v>
      </c>
      <c r="B12" s="2" t="s">
        <v>492</v>
      </c>
      <c r="C12" s="164">
        <v>73905496.390000001</v>
      </c>
      <c r="D12" s="96" t="s">
        <v>514</v>
      </c>
      <c r="E12" s="192">
        <v>40361</v>
      </c>
      <c r="F12" s="2"/>
    </row>
    <row r="13" spans="1:6">
      <c r="A13" s="49">
        <v>11</v>
      </c>
      <c r="B13" s="2" t="s">
        <v>515</v>
      </c>
      <c r="C13" s="10">
        <v>85736517.840000004</v>
      </c>
      <c r="D13" s="96" t="s">
        <v>514</v>
      </c>
      <c r="E13" s="192">
        <v>40361</v>
      </c>
      <c r="F13" s="2"/>
    </row>
    <row r="14" spans="1:6">
      <c r="A14" s="172">
        <v>12</v>
      </c>
      <c r="B14" s="2" t="s">
        <v>516</v>
      </c>
      <c r="C14" s="10">
        <v>120535437.37</v>
      </c>
      <c r="D14" s="96" t="s">
        <v>514</v>
      </c>
      <c r="E14" s="192">
        <v>40361</v>
      </c>
      <c r="F14" s="2"/>
    </row>
    <row r="15" spans="1:6">
      <c r="A15" s="49">
        <v>13</v>
      </c>
      <c r="B15" s="2" t="s">
        <v>517</v>
      </c>
      <c r="C15" s="10">
        <v>392841212.80000001</v>
      </c>
      <c r="D15" s="96" t="s">
        <v>514</v>
      </c>
      <c r="E15" s="192">
        <v>40361</v>
      </c>
      <c r="F15" s="2"/>
    </row>
    <row r="16" spans="1:6">
      <c r="A16" s="49">
        <v>14</v>
      </c>
      <c r="B16" s="2" t="s">
        <v>518</v>
      </c>
      <c r="C16" s="10">
        <v>112873638.45</v>
      </c>
      <c r="D16" s="96" t="s">
        <v>520</v>
      </c>
      <c r="E16" s="2"/>
      <c r="F16" s="2"/>
    </row>
    <row r="17" spans="1:6">
      <c r="A17" s="1" t="s">
        <v>305</v>
      </c>
      <c r="B17" s="1" t="s">
        <v>558</v>
      </c>
      <c r="C17" s="163"/>
      <c r="D17" s="1" t="s">
        <v>512</v>
      </c>
      <c r="E17" s="1" t="s">
        <v>513</v>
      </c>
      <c r="F17" s="2"/>
    </row>
    <row r="18" spans="1:6" ht="30">
      <c r="A18" s="175">
        <v>1</v>
      </c>
      <c r="B18" s="96" t="s">
        <v>525</v>
      </c>
      <c r="C18" s="2"/>
      <c r="D18" s="96" t="s">
        <v>519</v>
      </c>
      <c r="E18" s="193">
        <v>40359</v>
      </c>
      <c r="F18" s="2"/>
    </row>
    <row r="19" spans="1:6">
      <c r="A19" s="175">
        <v>2</v>
      </c>
      <c r="B19" s="96" t="s">
        <v>336</v>
      </c>
      <c r="C19" s="2"/>
      <c r="D19" s="96" t="s">
        <v>519</v>
      </c>
      <c r="E19" s="193">
        <v>40359</v>
      </c>
      <c r="F19" s="2"/>
    </row>
    <row r="20" spans="1:6">
      <c r="A20" s="175">
        <v>3</v>
      </c>
      <c r="B20" s="96" t="s">
        <v>529</v>
      </c>
      <c r="C20" s="2"/>
      <c r="D20" s="96" t="s">
        <v>519</v>
      </c>
      <c r="E20" s="193">
        <v>40359</v>
      </c>
      <c r="F20" s="2"/>
    </row>
    <row r="21" spans="1:6" ht="30">
      <c r="A21" s="175">
        <v>4</v>
      </c>
      <c r="B21" s="96" t="s">
        <v>530</v>
      </c>
      <c r="C21" s="2"/>
      <c r="D21" s="96" t="s">
        <v>519</v>
      </c>
      <c r="E21" s="193">
        <v>40359</v>
      </c>
      <c r="F21" s="2"/>
    </row>
    <row r="22" spans="1:6">
      <c r="A22" s="2"/>
      <c r="B22" s="2"/>
      <c r="C22" s="2"/>
      <c r="D22" s="96"/>
      <c r="E22" s="2"/>
      <c r="F22" s="2"/>
    </row>
    <row r="23" spans="1:6">
      <c r="A23" s="1" t="s">
        <v>305</v>
      </c>
      <c r="B23" s="1" t="s">
        <v>559</v>
      </c>
      <c r="C23" s="163"/>
      <c r="D23" s="1" t="s">
        <v>512</v>
      </c>
      <c r="E23" s="1" t="s">
        <v>513</v>
      </c>
      <c r="F23" s="2"/>
    </row>
    <row r="24" spans="1:6">
      <c r="A24" s="175">
        <v>1</v>
      </c>
      <c r="B24" s="2" t="s">
        <v>540</v>
      </c>
      <c r="C24" s="2"/>
      <c r="D24" s="96" t="s">
        <v>514</v>
      </c>
      <c r="E24" s="192">
        <v>40364</v>
      </c>
      <c r="F24" s="2"/>
    </row>
    <row r="25" spans="1:6">
      <c r="A25" s="175">
        <v>2</v>
      </c>
      <c r="B25" s="2" t="s">
        <v>336</v>
      </c>
      <c r="C25" s="2"/>
      <c r="D25" s="96" t="s">
        <v>514</v>
      </c>
      <c r="E25" s="192">
        <v>40364</v>
      </c>
      <c r="F25" s="2"/>
    </row>
    <row r="26" spans="1:6">
      <c r="A26" s="175">
        <v>3</v>
      </c>
      <c r="B26" s="2" t="s">
        <v>547</v>
      </c>
      <c r="C26" s="2"/>
      <c r="D26" s="96" t="s">
        <v>514</v>
      </c>
      <c r="E26" s="192">
        <v>40364</v>
      </c>
      <c r="F26" s="2"/>
    </row>
    <row r="27" spans="1:6">
      <c r="A27" s="175">
        <v>4</v>
      </c>
      <c r="B27" s="2" t="s">
        <v>548</v>
      </c>
      <c r="C27" s="2"/>
      <c r="D27" s="96" t="s">
        <v>514</v>
      </c>
      <c r="E27" s="192">
        <v>40364</v>
      </c>
      <c r="F27" s="2"/>
    </row>
  </sheetData>
  <printOptions horizontalCentered="1" verticalCentered="1"/>
  <pageMargins left="0.11811023622047245" right="0.11811023622047245" top="0.11811023622047245" bottom="0.11811023622047245" header="0.11811023622047245" footer="0.11811023622047245"/>
  <pageSetup paperSize="9" scale="98" orientation="portrait" r:id="rId1"/>
  <headerFooter>
    <oddFooter>&amp;L&amp;A&amp;F&amp;N</oddFooter>
  </headerFooter>
</worksheet>
</file>

<file path=xl/worksheets/sheet10.xml><?xml version="1.0" encoding="utf-8"?>
<worksheet xmlns="http://schemas.openxmlformats.org/spreadsheetml/2006/main" xmlns:r="http://schemas.openxmlformats.org/officeDocument/2006/relationships">
  <dimension ref="A2:N60"/>
  <sheetViews>
    <sheetView tabSelected="1" topLeftCell="B1" workbookViewId="0">
      <selection activeCell="G16" sqref="G16"/>
    </sheetView>
  </sheetViews>
  <sheetFormatPr defaultRowHeight="15"/>
  <cols>
    <col min="1" max="1" width="6" bestFit="1" customWidth="1"/>
    <col min="2" max="2" width="11.28515625" customWidth="1"/>
    <col min="3" max="3" width="17.5703125" bestFit="1" customWidth="1"/>
    <col min="4" max="4" width="9.28515625" bestFit="1" customWidth="1"/>
    <col min="5" max="5" width="13.42578125" bestFit="1" customWidth="1"/>
    <col min="6" max="6" width="16.28515625" bestFit="1" customWidth="1"/>
    <col min="7" max="7" width="18.7109375" bestFit="1" customWidth="1"/>
    <col min="8" max="9" width="9.28515625" bestFit="1" customWidth="1"/>
    <col min="10" max="10" width="16.5703125" customWidth="1"/>
    <col min="11" max="11" width="16.5703125" bestFit="1" customWidth="1"/>
    <col min="12" max="12" width="9.28515625" bestFit="1" customWidth="1"/>
    <col min="13" max="13" width="11.5703125" bestFit="1" customWidth="1"/>
    <col min="14" max="14" width="15.28515625" bestFit="1" customWidth="1"/>
  </cols>
  <sheetData>
    <row r="2" spans="1:14">
      <c r="A2" s="13"/>
      <c r="B2" s="14" t="s">
        <v>12</v>
      </c>
      <c r="C2" s="339" t="s">
        <v>26</v>
      </c>
      <c r="D2" s="339"/>
      <c r="E2" s="339"/>
      <c r="F2" s="339"/>
      <c r="G2" s="340" t="s">
        <v>27</v>
      </c>
      <c r="H2" s="340"/>
      <c r="I2" s="340"/>
      <c r="J2" s="340"/>
      <c r="K2" s="341" t="s">
        <v>7</v>
      </c>
      <c r="L2" s="341"/>
      <c r="M2" s="341"/>
      <c r="N2" s="341"/>
    </row>
    <row r="3" spans="1:14" ht="30">
      <c r="A3" s="15" t="s">
        <v>28</v>
      </c>
      <c r="B3" s="15" t="s">
        <v>2</v>
      </c>
      <c r="C3" s="16" t="s">
        <v>29</v>
      </c>
      <c r="D3" s="16" t="s">
        <v>30</v>
      </c>
      <c r="E3" s="16" t="s">
        <v>31</v>
      </c>
      <c r="F3" s="16" t="s">
        <v>32</v>
      </c>
      <c r="G3" s="17" t="s">
        <v>29</v>
      </c>
      <c r="H3" s="17" t="s">
        <v>30</v>
      </c>
      <c r="I3" s="17" t="s">
        <v>31</v>
      </c>
      <c r="J3" s="17" t="s">
        <v>32</v>
      </c>
      <c r="K3" s="18" t="s">
        <v>29</v>
      </c>
      <c r="L3" s="18" t="s">
        <v>30</v>
      </c>
      <c r="M3" s="18" t="s">
        <v>31</v>
      </c>
      <c r="N3" s="18" t="s">
        <v>32</v>
      </c>
    </row>
    <row r="4" spans="1:14">
      <c r="A4" s="19">
        <v>1</v>
      </c>
      <c r="B4" s="20" t="s">
        <v>33</v>
      </c>
      <c r="C4" s="21">
        <v>0</v>
      </c>
      <c r="D4" s="21">
        <v>0</v>
      </c>
      <c r="E4" s="21">
        <v>0</v>
      </c>
      <c r="F4" s="21">
        <v>0</v>
      </c>
      <c r="G4" s="169">
        <v>0</v>
      </c>
      <c r="H4" s="169">
        <v>0</v>
      </c>
      <c r="I4" s="169">
        <v>0</v>
      </c>
      <c r="J4" s="169">
        <v>0</v>
      </c>
      <c r="K4" s="22">
        <f>+C4+G4</f>
        <v>0</v>
      </c>
      <c r="L4" s="22">
        <f t="shared" ref="L4:N12" si="0">+D4+H4</f>
        <v>0</v>
      </c>
      <c r="M4" s="22">
        <f t="shared" si="0"/>
        <v>0</v>
      </c>
      <c r="N4" s="22">
        <f t="shared" si="0"/>
        <v>0</v>
      </c>
    </row>
    <row r="5" spans="1:14">
      <c r="A5" s="19">
        <v>2</v>
      </c>
      <c r="B5" s="20" t="s">
        <v>34</v>
      </c>
      <c r="C5" s="23">
        <v>581674628</v>
      </c>
      <c r="D5" s="21">
        <v>0</v>
      </c>
      <c r="E5" s="21">
        <v>0</v>
      </c>
      <c r="F5" s="21">
        <v>0</v>
      </c>
      <c r="G5" s="169">
        <v>-484630424</v>
      </c>
      <c r="H5" s="169">
        <v>0</v>
      </c>
      <c r="I5" s="169">
        <v>0</v>
      </c>
      <c r="J5" s="169">
        <v>0</v>
      </c>
      <c r="K5" s="22">
        <f t="shared" ref="K5:K12" si="1">+C5+G5</f>
        <v>97044204</v>
      </c>
      <c r="L5" s="22">
        <f t="shared" si="0"/>
        <v>0</v>
      </c>
      <c r="M5" s="22">
        <f t="shared" si="0"/>
        <v>0</v>
      </c>
      <c r="N5" s="22">
        <f t="shared" si="0"/>
        <v>0</v>
      </c>
    </row>
    <row r="6" spans="1:14">
      <c r="A6" s="19">
        <v>3</v>
      </c>
      <c r="B6" s="20" t="s">
        <v>35</v>
      </c>
      <c r="C6" s="23">
        <v>49933303</v>
      </c>
      <c r="D6" s="21">
        <v>0</v>
      </c>
      <c r="E6" s="23">
        <v>480326</v>
      </c>
      <c r="F6" s="21">
        <v>783618</v>
      </c>
      <c r="G6" s="169">
        <v>0</v>
      </c>
      <c r="H6" s="169">
        <v>0</v>
      </c>
      <c r="I6" s="169">
        <v>0</v>
      </c>
      <c r="J6" s="169">
        <v>-783618</v>
      </c>
      <c r="K6" s="22">
        <f t="shared" si="1"/>
        <v>49933303</v>
      </c>
      <c r="L6" s="22">
        <f t="shared" si="0"/>
        <v>0</v>
      </c>
      <c r="M6" s="22">
        <f t="shared" si="0"/>
        <v>480326</v>
      </c>
      <c r="N6" s="22">
        <f t="shared" si="0"/>
        <v>0</v>
      </c>
    </row>
    <row r="7" spans="1:14">
      <c r="A7" s="19">
        <v>4</v>
      </c>
      <c r="B7" s="24" t="s">
        <v>36</v>
      </c>
      <c r="C7" s="21">
        <v>0</v>
      </c>
      <c r="D7" s="21">
        <v>0</v>
      </c>
      <c r="E7" s="21">
        <v>0</v>
      </c>
      <c r="F7" s="23">
        <v>161726292</v>
      </c>
      <c r="G7" s="169">
        <v>0</v>
      </c>
      <c r="H7" s="169">
        <v>0</v>
      </c>
      <c r="I7" s="169">
        <v>0</v>
      </c>
      <c r="J7" s="169">
        <v>-123668669</v>
      </c>
      <c r="K7" s="22">
        <f t="shared" si="1"/>
        <v>0</v>
      </c>
      <c r="L7" s="22">
        <f t="shared" si="0"/>
        <v>0</v>
      </c>
      <c r="M7" s="22">
        <f t="shared" si="0"/>
        <v>0</v>
      </c>
      <c r="N7" s="22">
        <f t="shared" si="0"/>
        <v>38057623</v>
      </c>
    </row>
    <row r="8" spans="1:14">
      <c r="A8" s="19">
        <v>5</v>
      </c>
      <c r="B8" s="24" t="s">
        <v>37</v>
      </c>
      <c r="C8" s="21">
        <v>0</v>
      </c>
      <c r="D8" s="21">
        <v>0</v>
      </c>
      <c r="E8" s="21">
        <v>0</v>
      </c>
      <c r="F8" s="23">
        <v>943832</v>
      </c>
      <c r="G8" s="169">
        <v>0</v>
      </c>
      <c r="H8" s="169">
        <v>0</v>
      </c>
      <c r="I8" s="169">
        <v>0</v>
      </c>
      <c r="J8" s="169">
        <v>0</v>
      </c>
      <c r="K8" s="22">
        <f t="shared" si="1"/>
        <v>0</v>
      </c>
      <c r="L8" s="22">
        <f t="shared" si="0"/>
        <v>0</v>
      </c>
      <c r="M8" s="22">
        <f t="shared" si="0"/>
        <v>0</v>
      </c>
      <c r="N8" s="22">
        <f t="shared" si="0"/>
        <v>943832</v>
      </c>
    </row>
    <row r="9" spans="1:14">
      <c r="A9" s="19">
        <v>6</v>
      </c>
      <c r="B9" s="24" t="s">
        <v>38</v>
      </c>
      <c r="C9" s="21">
        <v>0</v>
      </c>
      <c r="D9" s="21">
        <v>0</v>
      </c>
      <c r="E9" s="21">
        <v>0</v>
      </c>
      <c r="F9" s="23">
        <v>73219100</v>
      </c>
      <c r="G9" s="169">
        <v>0</v>
      </c>
      <c r="H9" s="169">
        <v>0</v>
      </c>
      <c r="I9" s="169">
        <v>0</v>
      </c>
      <c r="J9" s="169">
        <v>0</v>
      </c>
      <c r="K9" s="22">
        <f t="shared" si="1"/>
        <v>0</v>
      </c>
      <c r="L9" s="22">
        <f t="shared" si="0"/>
        <v>0</v>
      </c>
      <c r="M9" s="22">
        <f t="shared" si="0"/>
        <v>0</v>
      </c>
      <c r="N9" s="22">
        <f t="shared" si="0"/>
        <v>73219100</v>
      </c>
    </row>
    <row r="10" spans="1:14">
      <c r="A10" s="19">
        <v>7</v>
      </c>
      <c r="B10" s="24" t="s">
        <v>11</v>
      </c>
      <c r="C10" s="21">
        <v>0</v>
      </c>
      <c r="D10" s="21">
        <v>0</v>
      </c>
      <c r="E10" s="21">
        <v>0</v>
      </c>
      <c r="F10" s="21">
        <v>0</v>
      </c>
      <c r="G10" s="169">
        <v>0</v>
      </c>
      <c r="H10" s="169">
        <v>0</v>
      </c>
      <c r="I10" s="169">
        <v>0</v>
      </c>
      <c r="J10" s="169">
        <v>0</v>
      </c>
      <c r="K10" s="22">
        <f t="shared" si="1"/>
        <v>0</v>
      </c>
      <c r="L10" s="22">
        <f t="shared" si="0"/>
        <v>0</v>
      </c>
      <c r="M10" s="22">
        <f t="shared" si="0"/>
        <v>0</v>
      </c>
      <c r="N10" s="22">
        <f t="shared" si="0"/>
        <v>0</v>
      </c>
    </row>
    <row r="11" spans="1:14">
      <c r="A11" s="19">
        <v>8</v>
      </c>
      <c r="B11" s="2" t="s">
        <v>12</v>
      </c>
      <c r="C11" s="21">
        <v>0</v>
      </c>
      <c r="D11" s="21">
        <v>0</v>
      </c>
      <c r="E11" s="21">
        <v>0</v>
      </c>
      <c r="F11" s="21">
        <v>0</v>
      </c>
      <c r="G11" s="169">
        <v>0</v>
      </c>
      <c r="H11" s="169">
        <v>0</v>
      </c>
      <c r="I11" s="169">
        <v>0</v>
      </c>
      <c r="J11" s="169">
        <v>0</v>
      </c>
      <c r="K11" s="22">
        <f t="shared" si="1"/>
        <v>0</v>
      </c>
      <c r="L11" s="22">
        <f t="shared" si="0"/>
        <v>0</v>
      </c>
      <c r="M11" s="22">
        <f t="shared" si="0"/>
        <v>0</v>
      </c>
      <c r="N11" s="22">
        <f t="shared" si="0"/>
        <v>0</v>
      </c>
    </row>
    <row r="12" spans="1:14">
      <c r="A12" s="2"/>
      <c r="B12" s="2"/>
      <c r="C12" s="23"/>
      <c r="D12" s="21"/>
      <c r="E12" s="23"/>
      <c r="F12" s="23"/>
      <c r="G12" s="169">
        <v>0</v>
      </c>
      <c r="H12" s="169">
        <v>0</v>
      </c>
      <c r="I12" s="169">
        <v>0</v>
      </c>
      <c r="J12" s="169">
        <v>0</v>
      </c>
      <c r="K12" s="22">
        <f t="shared" si="1"/>
        <v>0</v>
      </c>
      <c r="L12" s="22">
        <f t="shared" si="0"/>
        <v>0</v>
      </c>
      <c r="M12" s="22">
        <f t="shared" si="0"/>
        <v>0</v>
      </c>
      <c r="N12" s="22">
        <f t="shared" si="0"/>
        <v>0</v>
      </c>
    </row>
    <row r="14" spans="1:14">
      <c r="A14" s="13"/>
      <c r="B14" s="14" t="s">
        <v>14</v>
      </c>
      <c r="C14" s="339" t="s">
        <v>26</v>
      </c>
      <c r="D14" s="339"/>
      <c r="E14" s="339"/>
      <c r="F14" s="339"/>
      <c r="G14" s="340" t="s">
        <v>27</v>
      </c>
      <c r="H14" s="340"/>
      <c r="I14" s="340"/>
      <c r="J14" s="340"/>
      <c r="K14" s="341" t="s">
        <v>7</v>
      </c>
      <c r="L14" s="341"/>
      <c r="M14" s="341"/>
      <c r="N14" s="341"/>
    </row>
    <row r="15" spans="1:14" ht="30">
      <c r="A15" s="15" t="s">
        <v>28</v>
      </c>
      <c r="B15" s="15" t="s">
        <v>2</v>
      </c>
      <c r="C15" s="16" t="s">
        <v>29</v>
      </c>
      <c r="D15" s="16" t="s">
        <v>30</v>
      </c>
      <c r="E15" s="16" t="s">
        <v>31</v>
      </c>
      <c r="F15" s="16" t="s">
        <v>32</v>
      </c>
      <c r="G15" s="17" t="s">
        <v>29</v>
      </c>
      <c r="H15" s="17" t="s">
        <v>30</v>
      </c>
      <c r="I15" s="17" t="s">
        <v>31</v>
      </c>
      <c r="J15" s="17" t="s">
        <v>32</v>
      </c>
      <c r="K15" s="18" t="s">
        <v>29</v>
      </c>
      <c r="L15" s="18" t="s">
        <v>30</v>
      </c>
      <c r="M15" s="18" t="s">
        <v>31</v>
      </c>
      <c r="N15" s="18" t="s">
        <v>32</v>
      </c>
    </row>
    <row r="16" spans="1:14">
      <c r="A16" s="19">
        <v>1</v>
      </c>
      <c r="B16" s="20" t="s">
        <v>34</v>
      </c>
      <c r="C16" s="21">
        <f>+K5+(478237844-97044204)</f>
        <v>478237844</v>
      </c>
      <c r="D16" s="21">
        <f t="shared" ref="D16:F23" si="2">+L5</f>
        <v>0</v>
      </c>
      <c r="E16" s="21">
        <f t="shared" si="2"/>
        <v>0</v>
      </c>
      <c r="F16" s="21">
        <f t="shared" si="2"/>
        <v>0</v>
      </c>
      <c r="G16" s="169">
        <v>-478237844</v>
      </c>
      <c r="H16" s="169">
        <v>0</v>
      </c>
      <c r="I16" s="169">
        <v>0</v>
      </c>
      <c r="J16" s="169">
        <v>0</v>
      </c>
      <c r="K16" s="22">
        <f>+C16+G16</f>
        <v>0</v>
      </c>
      <c r="L16" s="22">
        <f t="shared" ref="L16:N24" si="3">+D16+H16</f>
        <v>0</v>
      </c>
      <c r="M16" s="22">
        <f t="shared" si="3"/>
        <v>0</v>
      </c>
      <c r="N16" s="22">
        <f t="shared" si="3"/>
        <v>0</v>
      </c>
    </row>
    <row r="17" spans="1:14">
      <c r="A17" s="19">
        <v>2</v>
      </c>
      <c r="B17" s="20" t="s">
        <v>35</v>
      </c>
      <c r="C17" s="21">
        <f>+K6-(49933303-23693209)</f>
        <v>23693209</v>
      </c>
      <c r="D17" s="21">
        <f t="shared" si="2"/>
        <v>0</v>
      </c>
      <c r="E17" s="21">
        <f t="shared" si="2"/>
        <v>480326</v>
      </c>
      <c r="F17" s="21">
        <f t="shared" si="2"/>
        <v>0</v>
      </c>
      <c r="G17" s="169">
        <v>-23693209</v>
      </c>
      <c r="H17" s="169">
        <v>0</v>
      </c>
      <c r="I17" s="169">
        <v>0</v>
      </c>
      <c r="J17" s="169">
        <v>0</v>
      </c>
      <c r="K17" s="22">
        <f t="shared" ref="K17:K24" si="4">+C17+G17</f>
        <v>0</v>
      </c>
      <c r="L17" s="22">
        <f t="shared" si="3"/>
        <v>0</v>
      </c>
      <c r="M17" s="22">
        <f t="shared" si="3"/>
        <v>480326</v>
      </c>
      <c r="N17" s="22">
        <f t="shared" si="3"/>
        <v>0</v>
      </c>
    </row>
    <row r="18" spans="1:14">
      <c r="A18" s="19">
        <v>3</v>
      </c>
      <c r="B18" s="24" t="s">
        <v>36</v>
      </c>
      <c r="C18" s="21">
        <f t="shared" ref="C18:C23" si="5">+K7</f>
        <v>0</v>
      </c>
      <c r="D18" s="21">
        <f t="shared" si="2"/>
        <v>0</v>
      </c>
      <c r="E18" s="21">
        <f t="shared" si="2"/>
        <v>0</v>
      </c>
      <c r="F18" s="21">
        <f>+N7</f>
        <v>38057623</v>
      </c>
      <c r="G18" s="169">
        <v>0</v>
      </c>
      <c r="H18" s="169">
        <v>0</v>
      </c>
      <c r="I18" s="169">
        <v>0</v>
      </c>
      <c r="J18" s="169">
        <v>0</v>
      </c>
      <c r="K18" s="22">
        <f t="shared" si="4"/>
        <v>0</v>
      </c>
      <c r="L18" s="22">
        <f t="shared" si="3"/>
        <v>0</v>
      </c>
      <c r="M18" s="22">
        <f t="shared" si="3"/>
        <v>0</v>
      </c>
      <c r="N18" s="22">
        <f t="shared" si="3"/>
        <v>38057623</v>
      </c>
    </row>
    <row r="19" spans="1:14">
      <c r="A19" s="19">
        <v>4</v>
      </c>
      <c r="B19" s="24" t="s">
        <v>37</v>
      </c>
      <c r="C19" s="21">
        <f t="shared" si="5"/>
        <v>0</v>
      </c>
      <c r="D19" s="21">
        <f t="shared" si="2"/>
        <v>0</v>
      </c>
      <c r="E19" s="21">
        <f t="shared" si="2"/>
        <v>0</v>
      </c>
      <c r="F19" s="21">
        <f t="shared" si="2"/>
        <v>943832</v>
      </c>
      <c r="G19" s="169">
        <v>0</v>
      </c>
      <c r="H19" s="169">
        <v>0</v>
      </c>
      <c r="I19" s="169">
        <v>0</v>
      </c>
      <c r="J19" s="169">
        <v>0</v>
      </c>
      <c r="K19" s="22">
        <f t="shared" si="4"/>
        <v>0</v>
      </c>
      <c r="L19" s="22">
        <f t="shared" si="3"/>
        <v>0</v>
      </c>
      <c r="M19" s="22">
        <f t="shared" si="3"/>
        <v>0</v>
      </c>
      <c r="N19" s="22">
        <f t="shared" si="3"/>
        <v>943832</v>
      </c>
    </row>
    <row r="20" spans="1:14">
      <c r="A20" s="19">
        <v>5</v>
      </c>
      <c r="B20" s="24" t="s">
        <v>38</v>
      </c>
      <c r="C20" s="21">
        <f t="shared" si="5"/>
        <v>0</v>
      </c>
      <c r="D20" s="21">
        <f t="shared" si="2"/>
        <v>0</v>
      </c>
      <c r="E20" s="21">
        <f t="shared" si="2"/>
        <v>0</v>
      </c>
      <c r="F20" s="21">
        <f t="shared" si="2"/>
        <v>73219100</v>
      </c>
      <c r="G20" s="169">
        <v>0</v>
      </c>
      <c r="H20" s="169">
        <v>0</v>
      </c>
      <c r="I20" s="169">
        <v>0</v>
      </c>
      <c r="J20" s="169">
        <v>0</v>
      </c>
      <c r="K20" s="22">
        <f t="shared" si="4"/>
        <v>0</v>
      </c>
      <c r="L20" s="22">
        <f t="shared" si="3"/>
        <v>0</v>
      </c>
      <c r="M20" s="22">
        <f t="shared" si="3"/>
        <v>0</v>
      </c>
      <c r="N20" s="22">
        <f t="shared" si="3"/>
        <v>73219100</v>
      </c>
    </row>
    <row r="21" spans="1:14">
      <c r="A21" s="19">
        <v>6</v>
      </c>
      <c r="B21" s="24" t="s">
        <v>11</v>
      </c>
      <c r="C21" s="21">
        <f t="shared" si="5"/>
        <v>0</v>
      </c>
      <c r="D21" s="21">
        <f t="shared" si="2"/>
        <v>0</v>
      </c>
      <c r="E21" s="21">
        <f t="shared" si="2"/>
        <v>0</v>
      </c>
      <c r="F21" s="21">
        <f t="shared" si="2"/>
        <v>0</v>
      </c>
      <c r="G21" s="169">
        <v>0</v>
      </c>
      <c r="H21" s="169">
        <v>0</v>
      </c>
      <c r="I21" s="169">
        <v>0</v>
      </c>
      <c r="J21" s="169">
        <v>0</v>
      </c>
      <c r="K21" s="22">
        <f t="shared" si="4"/>
        <v>0</v>
      </c>
      <c r="L21" s="22">
        <f t="shared" si="3"/>
        <v>0</v>
      </c>
      <c r="M21" s="22">
        <f t="shared" si="3"/>
        <v>0</v>
      </c>
      <c r="N21" s="22">
        <f t="shared" si="3"/>
        <v>0</v>
      </c>
    </row>
    <row r="22" spans="1:14">
      <c r="A22" s="19">
        <v>7</v>
      </c>
      <c r="B22" s="2" t="s">
        <v>12</v>
      </c>
      <c r="C22" s="21">
        <f t="shared" si="5"/>
        <v>0</v>
      </c>
      <c r="D22" s="21">
        <f t="shared" si="2"/>
        <v>0</v>
      </c>
      <c r="E22" s="21">
        <f t="shared" si="2"/>
        <v>0</v>
      </c>
      <c r="F22" s="21">
        <f t="shared" si="2"/>
        <v>0</v>
      </c>
      <c r="G22" s="169">
        <v>0</v>
      </c>
      <c r="H22" s="169">
        <v>0</v>
      </c>
      <c r="I22" s="169">
        <v>0</v>
      </c>
      <c r="J22" s="169">
        <v>0</v>
      </c>
      <c r="K22" s="22">
        <f t="shared" si="4"/>
        <v>0</v>
      </c>
      <c r="L22" s="22">
        <f t="shared" si="3"/>
        <v>0</v>
      </c>
      <c r="M22" s="22">
        <f t="shared" si="3"/>
        <v>0</v>
      </c>
      <c r="N22" s="22">
        <f t="shared" si="3"/>
        <v>0</v>
      </c>
    </row>
    <row r="23" spans="1:14">
      <c r="A23" s="19">
        <v>8</v>
      </c>
      <c r="B23" s="2" t="s">
        <v>14</v>
      </c>
      <c r="C23" s="21">
        <f t="shared" si="5"/>
        <v>0</v>
      </c>
      <c r="D23" s="21">
        <f t="shared" si="2"/>
        <v>0</v>
      </c>
      <c r="E23" s="21">
        <f t="shared" si="2"/>
        <v>0</v>
      </c>
      <c r="F23" s="21">
        <f t="shared" si="2"/>
        <v>0</v>
      </c>
      <c r="G23" s="169">
        <v>0</v>
      </c>
      <c r="H23" s="169">
        <v>0</v>
      </c>
      <c r="I23" s="169">
        <v>0</v>
      </c>
      <c r="J23" s="169">
        <v>0</v>
      </c>
      <c r="K23" s="22">
        <f t="shared" si="4"/>
        <v>0</v>
      </c>
      <c r="L23" s="22">
        <f t="shared" si="3"/>
        <v>0</v>
      </c>
      <c r="M23" s="22">
        <f t="shared" si="3"/>
        <v>0</v>
      </c>
      <c r="N23" s="22">
        <f t="shared" si="3"/>
        <v>0</v>
      </c>
    </row>
    <row r="24" spans="1:14">
      <c r="A24" s="2"/>
      <c r="B24" s="2"/>
      <c r="C24" s="23"/>
      <c r="D24" s="23"/>
      <c r="E24" s="23"/>
      <c r="F24" s="23"/>
      <c r="G24" s="169">
        <v>0</v>
      </c>
      <c r="H24" s="169">
        <v>0</v>
      </c>
      <c r="I24" s="169">
        <v>0</v>
      </c>
      <c r="J24" s="169">
        <v>0</v>
      </c>
      <c r="K24" s="22">
        <f t="shared" si="4"/>
        <v>0</v>
      </c>
      <c r="L24" s="22">
        <f t="shared" si="3"/>
        <v>0</v>
      </c>
      <c r="M24" s="22">
        <f t="shared" si="3"/>
        <v>0</v>
      </c>
      <c r="N24" s="22">
        <f t="shared" si="3"/>
        <v>0</v>
      </c>
    </row>
    <row r="25" spans="1:14">
      <c r="G25" s="72"/>
      <c r="H25" s="72"/>
      <c r="I25" s="72"/>
      <c r="J25" s="72"/>
    </row>
    <row r="26" spans="1:14">
      <c r="A26" s="13"/>
      <c r="B26" s="14" t="s">
        <v>15</v>
      </c>
      <c r="C26" s="339" t="s">
        <v>26</v>
      </c>
      <c r="D26" s="339"/>
      <c r="E26" s="339"/>
      <c r="F26" s="339"/>
      <c r="G26" s="340" t="s">
        <v>27</v>
      </c>
      <c r="H26" s="340"/>
      <c r="I26" s="340"/>
      <c r="J26" s="340"/>
      <c r="K26" s="341" t="s">
        <v>7</v>
      </c>
      <c r="L26" s="341"/>
      <c r="M26" s="341"/>
      <c r="N26" s="341"/>
    </row>
    <row r="27" spans="1:14" ht="30">
      <c r="A27" s="15" t="s">
        <v>28</v>
      </c>
      <c r="B27" s="15" t="s">
        <v>2</v>
      </c>
      <c r="C27" s="16" t="s">
        <v>29</v>
      </c>
      <c r="D27" s="16" t="s">
        <v>30</v>
      </c>
      <c r="E27" s="16" t="s">
        <v>31</v>
      </c>
      <c r="F27" s="16" t="s">
        <v>32</v>
      </c>
      <c r="G27" s="17" t="s">
        <v>29</v>
      </c>
      <c r="H27" s="17" t="s">
        <v>30</v>
      </c>
      <c r="I27" s="17" t="s">
        <v>31</v>
      </c>
      <c r="J27" s="17" t="s">
        <v>32</v>
      </c>
      <c r="K27" s="18" t="s">
        <v>29</v>
      </c>
      <c r="L27" s="18" t="s">
        <v>30</v>
      </c>
      <c r="M27" s="18" t="s">
        <v>31</v>
      </c>
      <c r="N27" s="18" t="s">
        <v>32</v>
      </c>
    </row>
    <row r="28" spans="1:14">
      <c r="A28" s="19">
        <v>1</v>
      </c>
      <c r="B28" s="20" t="s">
        <v>35</v>
      </c>
      <c r="C28" s="21">
        <f>+K17</f>
        <v>0</v>
      </c>
      <c r="D28" s="21">
        <f t="shared" ref="D28:F34" si="6">+L17</f>
        <v>0</v>
      </c>
      <c r="E28" s="21">
        <f t="shared" si="6"/>
        <v>480326</v>
      </c>
      <c r="F28" s="21">
        <f t="shared" si="6"/>
        <v>0</v>
      </c>
      <c r="G28" s="169">
        <v>0</v>
      </c>
      <c r="H28" s="169">
        <v>0</v>
      </c>
      <c r="I28" s="169">
        <v>0</v>
      </c>
      <c r="J28" s="169">
        <v>0</v>
      </c>
      <c r="K28" s="22">
        <f>+C28+G28</f>
        <v>0</v>
      </c>
      <c r="L28" s="22">
        <f t="shared" ref="L28:N36" si="7">+D28+H28</f>
        <v>0</v>
      </c>
      <c r="M28" s="22">
        <f t="shared" si="7"/>
        <v>480326</v>
      </c>
      <c r="N28" s="22">
        <f t="shared" si="7"/>
        <v>0</v>
      </c>
    </row>
    <row r="29" spans="1:14">
      <c r="A29" s="19">
        <v>2</v>
      </c>
      <c r="B29" s="24" t="s">
        <v>36</v>
      </c>
      <c r="C29" s="21">
        <f t="shared" ref="C29:C34" si="8">+K18</f>
        <v>0</v>
      </c>
      <c r="D29" s="21">
        <f t="shared" si="6"/>
        <v>0</v>
      </c>
      <c r="E29" s="21">
        <f t="shared" si="6"/>
        <v>0</v>
      </c>
      <c r="F29" s="21">
        <f t="shared" si="6"/>
        <v>38057623</v>
      </c>
      <c r="G29" s="169">
        <v>0</v>
      </c>
      <c r="H29" s="169">
        <v>0</v>
      </c>
      <c r="I29" s="169">
        <v>0</v>
      </c>
      <c r="J29" s="169">
        <v>0</v>
      </c>
      <c r="K29" s="22">
        <f t="shared" ref="K29:K36" si="9">+C29+G29</f>
        <v>0</v>
      </c>
      <c r="L29" s="22">
        <f t="shared" si="7"/>
        <v>0</v>
      </c>
      <c r="M29" s="22">
        <f t="shared" si="7"/>
        <v>0</v>
      </c>
      <c r="N29" s="22">
        <f t="shared" si="7"/>
        <v>38057623</v>
      </c>
    </row>
    <row r="30" spans="1:14">
      <c r="A30" s="19">
        <v>3</v>
      </c>
      <c r="B30" s="24" t="s">
        <v>37</v>
      </c>
      <c r="C30" s="21">
        <f t="shared" si="8"/>
        <v>0</v>
      </c>
      <c r="D30" s="21">
        <f t="shared" si="6"/>
        <v>0</v>
      </c>
      <c r="E30" s="21">
        <f t="shared" si="6"/>
        <v>0</v>
      </c>
      <c r="F30" s="21">
        <f t="shared" si="6"/>
        <v>943832</v>
      </c>
      <c r="G30" s="169">
        <v>0</v>
      </c>
      <c r="H30" s="169">
        <v>0</v>
      </c>
      <c r="I30" s="169">
        <v>0</v>
      </c>
      <c r="J30" s="169">
        <v>0</v>
      </c>
      <c r="K30" s="22">
        <f t="shared" si="9"/>
        <v>0</v>
      </c>
      <c r="L30" s="22">
        <f t="shared" si="7"/>
        <v>0</v>
      </c>
      <c r="M30" s="22">
        <f t="shared" si="7"/>
        <v>0</v>
      </c>
      <c r="N30" s="22">
        <f t="shared" si="7"/>
        <v>943832</v>
      </c>
    </row>
    <row r="31" spans="1:14">
      <c r="A31" s="19">
        <v>4</v>
      </c>
      <c r="B31" s="24" t="s">
        <v>38</v>
      </c>
      <c r="C31" s="21">
        <f t="shared" si="8"/>
        <v>0</v>
      </c>
      <c r="D31" s="21">
        <f t="shared" si="6"/>
        <v>0</v>
      </c>
      <c r="E31" s="21">
        <f t="shared" si="6"/>
        <v>0</v>
      </c>
      <c r="F31" s="21">
        <f t="shared" si="6"/>
        <v>73219100</v>
      </c>
      <c r="G31" s="169">
        <v>0</v>
      </c>
      <c r="H31" s="169">
        <v>0</v>
      </c>
      <c r="I31" s="169">
        <v>0</v>
      </c>
      <c r="J31" s="169">
        <v>0</v>
      </c>
      <c r="K31" s="22">
        <f t="shared" si="9"/>
        <v>0</v>
      </c>
      <c r="L31" s="22">
        <f t="shared" si="7"/>
        <v>0</v>
      </c>
      <c r="M31" s="22">
        <f t="shared" si="7"/>
        <v>0</v>
      </c>
      <c r="N31" s="22">
        <f t="shared" si="7"/>
        <v>73219100</v>
      </c>
    </row>
    <row r="32" spans="1:14">
      <c r="A32" s="19">
        <v>5</v>
      </c>
      <c r="B32" s="24" t="s">
        <v>11</v>
      </c>
      <c r="C32" s="21">
        <f t="shared" si="8"/>
        <v>0</v>
      </c>
      <c r="D32" s="21">
        <f t="shared" si="6"/>
        <v>0</v>
      </c>
      <c r="E32" s="21">
        <f t="shared" si="6"/>
        <v>0</v>
      </c>
      <c r="F32" s="21">
        <f t="shared" si="6"/>
        <v>0</v>
      </c>
      <c r="G32" s="169">
        <v>0</v>
      </c>
      <c r="H32" s="169">
        <v>0</v>
      </c>
      <c r="I32" s="169">
        <v>0</v>
      </c>
      <c r="J32" s="169">
        <v>0</v>
      </c>
      <c r="K32" s="22">
        <f t="shared" si="9"/>
        <v>0</v>
      </c>
      <c r="L32" s="22">
        <f t="shared" si="7"/>
        <v>0</v>
      </c>
      <c r="M32" s="22">
        <f t="shared" si="7"/>
        <v>0</v>
      </c>
      <c r="N32" s="22">
        <f t="shared" si="7"/>
        <v>0</v>
      </c>
    </row>
    <row r="33" spans="1:14">
      <c r="A33" s="19">
        <v>6</v>
      </c>
      <c r="B33" s="2" t="s">
        <v>12</v>
      </c>
      <c r="C33" s="21">
        <f t="shared" si="8"/>
        <v>0</v>
      </c>
      <c r="D33" s="21">
        <f t="shared" si="6"/>
        <v>0</v>
      </c>
      <c r="E33" s="21">
        <f t="shared" si="6"/>
        <v>0</v>
      </c>
      <c r="F33" s="21">
        <f t="shared" si="6"/>
        <v>0</v>
      </c>
      <c r="G33" s="169">
        <v>0</v>
      </c>
      <c r="H33" s="169">
        <v>0</v>
      </c>
      <c r="I33" s="169">
        <v>0</v>
      </c>
      <c r="J33" s="169">
        <v>0</v>
      </c>
      <c r="K33" s="22">
        <f t="shared" si="9"/>
        <v>0</v>
      </c>
      <c r="L33" s="22">
        <f t="shared" si="7"/>
        <v>0</v>
      </c>
      <c r="M33" s="22">
        <f t="shared" si="7"/>
        <v>0</v>
      </c>
      <c r="N33" s="22">
        <f t="shared" si="7"/>
        <v>0</v>
      </c>
    </row>
    <row r="34" spans="1:14">
      <c r="A34" s="19">
        <v>7</v>
      </c>
      <c r="B34" s="2" t="s">
        <v>14</v>
      </c>
      <c r="C34" s="21">
        <f t="shared" si="8"/>
        <v>0</v>
      </c>
      <c r="D34" s="21">
        <f t="shared" si="6"/>
        <v>0</v>
      </c>
      <c r="E34" s="21">
        <f t="shared" si="6"/>
        <v>0</v>
      </c>
      <c r="F34" s="21">
        <f t="shared" si="6"/>
        <v>0</v>
      </c>
      <c r="G34" s="169">
        <v>0</v>
      </c>
      <c r="H34" s="169">
        <v>0</v>
      </c>
      <c r="I34" s="169">
        <v>0</v>
      </c>
      <c r="J34" s="169">
        <v>0</v>
      </c>
      <c r="K34" s="22">
        <f t="shared" si="9"/>
        <v>0</v>
      </c>
      <c r="L34" s="22">
        <f t="shared" si="7"/>
        <v>0</v>
      </c>
      <c r="M34" s="22">
        <f t="shared" si="7"/>
        <v>0</v>
      </c>
      <c r="N34" s="22">
        <f t="shared" si="7"/>
        <v>0</v>
      </c>
    </row>
    <row r="35" spans="1:14">
      <c r="A35" s="19">
        <v>8</v>
      </c>
      <c r="B35" s="2" t="s">
        <v>15</v>
      </c>
      <c r="C35" s="21">
        <v>0</v>
      </c>
      <c r="D35" s="21">
        <v>0</v>
      </c>
      <c r="E35" s="21">
        <v>0</v>
      </c>
      <c r="F35" s="21">
        <v>0</v>
      </c>
      <c r="G35" s="169">
        <v>0</v>
      </c>
      <c r="H35" s="169">
        <v>0</v>
      </c>
      <c r="I35" s="169">
        <v>0</v>
      </c>
      <c r="J35" s="169">
        <v>0</v>
      </c>
      <c r="K35" s="22">
        <f t="shared" si="9"/>
        <v>0</v>
      </c>
      <c r="L35" s="22">
        <f t="shared" si="7"/>
        <v>0</v>
      </c>
      <c r="M35" s="22">
        <f t="shared" si="7"/>
        <v>0</v>
      </c>
      <c r="N35" s="22">
        <f t="shared" si="7"/>
        <v>0</v>
      </c>
    </row>
    <row r="36" spans="1:14">
      <c r="A36" s="2"/>
      <c r="B36" s="2"/>
      <c r="C36" s="23"/>
      <c r="D36" s="23"/>
      <c r="E36" s="23"/>
      <c r="F36" s="23"/>
      <c r="G36" s="169">
        <v>0</v>
      </c>
      <c r="H36" s="169">
        <v>0</v>
      </c>
      <c r="I36" s="169">
        <v>0</v>
      </c>
      <c r="J36" s="169">
        <v>0</v>
      </c>
      <c r="K36" s="22">
        <f t="shared" si="9"/>
        <v>0</v>
      </c>
      <c r="L36" s="22">
        <f t="shared" si="7"/>
        <v>0</v>
      </c>
      <c r="M36" s="22">
        <f t="shared" si="7"/>
        <v>0</v>
      </c>
      <c r="N36" s="22">
        <f t="shared" si="7"/>
        <v>0</v>
      </c>
    </row>
    <row r="38" spans="1:14">
      <c r="A38" s="13"/>
      <c r="B38" s="14" t="s">
        <v>16</v>
      </c>
      <c r="C38" s="339" t="s">
        <v>26</v>
      </c>
      <c r="D38" s="339"/>
      <c r="E38" s="339"/>
      <c r="F38" s="339"/>
      <c r="G38" s="340" t="s">
        <v>742</v>
      </c>
      <c r="H38" s="340"/>
      <c r="I38" s="340"/>
      <c r="J38" s="340"/>
      <c r="K38" s="341" t="s">
        <v>7</v>
      </c>
      <c r="L38" s="341"/>
      <c r="M38" s="341"/>
      <c r="N38" s="341"/>
    </row>
    <row r="39" spans="1:14" ht="30">
      <c r="A39" s="15" t="s">
        <v>28</v>
      </c>
      <c r="B39" s="15" t="s">
        <v>2</v>
      </c>
      <c r="C39" s="16" t="s">
        <v>29</v>
      </c>
      <c r="D39" s="16" t="s">
        <v>30</v>
      </c>
      <c r="E39" s="16" t="s">
        <v>31</v>
      </c>
      <c r="F39" s="16" t="s">
        <v>32</v>
      </c>
      <c r="G39" s="17" t="s">
        <v>29</v>
      </c>
      <c r="H39" s="17" t="s">
        <v>30</v>
      </c>
      <c r="I39" s="17" t="s">
        <v>31</v>
      </c>
      <c r="J39" s="17" t="s">
        <v>32</v>
      </c>
      <c r="K39" s="18" t="s">
        <v>29</v>
      </c>
      <c r="L39" s="18" t="s">
        <v>30</v>
      </c>
      <c r="M39" s="18" t="s">
        <v>31</v>
      </c>
      <c r="N39" s="18" t="s">
        <v>32</v>
      </c>
    </row>
    <row r="40" spans="1:14">
      <c r="A40" s="19">
        <v>1</v>
      </c>
      <c r="B40" s="24" t="s">
        <v>36</v>
      </c>
      <c r="C40" s="21">
        <f>+K29</f>
        <v>0</v>
      </c>
      <c r="D40" s="21">
        <f t="shared" ref="D40:F46" si="10">+L29</f>
        <v>0</v>
      </c>
      <c r="E40" s="21">
        <f t="shared" si="10"/>
        <v>0</v>
      </c>
      <c r="F40" s="21">
        <f t="shared" si="10"/>
        <v>38057623</v>
      </c>
      <c r="G40" s="169">
        <v>0</v>
      </c>
      <c r="H40" s="169">
        <v>0</v>
      </c>
      <c r="I40" s="169">
        <v>0</v>
      </c>
      <c r="J40" s="169">
        <v>0</v>
      </c>
      <c r="K40" s="22">
        <f>+C40+G40</f>
        <v>0</v>
      </c>
      <c r="L40" s="22">
        <f t="shared" ref="L40:N48" si="11">+D40+H40</f>
        <v>0</v>
      </c>
      <c r="M40" s="22">
        <f t="shared" si="11"/>
        <v>0</v>
      </c>
      <c r="N40" s="22">
        <f t="shared" si="11"/>
        <v>38057623</v>
      </c>
    </row>
    <row r="41" spans="1:14">
      <c r="A41" s="19">
        <v>2</v>
      </c>
      <c r="B41" s="24" t="s">
        <v>37</v>
      </c>
      <c r="C41" s="21">
        <f t="shared" ref="C41:C46" si="12">+K30</f>
        <v>0</v>
      </c>
      <c r="D41" s="21">
        <f t="shared" si="10"/>
        <v>0</v>
      </c>
      <c r="E41" s="21">
        <f t="shared" si="10"/>
        <v>0</v>
      </c>
      <c r="F41" s="21">
        <f t="shared" si="10"/>
        <v>943832</v>
      </c>
      <c r="G41" s="169">
        <v>0</v>
      </c>
      <c r="H41" s="169">
        <v>0</v>
      </c>
      <c r="I41" s="169">
        <v>0</v>
      </c>
      <c r="J41" s="169">
        <v>0</v>
      </c>
      <c r="K41" s="22">
        <f t="shared" ref="K41:K48" si="13">+C41+G41</f>
        <v>0</v>
      </c>
      <c r="L41" s="22">
        <f t="shared" si="11"/>
        <v>0</v>
      </c>
      <c r="M41" s="22">
        <f t="shared" si="11"/>
        <v>0</v>
      </c>
      <c r="N41" s="22">
        <f t="shared" si="11"/>
        <v>943832</v>
      </c>
    </row>
    <row r="42" spans="1:14">
      <c r="A42" s="19">
        <v>3</v>
      </c>
      <c r="B42" s="24" t="s">
        <v>38</v>
      </c>
      <c r="C42" s="21">
        <f t="shared" si="12"/>
        <v>0</v>
      </c>
      <c r="D42" s="21">
        <f t="shared" si="10"/>
        <v>0</v>
      </c>
      <c r="E42" s="21">
        <f t="shared" si="10"/>
        <v>0</v>
      </c>
      <c r="F42" s="21">
        <f t="shared" si="10"/>
        <v>73219100</v>
      </c>
      <c r="G42" s="169">
        <v>0</v>
      </c>
      <c r="H42" s="169">
        <v>0</v>
      </c>
      <c r="I42" s="169">
        <v>0</v>
      </c>
      <c r="J42" s="169">
        <v>0</v>
      </c>
      <c r="K42" s="22">
        <f t="shared" si="13"/>
        <v>0</v>
      </c>
      <c r="L42" s="22">
        <f t="shared" si="11"/>
        <v>0</v>
      </c>
      <c r="M42" s="22">
        <f t="shared" si="11"/>
        <v>0</v>
      </c>
      <c r="N42" s="22">
        <f t="shared" si="11"/>
        <v>73219100</v>
      </c>
    </row>
    <row r="43" spans="1:14">
      <c r="A43" s="19">
        <v>4</v>
      </c>
      <c r="B43" s="24" t="s">
        <v>11</v>
      </c>
      <c r="C43" s="21">
        <f t="shared" si="12"/>
        <v>0</v>
      </c>
      <c r="D43" s="21">
        <f t="shared" si="10"/>
        <v>0</v>
      </c>
      <c r="E43" s="21">
        <f t="shared" si="10"/>
        <v>0</v>
      </c>
      <c r="F43" s="21">
        <f t="shared" si="10"/>
        <v>0</v>
      </c>
      <c r="G43" s="169">
        <v>0</v>
      </c>
      <c r="H43" s="169">
        <v>0</v>
      </c>
      <c r="I43" s="169">
        <v>0</v>
      </c>
      <c r="J43" s="169">
        <v>0</v>
      </c>
      <c r="K43" s="22">
        <f t="shared" si="13"/>
        <v>0</v>
      </c>
      <c r="L43" s="22">
        <f t="shared" si="11"/>
        <v>0</v>
      </c>
      <c r="M43" s="22">
        <f t="shared" si="11"/>
        <v>0</v>
      </c>
      <c r="N43" s="22">
        <f t="shared" si="11"/>
        <v>0</v>
      </c>
    </row>
    <row r="44" spans="1:14">
      <c r="A44" s="19">
        <v>5</v>
      </c>
      <c r="B44" s="2" t="s">
        <v>12</v>
      </c>
      <c r="C44" s="21">
        <f t="shared" si="12"/>
        <v>0</v>
      </c>
      <c r="D44" s="21">
        <f t="shared" si="10"/>
        <v>0</v>
      </c>
      <c r="E44" s="21">
        <f t="shared" si="10"/>
        <v>0</v>
      </c>
      <c r="F44" s="21">
        <f t="shared" si="10"/>
        <v>0</v>
      </c>
      <c r="G44" s="169">
        <v>0</v>
      </c>
      <c r="H44" s="169">
        <v>0</v>
      </c>
      <c r="I44" s="169">
        <v>0</v>
      </c>
      <c r="J44" s="169">
        <v>0</v>
      </c>
      <c r="K44" s="22">
        <f t="shared" si="13"/>
        <v>0</v>
      </c>
      <c r="L44" s="22">
        <f t="shared" si="11"/>
        <v>0</v>
      </c>
      <c r="M44" s="22">
        <f t="shared" si="11"/>
        <v>0</v>
      </c>
      <c r="N44" s="22">
        <f t="shared" si="11"/>
        <v>0</v>
      </c>
    </row>
    <row r="45" spans="1:14">
      <c r="A45" s="19">
        <v>6</v>
      </c>
      <c r="B45" s="2" t="s">
        <v>14</v>
      </c>
      <c r="C45" s="21">
        <f t="shared" si="12"/>
        <v>0</v>
      </c>
      <c r="D45" s="21">
        <f t="shared" si="10"/>
        <v>0</v>
      </c>
      <c r="E45" s="21">
        <f t="shared" si="10"/>
        <v>0</v>
      </c>
      <c r="F45" s="21">
        <f t="shared" si="10"/>
        <v>0</v>
      </c>
      <c r="G45" s="169">
        <v>0</v>
      </c>
      <c r="H45" s="169">
        <v>0</v>
      </c>
      <c r="I45" s="169">
        <v>0</v>
      </c>
      <c r="J45" s="169">
        <v>0</v>
      </c>
      <c r="K45" s="22">
        <f t="shared" si="13"/>
        <v>0</v>
      </c>
      <c r="L45" s="22">
        <f t="shared" si="11"/>
        <v>0</v>
      </c>
      <c r="M45" s="22">
        <f t="shared" si="11"/>
        <v>0</v>
      </c>
      <c r="N45" s="22">
        <f t="shared" si="11"/>
        <v>0</v>
      </c>
    </row>
    <row r="46" spans="1:14">
      <c r="A46" s="19">
        <v>7</v>
      </c>
      <c r="B46" s="2" t="s">
        <v>15</v>
      </c>
      <c r="C46" s="21">
        <f t="shared" si="12"/>
        <v>0</v>
      </c>
      <c r="D46" s="21">
        <f t="shared" si="10"/>
        <v>0</v>
      </c>
      <c r="E46" s="21">
        <f t="shared" si="10"/>
        <v>0</v>
      </c>
      <c r="F46" s="21">
        <f t="shared" si="10"/>
        <v>0</v>
      </c>
      <c r="G46" s="169">
        <v>0</v>
      </c>
      <c r="H46" s="169">
        <v>0</v>
      </c>
      <c r="I46" s="169">
        <v>0</v>
      </c>
      <c r="J46" s="169">
        <v>0</v>
      </c>
      <c r="K46" s="22">
        <f t="shared" si="13"/>
        <v>0</v>
      </c>
      <c r="L46" s="22">
        <f t="shared" si="11"/>
        <v>0</v>
      </c>
      <c r="M46" s="22">
        <f t="shared" si="11"/>
        <v>0</v>
      </c>
      <c r="N46" s="22">
        <f t="shared" si="11"/>
        <v>0</v>
      </c>
    </row>
    <row r="47" spans="1:14">
      <c r="A47" s="19">
        <v>8</v>
      </c>
      <c r="B47" s="2" t="s">
        <v>16</v>
      </c>
      <c r="C47" s="21">
        <v>0</v>
      </c>
      <c r="D47" s="21">
        <v>0</v>
      </c>
      <c r="E47" s="21">
        <v>0</v>
      </c>
      <c r="F47" s="21">
        <v>0</v>
      </c>
      <c r="G47" s="169">
        <v>0</v>
      </c>
      <c r="H47" s="169">
        <v>0</v>
      </c>
      <c r="I47" s="169">
        <v>0</v>
      </c>
      <c r="J47" s="169">
        <f>-LTCG!E31</f>
        <v>42321834.773333371</v>
      </c>
      <c r="K47" s="22">
        <f t="shared" si="13"/>
        <v>0</v>
      </c>
      <c r="L47" s="22">
        <f t="shared" si="11"/>
        <v>0</v>
      </c>
      <c r="M47" s="22">
        <f t="shared" si="11"/>
        <v>0</v>
      </c>
      <c r="N47" s="22">
        <f t="shared" si="11"/>
        <v>42321834.773333371</v>
      </c>
    </row>
    <row r="48" spans="1:14">
      <c r="A48" s="2"/>
      <c r="B48" s="2"/>
      <c r="C48" s="23"/>
      <c r="D48" s="23"/>
      <c r="E48" s="23"/>
      <c r="F48" s="23"/>
      <c r="G48" s="169">
        <v>0</v>
      </c>
      <c r="H48" s="169">
        <v>0</v>
      </c>
      <c r="I48" s="169">
        <v>0</v>
      </c>
      <c r="J48" s="169">
        <v>0</v>
      </c>
      <c r="K48" s="22">
        <f t="shared" si="13"/>
        <v>0</v>
      </c>
      <c r="L48" s="22">
        <f t="shared" si="11"/>
        <v>0</v>
      </c>
      <c r="M48" s="22">
        <f t="shared" si="11"/>
        <v>0</v>
      </c>
      <c r="N48" s="22">
        <f t="shared" si="11"/>
        <v>0</v>
      </c>
    </row>
    <row r="50" spans="1:14">
      <c r="A50" s="13"/>
      <c r="B50" s="14" t="s">
        <v>17</v>
      </c>
      <c r="C50" s="339" t="s">
        <v>26</v>
      </c>
      <c r="D50" s="339"/>
      <c r="E50" s="339"/>
      <c r="F50" s="339"/>
      <c r="G50" s="340" t="s">
        <v>742</v>
      </c>
      <c r="H50" s="340"/>
      <c r="I50" s="340"/>
      <c r="J50" s="340"/>
      <c r="K50" s="341" t="s">
        <v>7</v>
      </c>
      <c r="L50" s="341"/>
      <c r="M50" s="341"/>
      <c r="N50" s="341"/>
    </row>
    <row r="51" spans="1:14" ht="30">
      <c r="A51" s="15" t="s">
        <v>28</v>
      </c>
      <c r="B51" s="15" t="s">
        <v>2</v>
      </c>
      <c r="C51" s="16" t="s">
        <v>29</v>
      </c>
      <c r="D51" s="16" t="s">
        <v>30</v>
      </c>
      <c r="E51" s="16" t="s">
        <v>31</v>
      </c>
      <c r="F51" s="16" t="s">
        <v>32</v>
      </c>
      <c r="G51" s="17" t="s">
        <v>29</v>
      </c>
      <c r="H51" s="17" t="s">
        <v>30</v>
      </c>
      <c r="I51" s="17" t="s">
        <v>31</v>
      </c>
      <c r="J51" s="17" t="s">
        <v>32</v>
      </c>
      <c r="K51" s="18" t="s">
        <v>29</v>
      </c>
      <c r="L51" s="18" t="s">
        <v>30</v>
      </c>
      <c r="M51" s="18" t="s">
        <v>31</v>
      </c>
      <c r="N51" s="18" t="s">
        <v>32</v>
      </c>
    </row>
    <row r="52" spans="1:14">
      <c r="A52" s="19">
        <v>1</v>
      </c>
      <c r="B52" s="24" t="s">
        <v>37</v>
      </c>
      <c r="C52" s="21">
        <f>+K41</f>
        <v>0</v>
      </c>
      <c r="D52" s="21">
        <f t="shared" ref="D52:D58" si="14">+L41</f>
        <v>0</v>
      </c>
      <c r="E52" s="21">
        <f t="shared" ref="E52:E58" si="15">+M41</f>
        <v>0</v>
      </c>
      <c r="F52" s="21">
        <f t="shared" ref="F52:F58" si="16">+N41</f>
        <v>943832</v>
      </c>
      <c r="G52" s="169">
        <v>0</v>
      </c>
      <c r="H52" s="169">
        <v>0</v>
      </c>
      <c r="I52" s="169">
        <v>0</v>
      </c>
      <c r="J52" s="169">
        <v>0</v>
      </c>
      <c r="K52" s="22">
        <f>+C52+G52</f>
        <v>0</v>
      </c>
      <c r="L52" s="22">
        <f t="shared" ref="L52:L60" si="17">+D52+H52</f>
        <v>0</v>
      </c>
      <c r="M52" s="22">
        <f t="shared" ref="M52:M60" si="18">+E52+I52</f>
        <v>0</v>
      </c>
      <c r="N52" s="22">
        <f t="shared" ref="N52:N60" si="19">+F52+J52</f>
        <v>943832</v>
      </c>
    </row>
    <row r="53" spans="1:14">
      <c r="A53" s="19">
        <v>2</v>
      </c>
      <c r="B53" s="24" t="s">
        <v>38</v>
      </c>
      <c r="C53" s="21">
        <f t="shared" ref="C53:C58" si="20">+K42</f>
        <v>0</v>
      </c>
      <c r="D53" s="21">
        <f t="shared" si="14"/>
        <v>0</v>
      </c>
      <c r="E53" s="21">
        <f t="shared" si="15"/>
        <v>0</v>
      </c>
      <c r="F53" s="21">
        <f t="shared" si="16"/>
        <v>73219100</v>
      </c>
      <c r="G53" s="169">
        <v>0</v>
      </c>
      <c r="H53" s="169">
        <v>0</v>
      </c>
      <c r="I53" s="169">
        <v>0</v>
      </c>
      <c r="J53" s="169">
        <v>0</v>
      </c>
      <c r="K53" s="22">
        <f t="shared" ref="K53:K60" si="21">+C53+G53</f>
        <v>0</v>
      </c>
      <c r="L53" s="22">
        <f t="shared" si="17"/>
        <v>0</v>
      </c>
      <c r="M53" s="22">
        <f t="shared" si="18"/>
        <v>0</v>
      </c>
      <c r="N53" s="22">
        <f t="shared" si="19"/>
        <v>73219100</v>
      </c>
    </row>
    <row r="54" spans="1:14">
      <c r="A54" s="19">
        <v>3</v>
      </c>
      <c r="B54" s="24" t="s">
        <v>11</v>
      </c>
      <c r="C54" s="21">
        <f t="shared" si="20"/>
        <v>0</v>
      </c>
      <c r="D54" s="21">
        <f t="shared" si="14"/>
        <v>0</v>
      </c>
      <c r="E54" s="21">
        <f t="shared" si="15"/>
        <v>0</v>
      </c>
      <c r="F54" s="21">
        <f t="shared" si="16"/>
        <v>0</v>
      </c>
      <c r="G54" s="169">
        <v>0</v>
      </c>
      <c r="H54" s="169">
        <v>0</v>
      </c>
      <c r="I54" s="169">
        <v>0</v>
      </c>
      <c r="J54" s="169">
        <v>0</v>
      </c>
      <c r="K54" s="22">
        <f t="shared" si="21"/>
        <v>0</v>
      </c>
      <c r="L54" s="22">
        <f t="shared" si="17"/>
        <v>0</v>
      </c>
      <c r="M54" s="22">
        <f t="shared" si="18"/>
        <v>0</v>
      </c>
      <c r="N54" s="22">
        <f t="shared" si="19"/>
        <v>0</v>
      </c>
    </row>
    <row r="55" spans="1:14">
      <c r="A55" s="19">
        <v>4</v>
      </c>
      <c r="B55" s="2" t="s">
        <v>12</v>
      </c>
      <c r="C55" s="21">
        <f t="shared" si="20"/>
        <v>0</v>
      </c>
      <c r="D55" s="21">
        <f t="shared" si="14"/>
        <v>0</v>
      </c>
      <c r="E55" s="21">
        <f t="shared" si="15"/>
        <v>0</v>
      </c>
      <c r="F55" s="21">
        <f t="shared" si="16"/>
        <v>0</v>
      </c>
      <c r="G55" s="169">
        <v>0</v>
      </c>
      <c r="H55" s="169">
        <v>0</v>
      </c>
      <c r="I55" s="169">
        <v>0</v>
      </c>
      <c r="J55" s="169">
        <v>0</v>
      </c>
      <c r="K55" s="22">
        <f t="shared" si="21"/>
        <v>0</v>
      </c>
      <c r="L55" s="22">
        <f t="shared" si="17"/>
        <v>0</v>
      </c>
      <c r="M55" s="22">
        <f t="shared" si="18"/>
        <v>0</v>
      </c>
      <c r="N55" s="22">
        <f t="shared" si="19"/>
        <v>0</v>
      </c>
    </row>
    <row r="56" spans="1:14">
      <c r="A56" s="19">
        <v>5</v>
      </c>
      <c r="B56" s="2" t="s">
        <v>14</v>
      </c>
      <c r="C56" s="21">
        <f t="shared" si="20"/>
        <v>0</v>
      </c>
      <c r="D56" s="21">
        <f t="shared" si="14"/>
        <v>0</v>
      </c>
      <c r="E56" s="21">
        <f t="shared" si="15"/>
        <v>0</v>
      </c>
      <c r="F56" s="21">
        <f t="shared" si="16"/>
        <v>0</v>
      </c>
      <c r="G56" s="169">
        <v>0</v>
      </c>
      <c r="H56" s="169">
        <v>0</v>
      </c>
      <c r="I56" s="169">
        <v>0</v>
      </c>
      <c r="J56" s="169">
        <v>0</v>
      </c>
      <c r="K56" s="22">
        <f t="shared" si="21"/>
        <v>0</v>
      </c>
      <c r="L56" s="22">
        <f t="shared" si="17"/>
        <v>0</v>
      </c>
      <c r="M56" s="22">
        <f t="shared" si="18"/>
        <v>0</v>
      </c>
      <c r="N56" s="22">
        <f t="shared" si="19"/>
        <v>0</v>
      </c>
    </row>
    <row r="57" spans="1:14">
      <c r="A57" s="19">
        <v>6</v>
      </c>
      <c r="B57" s="2" t="s">
        <v>15</v>
      </c>
      <c r="C57" s="21">
        <f t="shared" si="20"/>
        <v>0</v>
      </c>
      <c r="D57" s="21">
        <f t="shared" si="14"/>
        <v>0</v>
      </c>
      <c r="E57" s="21">
        <f t="shared" si="15"/>
        <v>0</v>
      </c>
      <c r="F57" s="21">
        <f t="shared" si="16"/>
        <v>0</v>
      </c>
      <c r="G57" s="169">
        <v>0</v>
      </c>
      <c r="H57" s="169">
        <v>0</v>
      </c>
      <c r="I57" s="169">
        <v>0</v>
      </c>
      <c r="J57" s="169">
        <v>0</v>
      </c>
      <c r="K57" s="22">
        <f t="shared" si="21"/>
        <v>0</v>
      </c>
      <c r="L57" s="22">
        <f t="shared" si="17"/>
        <v>0</v>
      </c>
      <c r="M57" s="22">
        <f t="shared" si="18"/>
        <v>0</v>
      </c>
      <c r="N57" s="22">
        <f t="shared" si="19"/>
        <v>0</v>
      </c>
    </row>
    <row r="58" spans="1:14">
      <c r="A58" s="19">
        <v>7</v>
      </c>
      <c r="B58" s="2" t="s">
        <v>16</v>
      </c>
      <c r="C58" s="21">
        <f t="shared" si="20"/>
        <v>0</v>
      </c>
      <c r="D58" s="21">
        <f t="shared" si="14"/>
        <v>0</v>
      </c>
      <c r="E58" s="21">
        <f t="shared" si="15"/>
        <v>0</v>
      </c>
      <c r="F58" s="21">
        <f t="shared" si="16"/>
        <v>42321834.773333371</v>
      </c>
      <c r="G58" s="169">
        <v>0</v>
      </c>
      <c r="H58" s="169">
        <v>0</v>
      </c>
      <c r="I58" s="169">
        <v>0</v>
      </c>
      <c r="J58" s="169">
        <v>0</v>
      </c>
      <c r="K58" s="22">
        <f t="shared" si="21"/>
        <v>0</v>
      </c>
      <c r="L58" s="22">
        <f t="shared" si="17"/>
        <v>0</v>
      </c>
      <c r="M58" s="22">
        <f t="shared" si="18"/>
        <v>0</v>
      </c>
      <c r="N58" s="22">
        <f t="shared" si="19"/>
        <v>42321834.773333371</v>
      </c>
    </row>
    <row r="59" spans="1:14">
      <c r="A59" s="19">
        <v>8</v>
      </c>
      <c r="B59" s="222" t="s">
        <v>17</v>
      </c>
      <c r="C59" s="21">
        <v>0</v>
      </c>
      <c r="D59" s="21">
        <v>0</v>
      </c>
      <c r="E59" s="21">
        <v>0</v>
      </c>
      <c r="F59" s="21">
        <v>0</v>
      </c>
      <c r="G59" s="169">
        <v>0</v>
      </c>
      <c r="H59" s="169">
        <v>0</v>
      </c>
      <c r="I59" s="169">
        <v>0</v>
      </c>
      <c r="J59" s="169">
        <f>-LTCG!E43</f>
        <v>0</v>
      </c>
      <c r="K59" s="22">
        <f t="shared" si="21"/>
        <v>0</v>
      </c>
      <c r="L59" s="22">
        <f t="shared" si="17"/>
        <v>0</v>
      </c>
      <c r="M59" s="22">
        <f t="shared" si="18"/>
        <v>0</v>
      </c>
      <c r="N59" s="22">
        <f t="shared" si="19"/>
        <v>0</v>
      </c>
    </row>
    <row r="60" spans="1:14">
      <c r="A60" s="2"/>
      <c r="B60" s="2"/>
      <c r="C60" s="23"/>
      <c r="D60" s="23"/>
      <c r="E60" s="23"/>
      <c r="F60" s="23"/>
      <c r="G60" s="169">
        <v>0</v>
      </c>
      <c r="H60" s="169">
        <v>0</v>
      </c>
      <c r="I60" s="169">
        <v>0</v>
      </c>
      <c r="J60" s="169">
        <v>0</v>
      </c>
      <c r="K60" s="22">
        <f t="shared" si="21"/>
        <v>0</v>
      </c>
      <c r="L60" s="22">
        <f t="shared" si="17"/>
        <v>0</v>
      </c>
      <c r="M60" s="22">
        <f t="shared" si="18"/>
        <v>0</v>
      </c>
      <c r="N60" s="22">
        <f t="shared" si="19"/>
        <v>0</v>
      </c>
    </row>
  </sheetData>
  <mergeCells count="15">
    <mergeCell ref="C50:F50"/>
    <mergeCell ref="G50:J50"/>
    <mergeCell ref="K50:N50"/>
    <mergeCell ref="C2:F2"/>
    <mergeCell ref="G2:J2"/>
    <mergeCell ref="K2:N2"/>
    <mergeCell ref="C14:F14"/>
    <mergeCell ref="G14:J14"/>
    <mergeCell ref="K14:N14"/>
    <mergeCell ref="C26:F26"/>
    <mergeCell ref="G26:J26"/>
    <mergeCell ref="K26:N26"/>
    <mergeCell ref="C38:F38"/>
    <mergeCell ref="G38:J38"/>
    <mergeCell ref="K38:N38"/>
  </mergeCells>
  <printOptions horizontalCentered="1" verticalCentered="1"/>
  <pageMargins left="0.11811023622047245" right="0.11811023622047245" top="0.11811023622047245" bottom="0.11811023622047245" header="0.11811023622047245" footer="0.11811023622047245"/>
  <pageSetup paperSize="9" scale="79" orientation="landscape" r:id="rId1"/>
  <headerFooter>
    <oddFooter>&amp;L&amp;A&amp;F&amp;N</oddFooter>
  </headerFooter>
  <rowBreaks count="1" manualBreakCount="1">
    <brk id="37" max="16383" man="1"/>
  </rowBreaks>
</worksheet>
</file>

<file path=xl/worksheets/sheet11.xml><?xml version="1.0" encoding="utf-8"?>
<worksheet xmlns="http://schemas.openxmlformats.org/spreadsheetml/2006/main" xmlns:r="http://schemas.openxmlformats.org/officeDocument/2006/relationships">
  <dimension ref="A1:B11"/>
  <sheetViews>
    <sheetView workbookViewId="0">
      <selection activeCell="B15" sqref="B15"/>
    </sheetView>
  </sheetViews>
  <sheetFormatPr defaultRowHeight="15"/>
  <cols>
    <col min="1" max="1" width="11.42578125" bestFit="1" customWidth="1"/>
    <col min="2" max="2" width="55.85546875" bestFit="1" customWidth="1"/>
  </cols>
  <sheetData>
    <row r="1" spans="1:2">
      <c r="A1" s="95" t="s">
        <v>333</v>
      </c>
      <c r="B1" s="102">
        <v>50</v>
      </c>
    </row>
    <row r="2" spans="1:2">
      <c r="A2" s="95" t="s">
        <v>39</v>
      </c>
      <c r="B2" s="95" t="s">
        <v>274</v>
      </c>
    </row>
    <row r="3" spans="1:2">
      <c r="A3" s="95" t="s">
        <v>324</v>
      </c>
    </row>
    <row r="4" spans="1:2">
      <c r="A4" s="95" t="s">
        <v>323</v>
      </c>
      <c r="B4" s="95" t="s">
        <v>334</v>
      </c>
    </row>
    <row r="5" spans="1:2">
      <c r="A5" s="95" t="s">
        <v>321</v>
      </c>
      <c r="B5" s="95" t="s">
        <v>335</v>
      </c>
    </row>
    <row r="6" spans="1:2">
      <c r="A6" s="101" t="s">
        <v>179</v>
      </c>
      <c r="B6" t="s">
        <v>336</v>
      </c>
    </row>
    <row r="7" spans="1:2">
      <c r="A7" s="101" t="s">
        <v>182</v>
      </c>
      <c r="B7" t="s">
        <v>337</v>
      </c>
    </row>
    <row r="8" spans="1:2">
      <c r="A8" s="101" t="s">
        <v>189</v>
      </c>
      <c r="B8" t="s">
        <v>338</v>
      </c>
    </row>
    <row r="9" spans="1:2">
      <c r="A9" s="95" t="s">
        <v>340</v>
      </c>
      <c r="B9" s="95" t="s">
        <v>339</v>
      </c>
    </row>
    <row r="10" spans="1:2">
      <c r="A10" s="56">
        <v>1</v>
      </c>
      <c r="B10" t="s">
        <v>341</v>
      </c>
    </row>
    <row r="11" spans="1:2">
      <c r="A11" s="56">
        <v>2</v>
      </c>
      <c r="B11" t="s">
        <v>342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B2:H27"/>
  <sheetViews>
    <sheetView workbookViewId="0">
      <pane xSplit="2" ySplit="4" topLeftCell="C5" activePane="bottomRight" state="frozen"/>
      <selection pane="topRight" activeCell="C1" sqref="C1"/>
      <selection pane="bottomLeft" activeCell="A5" sqref="A5"/>
      <selection pane="bottomRight" activeCell="D12" sqref="D12"/>
    </sheetView>
  </sheetViews>
  <sheetFormatPr defaultRowHeight="15"/>
  <cols>
    <col min="2" max="2" width="39.140625" bestFit="1" customWidth="1"/>
    <col min="3" max="3" width="9.7109375" customWidth="1"/>
    <col min="4" max="4" width="10" customWidth="1"/>
  </cols>
  <sheetData>
    <row r="2" spans="2:8">
      <c r="B2" s="342" t="s">
        <v>275</v>
      </c>
      <c r="C2" s="343"/>
      <c r="D2" s="343"/>
      <c r="E2" s="343"/>
      <c r="F2" s="343"/>
      <c r="G2" s="343"/>
      <c r="H2" s="344"/>
    </row>
    <row r="3" spans="2:8" ht="32.25" customHeight="1">
      <c r="B3" s="345" t="s">
        <v>276</v>
      </c>
      <c r="C3" s="347" t="s">
        <v>277</v>
      </c>
      <c r="D3" s="347"/>
      <c r="E3" s="347" t="s">
        <v>278</v>
      </c>
      <c r="F3" s="347"/>
      <c r="G3" s="347" t="s">
        <v>279</v>
      </c>
      <c r="H3" s="347" t="s">
        <v>280</v>
      </c>
    </row>
    <row r="4" spans="2:8" ht="60">
      <c r="B4" s="346"/>
      <c r="C4" s="15" t="s">
        <v>281</v>
      </c>
      <c r="D4" s="15" t="s">
        <v>282</v>
      </c>
      <c r="E4" s="15" t="s">
        <v>281</v>
      </c>
      <c r="F4" s="15" t="s">
        <v>282</v>
      </c>
      <c r="G4" s="347"/>
      <c r="H4" s="347"/>
    </row>
    <row r="5" spans="2:8">
      <c r="B5" s="1" t="s">
        <v>283</v>
      </c>
      <c r="C5" s="2"/>
      <c r="D5" s="2"/>
      <c r="E5" s="2"/>
      <c r="F5" s="2"/>
      <c r="G5" s="2"/>
      <c r="H5" s="2"/>
    </row>
    <row r="6" spans="2:8" ht="60">
      <c r="B6" s="96" t="s">
        <v>284</v>
      </c>
      <c r="C6" s="96" t="s">
        <v>285</v>
      </c>
      <c r="D6" s="96" t="s">
        <v>286</v>
      </c>
      <c r="E6" s="96" t="s">
        <v>285</v>
      </c>
      <c r="F6" s="96" t="s">
        <v>287</v>
      </c>
      <c r="G6" s="96" t="s">
        <v>288</v>
      </c>
      <c r="H6" s="96" t="s">
        <v>285</v>
      </c>
    </row>
    <row r="7" spans="2:8" ht="60">
      <c r="B7" s="96" t="s">
        <v>29</v>
      </c>
      <c r="C7" s="96" t="s">
        <v>285</v>
      </c>
      <c r="D7" s="96" t="s">
        <v>286</v>
      </c>
      <c r="E7" s="96" t="s">
        <v>285</v>
      </c>
      <c r="F7" s="96" t="s">
        <v>285</v>
      </c>
      <c r="G7" s="96" t="s">
        <v>289</v>
      </c>
      <c r="H7" s="96" t="s">
        <v>287</v>
      </c>
    </row>
    <row r="8" spans="2:8">
      <c r="B8" s="96" t="s">
        <v>290</v>
      </c>
      <c r="C8" s="96" t="s">
        <v>285</v>
      </c>
      <c r="D8" s="96" t="s">
        <v>287</v>
      </c>
      <c r="E8" s="96" t="s">
        <v>285</v>
      </c>
      <c r="F8" s="96" t="s">
        <v>287</v>
      </c>
      <c r="G8" s="96" t="s">
        <v>291</v>
      </c>
      <c r="H8" s="96" t="s">
        <v>287</v>
      </c>
    </row>
    <row r="9" spans="2:8">
      <c r="B9" s="96" t="s">
        <v>292</v>
      </c>
      <c r="C9" s="96" t="s">
        <v>285</v>
      </c>
      <c r="D9" s="96" t="s">
        <v>287</v>
      </c>
      <c r="E9" s="96" t="s">
        <v>285</v>
      </c>
      <c r="F9" s="96" t="s">
        <v>287</v>
      </c>
      <c r="G9" s="96" t="s">
        <v>293</v>
      </c>
      <c r="H9" s="96" t="s">
        <v>285</v>
      </c>
    </row>
    <row r="10" spans="2:8">
      <c r="B10" s="1" t="s">
        <v>294</v>
      </c>
      <c r="C10" s="2"/>
      <c r="D10" s="2"/>
      <c r="E10" s="2"/>
      <c r="F10" s="2"/>
      <c r="G10" s="2"/>
      <c r="H10" s="2"/>
    </row>
    <row r="11" spans="2:8">
      <c r="B11" s="2" t="s">
        <v>295</v>
      </c>
      <c r="C11" s="2" t="s">
        <v>285</v>
      </c>
      <c r="D11" s="2" t="s">
        <v>287</v>
      </c>
      <c r="E11" s="2" t="s">
        <v>285</v>
      </c>
      <c r="F11" s="2" t="s">
        <v>287</v>
      </c>
      <c r="G11" s="96" t="s">
        <v>288</v>
      </c>
      <c r="H11" s="96" t="s">
        <v>285</v>
      </c>
    </row>
    <row r="12" spans="2:8" ht="45">
      <c r="B12" s="96" t="s">
        <v>296</v>
      </c>
      <c r="C12" s="96" t="s">
        <v>285</v>
      </c>
      <c r="D12" s="96" t="s">
        <v>297</v>
      </c>
      <c r="E12" s="96" t="s">
        <v>285</v>
      </c>
      <c r="F12" s="96" t="s">
        <v>297</v>
      </c>
      <c r="G12" s="96" t="s">
        <v>288</v>
      </c>
      <c r="H12" s="96" t="s">
        <v>285</v>
      </c>
    </row>
    <row r="13" spans="2:8">
      <c r="B13" s="1" t="s">
        <v>298</v>
      </c>
      <c r="C13" s="2"/>
      <c r="D13" s="2"/>
      <c r="E13" s="2"/>
      <c r="F13" s="2"/>
      <c r="G13" s="2"/>
      <c r="H13" s="2"/>
    </row>
    <row r="14" spans="2:8">
      <c r="B14" s="2" t="s">
        <v>299</v>
      </c>
      <c r="C14" s="2" t="s">
        <v>285</v>
      </c>
      <c r="D14" s="2" t="s">
        <v>285</v>
      </c>
      <c r="E14" s="2" t="s">
        <v>287</v>
      </c>
      <c r="F14" s="2" t="s">
        <v>287</v>
      </c>
      <c r="G14" s="2" t="s">
        <v>300</v>
      </c>
      <c r="H14" s="2" t="s">
        <v>300</v>
      </c>
    </row>
    <row r="15" spans="2:8">
      <c r="B15" s="1" t="s">
        <v>301</v>
      </c>
      <c r="C15" s="2" t="s">
        <v>285</v>
      </c>
      <c r="D15" s="2" t="s">
        <v>285</v>
      </c>
      <c r="E15" s="2" t="s">
        <v>285</v>
      </c>
      <c r="F15" s="2" t="s">
        <v>287</v>
      </c>
      <c r="G15" s="96" t="s">
        <v>288</v>
      </c>
      <c r="H15" s="96" t="s">
        <v>287</v>
      </c>
    </row>
    <row r="16" spans="2:8">
      <c r="B16" s="2"/>
      <c r="C16" s="2"/>
      <c r="D16" s="2"/>
      <c r="E16" s="2"/>
      <c r="F16" s="2"/>
      <c r="G16" s="2"/>
      <c r="H16" s="2"/>
    </row>
    <row r="18" spans="2:8">
      <c r="B18" s="342" t="s">
        <v>302</v>
      </c>
      <c r="C18" s="343"/>
      <c r="D18" s="343"/>
      <c r="E18" s="343"/>
      <c r="F18" s="343"/>
      <c r="G18" s="343"/>
      <c r="H18" s="344"/>
    </row>
    <row r="19" spans="2:8">
      <c r="B19" s="1" t="s">
        <v>303</v>
      </c>
      <c r="C19" s="1" t="s">
        <v>304</v>
      </c>
      <c r="D19" s="1" t="s">
        <v>305</v>
      </c>
      <c r="E19" s="2"/>
      <c r="F19" s="2"/>
      <c r="G19" s="2"/>
      <c r="H19" s="2"/>
    </row>
    <row r="20" spans="2:8" ht="30">
      <c r="B20" s="96" t="s">
        <v>306</v>
      </c>
      <c r="C20" s="97" t="s">
        <v>307</v>
      </c>
      <c r="D20" s="97">
        <v>1</v>
      </c>
      <c r="E20" s="2"/>
      <c r="F20" s="2"/>
      <c r="G20" s="2"/>
      <c r="H20" s="2"/>
    </row>
    <row r="21" spans="2:8">
      <c r="B21" s="2" t="s">
        <v>308</v>
      </c>
      <c r="C21" s="97" t="s">
        <v>309</v>
      </c>
      <c r="D21" s="97">
        <v>2</v>
      </c>
      <c r="E21" s="2"/>
      <c r="F21" s="2"/>
      <c r="G21" s="2"/>
      <c r="H21" s="2"/>
    </row>
    <row r="22" spans="2:8" ht="30">
      <c r="B22" s="96" t="s">
        <v>310</v>
      </c>
      <c r="C22" s="97" t="s">
        <v>311</v>
      </c>
      <c r="D22" s="97">
        <v>3</v>
      </c>
      <c r="E22" s="2"/>
      <c r="F22" s="2"/>
      <c r="G22" s="2"/>
      <c r="H22" s="2"/>
    </row>
    <row r="23" spans="2:8" ht="30">
      <c r="B23" s="96" t="s">
        <v>312</v>
      </c>
      <c r="C23" s="97" t="s">
        <v>234</v>
      </c>
      <c r="D23" s="97">
        <v>4</v>
      </c>
      <c r="E23" s="2"/>
      <c r="F23" s="2"/>
      <c r="G23" s="2"/>
      <c r="H23" s="2"/>
    </row>
    <row r="24" spans="2:8" ht="30">
      <c r="B24" s="96" t="s">
        <v>313</v>
      </c>
      <c r="C24" s="97" t="s">
        <v>314</v>
      </c>
      <c r="D24" s="97">
        <v>5</v>
      </c>
      <c r="E24" s="2"/>
      <c r="F24" s="2"/>
      <c r="G24" s="2"/>
      <c r="H24" s="2"/>
    </row>
    <row r="25" spans="2:8" ht="30">
      <c r="B25" s="96" t="s">
        <v>315</v>
      </c>
      <c r="C25" s="97" t="s">
        <v>316</v>
      </c>
      <c r="D25" s="97">
        <v>6</v>
      </c>
      <c r="E25" s="2"/>
      <c r="F25" s="2"/>
      <c r="G25" s="2"/>
      <c r="H25" s="2"/>
    </row>
    <row r="26" spans="2:8">
      <c r="C26" s="98"/>
      <c r="D26" s="98"/>
    </row>
    <row r="27" spans="2:8">
      <c r="C27" s="98"/>
      <c r="D27" s="98"/>
    </row>
  </sheetData>
  <mergeCells count="7">
    <mergeCell ref="B18:H18"/>
    <mergeCell ref="B2:H2"/>
    <mergeCell ref="B3:B4"/>
    <mergeCell ref="C3:D3"/>
    <mergeCell ref="E3:F3"/>
    <mergeCell ref="G3:G4"/>
    <mergeCell ref="H3:H4"/>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B11"/>
  <sheetViews>
    <sheetView workbookViewId="0">
      <selection activeCell="B10" sqref="B10"/>
    </sheetView>
  </sheetViews>
  <sheetFormatPr defaultRowHeight="15"/>
  <cols>
    <col min="1" max="1" width="11.42578125" bestFit="1" customWidth="1"/>
    <col min="2" max="2" width="34.7109375" bestFit="1" customWidth="1"/>
  </cols>
  <sheetData>
    <row r="2" spans="1:2">
      <c r="A2" s="95" t="s">
        <v>333</v>
      </c>
      <c r="B2" s="95" t="s">
        <v>332</v>
      </c>
    </row>
    <row r="3" spans="1:2">
      <c r="A3" s="95" t="s">
        <v>331</v>
      </c>
      <c r="B3" s="95" t="s">
        <v>330</v>
      </c>
    </row>
    <row r="4" spans="1:2">
      <c r="A4" s="95" t="s">
        <v>329</v>
      </c>
      <c r="B4" t="s">
        <v>328</v>
      </c>
    </row>
    <row r="5" spans="1:2">
      <c r="B5" t="s">
        <v>327</v>
      </c>
    </row>
    <row r="6" spans="1:2" ht="30">
      <c r="A6" s="100" t="s">
        <v>326</v>
      </c>
      <c r="B6" s="99" t="s">
        <v>325</v>
      </c>
    </row>
    <row r="7" spans="1:2">
      <c r="A7" s="95" t="s">
        <v>324</v>
      </c>
    </row>
    <row r="8" spans="1:2">
      <c r="A8" s="95" t="s">
        <v>323</v>
      </c>
      <c r="B8" t="s">
        <v>322</v>
      </c>
    </row>
    <row r="9" spans="1:2">
      <c r="A9" s="95" t="s">
        <v>321</v>
      </c>
      <c r="B9" t="s">
        <v>320</v>
      </c>
    </row>
    <row r="10" spans="1:2">
      <c r="B10" t="s">
        <v>319</v>
      </c>
    </row>
    <row r="11" spans="1:2">
      <c r="A11" s="95" t="s">
        <v>318</v>
      </c>
      <c r="B11" s="95" t="s">
        <v>317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dimension ref="A1:J15"/>
  <sheetViews>
    <sheetView workbookViewId="0">
      <selection activeCell="G9" sqref="G9"/>
    </sheetView>
  </sheetViews>
  <sheetFormatPr defaultRowHeight="15"/>
  <sheetData>
    <row r="1" spans="1:10">
      <c r="A1" s="348" t="s">
        <v>493</v>
      </c>
      <c r="B1" s="348"/>
      <c r="C1" s="348"/>
      <c r="D1" s="348"/>
      <c r="E1" s="348"/>
      <c r="F1" s="348"/>
      <c r="G1" s="348"/>
      <c r="H1" s="348"/>
      <c r="I1" s="348"/>
      <c r="J1" s="348"/>
    </row>
    <row r="2" spans="1:10">
      <c r="A2" s="348"/>
      <c r="B2" s="348"/>
      <c r="C2" s="348"/>
      <c r="D2" s="348"/>
      <c r="E2" s="348"/>
      <c r="F2" s="348"/>
      <c r="G2" s="348"/>
      <c r="H2" s="348"/>
      <c r="I2" s="348"/>
      <c r="J2" s="348"/>
    </row>
    <row r="3" spans="1:10" ht="75">
      <c r="A3" s="158"/>
      <c r="B3" s="159" t="s">
        <v>494</v>
      </c>
      <c r="C3" s="159"/>
      <c r="D3" s="159"/>
      <c r="E3" s="159" t="s">
        <v>495</v>
      </c>
      <c r="F3" s="159" t="s">
        <v>495</v>
      </c>
      <c r="G3" s="159" t="s">
        <v>495</v>
      </c>
      <c r="H3" s="159" t="s">
        <v>495</v>
      </c>
      <c r="I3" s="159" t="s">
        <v>495</v>
      </c>
      <c r="J3" s="159" t="s">
        <v>495</v>
      </c>
    </row>
    <row r="4" spans="1:10" ht="30">
      <c r="A4" s="159" t="s">
        <v>495</v>
      </c>
      <c r="B4" s="159" t="s">
        <v>495</v>
      </c>
      <c r="C4" s="159" t="s">
        <v>495</v>
      </c>
      <c r="D4" s="159" t="s">
        <v>495</v>
      </c>
      <c r="E4" s="159" t="s">
        <v>495</v>
      </c>
      <c r="F4" s="159" t="s">
        <v>495</v>
      </c>
      <c r="G4" s="159" t="s">
        <v>495</v>
      </c>
      <c r="H4" s="159" t="s">
        <v>495</v>
      </c>
      <c r="I4" s="159" t="s">
        <v>495</v>
      </c>
      <c r="J4" s="160" t="s">
        <v>496</v>
      </c>
    </row>
    <row r="5" spans="1:10">
      <c r="A5" s="349" t="s">
        <v>497</v>
      </c>
      <c r="B5" s="349" t="s">
        <v>498</v>
      </c>
      <c r="C5" s="349" t="s">
        <v>499</v>
      </c>
      <c r="D5" s="349" t="s">
        <v>500</v>
      </c>
      <c r="E5" s="349" t="s">
        <v>501</v>
      </c>
      <c r="F5" s="349"/>
      <c r="G5" s="349"/>
      <c r="H5" s="349"/>
      <c r="I5" s="160" t="s">
        <v>495</v>
      </c>
      <c r="J5" s="349" t="s">
        <v>502</v>
      </c>
    </row>
    <row r="6" spans="1:10" ht="60">
      <c r="A6" s="349"/>
      <c r="B6" s="349"/>
      <c r="C6" s="349"/>
      <c r="D6" s="349"/>
      <c r="E6" s="349"/>
      <c r="F6" s="349"/>
      <c r="G6" s="349"/>
      <c r="H6" s="349"/>
      <c r="I6" s="160" t="s">
        <v>503</v>
      </c>
      <c r="J6" s="349"/>
    </row>
    <row r="7" spans="1:10">
      <c r="A7" s="160" t="s">
        <v>495</v>
      </c>
      <c r="B7" s="160" t="s">
        <v>495</v>
      </c>
      <c r="C7" s="160" t="s">
        <v>495</v>
      </c>
      <c r="D7" s="160" t="s">
        <v>495</v>
      </c>
      <c r="E7" s="160" t="s">
        <v>495</v>
      </c>
      <c r="F7" s="160" t="s">
        <v>495</v>
      </c>
      <c r="G7" s="160" t="s">
        <v>495</v>
      </c>
      <c r="H7" s="160" t="s">
        <v>495</v>
      </c>
      <c r="I7" s="160" t="s">
        <v>495</v>
      </c>
      <c r="J7" s="160" t="s">
        <v>495</v>
      </c>
    </row>
    <row r="8" spans="1:10">
      <c r="A8" s="160" t="s">
        <v>504</v>
      </c>
      <c r="B8" s="160" t="s">
        <v>505</v>
      </c>
      <c r="C8" s="161">
        <v>1169.29</v>
      </c>
      <c r="D8" s="160">
        <v>133.43</v>
      </c>
      <c r="E8" s="160">
        <v>233.86</v>
      </c>
      <c r="F8" s="160" t="s">
        <v>495</v>
      </c>
      <c r="G8" s="160" t="s">
        <v>495</v>
      </c>
      <c r="H8" s="160" t="s">
        <v>495</v>
      </c>
      <c r="I8" s="162">
        <v>233.858</v>
      </c>
      <c r="J8" s="160">
        <v>935.43</v>
      </c>
    </row>
    <row r="9" spans="1:10">
      <c r="A9" s="160" t="s">
        <v>505</v>
      </c>
      <c r="B9" s="160" t="s">
        <v>506</v>
      </c>
      <c r="C9" s="160">
        <v>15.22</v>
      </c>
      <c r="D9" s="160">
        <v>235.94</v>
      </c>
      <c r="E9" s="160">
        <v>233.86</v>
      </c>
      <c r="F9" s="160">
        <v>3.04</v>
      </c>
      <c r="G9" s="160" t="s">
        <v>495</v>
      </c>
      <c r="H9" s="160" t="s">
        <v>495</v>
      </c>
      <c r="I9" s="162">
        <v>236.90199999999999</v>
      </c>
      <c r="J9" s="160">
        <v>713.75</v>
      </c>
    </row>
    <row r="10" spans="1:10">
      <c r="A10" s="160" t="s">
        <v>506</v>
      </c>
      <c r="B10" s="160" t="s">
        <v>507</v>
      </c>
      <c r="C10" s="160">
        <v>6.56</v>
      </c>
      <c r="D10" s="160">
        <v>237.66</v>
      </c>
      <c r="E10" s="160">
        <v>233.86</v>
      </c>
      <c r="F10" s="160">
        <v>3.04</v>
      </c>
      <c r="G10" s="160">
        <v>1.31</v>
      </c>
      <c r="H10" s="160" t="s">
        <v>495</v>
      </c>
      <c r="I10" s="162">
        <v>238.214</v>
      </c>
      <c r="J10" s="160">
        <v>482.1</v>
      </c>
    </row>
    <row r="11" spans="1:10">
      <c r="A11" s="160" t="s">
        <v>507</v>
      </c>
      <c r="B11" s="160" t="s">
        <v>508</v>
      </c>
      <c r="C11" s="160">
        <v>0.98</v>
      </c>
      <c r="D11" s="160">
        <v>585.02</v>
      </c>
      <c r="E11" s="160">
        <v>233.86</v>
      </c>
      <c r="F11" s="160">
        <v>3.04</v>
      </c>
      <c r="G11" s="160">
        <v>1.31</v>
      </c>
      <c r="H11" s="160">
        <v>0.2</v>
      </c>
      <c r="I11" s="162">
        <v>238.41</v>
      </c>
      <c r="J11" s="160">
        <v>244.67</v>
      </c>
    </row>
    <row r="12" spans="1:10">
      <c r="A12" s="160" t="s">
        <v>508</v>
      </c>
      <c r="B12" s="160" t="s">
        <v>509</v>
      </c>
      <c r="C12" s="160" t="s">
        <v>495</v>
      </c>
      <c r="D12" s="160" t="s">
        <v>495</v>
      </c>
      <c r="E12" s="160">
        <v>233.86</v>
      </c>
      <c r="F12" s="160">
        <v>3.04</v>
      </c>
      <c r="G12" s="160">
        <v>1.31</v>
      </c>
      <c r="H12" s="160">
        <v>0.2</v>
      </c>
      <c r="I12" s="162">
        <v>238.41</v>
      </c>
      <c r="J12" s="160">
        <v>6.26</v>
      </c>
    </row>
    <row r="13" spans="1:10">
      <c r="A13" s="160" t="s">
        <v>509</v>
      </c>
      <c r="B13" s="160" t="s">
        <v>510</v>
      </c>
      <c r="C13" s="160" t="s">
        <v>495</v>
      </c>
      <c r="D13" s="160" t="s">
        <v>495</v>
      </c>
      <c r="E13" s="160" t="s">
        <v>495</v>
      </c>
      <c r="F13" s="160">
        <v>3.04</v>
      </c>
      <c r="G13" s="160">
        <v>1.31</v>
      </c>
      <c r="H13" s="160">
        <v>0.2</v>
      </c>
      <c r="I13" s="162">
        <v>4.5519999999999996</v>
      </c>
      <c r="J13" s="160">
        <v>1.7</v>
      </c>
    </row>
    <row r="14" spans="1:10">
      <c r="A14" s="160" t="s">
        <v>510</v>
      </c>
      <c r="B14" s="160" t="s">
        <v>511</v>
      </c>
      <c r="C14" s="160" t="s">
        <v>495</v>
      </c>
      <c r="D14" s="160" t="s">
        <v>495</v>
      </c>
      <c r="E14" s="160" t="s">
        <v>495</v>
      </c>
      <c r="F14" s="160" t="s">
        <v>495</v>
      </c>
      <c r="G14" s="160">
        <v>1.31</v>
      </c>
      <c r="H14" s="160">
        <v>0.2</v>
      </c>
      <c r="I14" s="162">
        <v>1.508</v>
      </c>
      <c r="J14" s="160">
        <v>0.2</v>
      </c>
    </row>
    <row r="15" spans="1:10">
      <c r="A15" s="160" t="s">
        <v>511</v>
      </c>
      <c r="B15" s="160" t="s">
        <v>17</v>
      </c>
      <c r="C15" s="160" t="s">
        <v>495</v>
      </c>
      <c r="D15" s="160" t="s">
        <v>495</v>
      </c>
      <c r="E15" s="160" t="s">
        <v>495</v>
      </c>
      <c r="F15" s="160" t="s">
        <v>495</v>
      </c>
      <c r="G15" s="160" t="s">
        <v>495</v>
      </c>
      <c r="H15" s="160">
        <v>0.2</v>
      </c>
      <c r="I15" s="162">
        <v>0.19600000000000001</v>
      </c>
      <c r="J15" s="2"/>
    </row>
  </sheetData>
  <mergeCells count="8">
    <mergeCell ref="A1:J1"/>
    <mergeCell ref="A2:J2"/>
    <mergeCell ref="A5:A6"/>
    <mergeCell ref="B5:B6"/>
    <mergeCell ref="C5:C6"/>
    <mergeCell ref="D5:D6"/>
    <mergeCell ref="E5:H6"/>
    <mergeCell ref="J5:J6"/>
  </mergeCells>
  <printOptions horizontalCentered="1" verticalCentered="1"/>
  <pageMargins left="0.11811023622047245" right="0.11811023622047245" top="0.11811023622047245" bottom="0.11811023622047245" header="0.11811023622047245" footer="0.11811023622047245"/>
  <pageSetup paperSize="9" orientation="portrait" r:id="rId1"/>
  <headerFooter>
    <oddFooter>&amp;L&amp;A&amp;F&amp;N</oddFooter>
  </headerFooter>
</worksheet>
</file>

<file path=xl/worksheets/sheet15.xml><?xml version="1.0" encoding="utf-8"?>
<worksheet xmlns="http://schemas.openxmlformats.org/spreadsheetml/2006/main" xmlns:r="http://schemas.openxmlformats.org/officeDocument/2006/relationships">
  <dimension ref="A1:D24"/>
  <sheetViews>
    <sheetView workbookViewId="0">
      <pane xSplit="2" ySplit="1" topLeftCell="C2" activePane="bottomRight" state="frozen"/>
      <selection pane="topRight" activeCell="C1" sqref="C1"/>
      <selection pane="bottomLeft" activeCell="A2" sqref="A2"/>
      <selection pane="bottomRight" activeCell="B9" sqref="B9"/>
    </sheetView>
  </sheetViews>
  <sheetFormatPr defaultRowHeight="15"/>
  <cols>
    <col min="1" max="1" width="6.140625" bestFit="1" customWidth="1"/>
    <col min="2" max="2" width="44.28515625" bestFit="1" customWidth="1"/>
    <col min="3" max="3" width="22.28515625" bestFit="1" customWidth="1"/>
    <col min="4" max="4" width="10.140625" bestFit="1" customWidth="1"/>
  </cols>
  <sheetData>
    <row r="1" spans="1:4">
      <c r="A1" s="1"/>
      <c r="B1" s="179" t="s">
        <v>660</v>
      </c>
      <c r="C1" s="86" t="s">
        <v>41</v>
      </c>
      <c r="D1" s="86" t="s">
        <v>42</v>
      </c>
    </row>
    <row r="2" spans="1:4">
      <c r="A2" s="1" t="s">
        <v>522</v>
      </c>
      <c r="B2" s="1" t="s">
        <v>39</v>
      </c>
      <c r="C2" s="1" t="s">
        <v>523</v>
      </c>
      <c r="D2" s="152"/>
    </row>
    <row r="3" spans="1:4">
      <c r="A3" s="2">
        <v>1</v>
      </c>
      <c r="B3" s="180" t="s">
        <v>661</v>
      </c>
      <c r="C3" s="152">
        <v>3009223</v>
      </c>
      <c r="D3" s="152"/>
    </row>
    <row r="4" spans="1:4">
      <c r="A4" s="2">
        <v>2</v>
      </c>
      <c r="B4" s="180" t="s">
        <v>662</v>
      </c>
      <c r="C4" s="182">
        <v>0.01</v>
      </c>
      <c r="D4" s="152"/>
    </row>
    <row r="5" spans="1:4">
      <c r="A5" s="2">
        <v>3</v>
      </c>
      <c r="B5" s="180" t="s">
        <v>663</v>
      </c>
      <c r="C5" s="152">
        <v>780000</v>
      </c>
      <c r="D5" s="152"/>
    </row>
    <row r="6" spans="1:4">
      <c r="A6" s="2">
        <v>4</v>
      </c>
      <c r="B6" s="180" t="s">
        <v>664</v>
      </c>
      <c r="C6" s="152">
        <v>893543.3</v>
      </c>
      <c r="D6" s="152"/>
    </row>
    <row r="7" spans="1:4">
      <c r="A7" s="2">
        <v>5</v>
      </c>
      <c r="B7" s="180" t="s">
        <v>673</v>
      </c>
      <c r="C7" s="152">
        <v>184181</v>
      </c>
      <c r="D7" s="152"/>
    </row>
    <row r="8" spans="1:4">
      <c r="A8" s="2">
        <v>6</v>
      </c>
      <c r="B8" s="187" t="s">
        <v>665</v>
      </c>
      <c r="C8" s="188">
        <v>119751389</v>
      </c>
      <c r="D8" s="152"/>
    </row>
    <row r="9" spans="1:4">
      <c r="A9" s="2">
        <v>7</v>
      </c>
      <c r="B9" s="187" t="s">
        <v>666</v>
      </c>
      <c r="C9" s="188">
        <v>200925</v>
      </c>
      <c r="D9" s="152"/>
    </row>
    <row r="10" spans="1:4">
      <c r="A10" s="2">
        <v>8</v>
      </c>
      <c r="B10" s="187" t="s">
        <v>667</v>
      </c>
      <c r="C10" s="188">
        <v>1032326</v>
      </c>
      <c r="D10" s="152"/>
    </row>
    <row r="11" spans="1:4">
      <c r="A11" s="2">
        <v>9</v>
      </c>
      <c r="B11" s="187" t="s">
        <v>668</v>
      </c>
      <c r="C11" s="188">
        <v>451113</v>
      </c>
      <c r="D11" s="152"/>
    </row>
    <row r="12" spans="1:4">
      <c r="A12" s="2">
        <v>10</v>
      </c>
      <c r="B12" s="187" t="s">
        <v>670</v>
      </c>
      <c r="C12" s="188">
        <v>467866</v>
      </c>
      <c r="D12" s="152"/>
    </row>
    <row r="13" spans="1:4">
      <c r="A13" s="2">
        <v>11</v>
      </c>
      <c r="B13" s="187" t="s">
        <v>669</v>
      </c>
      <c r="C13" s="188">
        <v>851218</v>
      </c>
      <c r="D13" s="152"/>
    </row>
    <row r="14" spans="1:4">
      <c r="A14" s="2">
        <v>12</v>
      </c>
      <c r="B14" s="187" t="s">
        <v>674</v>
      </c>
      <c r="C14" s="188">
        <v>98848</v>
      </c>
      <c r="D14" s="152"/>
    </row>
    <row r="15" spans="1:4">
      <c r="A15" s="2">
        <v>13</v>
      </c>
      <c r="B15" s="187" t="s">
        <v>675</v>
      </c>
      <c r="C15" s="188">
        <v>32603</v>
      </c>
      <c r="D15" s="152"/>
    </row>
    <row r="16" spans="1:4">
      <c r="A16" s="2">
        <v>14</v>
      </c>
      <c r="B16" s="187" t="s">
        <v>676</v>
      </c>
      <c r="C16" s="188">
        <v>-1501</v>
      </c>
      <c r="D16" s="152"/>
    </row>
    <row r="17" spans="1:4">
      <c r="A17" s="2">
        <v>15</v>
      </c>
      <c r="B17" s="187" t="s">
        <v>677</v>
      </c>
      <c r="C17" s="188">
        <v>-210</v>
      </c>
      <c r="D17" s="152"/>
    </row>
    <row r="18" spans="1:4">
      <c r="A18" s="2">
        <v>16</v>
      </c>
      <c r="B18" s="187" t="s">
        <v>672</v>
      </c>
      <c r="C18" s="188">
        <v>50000</v>
      </c>
      <c r="D18" s="152"/>
    </row>
    <row r="19" spans="1:4">
      <c r="A19" s="2">
        <v>17</v>
      </c>
      <c r="B19" s="180" t="s">
        <v>671</v>
      </c>
      <c r="C19" s="152">
        <v>50294</v>
      </c>
      <c r="D19" s="152"/>
    </row>
    <row r="20" spans="1:4">
      <c r="A20" s="1"/>
      <c r="B20" s="1" t="s">
        <v>607</v>
      </c>
      <c r="C20" s="176">
        <f>+SUM(C3:C17)</f>
        <v>127751524.31</v>
      </c>
      <c r="D20" s="176"/>
    </row>
    <row r="22" spans="1:4">
      <c r="A22" s="2"/>
      <c r="B22" s="2" t="s">
        <v>678</v>
      </c>
      <c r="C22" s="12">
        <f>397053493.8-C20</f>
        <v>269301969.49000001</v>
      </c>
      <c r="D22" s="2"/>
    </row>
    <row r="23" spans="1:4">
      <c r="A23" s="2"/>
      <c r="B23" s="2" t="s">
        <v>679</v>
      </c>
      <c r="C23" s="152">
        <v>-4211281</v>
      </c>
      <c r="D23" s="2"/>
    </row>
    <row r="24" spans="1:4">
      <c r="A24" s="179"/>
      <c r="B24" s="179" t="s">
        <v>658</v>
      </c>
      <c r="C24" s="176">
        <f>+SUM(C20:C23)</f>
        <v>392842212.80000001</v>
      </c>
      <c r="D24" s="176"/>
    </row>
  </sheetData>
  <printOptions horizontalCentered="1" verticalCentered="1"/>
  <pageMargins left="0.11811023622047245" right="0.11811023622047245" top="0.11811023622047245" bottom="0.11811023622047245" header="0.11811023622047245" footer="0.11811023622047245"/>
  <pageSetup paperSize="9" orientation="portrait" r:id="rId1"/>
  <headerFooter>
    <oddFooter>&amp;L&amp;A&amp;F&amp;N</oddFooter>
  </headerFooter>
</worksheet>
</file>

<file path=xl/worksheets/sheet16.xml><?xml version="1.0" encoding="utf-8"?>
<worksheet xmlns="http://schemas.openxmlformats.org/spreadsheetml/2006/main" xmlns:r="http://schemas.openxmlformats.org/officeDocument/2006/relationships">
  <dimension ref="A1:D27"/>
  <sheetViews>
    <sheetView workbookViewId="0">
      <pane xSplit="2" ySplit="2" topLeftCell="C3" activePane="bottomRight" state="frozen"/>
      <selection pane="topRight" activeCell="C1" sqref="C1"/>
      <selection pane="bottomLeft" activeCell="A3" sqref="A3"/>
      <selection pane="bottomRight" activeCell="D16" sqref="D16"/>
    </sheetView>
  </sheetViews>
  <sheetFormatPr defaultRowHeight="15"/>
  <cols>
    <col min="1" max="1" width="6.140625" bestFit="1" customWidth="1"/>
    <col min="2" max="2" width="44.28515625" bestFit="1" customWidth="1"/>
    <col min="3" max="3" width="16.28515625" bestFit="1" customWidth="1"/>
    <col min="4" max="4" width="10.140625" bestFit="1" customWidth="1"/>
  </cols>
  <sheetData>
    <row r="1" spans="1:4">
      <c r="A1" s="1"/>
      <c r="B1" s="1" t="s">
        <v>582</v>
      </c>
      <c r="C1" s="86" t="s">
        <v>41</v>
      </c>
      <c r="D1" s="86" t="s">
        <v>42</v>
      </c>
    </row>
    <row r="2" spans="1:4">
      <c r="A2" s="1" t="s">
        <v>522</v>
      </c>
      <c r="B2" s="1" t="s">
        <v>39</v>
      </c>
      <c r="C2" s="1" t="s">
        <v>523</v>
      </c>
      <c r="D2" s="152"/>
    </row>
    <row r="3" spans="1:4">
      <c r="A3" s="2">
        <v>1</v>
      </c>
      <c r="B3" s="2" t="s">
        <v>583</v>
      </c>
      <c r="C3" s="152">
        <v>-1982</v>
      </c>
      <c r="D3" s="152"/>
    </row>
    <row r="4" spans="1:4">
      <c r="A4" s="2">
        <v>2</v>
      </c>
      <c r="B4" s="2" t="s">
        <v>584</v>
      </c>
      <c r="C4" s="10">
        <v>5541922</v>
      </c>
      <c r="D4" s="152"/>
    </row>
    <row r="5" spans="1:4">
      <c r="A5" s="2">
        <v>3</v>
      </c>
      <c r="B5" s="2" t="s">
        <v>585</v>
      </c>
      <c r="C5" s="152">
        <v>-1440</v>
      </c>
      <c r="D5" s="152"/>
    </row>
    <row r="6" spans="1:4">
      <c r="A6" s="2">
        <v>4</v>
      </c>
      <c r="B6" s="2" t="s">
        <v>586</v>
      </c>
      <c r="C6" s="152">
        <v>243534</v>
      </c>
      <c r="D6" s="152"/>
    </row>
    <row r="7" spans="1:4">
      <c r="A7" s="2">
        <v>5</v>
      </c>
      <c r="B7" s="2" t="s">
        <v>587</v>
      </c>
      <c r="C7" s="152">
        <v>448246</v>
      </c>
      <c r="D7" s="152"/>
    </row>
    <row r="8" spans="1:4">
      <c r="A8" s="2">
        <v>6</v>
      </c>
      <c r="B8" s="2" t="s">
        <v>588</v>
      </c>
      <c r="C8" s="152">
        <v>71016</v>
      </c>
      <c r="D8" s="152"/>
    </row>
    <row r="9" spans="1:4">
      <c r="A9" s="2">
        <v>7</v>
      </c>
      <c r="B9" s="2" t="s">
        <v>589</v>
      </c>
      <c r="C9" s="152">
        <v>12680787</v>
      </c>
      <c r="D9" s="152"/>
    </row>
    <row r="10" spans="1:4">
      <c r="A10" s="2">
        <v>8</v>
      </c>
      <c r="B10" s="2" t="s">
        <v>590</v>
      </c>
      <c r="C10" s="152">
        <v>11465533</v>
      </c>
      <c r="D10" s="152"/>
    </row>
    <row r="11" spans="1:4">
      <c r="A11" s="2">
        <v>9</v>
      </c>
      <c r="B11" s="2" t="s">
        <v>591</v>
      </c>
      <c r="C11" s="152">
        <v>73825152.900000006</v>
      </c>
      <c r="D11" s="152"/>
    </row>
    <row r="12" spans="1:4">
      <c r="A12" s="2">
        <v>10</v>
      </c>
      <c r="B12" s="177" t="s">
        <v>592</v>
      </c>
      <c r="C12" s="178">
        <v>1385958</v>
      </c>
      <c r="D12" s="152"/>
    </row>
    <row r="13" spans="1:4">
      <c r="A13" s="2">
        <v>11</v>
      </c>
      <c r="B13" s="2" t="s">
        <v>593</v>
      </c>
      <c r="C13" s="152">
        <v>844898</v>
      </c>
      <c r="D13" s="152"/>
    </row>
    <row r="14" spans="1:4">
      <c r="A14" s="2">
        <v>12</v>
      </c>
      <c r="B14" s="2" t="s">
        <v>594</v>
      </c>
      <c r="C14" s="152">
        <v>2448199.4</v>
      </c>
      <c r="D14" s="152"/>
    </row>
    <row r="15" spans="1:4">
      <c r="A15" s="2">
        <v>13</v>
      </c>
      <c r="B15" s="2" t="s">
        <v>595</v>
      </c>
      <c r="C15" s="152">
        <v>928894</v>
      </c>
      <c r="D15" s="152"/>
    </row>
    <row r="16" spans="1:4">
      <c r="A16" s="2">
        <v>14</v>
      </c>
      <c r="B16" s="2" t="s">
        <v>596</v>
      </c>
      <c r="C16" s="152">
        <v>6631422.0700000003</v>
      </c>
      <c r="D16" s="152"/>
    </row>
    <row r="17" spans="1:4">
      <c r="A17" s="2">
        <v>15</v>
      </c>
      <c r="B17" s="177" t="s">
        <v>597</v>
      </c>
      <c r="C17" s="178">
        <v>981624</v>
      </c>
      <c r="D17" s="152"/>
    </row>
    <row r="18" spans="1:4">
      <c r="A18" s="2">
        <v>16</v>
      </c>
      <c r="B18" s="177" t="s">
        <v>598</v>
      </c>
      <c r="C18" s="178">
        <v>9473</v>
      </c>
      <c r="D18" s="152"/>
    </row>
    <row r="19" spans="1:4">
      <c r="A19" s="2">
        <v>17</v>
      </c>
      <c r="B19" s="177" t="s">
        <v>599</v>
      </c>
      <c r="C19" s="178">
        <v>64800</v>
      </c>
      <c r="D19" s="152"/>
    </row>
    <row r="20" spans="1:4">
      <c r="A20" s="2">
        <v>18</v>
      </c>
      <c r="B20" s="177" t="s">
        <v>600</v>
      </c>
      <c r="C20" s="178">
        <v>315478</v>
      </c>
      <c r="D20" s="152"/>
    </row>
    <row r="21" spans="1:4">
      <c r="A21" s="2">
        <v>19</v>
      </c>
      <c r="B21" s="2" t="s">
        <v>601</v>
      </c>
      <c r="C21" s="152">
        <v>2592629</v>
      </c>
      <c r="D21" s="152"/>
    </row>
    <row r="22" spans="1:4">
      <c r="A22" s="2">
        <v>20</v>
      </c>
      <c r="B22" s="2" t="s">
        <v>602</v>
      </c>
      <c r="C22" s="152">
        <v>11648</v>
      </c>
      <c r="D22" s="152"/>
    </row>
    <row r="23" spans="1:4">
      <c r="A23" s="2">
        <v>21</v>
      </c>
      <c r="B23" s="177" t="s">
        <v>603</v>
      </c>
      <c r="C23" s="178">
        <v>42785</v>
      </c>
      <c r="D23" s="152"/>
    </row>
    <row r="24" spans="1:4">
      <c r="A24" s="2">
        <v>22</v>
      </c>
      <c r="B24" s="2" t="s">
        <v>604</v>
      </c>
      <c r="C24" s="152">
        <v>45665</v>
      </c>
      <c r="D24" s="152"/>
    </row>
    <row r="25" spans="1:4">
      <c r="A25" s="2">
        <v>23</v>
      </c>
      <c r="B25" s="2" t="s">
        <v>605</v>
      </c>
      <c r="C25" s="152">
        <v>609535</v>
      </c>
      <c r="D25" s="152"/>
    </row>
    <row r="26" spans="1:4">
      <c r="A26" s="2">
        <v>24</v>
      </c>
      <c r="B26" s="2" t="s">
        <v>606</v>
      </c>
      <c r="C26" s="152">
        <v>-650340</v>
      </c>
      <c r="D26" s="152"/>
    </row>
    <row r="27" spans="1:4">
      <c r="A27" s="1"/>
      <c r="B27" s="1" t="s">
        <v>607</v>
      </c>
      <c r="C27" s="176">
        <f>+SUM(C3:C26)</f>
        <v>120535437.37</v>
      </c>
      <c r="D27" s="176"/>
    </row>
  </sheetData>
  <printOptions horizontalCentered="1" verticalCentered="1"/>
  <pageMargins left="9.8425196850393706E-2" right="9.8425196850393706E-2" top="9.8425196850393706E-2" bottom="9.8425196850393706E-2" header="9.8425196850393706E-2" footer="9.8425196850393706E-2"/>
  <pageSetup paperSize="9" orientation="portrait" r:id="rId1"/>
  <headerFooter>
    <oddFooter>&amp;L&amp;A&amp;F&amp;N</oddFooter>
  </headerFooter>
</worksheet>
</file>

<file path=xl/worksheets/sheet17.xml><?xml version="1.0" encoding="utf-8"?>
<worksheet xmlns="http://schemas.openxmlformats.org/spreadsheetml/2006/main" xmlns:r="http://schemas.openxmlformats.org/officeDocument/2006/relationships">
  <dimension ref="A1:D17"/>
  <sheetViews>
    <sheetView workbookViewId="0">
      <pane xSplit="2" ySplit="1" topLeftCell="C2" activePane="bottomRight" state="frozen"/>
      <selection pane="topRight" activeCell="C1" sqref="C1"/>
      <selection pane="bottomLeft" activeCell="A2" sqref="A2"/>
      <selection pane="bottomRight" activeCell="F13" sqref="F13"/>
    </sheetView>
  </sheetViews>
  <sheetFormatPr defaultRowHeight="15"/>
  <cols>
    <col min="1" max="1" width="6.140625" bestFit="1" customWidth="1"/>
    <col min="2" max="2" width="44.28515625" bestFit="1" customWidth="1"/>
    <col min="3" max="3" width="15.85546875" bestFit="1" customWidth="1"/>
    <col min="4" max="4" width="10.140625" bestFit="1" customWidth="1"/>
  </cols>
  <sheetData>
    <row r="1" spans="1:4">
      <c r="A1" s="179"/>
      <c r="B1" s="179" t="s">
        <v>659</v>
      </c>
      <c r="C1" s="86" t="s">
        <v>41</v>
      </c>
      <c r="D1" s="86" t="s">
        <v>42</v>
      </c>
    </row>
    <row r="2" spans="1:4">
      <c r="A2" s="179" t="s">
        <v>522</v>
      </c>
      <c r="B2" s="179" t="s">
        <v>39</v>
      </c>
      <c r="C2" s="179" t="s">
        <v>523</v>
      </c>
      <c r="D2" s="152"/>
    </row>
    <row r="3" spans="1:4">
      <c r="A3" s="180">
        <v>1</v>
      </c>
      <c r="B3" s="180" t="s">
        <v>647</v>
      </c>
      <c r="C3" s="152">
        <v>-8075531.8300000001</v>
      </c>
      <c r="D3" s="152"/>
    </row>
    <row r="4" spans="1:4">
      <c r="A4" s="180">
        <v>2</v>
      </c>
      <c r="B4" s="180" t="s">
        <v>648</v>
      </c>
      <c r="C4" s="152">
        <v>-1436116.24</v>
      </c>
      <c r="D4" s="152"/>
    </row>
    <row r="5" spans="1:4">
      <c r="A5" s="180">
        <v>3</v>
      </c>
      <c r="B5" s="187" t="s">
        <v>649</v>
      </c>
      <c r="C5" s="188">
        <v>-101</v>
      </c>
      <c r="D5" s="152"/>
    </row>
    <row r="6" spans="1:4">
      <c r="A6" s="180">
        <v>4</v>
      </c>
      <c r="B6" s="180" t="s">
        <v>650</v>
      </c>
      <c r="C6" s="152">
        <v>-1286505</v>
      </c>
      <c r="D6" s="152"/>
    </row>
    <row r="7" spans="1:4">
      <c r="A7" s="180">
        <v>5</v>
      </c>
      <c r="B7" s="180" t="s">
        <v>651</v>
      </c>
      <c r="C7" s="152">
        <v>-300</v>
      </c>
      <c r="D7" s="152"/>
    </row>
    <row r="8" spans="1:4">
      <c r="A8" s="180">
        <v>6</v>
      </c>
      <c r="B8" s="180" t="s">
        <v>652</v>
      </c>
      <c r="C8" s="152">
        <v>-1111989.76</v>
      </c>
      <c r="D8" s="152"/>
    </row>
    <row r="9" spans="1:4">
      <c r="A9" s="180">
        <v>7</v>
      </c>
      <c r="B9" s="187" t="s">
        <v>653</v>
      </c>
      <c r="C9" s="188">
        <v>-74121061</v>
      </c>
      <c r="D9" s="152"/>
    </row>
    <row r="10" spans="1:4">
      <c r="A10" s="180">
        <v>8</v>
      </c>
      <c r="B10" s="187" t="s">
        <v>654</v>
      </c>
      <c r="C10" s="188">
        <v>-12854.01</v>
      </c>
      <c r="D10" s="152"/>
    </row>
    <row r="11" spans="1:4">
      <c r="A11" s="180">
        <v>9</v>
      </c>
      <c r="B11" s="180" t="s">
        <v>655</v>
      </c>
      <c r="C11" s="152">
        <v>-81468</v>
      </c>
      <c r="D11" s="152"/>
    </row>
    <row r="12" spans="1:4">
      <c r="A12" s="180">
        <v>10</v>
      </c>
      <c r="B12" s="180" t="s">
        <v>656</v>
      </c>
      <c r="C12" s="152">
        <v>-261756</v>
      </c>
      <c r="D12" s="152"/>
    </row>
    <row r="13" spans="1:4">
      <c r="A13" s="179"/>
      <c r="B13" s="179" t="s">
        <v>607</v>
      </c>
      <c r="C13" s="176">
        <f>+SUM(C3:C12)</f>
        <v>-86387682.840000004</v>
      </c>
      <c r="D13" s="176"/>
    </row>
    <row r="15" spans="1:4">
      <c r="B15" t="s">
        <v>657</v>
      </c>
      <c r="C15" s="181">
        <v>-685256</v>
      </c>
    </row>
    <row r="17" spans="1:4">
      <c r="A17" s="179"/>
      <c r="B17" s="179" t="s">
        <v>658</v>
      </c>
      <c r="C17" s="176">
        <f>+C13-C15</f>
        <v>-85702426.840000004</v>
      </c>
      <c r="D17" s="176"/>
    </row>
  </sheetData>
  <printOptions horizontalCentered="1" verticalCentered="1"/>
  <pageMargins left="9.8425196850393706E-2" right="9.8425196850393706E-2" top="9.8425196850393706E-2" bottom="9.8425196850393706E-2" header="9.8425196850393706E-2" footer="9.8425196850393706E-2"/>
  <pageSetup paperSize="9" orientation="portrait" r:id="rId1"/>
  <headerFooter>
    <oddFooter>&amp;L&amp;A&amp;F&amp;N</oddFooter>
  </headerFooter>
</worksheet>
</file>

<file path=xl/worksheets/sheet18.xml><?xml version="1.0" encoding="utf-8"?>
<worksheet xmlns="http://schemas.openxmlformats.org/spreadsheetml/2006/main" xmlns:r="http://schemas.openxmlformats.org/officeDocument/2006/relationships">
  <dimension ref="A1:D42"/>
  <sheetViews>
    <sheetView workbookViewId="0">
      <pane xSplit="2" ySplit="2" topLeftCell="C3" activePane="bottomRight" state="frozen"/>
      <selection pane="topRight" activeCell="C1" sqref="C1"/>
      <selection pane="bottomLeft" activeCell="A3" sqref="A3"/>
      <selection pane="bottomRight" activeCell="F32" sqref="F32"/>
    </sheetView>
  </sheetViews>
  <sheetFormatPr defaultRowHeight="15"/>
  <cols>
    <col min="1" max="1" width="6.140625" style="55" bestFit="1" customWidth="1"/>
    <col min="2" max="2" width="53.42578125" style="55" bestFit="1" customWidth="1"/>
    <col min="3" max="3" width="15.85546875" style="55" bestFit="1" customWidth="1"/>
    <col min="4" max="4" width="10.140625" style="55" bestFit="1" customWidth="1"/>
    <col min="5" max="16384" width="9.140625" style="55"/>
  </cols>
  <sheetData>
    <row r="1" spans="1:4">
      <c r="A1" s="179"/>
      <c r="B1" s="179" t="s">
        <v>631</v>
      </c>
      <c r="C1" s="86" t="s">
        <v>41</v>
      </c>
      <c r="D1" s="86" t="s">
        <v>42</v>
      </c>
    </row>
    <row r="2" spans="1:4">
      <c r="A2" s="179" t="s">
        <v>522</v>
      </c>
      <c r="B2" s="179" t="s">
        <v>39</v>
      </c>
      <c r="C2" s="179" t="s">
        <v>523</v>
      </c>
      <c r="D2" s="152"/>
    </row>
    <row r="3" spans="1:4">
      <c r="A3" s="180">
        <v>1</v>
      </c>
      <c r="B3" s="180" t="s">
        <v>608</v>
      </c>
      <c r="C3" s="152">
        <v>0</v>
      </c>
      <c r="D3" s="152"/>
    </row>
    <row r="4" spans="1:4">
      <c r="A4" s="180">
        <v>2</v>
      </c>
      <c r="B4" s="180" t="s">
        <v>609</v>
      </c>
      <c r="C4" s="152">
        <v>0</v>
      </c>
      <c r="D4" s="152"/>
    </row>
    <row r="5" spans="1:4">
      <c r="A5" s="180">
        <v>3</v>
      </c>
      <c r="B5" s="180" t="s">
        <v>610</v>
      </c>
      <c r="C5" s="152">
        <v>0</v>
      </c>
      <c r="D5" s="152"/>
    </row>
    <row r="6" spans="1:4">
      <c r="A6" s="180">
        <v>4</v>
      </c>
      <c r="B6" s="180" t="s">
        <v>611</v>
      </c>
      <c r="C6" s="152">
        <v>-4242290</v>
      </c>
      <c r="D6" s="152"/>
    </row>
    <row r="7" spans="1:4">
      <c r="A7" s="180">
        <v>5</v>
      </c>
      <c r="B7" s="180" t="s">
        <v>612</v>
      </c>
      <c r="C7" s="152">
        <v>0</v>
      </c>
      <c r="D7" s="152"/>
    </row>
    <row r="8" spans="1:4">
      <c r="A8" s="180">
        <v>6</v>
      </c>
      <c r="B8" s="180" t="s">
        <v>613</v>
      </c>
      <c r="C8" s="152">
        <v>-3</v>
      </c>
      <c r="D8" s="152"/>
    </row>
    <row r="9" spans="1:4">
      <c r="A9" s="180">
        <v>7</v>
      </c>
      <c r="B9" s="180" t="s">
        <v>614</v>
      </c>
      <c r="C9" s="152">
        <v>-2</v>
      </c>
      <c r="D9" s="152"/>
    </row>
    <row r="10" spans="1:4">
      <c r="A10" s="180">
        <v>8</v>
      </c>
      <c r="B10" s="180" t="s">
        <v>615</v>
      </c>
      <c r="C10" s="152">
        <v>-1702545</v>
      </c>
      <c r="D10" s="152"/>
    </row>
    <row r="11" spans="1:4">
      <c r="A11" s="180">
        <v>9</v>
      </c>
      <c r="B11" s="180" t="s">
        <v>616</v>
      </c>
      <c r="C11" s="152">
        <v>0</v>
      </c>
      <c r="D11" s="152"/>
    </row>
    <row r="12" spans="1:4">
      <c r="A12" s="180">
        <v>10</v>
      </c>
      <c r="B12" s="180" t="s">
        <v>617</v>
      </c>
      <c r="C12" s="152">
        <v>-56</v>
      </c>
      <c r="D12" s="152"/>
    </row>
    <row r="13" spans="1:4">
      <c r="A13" s="180">
        <v>11</v>
      </c>
      <c r="B13" s="180" t="s">
        <v>618</v>
      </c>
      <c r="C13" s="152">
        <v>-28</v>
      </c>
      <c r="D13" s="152"/>
    </row>
    <row r="14" spans="1:4">
      <c r="A14" s="180">
        <v>12</v>
      </c>
      <c r="B14" s="180" t="s">
        <v>619</v>
      </c>
      <c r="C14" s="152">
        <v>-2180569</v>
      </c>
      <c r="D14" s="152"/>
    </row>
    <row r="15" spans="1:4">
      <c r="A15" s="180">
        <v>13</v>
      </c>
      <c r="B15" s="180" t="s">
        <v>620</v>
      </c>
      <c r="C15" s="152">
        <v>0</v>
      </c>
      <c r="D15" s="152"/>
    </row>
    <row r="16" spans="1:4">
      <c r="A16" s="180">
        <v>14</v>
      </c>
      <c r="B16" s="180" t="s">
        <v>621</v>
      </c>
      <c r="C16" s="152">
        <v>0</v>
      </c>
      <c r="D16" s="152"/>
    </row>
    <row r="17" spans="1:4">
      <c r="A17" s="180">
        <v>15</v>
      </c>
      <c r="B17" s="180" t="s">
        <v>622</v>
      </c>
      <c r="C17" s="152">
        <v>0</v>
      </c>
      <c r="D17" s="152"/>
    </row>
    <row r="18" spans="1:4">
      <c r="A18" s="180">
        <v>16</v>
      </c>
      <c r="B18" s="180" t="s">
        <v>623</v>
      </c>
      <c r="C18" s="152">
        <v>-1794868</v>
      </c>
      <c r="D18" s="152"/>
    </row>
    <row r="19" spans="1:4">
      <c r="A19" s="180">
        <v>17</v>
      </c>
      <c r="B19" s="180" t="s">
        <v>625</v>
      </c>
      <c r="C19" s="152">
        <v>0</v>
      </c>
      <c r="D19" s="152"/>
    </row>
    <row r="20" spans="1:4">
      <c r="A20" s="180">
        <v>18</v>
      </c>
      <c r="B20" s="180" t="s">
        <v>624</v>
      </c>
      <c r="C20" s="152">
        <v>-528313</v>
      </c>
      <c r="D20" s="152"/>
    </row>
    <row r="21" spans="1:4">
      <c r="A21" s="180">
        <v>19</v>
      </c>
      <c r="B21" s="180" t="s">
        <v>626</v>
      </c>
      <c r="C21" s="152">
        <v>0</v>
      </c>
      <c r="D21" s="152"/>
    </row>
    <row r="22" spans="1:4">
      <c r="A22" s="180">
        <v>20</v>
      </c>
      <c r="B22" s="180" t="s">
        <v>627</v>
      </c>
      <c r="C22" s="152">
        <v>-3362</v>
      </c>
      <c r="D22" s="152"/>
    </row>
    <row r="23" spans="1:4">
      <c r="A23" s="180">
        <v>21</v>
      </c>
      <c r="B23" s="180" t="s">
        <v>628</v>
      </c>
      <c r="C23" s="152">
        <v>0</v>
      </c>
      <c r="D23" s="152"/>
    </row>
    <row r="24" spans="1:4">
      <c r="A24" s="180">
        <v>22</v>
      </c>
      <c r="B24" s="180" t="s">
        <v>629</v>
      </c>
      <c r="C24" s="152">
        <v>0</v>
      </c>
      <c r="D24" s="152"/>
    </row>
    <row r="25" spans="1:4">
      <c r="A25" s="180">
        <v>23</v>
      </c>
      <c r="B25" s="180" t="s">
        <v>630</v>
      </c>
      <c r="C25" s="152">
        <v>0</v>
      </c>
      <c r="D25" s="152"/>
    </row>
    <row r="26" spans="1:4">
      <c r="A26" s="180">
        <v>24</v>
      </c>
      <c r="B26" s="180" t="s">
        <v>632</v>
      </c>
      <c r="C26" s="152">
        <v>-8646699</v>
      </c>
      <c r="D26" s="152"/>
    </row>
    <row r="27" spans="1:4">
      <c r="A27" s="180">
        <v>25</v>
      </c>
      <c r="B27" s="180" t="s">
        <v>633</v>
      </c>
      <c r="C27" s="152">
        <v>0</v>
      </c>
      <c r="D27" s="152"/>
    </row>
    <row r="28" spans="1:4">
      <c r="A28" s="180">
        <v>26</v>
      </c>
      <c r="B28" s="180" t="s">
        <v>634</v>
      </c>
      <c r="C28" s="152">
        <v>0</v>
      </c>
      <c r="D28" s="152"/>
    </row>
    <row r="29" spans="1:4">
      <c r="A29" s="180">
        <v>27</v>
      </c>
      <c r="B29" s="180" t="s">
        <v>635</v>
      </c>
      <c r="C29" s="152">
        <v>0</v>
      </c>
      <c r="D29" s="152"/>
    </row>
    <row r="30" spans="1:4">
      <c r="A30" s="180">
        <v>28</v>
      </c>
      <c r="B30" s="180" t="s">
        <v>636</v>
      </c>
      <c r="C30" s="152">
        <v>-0.08</v>
      </c>
      <c r="D30" s="152"/>
    </row>
    <row r="31" spans="1:4">
      <c r="A31" s="180">
        <v>29</v>
      </c>
      <c r="B31" s="180" t="s">
        <v>637</v>
      </c>
      <c r="C31" s="336">
        <v>-52085942</v>
      </c>
      <c r="D31" s="152"/>
    </row>
    <row r="32" spans="1:4">
      <c r="A32" s="180">
        <v>30</v>
      </c>
      <c r="B32" s="180" t="s">
        <v>638</v>
      </c>
      <c r="C32" s="152">
        <v>-11232.31</v>
      </c>
      <c r="D32" s="152"/>
    </row>
    <row r="33" spans="1:4">
      <c r="A33" s="180">
        <v>31</v>
      </c>
      <c r="B33" s="180" t="s">
        <v>840</v>
      </c>
      <c r="C33" s="152">
        <v>-339746</v>
      </c>
      <c r="D33" s="152"/>
    </row>
    <row r="34" spans="1:4">
      <c r="A34" s="180">
        <v>32</v>
      </c>
      <c r="B34" s="180" t="s">
        <v>639</v>
      </c>
      <c r="C34" s="152">
        <v>-1153137</v>
      </c>
      <c r="D34" s="152"/>
    </row>
    <row r="35" spans="1:4">
      <c r="A35" s="180">
        <v>33</v>
      </c>
      <c r="B35" s="180" t="s">
        <v>640</v>
      </c>
      <c r="C35" s="152">
        <v>-14531</v>
      </c>
      <c r="D35" s="152"/>
    </row>
    <row r="36" spans="1:4">
      <c r="A36" s="180">
        <v>34</v>
      </c>
      <c r="B36" s="180" t="s">
        <v>641</v>
      </c>
      <c r="C36" s="152">
        <v>-5825</v>
      </c>
      <c r="D36" s="152"/>
    </row>
    <row r="37" spans="1:4">
      <c r="A37" s="180">
        <v>35</v>
      </c>
      <c r="B37" s="180" t="s">
        <v>642</v>
      </c>
      <c r="C37" s="152">
        <v>94</v>
      </c>
      <c r="D37" s="152"/>
    </row>
    <row r="38" spans="1:4">
      <c r="A38" s="180">
        <v>36</v>
      </c>
      <c r="B38" s="180" t="s">
        <v>643</v>
      </c>
      <c r="C38" s="152">
        <v>-356002</v>
      </c>
      <c r="D38" s="152"/>
    </row>
    <row r="39" spans="1:4">
      <c r="A39" s="180">
        <v>37</v>
      </c>
      <c r="B39" s="180" t="s">
        <v>644</v>
      </c>
      <c r="C39" s="152">
        <v>-218174</v>
      </c>
      <c r="D39" s="152"/>
    </row>
    <row r="40" spans="1:4">
      <c r="A40" s="180">
        <v>38</v>
      </c>
      <c r="B40" s="180" t="s">
        <v>645</v>
      </c>
      <c r="C40" s="152">
        <v>0</v>
      </c>
      <c r="D40" s="152"/>
    </row>
    <row r="41" spans="1:4">
      <c r="A41" s="180">
        <v>39</v>
      </c>
      <c r="B41" s="180" t="s">
        <v>646</v>
      </c>
      <c r="C41" s="152">
        <v>-622266</v>
      </c>
      <c r="D41" s="152"/>
    </row>
    <row r="42" spans="1:4">
      <c r="A42" s="179"/>
      <c r="B42" s="179" t="s">
        <v>607</v>
      </c>
      <c r="C42" s="176">
        <f>+SUM(C3:C41)</f>
        <v>-73905496.390000001</v>
      </c>
      <c r="D42" s="176"/>
    </row>
  </sheetData>
  <printOptions horizontalCentered="1" verticalCentered="1"/>
  <pageMargins left="9.8425196850393706E-2" right="9.8425196850393706E-2" top="9.8425196850393706E-2" bottom="9.8425196850393706E-2" header="9.8425196850393706E-2" footer="9.8425196850393706E-2"/>
  <pageSetup paperSize="9" orientation="portrait" r:id="rId1"/>
  <headerFooter>
    <oddFooter>&amp;L&amp;A&amp;F&amp;N</oddFooter>
  </headerFooter>
</worksheet>
</file>

<file path=xl/worksheets/sheet19.xml><?xml version="1.0" encoding="utf-8"?>
<worksheet xmlns="http://schemas.openxmlformats.org/spreadsheetml/2006/main" xmlns:r="http://schemas.openxmlformats.org/officeDocument/2006/relationships">
  <sheetPr>
    <tabColor rgb="FF92D050"/>
  </sheetPr>
  <dimension ref="A1:L71"/>
  <sheetViews>
    <sheetView showGridLines="0" view="pageBreakPreview" zoomScale="85" zoomScaleSheetLayoutView="85" workbookViewId="0">
      <pane xSplit="1" ySplit="7" topLeftCell="B8" activePane="bottomRight" state="frozen"/>
      <selection activeCell="D20" sqref="D20"/>
      <selection pane="topRight" activeCell="D20" sqref="D20"/>
      <selection pane="bottomLeft" activeCell="D20" sqref="D20"/>
      <selection pane="bottomRight" activeCell="D22" sqref="D22"/>
    </sheetView>
  </sheetViews>
  <sheetFormatPr defaultColWidth="6.7109375" defaultRowHeight="15"/>
  <cols>
    <col min="1" max="1" width="34.7109375" style="227" customWidth="1"/>
    <col min="2" max="2" width="12.85546875" style="227" customWidth="1"/>
    <col min="3" max="3" width="15" style="227" bestFit="1" customWidth="1"/>
    <col min="4" max="4" width="17.5703125" style="227" bestFit="1" customWidth="1"/>
    <col min="5" max="5" width="13.42578125" style="227" bestFit="1" customWidth="1"/>
    <col min="6" max="6" width="11.5703125" style="227" bestFit="1" customWidth="1"/>
    <col min="7" max="7" width="16.28515625" style="227" bestFit="1" customWidth="1"/>
    <col min="8" max="9" width="14.5703125" style="227" bestFit="1" customWidth="1"/>
    <col min="10" max="10" width="11.7109375" style="227" bestFit="1" customWidth="1"/>
    <col min="11" max="11" width="14.5703125" style="227" bestFit="1" customWidth="1"/>
    <col min="12" max="12" width="11.5703125" style="227" bestFit="1" customWidth="1"/>
    <col min="13" max="16384" width="6.7109375" style="227"/>
  </cols>
  <sheetData>
    <row r="1" spans="1:12">
      <c r="A1" s="225" t="s">
        <v>746</v>
      </c>
      <c r="B1" s="226"/>
      <c r="C1" s="226"/>
      <c r="D1" s="226"/>
      <c r="E1" s="226"/>
      <c r="F1" s="226"/>
      <c r="I1" s="228" t="s">
        <v>747</v>
      </c>
    </row>
    <row r="2" spans="1:12">
      <c r="A2" s="225" t="s">
        <v>748</v>
      </c>
      <c r="B2" s="226"/>
      <c r="C2" s="226"/>
      <c r="D2" s="226"/>
      <c r="E2" s="226"/>
      <c r="F2" s="226"/>
    </row>
    <row r="3" spans="1:12">
      <c r="A3" s="229" t="s">
        <v>749</v>
      </c>
      <c r="B3" s="230"/>
      <c r="C3" s="230"/>
      <c r="D3" s="230"/>
      <c r="E3" s="230"/>
      <c r="F3" s="230"/>
      <c r="G3" s="231"/>
      <c r="H3" s="232" t="s">
        <v>750</v>
      </c>
      <c r="I3" s="231"/>
    </row>
    <row r="4" spans="1:12">
      <c r="B4" s="225"/>
      <c r="E4" s="233" t="s">
        <v>750</v>
      </c>
      <c r="F4" s="233" t="s">
        <v>750</v>
      </c>
    </row>
    <row r="5" spans="1:12">
      <c r="A5" s="234" t="s">
        <v>751</v>
      </c>
      <c r="B5" s="225"/>
    </row>
    <row r="6" spans="1:12">
      <c r="A6" s="225"/>
      <c r="B6" s="225"/>
      <c r="I6" s="235" t="s">
        <v>752</v>
      </c>
    </row>
    <row r="7" spans="1:12" s="237" customFormat="1" ht="43.5">
      <c r="A7" s="236" t="s">
        <v>753</v>
      </c>
      <c r="B7" s="236" t="s">
        <v>754</v>
      </c>
      <c r="C7" s="236" t="s">
        <v>755</v>
      </c>
      <c r="D7" s="236" t="s">
        <v>756</v>
      </c>
      <c r="E7" s="236" t="s">
        <v>757</v>
      </c>
      <c r="F7" s="236" t="s">
        <v>758</v>
      </c>
      <c r="G7" s="236" t="s">
        <v>759</v>
      </c>
      <c r="H7" s="236" t="s">
        <v>760</v>
      </c>
      <c r="I7" s="236" t="s">
        <v>761</v>
      </c>
      <c r="K7" s="236" t="s">
        <v>762</v>
      </c>
      <c r="L7" s="238" t="s">
        <v>763</v>
      </c>
    </row>
    <row r="8" spans="1:12">
      <c r="A8" s="239" t="s">
        <v>734</v>
      </c>
      <c r="B8" s="240">
        <v>0</v>
      </c>
      <c r="C8" s="241">
        <v>14135033</v>
      </c>
      <c r="D8" s="242">
        <f>+[10]Additions!C11</f>
        <v>76974230</v>
      </c>
      <c r="E8" s="242">
        <v>0</v>
      </c>
      <c r="F8" s="242">
        <v>0</v>
      </c>
      <c r="G8" s="243">
        <f>C8+E8+D8-F8</f>
        <v>91109263</v>
      </c>
      <c r="H8" s="243">
        <f>(C8-F8+D8)*B8/100+E8*B8/2/100</f>
        <v>0</v>
      </c>
      <c r="I8" s="244">
        <f>+G8-H8</f>
        <v>91109263</v>
      </c>
      <c r="K8" s="245"/>
    </row>
    <row r="9" spans="1:12">
      <c r="A9" s="246" t="s">
        <v>764</v>
      </c>
      <c r="B9" s="247">
        <v>5</v>
      </c>
      <c r="C9" s="241">
        <v>4956308</v>
      </c>
      <c r="D9" s="242">
        <v>0</v>
      </c>
      <c r="E9" s="242">
        <f>+[10]Additions!C16</f>
        <v>0</v>
      </c>
      <c r="F9" s="242">
        <v>0</v>
      </c>
      <c r="G9" s="243">
        <f t="shared" ref="G9:G18" si="0">C9+E9+D9-F9</f>
        <v>4956308</v>
      </c>
      <c r="H9" s="243">
        <f>ROUND((C9-F9+D9)*B9/100+E9*B9/2/100,0)</f>
        <v>247815</v>
      </c>
      <c r="I9" s="244">
        <f t="shared" ref="I9:I18" si="1">+G9-H9</f>
        <v>4708493</v>
      </c>
      <c r="K9" s="248">
        <f t="shared" ref="K9:K18" si="2">(C9+D9)*B9%+E9*B9%/2-F9*B9%</f>
        <v>247815.40000000002</v>
      </c>
      <c r="L9" s="248">
        <f t="shared" ref="L9:L18" si="3">H9-K9</f>
        <v>-0.40000000002328306</v>
      </c>
    </row>
    <row r="10" spans="1:12">
      <c r="A10" s="246" t="s">
        <v>765</v>
      </c>
      <c r="B10" s="247">
        <v>10</v>
      </c>
      <c r="C10" s="241">
        <v>53375410</v>
      </c>
      <c r="D10" s="242">
        <f>[10]Additions!C19</f>
        <v>2177694</v>
      </c>
      <c r="E10" s="242">
        <f>[10]Additions!C20</f>
        <v>3925622.46</v>
      </c>
      <c r="F10" s="242">
        <v>0</v>
      </c>
      <c r="G10" s="243">
        <f>C10+E10+D10-F10</f>
        <v>59478726.460000001</v>
      </c>
      <c r="H10" s="243">
        <f>ROUND((C10-F10+D10)*B10/100+E10*B10/2/100,0)</f>
        <v>5751592</v>
      </c>
      <c r="I10" s="244">
        <f t="shared" si="1"/>
        <v>53727134.460000001</v>
      </c>
      <c r="K10" s="248">
        <f t="shared" si="2"/>
        <v>5751591.523</v>
      </c>
      <c r="L10" s="248">
        <f t="shared" si="3"/>
        <v>0.47699999995529652</v>
      </c>
    </row>
    <row r="11" spans="1:12">
      <c r="A11" s="246" t="s">
        <v>766</v>
      </c>
      <c r="B11" s="247">
        <v>5</v>
      </c>
      <c r="C11" s="241">
        <v>4112929</v>
      </c>
      <c r="D11" s="242">
        <v>0</v>
      </c>
      <c r="E11" s="242">
        <v>0</v>
      </c>
      <c r="F11" s="242">
        <v>0</v>
      </c>
      <c r="G11" s="243">
        <f t="shared" si="0"/>
        <v>4112929</v>
      </c>
      <c r="H11" s="243">
        <f>ROUND((C11-F11+D11)*B11/100+E11*B11/2/100,0)</f>
        <v>205646</v>
      </c>
      <c r="I11" s="244">
        <f t="shared" si="1"/>
        <v>3907283</v>
      </c>
      <c r="K11" s="248">
        <f t="shared" si="2"/>
        <v>205646.45</v>
      </c>
      <c r="L11" s="248">
        <f t="shared" si="3"/>
        <v>-0.45000000001164153</v>
      </c>
    </row>
    <row r="12" spans="1:12">
      <c r="A12" s="246" t="s">
        <v>767</v>
      </c>
      <c r="B12" s="247">
        <v>10</v>
      </c>
      <c r="C12" s="241">
        <v>19153098.100000001</v>
      </c>
      <c r="D12" s="242">
        <f>[10]Additions!C23</f>
        <v>7281671.5</v>
      </c>
      <c r="E12" s="242">
        <f>[10]Additions!C24</f>
        <v>4674873.6600000011</v>
      </c>
      <c r="F12" s="242">
        <f>[10]AssetSales!C17</f>
        <v>47713</v>
      </c>
      <c r="G12" s="243">
        <f t="shared" si="0"/>
        <v>31061930.260000002</v>
      </c>
      <c r="H12" s="243">
        <f>ROUND((C12-F12+D12)*B12/100+E12*B12/2/100,0)</f>
        <v>2872449</v>
      </c>
      <c r="I12" s="244">
        <f t="shared" si="1"/>
        <v>28189481.260000002</v>
      </c>
      <c r="K12" s="248">
        <f t="shared" si="2"/>
        <v>2872449.3430000008</v>
      </c>
      <c r="L12" s="248">
        <f t="shared" si="3"/>
        <v>-0.34300000080838799</v>
      </c>
    </row>
    <row r="13" spans="1:12">
      <c r="A13" s="246" t="s">
        <v>768</v>
      </c>
      <c r="B13" s="247">
        <v>15</v>
      </c>
      <c r="C13" s="241">
        <v>614040073</v>
      </c>
      <c r="D13" s="242">
        <f>[10]Additions!C27</f>
        <v>50346095.400000006</v>
      </c>
      <c r="E13" s="242">
        <f>[10]Additions!C28</f>
        <v>41571158.079999983</v>
      </c>
      <c r="F13" s="242">
        <f>[10]AssetSales!C15</f>
        <v>0</v>
      </c>
      <c r="G13" s="243">
        <f t="shared" si="0"/>
        <v>705957326.4799999</v>
      </c>
      <c r="H13" s="243">
        <f>ROUND((C13-F13+D13)*B13/100+E13*B13/2/100+('[10]Sch-6'!D79*20%+'[10]Sch-7'!D80*20%/2),0)</f>
        <v>112799449</v>
      </c>
      <c r="I13" s="244">
        <f t="shared" si="1"/>
        <v>593157877.4799999</v>
      </c>
      <c r="J13" s="248">
        <f>'[10]Sch-6'!D79*20%+'[10]Sch-7'!D80*20%/2</f>
        <v>10023686.389</v>
      </c>
      <c r="K13" s="248">
        <f t="shared" si="2"/>
        <v>102775762.116</v>
      </c>
      <c r="L13" s="248">
        <f t="shared" si="3"/>
        <v>10023686.884000003</v>
      </c>
    </row>
    <row r="14" spans="1:12">
      <c r="A14" s="246" t="s">
        <v>769</v>
      </c>
      <c r="B14" s="247">
        <v>15</v>
      </c>
      <c r="C14" s="241">
        <v>25440738</v>
      </c>
      <c r="D14" s="242">
        <f>[10]Additions!C31</f>
        <v>1639479.45</v>
      </c>
      <c r="E14" s="242">
        <f>[10]Additions!C32</f>
        <v>6379749</v>
      </c>
      <c r="F14" s="242">
        <f>[10]AssetSales!C11</f>
        <v>622016</v>
      </c>
      <c r="G14" s="243">
        <f t="shared" si="0"/>
        <v>32837950.449999999</v>
      </c>
      <c r="H14" s="243">
        <f>ROUND((C14-F14+D14)*B14/100+E14*B14/2/100,0)</f>
        <v>4447211</v>
      </c>
      <c r="I14" s="244">
        <f t="shared" si="1"/>
        <v>28390739.449999999</v>
      </c>
      <c r="K14" s="248">
        <f t="shared" si="2"/>
        <v>4447211.3924999991</v>
      </c>
      <c r="L14" s="248">
        <f t="shared" si="3"/>
        <v>-0.39249999914318323</v>
      </c>
    </row>
    <row r="15" spans="1:12">
      <c r="A15" s="246" t="s">
        <v>770</v>
      </c>
      <c r="B15" s="247">
        <v>40</v>
      </c>
      <c r="C15" s="241">
        <v>16220</v>
      </c>
      <c r="D15" s="242">
        <v>0</v>
      </c>
      <c r="E15" s="242">
        <v>0</v>
      </c>
      <c r="F15" s="242">
        <v>0</v>
      </c>
      <c r="G15" s="243">
        <f t="shared" si="0"/>
        <v>16220</v>
      </c>
      <c r="H15" s="243">
        <f>ROUND((C15-F15+D15)*B15/100+E15*B15/2/100,0)</f>
        <v>6488</v>
      </c>
      <c r="I15" s="244">
        <f t="shared" si="1"/>
        <v>9732</v>
      </c>
      <c r="K15" s="248">
        <f t="shared" si="2"/>
        <v>6488</v>
      </c>
      <c r="L15" s="248">
        <f t="shared" si="3"/>
        <v>0</v>
      </c>
    </row>
    <row r="16" spans="1:12">
      <c r="A16" s="246" t="s">
        <v>771</v>
      </c>
      <c r="B16" s="247">
        <v>60</v>
      </c>
      <c r="C16" s="241">
        <v>5724949</v>
      </c>
      <c r="D16" s="242">
        <f>[10]Additions!C35</f>
        <v>14721829.960000001</v>
      </c>
      <c r="E16" s="242">
        <f>[10]Additions!C36</f>
        <v>7409527.709999999</v>
      </c>
      <c r="F16" s="242">
        <f>[10]AssetSales!C13</f>
        <v>0</v>
      </c>
      <c r="G16" s="243">
        <f t="shared" si="0"/>
        <v>27856306.670000002</v>
      </c>
      <c r="H16" s="243">
        <f>ROUND((C16-F16+D16)*B16/100+E16*B16/2/100,0)</f>
        <v>14490926</v>
      </c>
      <c r="I16" s="244">
        <f t="shared" si="1"/>
        <v>13365380.670000002</v>
      </c>
      <c r="K16" s="248">
        <f t="shared" si="2"/>
        <v>14490925.688999999</v>
      </c>
      <c r="L16" s="248">
        <f t="shared" si="3"/>
        <v>0.31100000068545341</v>
      </c>
    </row>
    <row r="17" spans="1:12">
      <c r="A17" s="246" t="s">
        <v>772</v>
      </c>
      <c r="B17" s="247">
        <v>20</v>
      </c>
      <c r="C17" s="241">
        <v>976106</v>
      </c>
      <c r="D17" s="242">
        <v>0</v>
      </c>
      <c r="E17" s="242">
        <v>0</v>
      </c>
      <c r="F17" s="242">
        <v>0</v>
      </c>
      <c r="G17" s="243">
        <f t="shared" si="0"/>
        <v>976106</v>
      </c>
      <c r="H17" s="243">
        <f>ROUND((C17-F17+D17)*B17/100+E17*B17/2/100,0)</f>
        <v>195221</v>
      </c>
      <c r="I17" s="244">
        <f t="shared" si="1"/>
        <v>780885</v>
      </c>
      <c r="K17" s="248">
        <f t="shared" si="2"/>
        <v>195221.2</v>
      </c>
      <c r="L17" s="248">
        <f t="shared" si="3"/>
        <v>-0.20000000001164153</v>
      </c>
    </row>
    <row r="18" spans="1:12">
      <c r="A18" s="246" t="s">
        <v>773</v>
      </c>
      <c r="B18" s="247">
        <v>60</v>
      </c>
      <c r="C18" s="243">
        <v>3773993</v>
      </c>
      <c r="D18" s="242">
        <f>[10]Additions!C39</f>
        <v>47272724.280000001</v>
      </c>
      <c r="E18" s="242">
        <f>[10]Additions!C40</f>
        <v>1252985.2000000002</v>
      </c>
      <c r="F18" s="242">
        <f>[10]AssetSales!C19</f>
        <v>0</v>
      </c>
      <c r="G18" s="243">
        <f t="shared" si="0"/>
        <v>52299702.480000004</v>
      </c>
      <c r="H18" s="243">
        <f>ROUND((C18-F18+D18)*B18/100+E18*B18/2/100,0)</f>
        <v>31003926</v>
      </c>
      <c r="I18" s="244">
        <f t="shared" si="1"/>
        <v>21295776.480000004</v>
      </c>
      <c r="K18" s="248">
        <f t="shared" si="2"/>
        <v>31003925.927999999</v>
      </c>
      <c r="L18" s="248">
        <f t="shared" si="3"/>
        <v>7.200000062584877E-2</v>
      </c>
    </row>
    <row r="19" spans="1:12">
      <c r="A19" s="249" t="s">
        <v>774</v>
      </c>
      <c r="B19" s="250" t="s">
        <v>775</v>
      </c>
      <c r="C19" s="251">
        <f t="shared" ref="C19:H19" si="4">SUM(C8:C18)</f>
        <v>745704857.10000002</v>
      </c>
      <c r="D19" s="251">
        <f t="shared" si="4"/>
        <v>200413724.59</v>
      </c>
      <c r="E19" s="251">
        <f t="shared" si="4"/>
        <v>65213916.109999992</v>
      </c>
      <c r="F19" s="251">
        <f t="shared" si="4"/>
        <v>669729</v>
      </c>
      <c r="G19" s="251">
        <f t="shared" si="4"/>
        <v>1010662768.8</v>
      </c>
      <c r="H19" s="251">
        <f t="shared" si="4"/>
        <v>172020723</v>
      </c>
      <c r="I19" s="251">
        <f>SUM(I8:I18)+1</f>
        <v>838642046.79999995</v>
      </c>
      <c r="K19" s="248"/>
    </row>
    <row r="20" spans="1:12">
      <c r="A20" s="225" t="s">
        <v>837</v>
      </c>
      <c r="C20" s="245"/>
      <c r="D20" s="292">
        <f>+SUM(D19:E19)</f>
        <v>265627640.69999999</v>
      </c>
      <c r="J20" s="252"/>
      <c r="K20" s="248"/>
    </row>
    <row r="21" spans="1:12">
      <c r="A21" s="253" t="s">
        <v>776</v>
      </c>
      <c r="B21" s="253"/>
      <c r="C21" s="253"/>
      <c r="D21" s="253"/>
      <c r="E21" s="254"/>
      <c r="F21" s="253"/>
      <c r="G21" s="253"/>
      <c r="H21" s="253"/>
      <c r="I21" s="253"/>
      <c r="J21" s="252"/>
      <c r="K21" s="248"/>
    </row>
    <row r="22" spans="1:12">
      <c r="A22" s="255"/>
      <c r="B22" s="253"/>
      <c r="C22" s="254"/>
      <c r="D22" s="254"/>
      <c r="E22" s="254"/>
      <c r="F22" s="256"/>
      <c r="G22" s="254"/>
      <c r="H22" s="254"/>
      <c r="I22" s="254"/>
      <c r="J22" s="252"/>
      <c r="K22" s="248"/>
    </row>
    <row r="23" spans="1:12">
      <c r="A23" s="253" t="s">
        <v>777</v>
      </c>
      <c r="B23" s="253"/>
      <c r="C23" s="253"/>
      <c r="D23" s="253"/>
      <c r="E23" s="253"/>
      <c r="F23" s="253"/>
      <c r="G23" s="253"/>
      <c r="H23" s="253"/>
      <c r="I23" s="253"/>
      <c r="J23" s="252"/>
      <c r="K23" s="248"/>
    </row>
    <row r="24" spans="1:12">
      <c r="A24" s="253"/>
      <c r="B24" s="253"/>
      <c r="C24" s="253"/>
      <c r="D24" s="253"/>
      <c r="E24" s="253"/>
      <c r="F24" s="253"/>
      <c r="G24" s="253"/>
      <c r="H24" s="253"/>
      <c r="I24" s="253"/>
      <c r="J24" s="252"/>
      <c r="K24" s="248"/>
    </row>
    <row r="25" spans="1:12">
      <c r="A25" s="253" t="s">
        <v>778</v>
      </c>
      <c r="B25" s="253"/>
      <c r="C25" s="253"/>
      <c r="D25" s="253"/>
      <c r="E25" s="253"/>
      <c r="F25" s="253"/>
      <c r="G25" s="253"/>
      <c r="H25" s="253"/>
      <c r="I25" s="253"/>
      <c r="J25" s="252"/>
      <c r="K25" s="248"/>
    </row>
    <row r="26" spans="1:12">
      <c r="A26" s="253"/>
      <c r="B26" s="253"/>
      <c r="C26" s="253"/>
      <c r="D26" s="253"/>
      <c r="E26" s="253"/>
      <c r="F26" s="253"/>
      <c r="G26" s="253"/>
      <c r="H26" s="253"/>
      <c r="I26" s="253"/>
      <c r="J26" s="252"/>
      <c r="K26" s="248"/>
    </row>
    <row r="27" spans="1:12">
      <c r="A27" s="253" t="s">
        <v>779</v>
      </c>
      <c r="B27" s="253"/>
      <c r="C27" s="253"/>
      <c r="D27" s="253"/>
      <c r="E27" s="253"/>
      <c r="F27" s="253"/>
      <c r="G27" s="253"/>
      <c r="H27" s="253"/>
      <c r="I27" s="253"/>
      <c r="J27" s="252"/>
      <c r="K27" s="248"/>
    </row>
    <row r="28" spans="1:12">
      <c r="A28" s="253"/>
      <c r="B28" s="253"/>
      <c r="C28" s="253"/>
      <c r="D28" s="253"/>
      <c r="E28" s="253"/>
      <c r="F28" s="253"/>
      <c r="G28" s="253"/>
      <c r="H28" s="253"/>
      <c r="I28" s="253"/>
      <c r="J28" s="252"/>
      <c r="K28" s="248"/>
    </row>
    <row r="29" spans="1:12">
      <c r="A29" s="253" t="s">
        <v>780</v>
      </c>
      <c r="B29" s="253"/>
      <c r="C29" s="253"/>
      <c r="D29" s="253"/>
      <c r="E29" s="253"/>
      <c r="F29" s="253"/>
      <c r="G29" s="253"/>
      <c r="H29" s="253"/>
      <c r="I29" s="253"/>
      <c r="J29" s="252"/>
      <c r="K29" s="248"/>
    </row>
    <row r="30" spans="1:12">
      <c r="A30" s="253"/>
      <c r="B30" s="253"/>
      <c r="C30" s="253"/>
      <c r="D30" s="253"/>
      <c r="E30" s="253"/>
      <c r="F30" s="253"/>
      <c r="G30" s="253"/>
      <c r="H30" s="253"/>
      <c r="I30" s="253"/>
      <c r="J30" s="252"/>
      <c r="K30" s="248"/>
    </row>
    <row r="31" spans="1:12">
      <c r="A31" s="253" t="s">
        <v>781</v>
      </c>
      <c r="B31" s="253"/>
      <c r="C31" s="253"/>
      <c r="D31" s="253"/>
      <c r="E31" s="253"/>
      <c r="F31" s="253"/>
      <c r="G31" s="253"/>
      <c r="H31" s="253"/>
      <c r="I31" s="253"/>
      <c r="J31" s="252"/>
    </row>
    <row r="32" spans="1:12">
      <c r="A32" s="253"/>
      <c r="B32" s="253"/>
      <c r="C32" s="253"/>
      <c r="D32" s="253"/>
      <c r="E32" s="253"/>
      <c r="F32" s="253"/>
      <c r="G32" s="253"/>
      <c r="H32" s="253"/>
      <c r="I32" s="253"/>
    </row>
    <row r="33" spans="1:9">
      <c r="A33" s="257" t="s">
        <v>782</v>
      </c>
      <c r="B33" s="258"/>
      <c r="C33" s="258"/>
      <c r="D33" s="258"/>
      <c r="E33" s="258"/>
      <c r="F33" s="258"/>
      <c r="G33" s="258"/>
      <c r="H33" s="258"/>
      <c r="I33" s="258"/>
    </row>
    <row r="34" spans="1:9">
      <c r="A34" s="258" t="s">
        <v>783</v>
      </c>
      <c r="B34" s="258"/>
      <c r="C34" s="258"/>
      <c r="D34" s="258"/>
      <c r="E34" s="258"/>
      <c r="F34" s="258"/>
      <c r="G34" s="258"/>
      <c r="H34" s="258"/>
      <c r="I34" s="258"/>
    </row>
    <row r="35" spans="1:9">
      <c r="A35" s="258"/>
      <c r="B35" s="258"/>
      <c r="C35" s="258"/>
      <c r="D35" s="258"/>
      <c r="E35" s="258"/>
      <c r="F35" s="258"/>
      <c r="G35" s="258"/>
      <c r="H35" s="258"/>
      <c r="I35" s="258"/>
    </row>
    <row r="36" spans="1:9">
      <c r="A36" s="259" t="s">
        <v>39</v>
      </c>
      <c r="B36" s="259" t="s">
        <v>784</v>
      </c>
      <c r="C36" s="259" t="s">
        <v>785</v>
      </c>
      <c r="D36" s="259" t="s">
        <v>785</v>
      </c>
      <c r="E36" s="259" t="s">
        <v>786</v>
      </c>
      <c r="F36" s="260"/>
      <c r="G36" s="255"/>
      <c r="H36" s="258"/>
      <c r="I36" s="258"/>
    </row>
    <row r="37" spans="1:9">
      <c r="A37" s="261"/>
      <c r="B37" s="261"/>
      <c r="C37" s="259" t="s">
        <v>787</v>
      </c>
      <c r="D37" s="259" t="s">
        <v>788</v>
      </c>
      <c r="E37" s="259" t="s">
        <v>789</v>
      </c>
      <c r="F37" s="255"/>
      <c r="G37" s="255"/>
      <c r="H37" s="258"/>
      <c r="I37" s="258"/>
    </row>
    <row r="38" spans="1:9">
      <c r="A38" s="253"/>
      <c r="B38" s="253"/>
      <c r="C38" s="253"/>
      <c r="D38" s="253"/>
      <c r="E38" s="253"/>
      <c r="F38" s="255"/>
      <c r="G38" s="255"/>
      <c r="H38" s="258"/>
      <c r="I38" s="258"/>
    </row>
    <row r="39" spans="1:9">
      <c r="A39" s="253" t="s">
        <v>790</v>
      </c>
      <c r="B39" s="262">
        <f>73151815+20363365+35723729</f>
        <v>129238909</v>
      </c>
      <c r="C39" s="263">
        <f>102403536+6708844+5031632+2264235+1924599+1635909</f>
        <v>119968755</v>
      </c>
      <c r="D39" s="263">
        <f>(+B39-C39)*15%</f>
        <v>1390523.0999999999</v>
      </c>
      <c r="E39" s="264">
        <f>B39-C39-D39</f>
        <v>7879630.9000000004</v>
      </c>
      <c r="F39" s="265"/>
      <c r="G39" s="265"/>
      <c r="H39" s="258"/>
      <c r="I39" s="258"/>
    </row>
    <row r="40" spans="1:9">
      <c r="A40" s="253" t="s">
        <v>791</v>
      </c>
      <c r="B40" s="262"/>
      <c r="C40" s="253"/>
      <c r="D40" s="263"/>
      <c r="E40" s="253"/>
      <c r="F40" s="255"/>
      <c r="G40" s="255"/>
      <c r="H40" s="258"/>
      <c r="I40" s="258"/>
    </row>
    <row r="41" spans="1:9">
      <c r="A41" s="266" t="s">
        <v>792</v>
      </c>
      <c r="B41" s="253"/>
      <c r="C41" s="253"/>
      <c r="D41" s="263"/>
      <c r="E41" s="253"/>
      <c r="F41" s="255"/>
      <c r="G41" s="255"/>
      <c r="H41" s="258"/>
      <c r="I41" s="258"/>
    </row>
    <row r="42" spans="1:9">
      <c r="A42" s="266"/>
      <c r="B42" s="253"/>
      <c r="C42" s="253"/>
      <c r="D42" s="261"/>
      <c r="E42" s="253"/>
      <c r="F42" s="255"/>
      <c r="G42" s="255"/>
      <c r="H42" s="258"/>
      <c r="I42" s="258"/>
    </row>
    <row r="43" spans="1:9">
      <c r="A43" s="253" t="s">
        <v>793</v>
      </c>
      <c r="B43" s="262">
        <v>42350016</v>
      </c>
      <c r="C43" s="263">
        <f>32300159+1507479+1281357+1089153</f>
        <v>36178148</v>
      </c>
      <c r="D43" s="263">
        <f>(+B43-C43)*15%</f>
        <v>925780.2</v>
      </c>
      <c r="E43" s="264">
        <f>B43-C43-D43</f>
        <v>5246087.8</v>
      </c>
      <c r="F43" s="265"/>
      <c r="G43" s="265"/>
      <c r="H43" s="258"/>
      <c r="I43" s="258"/>
    </row>
    <row r="44" spans="1:9">
      <c r="A44" s="253" t="s">
        <v>794</v>
      </c>
      <c r="B44" s="262"/>
      <c r="C44" s="261"/>
      <c r="D44" s="263"/>
      <c r="E44" s="264"/>
      <c r="F44" s="255"/>
      <c r="G44" s="255"/>
      <c r="H44" s="258"/>
      <c r="I44" s="258"/>
    </row>
    <row r="45" spans="1:9">
      <c r="A45" s="253"/>
      <c r="B45" s="253"/>
      <c r="C45" s="253"/>
      <c r="D45" s="253"/>
      <c r="E45" s="264"/>
      <c r="F45" s="255"/>
      <c r="G45" s="255"/>
      <c r="H45" s="258"/>
      <c r="I45" s="258"/>
    </row>
    <row r="46" spans="1:9">
      <c r="A46" s="253" t="s">
        <v>795</v>
      </c>
      <c r="B46" s="262">
        <v>339759</v>
      </c>
      <c r="C46" s="263">
        <f>232258+26876+20156+9070+7710+6553</f>
        <v>302623</v>
      </c>
      <c r="D46" s="263">
        <f>(+B46-C46)*15%</f>
        <v>5570.4</v>
      </c>
      <c r="E46" s="264">
        <f>B46-C46-D46</f>
        <v>31565.599999999999</v>
      </c>
      <c r="F46" s="265"/>
      <c r="G46" s="265"/>
      <c r="H46" s="258"/>
      <c r="I46" s="258"/>
    </row>
    <row r="47" spans="1:9">
      <c r="A47" s="253" t="s">
        <v>796</v>
      </c>
      <c r="B47" s="261"/>
      <c r="C47" s="263"/>
      <c r="D47" s="267"/>
      <c r="E47" s="264"/>
      <c r="F47" s="255"/>
      <c r="G47" s="268"/>
      <c r="H47" s="258"/>
      <c r="I47" s="258"/>
    </row>
    <row r="48" spans="1:9">
      <c r="A48" s="255"/>
      <c r="B48" s="255"/>
      <c r="C48" s="255"/>
      <c r="D48" s="255"/>
      <c r="E48" s="255"/>
      <c r="F48" s="255"/>
      <c r="G48" s="255"/>
      <c r="H48" s="255"/>
      <c r="I48" s="235"/>
    </row>
    <row r="49" spans="1:9" hidden="1">
      <c r="A49" s="257" t="s">
        <v>797</v>
      </c>
      <c r="B49" s="255"/>
      <c r="C49" s="255"/>
      <c r="D49" s="255"/>
      <c r="E49" s="255"/>
      <c r="F49" s="255"/>
      <c r="G49" s="255"/>
      <c r="H49" s="255"/>
      <c r="I49" s="235"/>
    </row>
    <row r="50" spans="1:9" hidden="1">
      <c r="A50" s="269"/>
      <c r="B50" s="255"/>
      <c r="C50" s="270"/>
      <c r="D50" s="270"/>
      <c r="E50" s="270"/>
      <c r="F50" s="255"/>
      <c r="G50" s="255"/>
      <c r="H50" s="255"/>
      <c r="I50" s="255"/>
    </row>
    <row r="51" spans="1:9" hidden="1">
      <c r="A51" s="271" t="s">
        <v>39</v>
      </c>
      <c r="B51" s="272" t="s">
        <v>784</v>
      </c>
      <c r="C51" s="272" t="s">
        <v>785</v>
      </c>
      <c r="D51" s="272" t="s">
        <v>785</v>
      </c>
      <c r="E51" s="273" t="s">
        <v>786</v>
      </c>
      <c r="F51" s="260"/>
      <c r="G51" s="255"/>
      <c r="H51" s="258"/>
      <c r="I51" s="258"/>
    </row>
    <row r="52" spans="1:9" hidden="1">
      <c r="A52" s="274"/>
      <c r="B52" s="275"/>
      <c r="C52" s="276" t="s">
        <v>798</v>
      </c>
      <c r="D52" s="276" t="s">
        <v>799</v>
      </c>
      <c r="E52" s="277" t="s">
        <v>800</v>
      </c>
      <c r="F52" s="255"/>
      <c r="G52" s="255"/>
      <c r="H52" s="255"/>
      <c r="I52" s="255"/>
    </row>
    <row r="53" spans="1:9" hidden="1">
      <c r="A53" s="274"/>
      <c r="B53" s="275"/>
      <c r="C53" s="275"/>
      <c r="D53" s="275"/>
      <c r="E53" s="278"/>
      <c r="F53" s="255"/>
      <c r="G53" s="255"/>
      <c r="H53" s="255"/>
      <c r="I53" s="255"/>
    </row>
    <row r="54" spans="1:9" hidden="1">
      <c r="A54" s="274"/>
      <c r="B54" s="279"/>
      <c r="C54" s="279"/>
      <c r="D54" s="279"/>
      <c r="E54" s="280"/>
      <c r="F54" s="255"/>
      <c r="G54" s="255"/>
      <c r="H54" s="255"/>
      <c r="I54" s="255"/>
    </row>
    <row r="55" spans="1:9" hidden="1">
      <c r="A55" s="274" t="s">
        <v>801</v>
      </c>
      <c r="B55" s="281">
        <v>359371</v>
      </c>
      <c r="C55" s="282">
        <f>44921+67276+50458+37843+28383+21287+27301+12285+10443</f>
        <v>300197</v>
      </c>
      <c r="D55" s="283">
        <f>(+B55-C55)*15%</f>
        <v>8876.1</v>
      </c>
      <c r="E55" s="284">
        <f>B55-C55-D55</f>
        <v>50297.9</v>
      </c>
      <c r="F55" s="255"/>
      <c r="G55" s="255"/>
      <c r="H55" s="255"/>
      <c r="I55" s="255"/>
    </row>
    <row r="56" spans="1:9" ht="15.75" hidden="1" thickBot="1">
      <c r="A56" s="285" t="s">
        <v>802</v>
      </c>
      <c r="B56" s="286"/>
      <c r="C56" s="287"/>
      <c r="D56" s="288"/>
      <c r="E56" s="289"/>
      <c r="F56" s="255"/>
      <c r="G56" s="255"/>
      <c r="H56" s="255"/>
      <c r="I56" s="255"/>
    </row>
    <row r="57" spans="1:9" hidden="1">
      <c r="A57" s="253"/>
      <c r="B57" s="268"/>
      <c r="C57" s="270"/>
      <c r="D57" s="263"/>
      <c r="E57" s="264"/>
      <c r="F57" s="255"/>
      <c r="G57" s="255"/>
      <c r="H57" s="255"/>
      <c r="I57" s="255"/>
    </row>
    <row r="58" spans="1:9" hidden="1">
      <c r="A58" s="253"/>
      <c r="B58" s="268"/>
      <c r="C58" s="270"/>
      <c r="D58" s="263"/>
      <c r="E58" s="264"/>
      <c r="F58" s="255"/>
      <c r="G58" s="255"/>
      <c r="H58" s="255"/>
      <c r="I58" s="255"/>
    </row>
    <row r="59" spans="1:9">
      <c r="A59" s="253" t="s">
        <v>803</v>
      </c>
      <c r="B59" s="268"/>
      <c r="C59" s="270"/>
      <c r="D59" s="263"/>
      <c r="E59" s="264"/>
      <c r="F59" s="255"/>
      <c r="G59" s="255"/>
      <c r="H59" s="255"/>
      <c r="I59" s="255"/>
    </row>
    <row r="60" spans="1:9">
      <c r="A60" s="290"/>
    </row>
    <row r="69" spans="4:4">
      <c r="D69" s="291">
        <f>(D19+E19)/100000</f>
        <v>2656.2764069999998</v>
      </c>
    </row>
    <row r="70" spans="4:4">
      <c r="D70" s="291">
        <v>1480.46</v>
      </c>
    </row>
    <row r="71" spans="4:4">
      <c r="D71" s="291">
        <f>D70-D69</f>
        <v>-1175.8164069999998</v>
      </c>
    </row>
  </sheetData>
  <printOptions horizontalCentered="1" verticalCentered="1"/>
  <pageMargins left="9.8425196850393706E-2" right="9.8425196850393706E-2" top="9.8425196850393706E-2" bottom="9.8425196850393706E-2" header="9.8425196850393706E-2" footer="9.8425196850393706E-2"/>
  <pageSetup paperSize="9" scale="95" orientation="landscape" r:id="rId1"/>
  <headerFooter alignWithMargins="0">
    <oddFooter>&amp;L&amp;A&amp;F&amp;N</oddFooter>
  </headerFooter>
  <rowBreaks count="1" manualBreakCount="1">
    <brk id="35" max="8" man="1"/>
  </rowBreaks>
</worksheet>
</file>

<file path=xl/worksheets/sheet2.xml><?xml version="1.0" encoding="utf-8"?>
<worksheet xmlns="http://schemas.openxmlformats.org/spreadsheetml/2006/main" xmlns:r="http://schemas.openxmlformats.org/officeDocument/2006/relationships">
  <sheetPr>
    <tabColor rgb="FF00B050"/>
  </sheetPr>
  <dimension ref="A1:F246"/>
  <sheetViews>
    <sheetView workbookViewId="0">
      <pane xSplit="2" ySplit="3" topLeftCell="C4" activePane="bottomRight" state="frozen"/>
      <selection pane="topRight" activeCell="C1" sqref="C1"/>
      <selection pane="bottomLeft" activeCell="A3" sqref="A3"/>
      <selection pane="bottomRight" activeCell="E17" sqref="E17"/>
    </sheetView>
  </sheetViews>
  <sheetFormatPr defaultRowHeight="15"/>
  <cols>
    <col min="1" max="1" width="6.7109375" customWidth="1"/>
    <col min="2" max="2" width="58.28515625" customWidth="1"/>
    <col min="3" max="3" width="10.42578125" style="56" bestFit="1" customWidth="1"/>
    <col min="4" max="4" width="23.7109375" bestFit="1" customWidth="1"/>
    <col min="5" max="5" width="22.7109375" bestFit="1" customWidth="1"/>
    <col min="6" max="6" width="17.7109375" bestFit="1" customWidth="1"/>
  </cols>
  <sheetData>
    <row r="1" spans="1:6" ht="30">
      <c r="A1" s="72"/>
      <c r="B1" s="77" t="s">
        <v>191</v>
      </c>
      <c r="C1" s="73"/>
      <c r="D1" s="72"/>
      <c r="E1" s="72"/>
      <c r="F1" s="72"/>
    </row>
    <row r="2" spans="1:6">
      <c r="A2" s="85"/>
      <c r="B2" s="85" t="s">
        <v>39</v>
      </c>
      <c r="C2" s="86" t="s">
        <v>120</v>
      </c>
      <c r="D2" s="86" t="s">
        <v>123</v>
      </c>
      <c r="E2" s="86" t="s">
        <v>41</v>
      </c>
      <c r="F2" s="86" t="s">
        <v>42</v>
      </c>
    </row>
    <row r="3" spans="1:6">
      <c r="A3" s="92" t="s">
        <v>121</v>
      </c>
      <c r="B3" s="92" t="s">
        <v>118</v>
      </c>
      <c r="C3" s="93">
        <v>29</v>
      </c>
      <c r="D3" s="94"/>
      <c r="E3" s="94"/>
      <c r="F3" s="94"/>
    </row>
    <row r="4" spans="1:6">
      <c r="A4" s="60"/>
      <c r="B4" s="61" t="s">
        <v>122</v>
      </c>
      <c r="C4" s="57"/>
      <c r="D4" s="53"/>
      <c r="E4" s="53"/>
      <c r="F4" s="53"/>
    </row>
    <row r="5" spans="1:6">
      <c r="A5" s="45"/>
      <c r="B5" s="44" t="s">
        <v>145</v>
      </c>
      <c r="C5" s="49"/>
      <c r="D5" s="116">
        <v>1254224162</v>
      </c>
      <c r="E5" s="116">
        <v>2196374835.2211404</v>
      </c>
      <c r="F5" s="116"/>
    </row>
    <row r="6" spans="1:6">
      <c r="A6" s="82" t="s">
        <v>67</v>
      </c>
      <c r="B6" s="82" t="s">
        <v>192</v>
      </c>
      <c r="C6" s="83">
        <v>30</v>
      </c>
      <c r="D6" s="84"/>
      <c r="E6" s="84"/>
      <c r="F6" s="84"/>
    </row>
    <row r="7" spans="1:6">
      <c r="A7" s="43" t="s">
        <v>179</v>
      </c>
      <c r="B7" s="44" t="s">
        <v>382</v>
      </c>
      <c r="C7" s="49"/>
      <c r="D7" s="116">
        <v>0</v>
      </c>
      <c r="E7" s="116">
        <v>0</v>
      </c>
      <c r="F7" s="116"/>
    </row>
    <row r="8" spans="1:6">
      <c r="A8" s="43" t="s">
        <v>182</v>
      </c>
      <c r="B8" s="44" t="s">
        <v>383</v>
      </c>
      <c r="C8" s="49"/>
      <c r="D8" s="116">
        <v>0</v>
      </c>
      <c r="E8" s="116">
        <v>0</v>
      </c>
      <c r="F8" s="116"/>
    </row>
    <row r="9" spans="1:6">
      <c r="A9" s="43" t="s">
        <v>189</v>
      </c>
      <c r="B9" s="44" t="s">
        <v>384</v>
      </c>
      <c r="C9" s="49"/>
      <c r="D9" s="116">
        <v>0</v>
      </c>
      <c r="E9" s="116">
        <v>0</v>
      </c>
      <c r="F9" s="116"/>
    </row>
    <row r="10" spans="1:6">
      <c r="A10" s="43" t="s">
        <v>193</v>
      </c>
      <c r="B10" s="44" t="s">
        <v>385</v>
      </c>
      <c r="C10" s="49"/>
      <c r="D10" s="116">
        <v>0</v>
      </c>
      <c r="E10" s="116">
        <v>0</v>
      </c>
      <c r="F10" s="116"/>
    </row>
    <row r="11" spans="1:6">
      <c r="A11" s="82" t="s">
        <v>67</v>
      </c>
      <c r="B11" s="82" t="s">
        <v>194</v>
      </c>
      <c r="C11" s="83">
        <v>31</v>
      </c>
      <c r="D11" s="84"/>
      <c r="E11" s="84"/>
      <c r="F11" s="84"/>
    </row>
    <row r="12" spans="1:6">
      <c r="A12" s="43" t="s">
        <v>179</v>
      </c>
      <c r="B12" s="44" t="s">
        <v>380</v>
      </c>
      <c r="C12" s="49"/>
      <c r="D12" s="116">
        <v>0</v>
      </c>
      <c r="E12" s="116">
        <v>0</v>
      </c>
      <c r="F12" s="116"/>
    </row>
    <row r="13" spans="1:6">
      <c r="A13" s="43" t="s">
        <v>182</v>
      </c>
      <c r="B13" s="44" t="s">
        <v>381</v>
      </c>
      <c r="C13" s="49"/>
      <c r="D13" s="116">
        <v>0</v>
      </c>
      <c r="E13" s="116">
        <v>0</v>
      </c>
      <c r="F13" s="116"/>
    </row>
    <row r="14" spans="1:6">
      <c r="A14" s="52" t="s">
        <v>119</v>
      </c>
      <c r="B14" s="52" t="s">
        <v>141</v>
      </c>
      <c r="C14" s="90">
        <v>32</v>
      </c>
      <c r="D14" s="53"/>
      <c r="E14" s="53"/>
      <c r="F14" s="53"/>
    </row>
    <row r="15" spans="1:6">
      <c r="A15" s="43" t="s">
        <v>102</v>
      </c>
      <c r="B15" s="44" t="s">
        <v>142</v>
      </c>
      <c r="C15" s="49"/>
      <c r="D15" s="116">
        <v>177511735</v>
      </c>
      <c r="E15" s="116">
        <v>195076367</v>
      </c>
      <c r="F15" s="116"/>
    </row>
    <row r="16" spans="1:6">
      <c r="A16" s="82" t="s">
        <v>67</v>
      </c>
      <c r="B16" s="82" t="s">
        <v>258</v>
      </c>
      <c r="C16" s="83">
        <v>32</v>
      </c>
      <c r="D16" s="84"/>
      <c r="E16" s="84"/>
      <c r="F16" s="84"/>
    </row>
    <row r="17" spans="1:6">
      <c r="A17" s="43" t="s">
        <v>102</v>
      </c>
      <c r="B17" s="44" t="s">
        <v>258</v>
      </c>
      <c r="C17" s="49"/>
      <c r="D17" s="116">
        <v>-130635644</v>
      </c>
      <c r="E17" s="116">
        <f>-DepnITax!H19</f>
        <v>-172020723</v>
      </c>
      <c r="F17" s="116"/>
    </row>
    <row r="18" spans="1:6">
      <c r="A18" s="43" t="s">
        <v>104</v>
      </c>
      <c r="B18" s="44" t="s">
        <v>403</v>
      </c>
      <c r="C18" s="49"/>
      <c r="D18" s="116">
        <v>-1390523</v>
      </c>
      <c r="E18" s="116">
        <f>-'Dep on NPK Plant '!E67</f>
        <v>-1181945</v>
      </c>
      <c r="F18" s="116"/>
    </row>
    <row r="19" spans="1:6">
      <c r="A19" s="43" t="s">
        <v>106</v>
      </c>
      <c r="B19" s="44" t="s">
        <v>404</v>
      </c>
      <c r="C19" s="49"/>
      <c r="D19" s="116">
        <v>-5570</v>
      </c>
      <c r="E19" s="116">
        <f>-'Dep on NPK Plant '!E68</f>
        <v>-4735</v>
      </c>
      <c r="F19" s="116"/>
    </row>
    <row r="20" spans="1:6">
      <c r="A20" s="43" t="s">
        <v>108</v>
      </c>
      <c r="B20" s="44" t="s">
        <v>405</v>
      </c>
      <c r="C20" s="49"/>
      <c r="D20" s="116">
        <v>-925780</v>
      </c>
      <c r="E20" s="116">
        <f>-'Dep on NPK Plant '!E69</f>
        <v>-786913</v>
      </c>
      <c r="F20" s="116"/>
    </row>
    <row r="21" spans="1:6">
      <c r="A21" s="43" t="s">
        <v>110</v>
      </c>
      <c r="B21" s="44" t="s">
        <v>410</v>
      </c>
      <c r="C21" s="49"/>
      <c r="D21" s="116">
        <v>12470</v>
      </c>
      <c r="E21" s="116">
        <f>-'Dep on NPK Plant '!E70</f>
        <v>11223</v>
      </c>
      <c r="F21" s="116"/>
    </row>
    <row r="22" spans="1:6">
      <c r="A22" s="82" t="s">
        <v>67</v>
      </c>
      <c r="B22" s="82" t="s">
        <v>195</v>
      </c>
      <c r="C22" s="83">
        <v>32</v>
      </c>
      <c r="D22" s="84"/>
      <c r="E22" s="84"/>
      <c r="F22" s="84"/>
    </row>
    <row r="23" spans="1:6" ht="51">
      <c r="A23" s="82"/>
      <c r="B23" s="82" t="s">
        <v>196</v>
      </c>
      <c r="C23" s="83"/>
      <c r="D23" s="84"/>
      <c r="E23" s="84"/>
      <c r="F23" s="84"/>
    </row>
    <row r="24" spans="1:6">
      <c r="A24" s="43" t="s">
        <v>102</v>
      </c>
      <c r="B24" s="44" t="s">
        <v>386</v>
      </c>
      <c r="C24" s="49"/>
      <c r="D24" s="59">
        <v>0</v>
      </c>
      <c r="E24" s="59">
        <v>0</v>
      </c>
      <c r="F24" s="59"/>
    </row>
    <row r="25" spans="1:6">
      <c r="A25" s="82" t="s">
        <v>67</v>
      </c>
      <c r="B25" s="82" t="s">
        <v>197</v>
      </c>
      <c r="C25" s="83">
        <v>35</v>
      </c>
      <c r="D25" s="84"/>
      <c r="E25" s="84"/>
      <c r="F25" s="84"/>
    </row>
    <row r="26" spans="1:6">
      <c r="A26" s="43" t="s">
        <v>179</v>
      </c>
      <c r="B26" s="44" t="s">
        <v>199</v>
      </c>
      <c r="C26" s="51" t="s">
        <v>198</v>
      </c>
      <c r="D26" s="116">
        <v>0</v>
      </c>
      <c r="E26" s="116">
        <v>0</v>
      </c>
      <c r="F26" s="116"/>
    </row>
    <row r="27" spans="1:6" ht="25.5">
      <c r="A27" s="69" t="s">
        <v>182</v>
      </c>
      <c r="B27" s="48" t="s">
        <v>200</v>
      </c>
      <c r="C27" s="91" t="s">
        <v>201</v>
      </c>
      <c r="D27" s="116">
        <v>0</v>
      </c>
      <c r="E27" s="116">
        <v>0</v>
      </c>
      <c r="F27" s="116"/>
    </row>
    <row r="28" spans="1:6">
      <c r="A28" s="82" t="s">
        <v>67</v>
      </c>
      <c r="B28" s="82" t="s">
        <v>202</v>
      </c>
      <c r="C28" s="83" t="s">
        <v>203</v>
      </c>
      <c r="D28" s="84"/>
      <c r="E28" s="84"/>
      <c r="F28" s="84"/>
    </row>
    <row r="29" spans="1:6" ht="51">
      <c r="A29" s="69" t="s">
        <v>179</v>
      </c>
      <c r="B29" s="48" t="s">
        <v>204</v>
      </c>
      <c r="C29" s="49"/>
      <c r="D29" s="152">
        <v>0</v>
      </c>
      <c r="E29" s="152">
        <v>0</v>
      </c>
      <c r="F29" s="116"/>
    </row>
    <row r="30" spans="1:6">
      <c r="A30" s="82" t="s">
        <v>67</v>
      </c>
      <c r="B30" s="82" t="s">
        <v>205</v>
      </c>
      <c r="C30" s="83" t="s">
        <v>206</v>
      </c>
      <c r="D30" s="84"/>
      <c r="E30" s="84"/>
      <c r="F30" s="84"/>
    </row>
    <row r="31" spans="1:6" ht="25.5">
      <c r="A31" s="69" t="s">
        <v>179</v>
      </c>
      <c r="B31" s="47" t="s">
        <v>207</v>
      </c>
      <c r="C31" s="49"/>
      <c r="D31" s="152">
        <v>0</v>
      </c>
      <c r="E31" s="152">
        <v>0</v>
      </c>
      <c r="F31" s="116"/>
    </row>
    <row r="32" spans="1:6">
      <c r="A32" s="82" t="s">
        <v>67</v>
      </c>
      <c r="B32" s="82" t="s">
        <v>208</v>
      </c>
      <c r="C32" s="83" t="s">
        <v>124</v>
      </c>
      <c r="D32" s="84"/>
      <c r="E32" s="84"/>
      <c r="F32" s="84"/>
    </row>
    <row r="33" spans="1:6" ht="25.5">
      <c r="A33" s="69" t="s">
        <v>179</v>
      </c>
      <c r="B33" s="47" t="s">
        <v>209</v>
      </c>
      <c r="C33" s="49"/>
      <c r="D33" s="152">
        <v>0</v>
      </c>
      <c r="E33" s="152">
        <v>0</v>
      </c>
      <c r="F33" s="116"/>
    </row>
    <row r="34" spans="1:6">
      <c r="A34" s="69" t="s">
        <v>102</v>
      </c>
      <c r="B34" s="47" t="s">
        <v>399</v>
      </c>
      <c r="C34" s="49"/>
      <c r="D34" s="116">
        <f>-1521636/5</f>
        <v>-304327.2</v>
      </c>
      <c r="E34" s="152">
        <v>0</v>
      </c>
      <c r="F34" s="116"/>
    </row>
    <row r="35" spans="1:6">
      <c r="A35" s="69" t="s">
        <v>104</v>
      </c>
      <c r="B35" s="47" t="s">
        <v>400</v>
      </c>
      <c r="C35" s="49"/>
      <c r="D35" s="116">
        <f>-655775/5</f>
        <v>-131155</v>
      </c>
      <c r="E35" s="116">
        <f>-655775/5</f>
        <v>-131155</v>
      </c>
      <c r="F35" s="116"/>
    </row>
    <row r="36" spans="1:6">
      <c r="A36" s="69" t="s">
        <v>106</v>
      </c>
      <c r="B36" s="47" t="s">
        <v>401</v>
      </c>
      <c r="C36" s="49"/>
      <c r="D36" s="116">
        <f>-98175/5</f>
        <v>-19635</v>
      </c>
      <c r="E36" s="116">
        <f>-98175/5</f>
        <v>-19635</v>
      </c>
      <c r="F36" s="116"/>
    </row>
    <row r="37" spans="1:6">
      <c r="A37" s="82" t="s">
        <v>67</v>
      </c>
      <c r="B37" s="82" t="s">
        <v>210</v>
      </c>
      <c r="C37" s="83" t="s">
        <v>211</v>
      </c>
      <c r="D37" s="84"/>
      <c r="E37" s="84"/>
      <c r="F37" s="84"/>
    </row>
    <row r="38" spans="1:6">
      <c r="A38" s="43" t="s">
        <v>179</v>
      </c>
      <c r="B38" s="44" t="s">
        <v>212</v>
      </c>
      <c r="C38" s="49"/>
      <c r="D38" s="116">
        <v>0</v>
      </c>
      <c r="E38" s="116">
        <v>0</v>
      </c>
      <c r="F38" s="116"/>
    </row>
    <row r="39" spans="1:6">
      <c r="A39" s="69" t="s">
        <v>182</v>
      </c>
      <c r="B39" s="44" t="s">
        <v>213</v>
      </c>
      <c r="C39" s="49"/>
      <c r="D39" s="116">
        <v>0</v>
      </c>
      <c r="E39" s="116">
        <v>0</v>
      </c>
      <c r="F39" s="116"/>
    </row>
    <row r="40" spans="1:6">
      <c r="A40" s="82" t="s">
        <v>67</v>
      </c>
      <c r="B40" s="82" t="s">
        <v>215</v>
      </c>
      <c r="C40" s="83" t="s">
        <v>214</v>
      </c>
      <c r="D40" s="84"/>
      <c r="E40" s="84"/>
      <c r="F40" s="84"/>
    </row>
    <row r="41" spans="1:6">
      <c r="A41" s="43" t="s">
        <v>179</v>
      </c>
      <c r="B41" s="44" t="s">
        <v>216</v>
      </c>
      <c r="C41" s="49"/>
      <c r="D41" s="116">
        <v>0</v>
      </c>
      <c r="E41" s="116">
        <v>0</v>
      </c>
      <c r="F41" s="116"/>
    </row>
    <row r="42" spans="1:6" ht="25.5">
      <c r="A42" s="69" t="s">
        <v>182</v>
      </c>
      <c r="B42" s="48" t="s">
        <v>217</v>
      </c>
      <c r="C42" s="49"/>
      <c r="D42" s="116">
        <v>0</v>
      </c>
      <c r="E42" s="116">
        <v>0</v>
      </c>
      <c r="F42" s="116"/>
    </row>
    <row r="43" spans="1:6" ht="25.5">
      <c r="A43" s="82" t="s">
        <v>67</v>
      </c>
      <c r="B43" s="82" t="s">
        <v>221</v>
      </c>
      <c r="C43" s="83" t="s">
        <v>218</v>
      </c>
      <c r="D43" s="84"/>
      <c r="E43" s="84"/>
      <c r="F43" s="84"/>
    </row>
    <row r="44" spans="1:6">
      <c r="A44" s="43" t="s">
        <v>102</v>
      </c>
      <c r="B44" s="44" t="s">
        <v>271</v>
      </c>
      <c r="C44" s="49"/>
      <c r="D44" s="116">
        <v>0</v>
      </c>
      <c r="E44" s="116">
        <v>0</v>
      </c>
      <c r="F44" s="116"/>
    </row>
    <row r="45" spans="1:6" ht="38.25">
      <c r="A45" s="68" t="s">
        <v>119</v>
      </c>
      <c r="B45" s="68" t="s">
        <v>219</v>
      </c>
      <c r="C45" s="62" t="s">
        <v>220</v>
      </c>
      <c r="D45" s="58"/>
      <c r="E45" s="58"/>
      <c r="F45" s="58"/>
    </row>
    <row r="46" spans="1:6">
      <c r="A46" s="43" t="s">
        <v>102</v>
      </c>
      <c r="B46" s="44" t="s">
        <v>270</v>
      </c>
      <c r="C46" s="49"/>
      <c r="D46" s="116">
        <v>0</v>
      </c>
      <c r="E46" s="116">
        <v>0</v>
      </c>
      <c r="F46" s="116"/>
    </row>
    <row r="47" spans="1:6">
      <c r="A47" s="82" t="s">
        <v>67</v>
      </c>
      <c r="B47" s="82" t="s">
        <v>227</v>
      </c>
      <c r="C47" s="83" t="s">
        <v>222</v>
      </c>
      <c r="D47" s="84"/>
      <c r="E47" s="84"/>
      <c r="F47" s="84"/>
    </row>
    <row r="48" spans="1:6">
      <c r="A48" s="43" t="s">
        <v>102</v>
      </c>
      <c r="B48" s="44" t="s">
        <v>223</v>
      </c>
      <c r="C48" s="49"/>
      <c r="D48" s="116">
        <v>0</v>
      </c>
      <c r="E48" s="116">
        <v>-63930646.079999998</v>
      </c>
      <c r="F48" s="116"/>
    </row>
    <row r="49" spans="1:6">
      <c r="A49" s="82" t="s">
        <v>67</v>
      </c>
      <c r="B49" s="82" t="s">
        <v>228</v>
      </c>
      <c r="C49" s="83" t="s">
        <v>224</v>
      </c>
      <c r="D49" s="84"/>
      <c r="E49" s="84"/>
      <c r="F49" s="84"/>
    </row>
    <row r="50" spans="1:6">
      <c r="A50" s="43" t="s">
        <v>102</v>
      </c>
      <c r="B50" s="44" t="s">
        <v>225</v>
      </c>
      <c r="C50" s="49"/>
      <c r="D50" s="116">
        <v>0</v>
      </c>
      <c r="E50" s="116">
        <v>-22610696</v>
      </c>
      <c r="F50" s="116"/>
    </row>
    <row r="51" spans="1:6">
      <c r="A51" s="82" t="s">
        <v>67</v>
      </c>
      <c r="B51" s="82" t="s">
        <v>229</v>
      </c>
      <c r="C51" s="83" t="s">
        <v>226</v>
      </c>
      <c r="D51" s="84"/>
      <c r="E51" s="84"/>
      <c r="F51" s="84"/>
    </row>
    <row r="52" spans="1:6">
      <c r="A52" s="43" t="s">
        <v>102</v>
      </c>
      <c r="B52" s="44" t="s">
        <v>230</v>
      </c>
      <c r="C52" s="49"/>
      <c r="D52" s="116">
        <v>0</v>
      </c>
      <c r="E52" s="116">
        <v>0</v>
      </c>
      <c r="F52" s="116"/>
    </row>
    <row r="53" spans="1:6">
      <c r="A53" s="82" t="s">
        <v>67</v>
      </c>
      <c r="B53" s="82" t="s">
        <v>231</v>
      </c>
      <c r="C53" s="83" t="s">
        <v>232</v>
      </c>
      <c r="D53" s="84"/>
      <c r="E53" s="84"/>
      <c r="F53" s="84"/>
    </row>
    <row r="54" spans="1:6">
      <c r="A54" s="43" t="s">
        <v>102</v>
      </c>
      <c r="B54" s="44" t="s">
        <v>233</v>
      </c>
      <c r="C54" s="49"/>
      <c r="D54" s="116">
        <v>0</v>
      </c>
      <c r="E54" s="116">
        <v>0</v>
      </c>
      <c r="F54" s="116"/>
    </row>
    <row r="55" spans="1:6">
      <c r="A55" s="82" t="s">
        <v>67</v>
      </c>
      <c r="B55" s="82" t="s">
        <v>454</v>
      </c>
      <c r="C55" s="83" t="s">
        <v>232</v>
      </c>
      <c r="D55" s="84"/>
      <c r="E55" s="84"/>
      <c r="F55" s="84"/>
    </row>
    <row r="56" spans="1:6">
      <c r="A56" s="43" t="s">
        <v>102</v>
      </c>
      <c r="B56" s="44" t="s">
        <v>387</v>
      </c>
      <c r="C56" s="49"/>
      <c r="D56" s="116">
        <v>-1597579</v>
      </c>
      <c r="E56" s="116">
        <v>0</v>
      </c>
      <c r="F56" s="116"/>
    </row>
    <row r="57" spans="1:6">
      <c r="A57" s="82" t="s">
        <v>67</v>
      </c>
      <c r="B57" s="82" t="s">
        <v>235</v>
      </c>
      <c r="C57" s="83" t="s">
        <v>234</v>
      </c>
      <c r="D57" s="84"/>
      <c r="E57" s="84"/>
      <c r="F57" s="84"/>
    </row>
    <row r="58" spans="1:6">
      <c r="A58" s="43" t="s">
        <v>102</v>
      </c>
      <c r="B58" s="44" t="s">
        <v>235</v>
      </c>
      <c r="C58" s="49"/>
      <c r="D58" s="116">
        <v>0</v>
      </c>
      <c r="E58" s="116">
        <v>0</v>
      </c>
      <c r="F58" s="116"/>
    </row>
    <row r="59" spans="1:6">
      <c r="A59" s="82" t="s">
        <v>67</v>
      </c>
      <c r="B59" s="82" t="s">
        <v>236</v>
      </c>
      <c r="C59" s="83" t="s">
        <v>234</v>
      </c>
      <c r="D59" s="84"/>
      <c r="E59" s="84"/>
      <c r="F59" s="84"/>
    </row>
    <row r="60" spans="1:6">
      <c r="A60" s="43" t="s">
        <v>102</v>
      </c>
      <c r="B60" s="44" t="s">
        <v>237</v>
      </c>
      <c r="C60" s="49"/>
      <c r="D60" s="116">
        <v>0</v>
      </c>
      <c r="E60" s="116">
        <v>0</v>
      </c>
      <c r="F60" s="116"/>
    </row>
    <row r="61" spans="1:6">
      <c r="A61" s="82" t="s">
        <v>67</v>
      </c>
      <c r="B61" s="82" t="s">
        <v>238</v>
      </c>
      <c r="C61" s="83" t="s">
        <v>239</v>
      </c>
      <c r="D61" s="84"/>
      <c r="E61" s="84"/>
      <c r="F61" s="84"/>
    </row>
    <row r="62" spans="1:6">
      <c r="A62" s="43" t="s">
        <v>102</v>
      </c>
      <c r="B62" s="44" t="s">
        <v>240</v>
      </c>
      <c r="C62" s="49"/>
      <c r="D62" s="116">
        <v>0</v>
      </c>
      <c r="E62" s="116">
        <v>0</v>
      </c>
      <c r="F62" s="116"/>
    </row>
    <row r="63" spans="1:6">
      <c r="A63" s="82" t="s">
        <v>67</v>
      </c>
      <c r="B63" s="82" t="s">
        <v>242</v>
      </c>
      <c r="C63" s="83" t="s">
        <v>241</v>
      </c>
      <c r="D63" s="84"/>
      <c r="E63" s="84"/>
      <c r="F63" s="84"/>
    </row>
    <row r="64" spans="1:6">
      <c r="A64" s="43" t="s">
        <v>102</v>
      </c>
      <c r="B64" s="44" t="s">
        <v>243</v>
      </c>
      <c r="C64" s="49"/>
      <c r="D64" s="116">
        <v>0</v>
      </c>
      <c r="E64" s="116">
        <v>0</v>
      </c>
      <c r="F64" s="116"/>
    </row>
    <row r="65" spans="1:6">
      <c r="A65" s="82" t="s">
        <v>67</v>
      </c>
      <c r="B65" s="82" t="s">
        <v>244</v>
      </c>
      <c r="C65" s="83">
        <v>37</v>
      </c>
      <c r="D65" s="84"/>
      <c r="E65" s="84"/>
      <c r="F65" s="84"/>
    </row>
    <row r="66" spans="1:6">
      <c r="A66" s="43" t="s">
        <v>102</v>
      </c>
      <c r="B66" s="44" t="s">
        <v>245</v>
      </c>
      <c r="C66" s="49"/>
      <c r="D66" s="116">
        <v>0</v>
      </c>
      <c r="E66" s="116">
        <v>0</v>
      </c>
      <c r="F66" s="116"/>
    </row>
    <row r="67" spans="1:6">
      <c r="A67" s="43" t="s">
        <v>104</v>
      </c>
      <c r="B67" s="44" t="s">
        <v>246</v>
      </c>
      <c r="C67" s="49"/>
      <c r="D67" s="116">
        <v>0</v>
      </c>
      <c r="E67" s="116">
        <v>0</v>
      </c>
      <c r="F67" s="116"/>
    </row>
    <row r="68" spans="1:6" ht="25.5">
      <c r="A68" s="69" t="s">
        <v>106</v>
      </c>
      <c r="B68" s="65" t="s">
        <v>247</v>
      </c>
      <c r="C68" s="49"/>
      <c r="D68" s="116">
        <v>0</v>
      </c>
      <c r="E68" s="116">
        <v>0</v>
      </c>
      <c r="F68" s="116"/>
    </row>
    <row r="69" spans="1:6" ht="25.5">
      <c r="A69" s="69" t="s">
        <v>108</v>
      </c>
      <c r="B69" s="65" t="s">
        <v>248</v>
      </c>
      <c r="C69" s="49"/>
      <c r="D69" s="116">
        <v>0</v>
      </c>
      <c r="E69" s="116">
        <v>0</v>
      </c>
      <c r="F69" s="116"/>
    </row>
    <row r="70" spans="1:6">
      <c r="A70" s="69" t="s">
        <v>110</v>
      </c>
      <c r="B70" s="44" t="s">
        <v>249</v>
      </c>
      <c r="C70" s="49"/>
      <c r="D70" s="116">
        <v>0</v>
      </c>
      <c r="E70" s="116">
        <v>0</v>
      </c>
      <c r="F70" s="116"/>
    </row>
    <row r="71" spans="1:6">
      <c r="A71" s="69" t="s">
        <v>112</v>
      </c>
      <c r="B71" s="44" t="s">
        <v>250</v>
      </c>
      <c r="C71" s="49"/>
      <c r="D71" s="116">
        <v>0</v>
      </c>
      <c r="E71" s="116">
        <v>0</v>
      </c>
      <c r="F71" s="116"/>
    </row>
    <row r="72" spans="1:6">
      <c r="A72" s="69" t="s">
        <v>113</v>
      </c>
      <c r="B72" s="44" t="s">
        <v>252</v>
      </c>
      <c r="C72" s="49"/>
      <c r="D72" s="116">
        <v>0</v>
      </c>
      <c r="E72" s="116">
        <v>0</v>
      </c>
      <c r="F72" s="116"/>
    </row>
    <row r="73" spans="1:6">
      <c r="A73" s="69" t="s">
        <v>253</v>
      </c>
      <c r="B73" s="44" t="s">
        <v>680</v>
      </c>
      <c r="C73" s="49"/>
      <c r="D73" s="116">
        <v>0</v>
      </c>
      <c r="E73" s="116">
        <v>-89676414</v>
      </c>
      <c r="F73" s="116"/>
    </row>
    <row r="74" spans="1:6">
      <c r="A74" s="82" t="s">
        <v>67</v>
      </c>
      <c r="B74" s="82" t="s">
        <v>251</v>
      </c>
      <c r="C74" s="83">
        <v>37</v>
      </c>
      <c r="D74" s="84"/>
      <c r="E74" s="84"/>
      <c r="F74" s="84"/>
    </row>
    <row r="75" spans="1:6" ht="25.5">
      <c r="A75" s="67" t="s">
        <v>102</v>
      </c>
      <c r="B75" s="65" t="s">
        <v>259</v>
      </c>
      <c r="C75" s="49"/>
      <c r="D75" s="116">
        <v>0</v>
      </c>
      <c r="E75" s="116">
        <v>0</v>
      </c>
      <c r="F75" s="116"/>
    </row>
    <row r="76" spans="1:6" ht="25.5">
      <c r="A76" s="67" t="s">
        <v>104</v>
      </c>
      <c r="B76" s="65" t="s">
        <v>260</v>
      </c>
      <c r="C76" s="49"/>
      <c r="D76" s="116">
        <v>0</v>
      </c>
      <c r="E76" s="116">
        <v>0</v>
      </c>
      <c r="F76" s="116"/>
    </row>
    <row r="77" spans="1:6" ht="38.25">
      <c r="A77" s="67" t="s">
        <v>106</v>
      </c>
      <c r="B77" s="65" t="s">
        <v>261</v>
      </c>
      <c r="C77" s="49"/>
      <c r="D77" s="116">
        <v>0</v>
      </c>
      <c r="E77" s="116">
        <v>0</v>
      </c>
      <c r="F77" s="116"/>
    </row>
    <row r="78" spans="1:6" ht="25.5">
      <c r="A78" s="67" t="s">
        <v>108</v>
      </c>
      <c r="B78" s="65" t="s">
        <v>262</v>
      </c>
      <c r="C78" s="49"/>
      <c r="D78" s="116">
        <v>0</v>
      </c>
      <c r="E78" s="116">
        <v>0</v>
      </c>
      <c r="F78" s="116"/>
    </row>
    <row r="79" spans="1:6" ht="25.5">
      <c r="A79" s="67" t="s">
        <v>110</v>
      </c>
      <c r="B79" s="65" t="s">
        <v>263</v>
      </c>
      <c r="C79" s="49"/>
      <c r="D79" s="116">
        <v>0</v>
      </c>
      <c r="E79" s="116">
        <v>0</v>
      </c>
      <c r="F79" s="116"/>
    </row>
    <row r="80" spans="1:6" ht="25.5">
      <c r="A80" s="67" t="s">
        <v>112</v>
      </c>
      <c r="B80" s="65" t="s">
        <v>264</v>
      </c>
      <c r="C80" s="49"/>
      <c r="D80" s="116">
        <v>0</v>
      </c>
      <c r="E80" s="116">
        <v>0</v>
      </c>
      <c r="F80" s="116"/>
    </row>
    <row r="81" spans="1:6" ht="25.5">
      <c r="A81" s="67" t="s">
        <v>113</v>
      </c>
      <c r="B81" s="65" t="s">
        <v>265</v>
      </c>
      <c r="C81" s="49"/>
      <c r="D81" s="116">
        <v>0</v>
      </c>
      <c r="E81" s="116">
        <v>0</v>
      </c>
      <c r="F81" s="116"/>
    </row>
    <row r="82" spans="1:6" ht="25.5">
      <c r="A82" s="67" t="s">
        <v>253</v>
      </c>
      <c r="B82" s="65" t="s">
        <v>266</v>
      </c>
      <c r="C82" s="49"/>
      <c r="D82" s="116">
        <v>0</v>
      </c>
      <c r="E82" s="116">
        <v>0</v>
      </c>
      <c r="F82" s="116"/>
    </row>
    <row r="83" spans="1:6" ht="38.25">
      <c r="A83" s="67" t="s">
        <v>254</v>
      </c>
      <c r="B83" s="65" t="s">
        <v>267</v>
      </c>
      <c r="C83" s="49"/>
      <c r="D83" s="116">
        <v>0</v>
      </c>
      <c r="E83" s="116">
        <v>0</v>
      </c>
      <c r="F83" s="116"/>
    </row>
    <row r="84" spans="1:6" ht="38.25">
      <c r="A84" s="67" t="s">
        <v>255</v>
      </c>
      <c r="B84" s="65" t="s">
        <v>268</v>
      </c>
      <c r="C84" s="49"/>
      <c r="D84" s="116">
        <v>0</v>
      </c>
      <c r="E84" s="116">
        <v>0</v>
      </c>
      <c r="F84" s="116"/>
    </row>
    <row r="85" spans="1:6">
      <c r="A85" s="52" t="s">
        <v>119</v>
      </c>
      <c r="B85" s="52" t="s">
        <v>269</v>
      </c>
      <c r="C85" s="62">
        <v>37</v>
      </c>
      <c r="D85" s="58"/>
      <c r="E85" s="58"/>
      <c r="F85" s="58"/>
    </row>
    <row r="86" spans="1:6" ht="25.5">
      <c r="A86" s="67" t="s">
        <v>102</v>
      </c>
      <c r="B86" s="65" t="s">
        <v>272</v>
      </c>
      <c r="C86" s="49"/>
      <c r="D86" s="116">
        <v>0</v>
      </c>
      <c r="E86" s="116">
        <v>0</v>
      </c>
      <c r="F86" s="116"/>
    </row>
    <row r="87" spans="1:6" ht="38.25">
      <c r="A87" s="67" t="s">
        <v>104</v>
      </c>
      <c r="B87" s="65" t="s">
        <v>273</v>
      </c>
      <c r="C87" s="49"/>
      <c r="D87" s="152">
        <v>0</v>
      </c>
      <c r="E87" s="152">
        <v>0</v>
      </c>
      <c r="F87" s="152"/>
    </row>
    <row r="88" spans="1:6">
      <c r="A88" s="67" t="s">
        <v>106</v>
      </c>
      <c r="B88" s="153" t="s">
        <v>460</v>
      </c>
      <c r="C88" s="49"/>
      <c r="D88" s="116">
        <v>6327</v>
      </c>
      <c r="E88" s="152">
        <v>0</v>
      </c>
      <c r="F88" s="116"/>
    </row>
    <row r="89" spans="1:6">
      <c r="A89" s="67" t="s">
        <v>108</v>
      </c>
      <c r="B89" s="153" t="s">
        <v>461</v>
      </c>
      <c r="C89" s="49"/>
      <c r="D89" s="116">
        <v>4065562</v>
      </c>
      <c r="E89" s="117">
        <v>10100000</v>
      </c>
      <c r="F89" s="116"/>
    </row>
    <row r="90" spans="1:6" ht="25.5">
      <c r="A90" s="67" t="s">
        <v>110</v>
      </c>
      <c r="B90" s="65" t="s">
        <v>462</v>
      </c>
      <c r="C90" s="63" t="s">
        <v>453</v>
      </c>
      <c r="D90" s="152">
        <v>40254</v>
      </c>
      <c r="E90" s="152">
        <v>389622</v>
      </c>
      <c r="F90" s="116"/>
    </row>
    <row r="91" spans="1:6">
      <c r="A91" s="67" t="s">
        <v>112</v>
      </c>
      <c r="B91" s="65" t="s">
        <v>466</v>
      </c>
      <c r="C91" s="63" t="s">
        <v>453</v>
      </c>
      <c r="D91" s="116">
        <v>0</v>
      </c>
      <c r="E91" s="117">
        <v>400685386</v>
      </c>
      <c r="F91" s="116"/>
    </row>
    <row r="92" spans="1:6">
      <c r="A92" s="67" t="s">
        <v>113</v>
      </c>
      <c r="B92" s="65" t="s">
        <v>672</v>
      </c>
      <c r="C92" s="63">
        <v>37</v>
      </c>
      <c r="D92" s="116">
        <v>0</v>
      </c>
      <c r="E92" s="117">
        <v>50000</v>
      </c>
      <c r="F92" s="116"/>
    </row>
    <row r="93" spans="1:6">
      <c r="A93" s="68" t="s">
        <v>119</v>
      </c>
      <c r="B93" s="68" t="s">
        <v>395</v>
      </c>
      <c r="C93" s="62"/>
      <c r="D93" s="58"/>
      <c r="E93" s="58"/>
      <c r="F93" s="58"/>
    </row>
    <row r="94" spans="1:6">
      <c r="A94" s="43" t="s">
        <v>102</v>
      </c>
      <c r="B94" s="48" t="s">
        <v>394</v>
      </c>
      <c r="C94" s="51"/>
      <c r="D94" s="116">
        <v>0</v>
      </c>
      <c r="E94" s="116">
        <v>0</v>
      </c>
      <c r="F94" s="116"/>
    </row>
    <row r="95" spans="1:6">
      <c r="A95" s="82" t="s">
        <v>67</v>
      </c>
      <c r="B95" s="82" t="s">
        <v>393</v>
      </c>
      <c r="C95" s="83"/>
      <c r="D95" s="84"/>
      <c r="E95" s="84"/>
      <c r="F95" s="84"/>
    </row>
    <row r="96" spans="1:6">
      <c r="A96" s="67" t="s">
        <v>102</v>
      </c>
      <c r="B96" s="48" t="s">
        <v>393</v>
      </c>
      <c r="C96" s="51"/>
      <c r="D96" s="116">
        <v>-169191961</v>
      </c>
      <c r="E96" s="116">
        <v>0</v>
      </c>
      <c r="F96" s="116"/>
    </row>
    <row r="97" spans="1:6">
      <c r="A97" s="67"/>
      <c r="B97" s="65"/>
      <c r="C97" s="63"/>
      <c r="D97" s="116"/>
      <c r="E97" s="116"/>
      <c r="F97" s="116"/>
    </row>
    <row r="98" spans="1:6">
      <c r="A98" s="52" t="s">
        <v>119</v>
      </c>
      <c r="B98" s="52" t="s">
        <v>134</v>
      </c>
      <c r="C98" s="62" t="s">
        <v>135</v>
      </c>
      <c r="D98" s="58"/>
      <c r="E98" s="58"/>
      <c r="F98" s="58"/>
    </row>
    <row r="99" spans="1:6" s="55" customFormat="1" ht="51">
      <c r="A99" s="67" t="s">
        <v>179</v>
      </c>
      <c r="B99" s="65" t="s">
        <v>148</v>
      </c>
      <c r="C99" s="63" t="s">
        <v>126</v>
      </c>
      <c r="D99" s="117">
        <v>15396495</v>
      </c>
      <c r="E99" s="117">
        <v>11129000</v>
      </c>
      <c r="F99" s="117"/>
    </row>
    <row r="100" spans="1:6" s="55" customFormat="1">
      <c r="A100" s="67" t="s">
        <v>182</v>
      </c>
      <c r="B100" s="47" t="s">
        <v>138</v>
      </c>
      <c r="C100" s="63" t="s">
        <v>139</v>
      </c>
      <c r="D100" s="116">
        <v>0</v>
      </c>
      <c r="E100" s="116">
        <v>0</v>
      </c>
      <c r="F100" s="116"/>
    </row>
    <row r="101" spans="1:6" s="55" customFormat="1">
      <c r="A101" s="67" t="s">
        <v>189</v>
      </c>
      <c r="B101" s="47" t="s">
        <v>149</v>
      </c>
      <c r="C101" s="63" t="s">
        <v>140</v>
      </c>
      <c r="D101" s="116">
        <v>0</v>
      </c>
      <c r="E101" s="116">
        <v>0</v>
      </c>
      <c r="F101" s="116"/>
    </row>
    <row r="102" spans="1:6" s="55" customFormat="1">
      <c r="A102" s="67" t="s">
        <v>184</v>
      </c>
      <c r="B102" s="47" t="s">
        <v>150</v>
      </c>
      <c r="C102" s="63" t="s">
        <v>151</v>
      </c>
      <c r="D102" s="116">
        <v>0</v>
      </c>
      <c r="E102" s="116">
        <v>0</v>
      </c>
      <c r="F102" s="116"/>
    </row>
    <row r="103" spans="1:6">
      <c r="A103" s="69" t="s">
        <v>185</v>
      </c>
      <c r="B103" s="46" t="s">
        <v>136</v>
      </c>
      <c r="C103" s="63" t="s">
        <v>125</v>
      </c>
      <c r="D103" s="116">
        <v>4302399</v>
      </c>
      <c r="E103" s="116">
        <v>4002080</v>
      </c>
      <c r="F103" s="116"/>
    </row>
    <row r="104" spans="1:6" ht="25.5">
      <c r="A104" s="69" t="s">
        <v>186</v>
      </c>
      <c r="B104" s="48" t="s">
        <v>146</v>
      </c>
      <c r="C104" s="63" t="s">
        <v>147</v>
      </c>
      <c r="D104" s="116">
        <v>0</v>
      </c>
      <c r="E104" s="116">
        <v>0</v>
      </c>
      <c r="F104" s="116"/>
    </row>
    <row r="105" spans="1:6" ht="38.25">
      <c r="A105" s="69" t="s">
        <v>187</v>
      </c>
      <c r="B105" s="48" t="s">
        <v>137</v>
      </c>
      <c r="C105" s="63" t="s">
        <v>128</v>
      </c>
      <c r="D105" s="117">
        <v>0</v>
      </c>
      <c r="E105" s="117">
        <v>0</v>
      </c>
      <c r="F105" s="117"/>
    </row>
    <row r="106" spans="1:6" ht="25.5">
      <c r="A106" s="69" t="s">
        <v>188</v>
      </c>
      <c r="B106" s="48" t="s">
        <v>144</v>
      </c>
      <c r="C106" s="63" t="s">
        <v>143</v>
      </c>
      <c r="D106" s="116">
        <v>0</v>
      </c>
      <c r="E106" s="116">
        <v>0</v>
      </c>
      <c r="F106" s="116"/>
    </row>
    <row r="107" spans="1:6">
      <c r="A107" s="82" t="s">
        <v>67</v>
      </c>
      <c r="B107" s="82" t="s">
        <v>402</v>
      </c>
      <c r="C107" s="83" t="s">
        <v>135</v>
      </c>
      <c r="D107" s="84"/>
      <c r="E107" s="84"/>
      <c r="F107" s="84"/>
    </row>
    <row r="108" spans="1:6">
      <c r="A108" s="69" t="s">
        <v>102</v>
      </c>
      <c r="B108" s="48" t="s">
        <v>402</v>
      </c>
      <c r="C108" s="63"/>
      <c r="D108" s="116">
        <v>-76784611</v>
      </c>
      <c r="E108" s="116"/>
      <c r="F108" s="116"/>
    </row>
    <row r="109" spans="1:6">
      <c r="A109" s="52" t="s">
        <v>119</v>
      </c>
      <c r="B109" s="52" t="s">
        <v>152</v>
      </c>
      <c r="C109" s="62" t="s">
        <v>153</v>
      </c>
      <c r="D109" s="58"/>
      <c r="E109" s="58"/>
      <c r="F109" s="58"/>
    </row>
    <row r="110" spans="1:6" s="55" customFormat="1">
      <c r="A110" s="54"/>
      <c r="B110" s="54" t="s">
        <v>154</v>
      </c>
      <c r="C110" s="63"/>
      <c r="D110" s="116"/>
      <c r="E110" s="116"/>
      <c r="F110" s="116"/>
    </row>
    <row r="111" spans="1:6" s="55" customFormat="1">
      <c r="A111" s="54" t="s">
        <v>179</v>
      </c>
      <c r="B111" s="66" t="s">
        <v>155</v>
      </c>
      <c r="C111" s="63" t="s">
        <v>153</v>
      </c>
      <c r="D111" s="116">
        <v>0</v>
      </c>
      <c r="E111" s="116">
        <v>0</v>
      </c>
      <c r="F111" s="116"/>
    </row>
    <row r="112" spans="1:6" s="55" customFormat="1">
      <c r="A112" s="67" t="s">
        <v>182</v>
      </c>
      <c r="B112" s="66" t="s">
        <v>156</v>
      </c>
      <c r="C112" s="63" t="s">
        <v>153</v>
      </c>
      <c r="D112" s="116">
        <v>0</v>
      </c>
      <c r="E112" s="116">
        <v>0</v>
      </c>
      <c r="F112" s="116"/>
    </row>
    <row r="113" spans="1:6" s="55" customFormat="1" ht="25.5">
      <c r="A113" s="67" t="s">
        <v>189</v>
      </c>
      <c r="B113" s="48" t="s">
        <v>157</v>
      </c>
      <c r="C113" s="63" t="s">
        <v>153</v>
      </c>
      <c r="D113" s="117">
        <v>0</v>
      </c>
      <c r="E113" s="117">
        <v>0</v>
      </c>
      <c r="F113" s="117"/>
    </row>
    <row r="114" spans="1:6" s="55" customFormat="1">
      <c r="A114" s="52" t="s">
        <v>119</v>
      </c>
      <c r="B114" s="52" t="s">
        <v>159</v>
      </c>
      <c r="C114" s="62" t="s">
        <v>158</v>
      </c>
      <c r="D114" s="58"/>
      <c r="E114" s="58"/>
      <c r="F114" s="58"/>
    </row>
    <row r="115" spans="1:6" s="55" customFormat="1" ht="25.5">
      <c r="A115" s="52"/>
      <c r="B115" s="68" t="s">
        <v>160</v>
      </c>
      <c r="C115" s="62"/>
      <c r="D115" s="58"/>
      <c r="E115" s="58"/>
      <c r="F115" s="58"/>
    </row>
    <row r="116" spans="1:6" s="55" customFormat="1">
      <c r="A116" s="43" t="s">
        <v>102</v>
      </c>
      <c r="B116" s="44" t="s">
        <v>378</v>
      </c>
      <c r="C116" s="64"/>
      <c r="D116" s="116">
        <v>0</v>
      </c>
      <c r="E116" s="116">
        <v>0</v>
      </c>
      <c r="F116" s="116"/>
    </row>
    <row r="117" spans="1:6" s="55" customFormat="1" ht="25.5">
      <c r="A117" s="82" t="s">
        <v>67</v>
      </c>
      <c r="B117" s="82" t="s">
        <v>167</v>
      </c>
      <c r="C117" s="83" t="s">
        <v>166</v>
      </c>
      <c r="D117" s="84"/>
      <c r="E117" s="84"/>
      <c r="F117" s="84"/>
    </row>
    <row r="118" spans="1:6" s="55" customFormat="1">
      <c r="A118" s="54" t="s">
        <v>102</v>
      </c>
      <c r="B118" s="44" t="s">
        <v>168</v>
      </c>
      <c r="C118" s="64"/>
      <c r="D118" s="116">
        <v>0</v>
      </c>
      <c r="E118" s="116">
        <v>-22919329</v>
      </c>
      <c r="F118" s="116"/>
    </row>
    <row r="119" spans="1:6" s="55" customFormat="1">
      <c r="A119" s="54" t="s">
        <v>104</v>
      </c>
      <c r="B119" s="44" t="s">
        <v>169</v>
      </c>
      <c r="C119" s="64"/>
      <c r="D119" s="116">
        <v>0</v>
      </c>
      <c r="E119" s="116">
        <v>0</v>
      </c>
      <c r="F119" s="116"/>
    </row>
    <row r="120" spans="1:6" s="55" customFormat="1" ht="25.5">
      <c r="A120" s="68" t="s">
        <v>119</v>
      </c>
      <c r="B120" s="68" t="s">
        <v>163</v>
      </c>
      <c r="C120" s="62" t="s">
        <v>162</v>
      </c>
      <c r="D120" s="58"/>
      <c r="E120" s="58"/>
      <c r="F120" s="58"/>
    </row>
    <row r="121" spans="1:6" s="55" customFormat="1">
      <c r="A121" s="43" t="s">
        <v>102</v>
      </c>
      <c r="B121" s="44" t="s">
        <v>170</v>
      </c>
      <c r="C121" s="64"/>
      <c r="D121" s="116">
        <v>0</v>
      </c>
      <c r="E121" s="116">
        <v>0</v>
      </c>
      <c r="F121" s="116"/>
    </row>
    <row r="122" spans="1:6" s="55" customFormat="1">
      <c r="A122" s="43" t="s">
        <v>104</v>
      </c>
      <c r="B122" s="44"/>
      <c r="C122" s="64"/>
      <c r="D122" s="116">
        <v>0</v>
      </c>
      <c r="E122" s="116">
        <v>0</v>
      </c>
      <c r="F122" s="116"/>
    </row>
    <row r="123" spans="1:6" s="55" customFormat="1">
      <c r="A123" s="68" t="s">
        <v>119</v>
      </c>
      <c r="B123" s="68" t="s">
        <v>173</v>
      </c>
      <c r="C123" s="62">
        <v>41</v>
      </c>
      <c r="D123" s="58"/>
      <c r="E123" s="58"/>
      <c r="F123" s="58"/>
    </row>
    <row r="124" spans="1:6" s="55" customFormat="1" ht="25.5">
      <c r="A124" s="68" t="s">
        <v>179</v>
      </c>
      <c r="B124" s="70" t="s">
        <v>475</v>
      </c>
      <c r="C124" s="62" t="s">
        <v>174</v>
      </c>
      <c r="D124" s="71"/>
      <c r="E124" s="71"/>
      <c r="F124" s="71"/>
    </row>
    <row r="125" spans="1:6" s="55" customFormat="1">
      <c r="A125" s="43" t="s">
        <v>102</v>
      </c>
      <c r="B125" s="44" t="s">
        <v>379</v>
      </c>
      <c r="C125" s="64"/>
      <c r="D125" s="116">
        <v>0</v>
      </c>
      <c r="E125" s="116">
        <v>0</v>
      </c>
      <c r="F125" s="116"/>
    </row>
    <row r="126" spans="1:6" s="55" customFormat="1">
      <c r="A126" s="43" t="s">
        <v>104</v>
      </c>
      <c r="B126" s="44" t="s">
        <v>464</v>
      </c>
      <c r="C126" s="64"/>
      <c r="D126" s="116">
        <v>0</v>
      </c>
      <c r="E126" s="116">
        <v>0</v>
      </c>
      <c r="F126" s="116"/>
    </row>
    <row r="127" spans="1:6" s="55" customFormat="1">
      <c r="A127" s="43" t="s">
        <v>106</v>
      </c>
      <c r="B127" s="44" t="s">
        <v>465</v>
      </c>
      <c r="C127" s="64"/>
      <c r="D127" s="116">
        <v>0</v>
      </c>
      <c r="E127" s="116">
        <v>0</v>
      </c>
      <c r="F127" s="116"/>
    </row>
    <row r="128" spans="1:6" s="55" customFormat="1" ht="38.25">
      <c r="A128" s="68" t="s">
        <v>256</v>
      </c>
      <c r="B128" s="70" t="s">
        <v>257</v>
      </c>
      <c r="C128" s="62" t="s">
        <v>174</v>
      </c>
      <c r="D128" s="71"/>
      <c r="E128" s="71"/>
      <c r="F128" s="71"/>
    </row>
    <row r="129" spans="1:6" s="55" customFormat="1">
      <c r="A129" s="43" t="s">
        <v>102</v>
      </c>
      <c r="B129" s="44" t="s">
        <v>379</v>
      </c>
      <c r="C129" s="64"/>
      <c r="D129" s="116">
        <v>0</v>
      </c>
      <c r="E129" s="116">
        <v>0</v>
      </c>
      <c r="F129" s="116"/>
    </row>
    <row r="130" spans="1:6" s="55" customFormat="1" ht="25.5">
      <c r="A130" s="68" t="s">
        <v>182</v>
      </c>
      <c r="B130" s="70" t="s">
        <v>178</v>
      </c>
      <c r="C130" s="62" t="s">
        <v>177</v>
      </c>
      <c r="D130" s="71"/>
      <c r="E130" s="71"/>
      <c r="F130" s="71"/>
    </row>
    <row r="131" spans="1:6" s="55" customFormat="1">
      <c r="A131" s="43" t="s">
        <v>102</v>
      </c>
      <c r="B131" s="44" t="s">
        <v>379</v>
      </c>
      <c r="C131" s="64"/>
      <c r="D131" s="116">
        <v>0</v>
      </c>
      <c r="E131" s="116">
        <v>0</v>
      </c>
      <c r="F131" s="116"/>
    </row>
    <row r="132" spans="1:6" s="55" customFormat="1" ht="25.5">
      <c r="A132" s="68" t="s">
        <v>183</v>
      </c>
      <c r="B132" s="70" t="s">
        <v>176</v>
      </c>
      <c r="C132" s="62" t="s">
        <v>175</v>
      </c>
      <c r="D132" s="71"/>
      <c r="E132" s="71"/>
      <c r="F132" s="71"/>
    </row>
    <row r="133" spans="1:6" s="55" customFormat="1">
      <c r="A133" s="43" t="s">
        <v>102</v>
      </c>
      <c r="B133" s="44" t="s">
        <v>379</v>
      </c>
      <c r="C133" s="64"/>
      <c r="D133" s="116">
        <v>0</v>
      </c>
      <c r="E133" s="116">
        <v>0</v>
      </c>
      <c r="F133" s="116"/>
    </row>
    <row r="134" spans="1:6" s="55" customFormat="1">
      <c r="A134" s="68" t="s">
        <v>184</v>
      </c>
      <c r="B134" s="70" t="s">
        <v>181</v>
      </c>
      <c r="C134" s="62" t="s">
        <v>180</v>
      </c>
      <c r="D134" s="71"/>
      <c r="E134" s="71"/>
      <c r="F134" s="71"/>
    </row>
    <row r="135" spans="1:6" s="55" customFormat="1">
      <c r="A135" s="43" t="s">
        <v>102</v>
      </c>
      <c r="B135" s="44" t="s">
        <v>379</v>
      </c>
      <c r="C135" s="64"/>
      <c r="D135" s="116">
        <v>0</v>
      </c>
      <c r="E135" s="116">
        <v>0</v>
      </c>
      <c r="F135" s="116"/>
    </row>
    <row r="136" spans="1:6" s="55" customFormat="1" ht="38.25">
      <c r="A136" s="68" t="s">
        <v>164</v>
      </c>
      <c r="B136" s="68" t="s">
        <v>172</v>
      </c>
      <c r="C136" s="62" t="s">
        <v>161</v>
      </c>
      <c r="D136" s="58"/>
      <c r="E136" s="58"/>
      <c r="F136" s="58"/>
    </row>
    <row r="137" spans="1:6" s="55" customFormat="1" ht="38.25">
      <c r="A137" s="68"/>
      <c r="B137" s="68" t="s">
        <v>165</v>
      </c>
      <c r="C137" s="62"/>
      <c r="D137" s="58"/>
      <c r="E137" s="58"/>
      <c r="F137" s="58"/>
    </row>
    <row r="138" spans="1:6" s="55" customFormat="1">
      <c r="A138" s="43"/>
      <c r="B138" s="44"/>
      <c r="C138" s="64"/>
      <c r="D138" s="116">
        <v>0</v>
      </c>
      <c r="E138" s="116">
        <v>0</v>
      </c>
      <c r="F138" s="116"/>
    </row>
    <row r="139" spans="1:6" ht="38.25">
      <c r="A139" s="68" t="s">
        <v>119</v>
      </c>
      <c r="B139" s="68" t="s">
        <v>171</v>
      </c>
      <c r="C139" s="62" t="s">
        <v>127</v>
      </c>
      <c r="D139" s="58"/>
      <c r="E139" s="58"/>
      <c r="F139" s="58"/>
    </row>
    <row r="140" spans="1:6">
      <c r="A140" s="43" t="s">
        <v>102</v>
      </c>
      <c r="B140" s="44" t="s">
        <v>130</v>
      </c>
      <c r="C140" s="51" t="s">
        <v>127</v>
      </c>
      <c r="D140" s="116">
        <v>306073</v>
      </c>
      <c r="E140" s="116"/>
      <c r="F140" s="116"/>
    </row>
    <row r="141" spans="1:6">
      <c r="A141" s="43" t="s">
        <v>104</v>
      </c>
      <c r="B141" s="44" t="s">
        <v>131</v>
      </c>
      <c r="C141" s="51" t="s">
        <v>127</v>
      </c>
      <c r="D141" s="116">
        <v>80782</v>
      </c>
      <c r="E141" s="116"/>
      <c r="F141" s="116"/>
    </row>
    <row r="142" spans="1:6">
      <c r="A142" s="43" t="s">
        <v>106</v>
      </c>
      <c r="B142" s="44" t="s">
        <v>132</v>
      </c>
      <c r="C142" s="51" t="s">
        <v>127</v>
      </c>
      <c r="D142" s="116">
        <v>27565243</v>
      </c>
      <c r="E142" s="116">
        <f>3255.5774489*100000</f>
        <v>325557744.88999999</v>
      </c>
      <c r="F142" s="116"/>
    </row>
    <row r="143" spans="1:6">
      <c r="A143" s="43" t="s">
        <v>108</v>
      </c>
      <c r="B143" s="44" t="s">
        <v>133</v>
      </c>
      <c r="C143" s="51" t="s">
        <v>127</v>
      </c>
      <c r="D143" s="116">
        <v>3307830</v>
      </c>
      <c r="E143" s="116"/>
      <c r="F143" s="116"/>
    </row>
    <row r="144" spans="1:6">
      <c r="A144" s="43" t="s">
        <v>110</v>
      </c>
      <c r="B144" s="48" t="s">
        <v>129</v>
      </c>
      <c r="C144" s="51" t="s">
        <v>127</v>
      </c>
      <c r="D144" s="116">
        <v>36</v>
      </c>
      <c r="E144" s="116"/>
      <c r="F144" s="116"/>
    </row>
    <row r="145" spans="1:6">
      <c r="A145" s="43" t="s">
        <v>112</v>
      </c>
      <c r="B145" s="48" t="s">
        <v>841</v>
      </c>
      <c r="C145" s="51" t="s">
        <v>127</v>
      </c>
      <c r="D145" s="116"/>
      <c r="E145" s="116"/>
      <c r="F145" s="116"/>
    </row>
    <row r="146" spans="1:6" ht="38.25">
      <c r="A146" s="82" t="s">
        <v>67</v>
      </c>
      <c r="B146" s="82" t="s">
        <v>683</v>
      </c>
      <c r="C146" s="83" t="s">
        <v>127</v>
      </c>
      <c r="D146" s="84"/>
      <c r="E146" s="84"/>
      <c r="F146" s="84"/>
    </row>
    <row r="147" spans="1:6">
      <c r="A147" s="69" t="s">
        <v>102</v>
      </c>
      <c r="B147" s="48" t="s">
        <v>693</v>
      </c>
      <c r="C147" s="51" t="s">
        <v>127</v>
      </c>
      <c r="D147" s="116">
        <v>0</v>
      </c>
      <c r="E147" s="116">
        <v>-306073</v>
      </c>
      <c r="F147" s="116"/>
    </row>
    <row r="148" spans="1:6" ht="25.5">
      <c r="A148" s="69" t="s">
        <v>104</v>
      </c>
      <c r="B148" s="48" t="s">
        <v>694</v>
      </c>
      <c r="C148" s="51" t="s">
        <v>127</v>
      </c>
      <c r="D148" s="116">
        <v>0</v>
      </c>
      <c r="E148" s="116">
        <v>-80782</v>
      </c>
      <c r="F148" s="116"/>
    </row>
    <row r="149" spans="1:6" ht="25.5">
      <c r="A149" s="69" t="s">
        <v>106</v>
      </c>
      <c r="B149" s="48" t="s">
        <v>695</v>
      </c>
      <c r="C149" s="51" t="s">
        <v>127</v>
      </c>
      <c r="D149" s="116">
        <v>0</v>
      </c>
      <c r="E149" s="116">
        <v>-27565243</v>
      </c>
      <c r="F149" s="116"/>
    </row>
    <row r="150" spans="1:6" ht="25.5">
      <c r="A150" s="69" t="s">
        <v>108</v>
      </c>
      <c r="B150" s="48" t="s">
        <v>696</v>
      </c>
      <c r="C150" s="51" t="s">
        <v>127</v>
      </c>
      <c r="D150" s="116">
        <v>0</v>
      </c>
      <c r="E150" s="116">
        <v>-3307830</v>
      </c>
      <c r="F150" s="116"/>
    </row>
    <row r="151" spans="1:6" ht="25.5">
      <c r="A151" s="69" t="s">
        <v>110</v>
      </c>
      <c r="B151" s="48" t="s">
        <v>697</v>
      </c>
      <c r="C151" s="194" t="s">
        <v>127</v>
      </c>
      <c r="D151" s="116">
        <v>0</v>
      </c>
      <c r="E151" s="117">
        <v>-36</v>
      </c>
      <c r="F151" s="59"/>
    </row>
    <row r="152" spans="1:6">
      <c r="A152" s="43"/>
      <c r="B152" s="48"/>
      <c r="C152" s="51"/>
      <c r="D152" s="59"/>
      <c r="E152" s="59"/>
      <c r="F152" s="59"/>
    </row>
    <row r="153" spans="1:6" ht="25.5">
      <c r="A153" s="68" t="s">
        <v>119</v>
      </c>
      <c r="B153" s="68" t="s">
        <v>388</v>
      </c>
      <c r="C153" s="62" t="s">
        <v>453</v>
      </c>
      <c r="D153" s="58"/>
      <c r="E153" s="58"/>
      <c r="F153" s="58"/>
    </row>
    <row r="154" spans="1:6">
      <c r="A154" s="43" t="s">
        <v>102</v>
      </c>
      <c r="B154" s="48" t="s">
        <v>343</v>
      </c>
      <c r="C154" s="51"/>
      <c r="D154" s="116">
        <v>3730532</v>
      </c>
      <c r="E154" s="116">
        <v>0</v>
      </c>
      <c r="F154" s="116"/>
    </row>
    <row r="155" spans="1:6" ht="25.5">
      <c r="A155" s="82" t="s">
        <v>67</v>
      </c>
      <c r="B155" s="82" t="s">
        <v>344</v>
      </c>
      <c r="C155" s="83">
        <v>50</v>
      </c>
      <c r="D155" s="84"/>
      <c r="E155" s="84"/>
      <c r="F155" s="84"/>
    </row>
    <row r="156" spans="1:6" ht="25.5">
      <c r="A156" s="67" t="s">
        <v>102</v>
      </c>
      <c r="B156" s="48" t="s">
        <v>345</v>
      </c>
      <c r="C156" s="51"/>
      <c r="D156" s="116">
        <v>0</v>
      </c>
      <c r="E156" s="152">
        <v>-33323556.000000004</v>
      </c>
      <c r="F156" s="116"/>
    </row>
    <row r="157" spans="1:6">
      <c r="A157" s="2"/>
      <c r="B157" s="2"/>
      <c r="C157" s="49"/>
      <c r="D157" s="2"/>
      <c r="E157" s="2"/>
      <c r="F157" s="2"/>
    </row>
    <row r="158" spans="1:6">
      <c r="A158" s="68" t="s">
        <v>119</v>
      </c>
      <c r="B158" s="68" t="s">
        <v>459</v>
      </c>
      <c r="C158" s="62" t="s">
        <v>453</v>
      </c>
      <c r="D158" s="58"/>
      <c r="E158" s="58"/>
      <c r="F158" s="58"/>
    </row>
    <row r="159" spans="1:6">
      <c r="A159" s="43" t="s">
        <v>102</v>
      </c>
      <c r="B159" s="48" t="s">
        <v>389</v>
      </c>
      <c r="C159" s="51"/>
      <c r="D159" s="116">
        <v>203006</v>
      </c>
      <c r="E159" s="116">
        <v>0</v>
      </c>
      <c r="F159" s="116"/>
    </row>
    <row r="160" spans="1:6" ht="25.5">
      <c r="A160" s="82" t="s">
        <v>67</v>
      </c>
      <c r="B160" s="82" t="s">
        <v>390</v>
      </c>
      <c r="C160" s="83" t="s">
        <v>391</v>
      </c>
      <c r="D160" s="84"/>
      <c r="E160" s="84"/>
      <c r="F160" s="84"/>
    </row>
    <row r="161" spans="1:6" ht="25.5">
      <c r="A161" s="67" t="s">
        <v>102</v>
      </c>
      <c r="B161" s="48" t="s">
        <v>392</v>
      </c>
      <c r="C161" s="51"/>
      <c r="D161" s="116">
        <v>0</v>
      </c>
      <c r="E161" s="59"/>
      <c r="F161" s="59"/>
    </row>
    <row r="162" spans="1:6">
      <c r="A162" s="67"/>
      <c r="B162" s="48"/>
      <c r="C162" s="51"/>
      <c r="D162" s="59"/>
      <c r="E162" s="59"/>
      <c r="F162" s="59"/>
    </row>
    <row r="163" spans="1:6">
      <c r="A163" s="68" t="s">
        <v>119</v>
      </c>
      <c r="B163" s="68" t="s">
        <v>479</v>
      </c>
      <c r="C163" s="62" t="s">
        <v>453</v>
      </c>
      <c r="D163" s="58"/>
      <c r="E163" s="58"/>
      <c r="F163" s="58"/>
    </row>
    <row r="164" spans="1:6">
      <c r="A164" s="43" t="s">
        <v>102</v>
      </c>
      <c r="B164" s="48" t="s">
        <v>480</v>
      </c>
      <c r="C164" s="51"/>
      <c r="D164" s="116"/>
      <c r="E164" s="116"/>
      <c r="F164" s="116"/>
    </row>
    <row r="165" spans="1:6">
      <c r="A165" s="82" t="s">
        <v>67</v>
      </c>
      <c r="B165" s="82" t="s">
        <v>478</v>
      </c>
      <c r="C165" s="83"/>
      <c r="D165" s="84"/>
      <c r="E165" s="84"/>
      <c r="F165" s="84"/>
    </row>
    <row r="166" spans="1:6">
      <c r="A166" s="67" t="s">
        <v>102</v>
      </c>
      <c r="B166" s="48" t="s">
        <v>524</v>
      </c>
      <c r="C166" s="51"/>
      <c r="D166" s="116">
        <v>0</v>
      </c>
      <c r="E166" s="117">
        <v>-132621875.59999999</v>
      </c>
      <c r="F166" s="59"/>
    </row>
    <row r="167" spans="1:6">
      <c r="A167" s="67"/>
      <c r="B167" s="48"/>
      <c r="C167" s="51"/>
      <c r="D167" s="59"/>
      <c r="E167" s="59"/>
      <c r="F167" s="59"/>
    </row>
    <row r="168" spans="1:6" ht="25.5">
      <c r="A168" s="82" t="s">
        <v>67</v>
      </c>
      <c r="B168" s="82" t="s">
        <v>396</v>
      </c>
      <c r="C168" s="83">
        <v>56</v>
      </c>
      <c r="D168" s="84"/>
      <c r="E168" s="84"/>
      <c r="F168" s="84"/>
    </row>
    <row r="169" spans="1:6">
      <c r="A169" s="67" t="s">
        <v>102</v>
      </c>
      <c r="B169" s="48" t="s">
        <v>397</v>
      </c>
      <c r="C169" s="51"/>
      <c r="D169" s="116">
        <v>-111910811</v>
      </c>
      <c r="E169" s="116">
        <v>-113583251</v>
      </c>
      <c r="F169" s="116"/>
    </row>
    <row r="170" spans="1:6">
      <c r="A170" s="43" t="s">
        <v>104</v>
      </c>
      <c r="B170" s="48" t="s">
        <v>398</v>
      </c>
      <c r="C170" s="51"/>
      <c r="D170" s="116">
        <v>-77771422</v>
      </c>
      <c r="E170" s="116">
        <v>-109204754.89</v>
      </c>
      <c r="F170" s="116"/>
    </row>
    <row r="171" spans="1:6">
      <c r="A171" s="43"/>
      <c r="B171" s="48"/>
      <c r="C171" s="51"/>
      <c r="D171" s="116"/>
      <c r="E171" s="116"/>
      <c r="F171" s="116"/>
    </row>
    <row r="172" spans="1:6" ht="25.5">
      <c r="A172" s="82" t="s">
        <v>67</v>
      </c>
      <c r="B172" s="82" t="s">
        <v>452</v>
      </c>
      <c r="C172" s="83">
        <v>56</v>
      </c>
      <c r="D172" s="84"/>
      <c r="E172" s="84"/>
      <c r="F172" s="84"/>
    </row>
    <row r="173" spans="1:6">
      <c r="A173" s="43" t="s">
        <v>102</v>
      </c>
      <c r="B173" s="48" t="s">
        <v>352</v>
      </c>
      <c r="C173" s="51"/>
      <c r="D173" s="116">
        <v>0</v>
      </c>
      <c r="E173" s="116">
        <v>-39059596</v>
      </c>
      <c r="F173" s="116"/>
    </row>
    <row r="174" spans="1:6">
      <c r="A174" s="43" t="s">
        <v>104</v>
      </c>
      <c r="B174" s="48" t="s">
        <v>353</v>
      </c>
      <c r="C174" s="51"/>
      <c r="D174" s="116">
        <v>0</v>
      </c>
      <c r="E174" s="116">
        <f>-(204093292.76-68098434.42-22189865.49)</f>
        <v>-113804992.84999998</v>
      </c>
      <c r="F174" s="59"/>
    </row>
    <row r="175" spans="1:6">
      <c r="A175" s="43" t="s">
        <v>106</v>
      </c>
      <c r="B175" s="48" t="s">
        <v>354</v>
      </c>
      <c r="C175" s="51"/>
      <c r="D175" s="116">
        <v>0</v>
      </c>
      <c r="E175" s="116">
        <v>0</v>
      </c>
      <c r="F175" s="59"/>
    </row>
    <row r="176" spans="1:6">
      <c r="A176" s="43" t="s">
        <v>108</v>
      </c>
      <c r="B176" s="48" t="s">
        <v>355</v>
      </c>
      <c r="C176" s="51"/>
      <c r="D176" s="116">
        <v>0</v>
      </c>
      <c r="E176" s="59">
        <v>0</v>
      </c>
      <c r="F176" s="59"/>
    </row>
    <row r="177" spans="1:6">
      <c r="A177" s="43" t="s">
        <v>110</v>
      </c>
      <c r="B177" s="48" t="s">
        <v>455</v>
      </c>
      <c r="C177" s="51"/>
      <c r="D177" s="116">
        <v>0</v>
      </c>
      <c r="E177" s="116">
        <v>-68098434.420000002</v>
      </c>
      <c r="F177" s="59"/>
    </row>
    <row r="178" spans="1:6">
      <c r="A178" s="43" t="s">
        <v>112</v>
      </c>
      <c r="B178" s="48" t="s">
        <v>456</v>
      </c>
      <c r="C178" s="51"/>
      <c r="D178" s="116">
        <v>0</v>
      </c>
      <c r="E178" s="116">
        <v>-22189865.489999998</v>
      </c>
      <c r="F178" s="59"/>
    </row>
    <row r="179" spans="1:6">
      <c r="A179" s="67" t="s">
        <v>113</v>
      </c>
      <c r="B179" s="65" t="s">
        <v>467</v>
      </c>
      <c r="C179" s="63"/>
      <c r="D179" s="116">
        <v>0</v>
      </c>
      <c r="E179" s="117">
        <v>-14165131</v>
      </c>
      <c r="F179" s="116"/>
    </row>
    <row r="180" spans="1:6" ht="25.5">
      <c r="A180" s="67" t="s">
        <v>253</v>
      </c>
      <c r="B180" s="65" t="s">
        <v>487</v>
      </c>
      <c r="C180" s="63"/>
      <c r="D180" s="116"/>
      <c r="E180" s="117">
        <v>-294001537.42000002</v>
      </c>
      <c r="F180" s="116"/>
    </row>
    <row r="181" spans="1:6" ht="25.5">
      <c r="A181" s="82" t="s">
        <v>67</v>
      </c>
      <c r="B181" s="82" t="s">
        <v>363</v>
      </c>
      <c r="C181" s="83">
        <v>71</v>
      </c>
      <c r="D181" s="84"/>
      <c r="E181" s="84"/>
      <c r="F181" s="84"/>
    </row>
    <row r="182" spans="1:6">
      <c r="A182" s="43" t="s">
        <v>102</v>
      </c>
      <c r="B182" s="48" t="s">
        <v>29</v>
      </c>
      <c r="C182" s="51">
        <v>71</v>
      </c>
      <c r="D182" s="59">
        <v>0</v>
      </c>
      <c r="E182" s="59">
        <v>0</v>
      </c>
      <c r="F182" s="59"/>
    </row>
    <row r="183" spans="1:6">
      <c r="A183" s="43" t="s">
        <v>104</v>
      </c>
      <c r="B183" s="48" t="s">
        <v>406</v>
      </c>
      <c r="C183" s="51">
        <v>71</v>
      </c>
      <c r="D183" s="59">
        <v>0</v>
      </c>
      <c r="E183" s="59">
        <v>0</v>
      </c>
      <c r="F183" s="59"/>
    </row>
    <row r="184" spans="1:6">
      <c r="A184" s="142" t="s">
        <v>121</v>
      </c>
      <c r="B184" s="142" t="s">
        <v>362</v>
      </c>
      <c r="C184" s="143"/>
      <c r="D184" s="144">
        <f>+SUM(D5:D181)</f>
        <v>920083887.79999995</v>
      </c>
      <c r="E184" s="144">
        <f>+SUM(E5:E181)</f>
        <v>1798781108.3611405</v>
      </c>
      <c r="F184" s="144"/>
    </row>
    <row r="185" spans="1:6">
      <c r="A185" s="92" t="s">
        <v>346</v>
      </c>
      <c r="B185" s="92" t="s">
        <v>349</v>
      </c>
      <c r="C185" s="93"/>
      <c r="D185" s="94"/>
      <c r="E185" s="94"/>
      <c r="F185" s="94"/>
    </row>
    <row r="186" spans="1:6">
      <c r="A186" s="54" t="s">
        <v>102</v>
      </c>
      <c r="B186" s="146"/>
      <c r="C186" s="147"/>
      <c r="D186" s="148">
        <v>0</v>
      </c>
      <c r="E186" s="148"/>
      <c r="F186" s="148"/>
    </row>
    <row r="187" spans="1:6">
      <c r="A187" s="142" t="s">
        <v>346</v>
      </c>
      <c r="B187" s="142" t="s">
        <v>350</v>
      </c>
      <c r="C187" s="143"/>
      <c r="D187" s="144">
        <f>+D186</f>
        <v>0</v>
      </c>
      <c r="E187" s="144">
        <f>+E186</f>
        <v>0</v>
      </c>
      <c r="F187" s="144"/>
    </row>
    <row r="188" spans="1:6">
      <c r="A188" s="92" t="s">
        <v>348</v>
      </c>
      <c r="B188" s="92" t="s">
        <v>347</v>
      </c>
      <c r="C188" s="93">
        <v>56</v>
      </c>
      <c r="D188" s="94"/>
      <c r="E188" s="94"/>
      <c r="F188" s="94"/>
    </row>
    <row r="189" spans="1:6">
      <c r="A189" s="68" t="s">
        <v>119</v>
      </c>
      <c r="B189" s="68" t="s">
        <v>356</v>
      </c>
      <c r="C189" s="62"/>
      <c r="D189" s="58"/>
      <c r="E189" s="58"/>
      <c r="F189" s="58"/>
    </row>
    <row r="190" spans="1:6">
      <c r="A190" s="43" t="s">
        <v>102</v>
      </c>
      <c r="B190" s="48" t="s">
        <v>469</v>
      </c>
      <c r="C190" s="51"/>
      <c r="D190" s="59">
        <v>0</v>
      </c>
      <c r="E190" s="59">
        <v>39059596</v>
      </c>
      <c r="F190" s="59"/>
    </row>
    <row r="191" spans="1:6">
      <c r="A191" s="43" t="s">
        <v>104</v>
      </c>
      <c r="B191" s="48" t="s">
        <v>470</v>
      </c>
      <c r="C191" s="51"/>
      <c r="D191" s="59">
        <v>0</v>
      </c>
      <c r="E191" s="116">
        <f>(204093292.76-68098434.42-22189865.49)</f>
        <v>113804992.84999998</v>
      </c>
      <c r="F191" s="59"/>
    </row>
    <row r="192" spans="1:6">
      <c r="A192" s="43" t="s">
        <v>106</v>
      </c>
      <c r="B192" s="48" t="s">
        <v>471</v>
      </c>
      <c r="C192" s="51"/>
      <c r="D192" s="59">
        <v>0</v>
      </c>
      <c r="E192" s="59">
        <v>0</v>
      </c>
      <c r="F192" s="59"/>
    </row>
    <row r="193" spans="1:6">
      <c r="A193" s="43" t="s">
        <v>108</v>
      </c>
      <c r="B193" s="48" t="s">
        <v>472</v>
      </c>
      <c r="C193" s="51"/>
      <c r="D193" s="59">
        <v>0</v>
      </c>
      <c r="E193" s="59">
        <v>0</v>
      </c>
      <c r="F193" s="59"/>
    </row>
    <row r="194" spans="1:6">
      <c r="A194" s="43" t="s">
        <v>110</v>
      </c>
      <c r="B194" s="48" t="s">
        <v>457</v>
      </c>
      <c r="C194" s="51"/>
      <c r="D194" s="59">
        <v>111910811</v>
      </c>
      <c r="E194" s="116">
        <v>113583251</v>
      </c>
      <c r="F194" s="59"/>
    </row>
    <row r="195" spans="1:6">
      <c r="A195" s="43" t="s">
        <v>112</v>
      </c>
      <c r="B195" s="44" t="s">
        <v>458</v>
      </c>
      <c r="C195" s="51"/>
      <c r="D195" s="59">
        <v>77771422</v>
      </c>
      <c r="E195" s="116">
        <v>109204754.89</v>
      </c>
      <c r="F195" s="59"/>
    </row>
    <row r="196" spans="1:6">
      <c r="A196" s="43" t="s">
        <v>113</v>
      </c>
      <c r="B196" s="48" t="s">
        <v>473</v>
      </c>
      <c r="C196" s="51"/>
      <c r="D196" s="59">
        <v>0</v>
      </c>
      <c r="E196" s="116">
        <v>68098434.420000002</v>
      </c>
      <c r="F196" s="59"/>
    </row>
    <row r="197" spans="1:6">
      <c r="A197" s="43" t="s">
        <v>253</v>
      </c>
      <c r="B197" s="48" t="s">
        <v>474</v>
      </c>
      <c r="C197" s="51"/>
      <c r="D197" s="59">
        <v>0</v>
      </c>
      <c r="E197" s="116">
        <v>22189865.489999998</v>
      </c>
      <c r="F197" s="59"/>
    </row>
    <row r="198" spans="1:6">
      <c r="A198" s="43" t="s">
        <v>254</v>
      </c>
      <c r="B198" s="47" t="s">
        <v>463</v>
      </c>
      <c r="C198" s="51"/>
      <c r="D198" s="59">
        <v>0</v>
      </c>
      <c r="E198" s="117">
        <v>14165131</v>
      </c>
      <c r="F198" s="59"/>
    </row>
    <row r="199" spans="1:6">
      <c r="A199" s="119" t="s">
        <v>255</v>
      </c>
      <c r="B199" s="65" t="s">
        <v>488</v>
      </c>
      <c r="C199" s="51"/>
      <c r="D199" s="59">
        <v>0</v>
      </c>
      <c r="E199" s="117">
        <v>294001537.42000002</v>
      </c>
      <c r="F199" s="59"/>
    </row>
    <row r="200" spans="1:6">
      <c r="A200" s="105" t="s">
        <v>67</v>
      </c>
      <c r="B200" s="109" t="s">
        <v>357</v>
      </c>
      <c r="C200" s="106"/>
      <c r="D200" s="107"/>
      <c r="E200" s="107"/>
      <c r="F200" s="107"/>
    </row>
    <row r="201" spans="1:6" ht="25.5">
      <c r="A201" s="119" t="s">
        <v>102</v>
      </c>
      <c r="B201" s="48" t="s">
        <v>468</v>
      </c>
      <c r="C201" s="64" t="s">
        <v>411</v>
      </c>
      <c r="D201" s="59">
        <v>0</v>
      </c>
      <c r="E201" s="59">
        <v>0</v>
      </c>
      <c r="F201" s="50"/>
    </row>
    <row r="202" spans="1:6">
      <c r="A202" s="43" t="s">
        <v>104</v>
      </c>
      <c r="B202" s="44" t="s">
        <v>412</v>
      </c>
      <c r="C202" s="49" t="s">
        <v>413</v>
      </c>
      <c r="D202" s="116">
        <v>-77771422</v>
      </c>
      <c r="E202" s="116">
        <v>-113583251</v>
      </c>
      <c r="F202" s="116"/>
    </row>
    <row r="203" spans="1:6">
      <c r="A203" s="43"/>
      <c r="B203" s="43" t="s">
        <v>418</v>
      </c>
      <c r="C203" s="49"/>
      <c r="D203" s="50"/>
      <c r="E203" s="50"/>
      <c r="F203" s="50"/>
    </row>
    <row r="204" spans="1:6">
      <c r="A204" s="43" t="s">
        <v>106</v>
      </c>
      <c r="B204" s="44" t="s">
        <v>414</v>
      </c>
      <c r="C204" s="49" t="s">
        <v>415</v>
      </c>
      <c r="D204" s="152">
        <v>-111910811</v>
      </c>
      <c r="E204" s="152">
        <v>-109204754.89</v>
      </c>
      <c r="F204" s="116"/>
    </row>
    <row r="205" spans="1:6">
      <c r="A205" s="43" t="s">
        <v>108</v>
      </c>
      <c r="B205" s="44" t="s">
        <v>416</v>
      </c>
      <c r="C205" s="49" t="s">
        <v>415</v>
      </c>
      <c r="D205" s="59">
        <v>0</v>
      </c>
      <c r="E205" s="59">
        <v>0</v>
      </c>
      <c r="F205" s="50"/>
    </row>
    <row r="206" spans="1:6">
      <c r="A206" s="43" t="s">
        <v>110</v>
      </c>
      <c r="B206" s="44" t="s">
        <v>417</v>
      </c>
      <c r="C206" s="49" t="s">
        <v>415</v>
      </c>
      <c r="D206" s="59">
        <v>0</v>
      </c>
      <c r="E206" s="59">
        <v>0</v>
      </c>
      <c r="F206" s="50"/>
    </row>
    <row r="207" spans="1:6">
      <c r="A207" s="44"/>
      <c r="B207" s="44"/>
      <c r="C207" s="49"/>
      <c r="D207" s="50"/>
      <c r="E207" s="50"/>
      <c r="F207" s="50"/>
    </row>
    <row r="208" spans="1:6">
      <c r="A208" s="44"/>
      <c r="B208" s="44"/>
      <c r="C208" s="49"/>
      <c r="D208" s="50"/>
      <c r="E208" s="50"/>
      <c r="F208" s="50"/>
    </row>
    <row r="209" spans="1:6">
      <c r="A209" s="44"/>
      <c r="B209" s="44"/>
      <c r="C209" s="49"/>
      <c r="D209" s="50"/>
      <c r="E209" s="50"/>
      <c r="F209" s="50"/>
    </row>
    <row r="210" spans="1:6">
      <c r="A210" s="142" t="s">
        <v>348</v>
      </c>
      <c r="B210" s="142" t="s">
        <v>351</v>
      </c>
      <c r="C210" s="143"/>
      <c r="D210" s="144">
        <f>+SUM(D190:D209)</f>
        <v>0</v>
      </c>
      <c r="E210" s="144">
        <f>+SUM(E190:E209)</f>
        <v>551319557.17999995</v>
      </c>
      <c r="F210" s="144"/>
    </row>
    <row r="211" spans="1:6">
      <c r="A211" s="142" t="s">
        <v>358</v>
      </c>
      <c r="B211" s="142" t="s">
        <v>359</v>
      </c>
      <c r="C211" s="143"/>
      <c r="D211" s="144">
        <f>+D184+D187+D210</f>
        <v>920083887.79999995</v>
      </c>
      <c r="E211" s="144">
        <f>+E184+E187+E210</f>
        <v>2350100665.5411406</v>
      </c>
      <c r="F211" s="144"/>
    </row>
    <row r="212" spans="1:6">
      <c r="A212" s="105" t="s">
        <v>67</v>
      </c>
      <c r="B212" s="105" t="s">
        <v>364</v>
      </c>
      <c r="C212" s="106" t="s">
        <v>365</v>
      </c>
      <c r="D212" s="108"/>
      <c r="E212" s="108"/>
      <c r="F212" s="108"/>
    </row>
    <row r="213" spans="1:6">
      <c r="A213" s="109" t="s">
        <v>67</v>
      </c>
      <c r="B213" s="109" t="s">
        <v>367</v>
      </c>
      <c r="C213" s="110" t="s">
        <v>366</v>
      </c>
      <c r="D213" s="111"/>
      <c r="E213" s="111"/>
      <c r="F213" s="111"/>
    </row>
    <row r="214" spans="1:6">
      <c r="A214" s="43" t="s">
        <v>102</v>
      </c>
      <c r="B214" s="44" t="s">
        <v>368</v>
      </c>
      <c r="C214" s="51" t="s">
        <v>366</v>
      </c>
      <c r="D214" s="12">
        <v>1875000</v>
      </c>
      <c r="E214" s="12">
        <v>5000000</v>
      </c>
      <c r="F214" s="12"/>
    </row>
    <row r="215" spans="1:6">
      <c r="A215" s="43" t="s">
        <v>104</v>
      </c>
      <c r="B215" s="44" t="s">
        <v>369</v>
      </c>
      <c r="C215" s="51" t="s">
        <v>366</v>
      </c>
      <c r="D215" s="12">
        <f>(+D211-D187-D218-D221)*10%</f>
        <v>92008388.780000001</v>
      </c>
      <c r="E215" s="12">
        <f>(+E211-E187-E218-E221)*10%</f>
        <v>235010066.55411407</v>
      </c>
      <c r="F215" s="12"/>
    </row>
    <row r="216" spans="1:6">
      <c r="A216" s="103" t="s">
        <v>106</v>
      </c>
      <c r="B216" s="103" t="s">
        <v>370</v>
      </c>
      <c r="C216" s="104" t="s">
        <v>366</v>
      </c>
      <c r="D216" s="115">
        <f>-IF(D214&gt;D215,D215,D214)</f>
        <v>-1875000</v>
      </c>
      <c r="E216" s="115">
        <f>-IF(E214&gt;E215,E215,E214)</f>
        <v>-5000000</v>
      </c>
      <c r="F216" s="115"/>
    </row>
    <row r="217" spans="1:6">
      <c r="A217" s="109" t="s">
        <v>67</v>
      </c>
      <c r="B217" s="109" t="s">
        <v>371</v>
      </c>
      <c r="C217" s="110" t="s">
        <v>372</v>
      </c>
      <c r="D217" s="111"/>
      <c r="E217" s="111"/>
      <c r="F217" s="111"/>
    </row>
    <row r="218" spans="1:6">
      <c r="A218" s="103" t="s">
        <v>102</v>
      </c>
      <c r="B218" s="103"/>
      <c r="C218" s="104" t="s">
        <v>372</v>
      </c>
      <c r="D218" s="115">
        <v>0</v>
      </c>
      <c r="E218" s="115">
        <v>0</v>
      </c>
      <c r="F218" s="115"/>
    </row>
    <row r="219" spans="1:6">
      <c r="A219" s="109" t="s">
        <v>67</v>
      </c>
      <c r="B219" s="109" t="s">
        <v>373</v>
      </c>
      <c r="C219" s="110" t="s">
        <v>374</v>
      </c>
      <c r="D219" s="111"/>
      <c r="E219" s="111"/>
      <c r="F219" s="111"/>
    </row>
    <row r="220" spans="1:6">
      <c r="A220" s="43" t="s">
        <v>102</v>
      </c>
      <c r="B220" s="44" t="s">
        <v>375</v>
      </c>
      <c r="C220" s="51" t="s">
        <v>374</v>
      </c>
      <c r="D220" s="12"/>
      <c r="E220" s="12"/>
      <c r="F220" s="12"/>
    </row>
    <row r="221" spans="1:6">
      <c r="A221" s="112" t="s">
        <v>104</v>
      </c>
      <c r="B221" s="113" t="s">
        <v>376</v>
      </c>
      <c r="C221" s="114" t="s">
        <v>374</v>
      </c>
      <c r="D221" s="115">
        <f>-D220*30%</f>
        <v>0</v>
      </c>
      <c r="E221" s="115">
        <f>-E220*30%</f>
        <v>0</v>
      </c>
      <c r="F221" s="115"/>
    </row>
    <row r="222" spans="1:6">
      <c r="A222" s="44"/>
      <c r="B222" s="44"/>
      <c r="C222" s="49"/>
      <c r="D222" s="50"/>
      <c r="E222" s="50"/>
      <c r="F222" s="50"/>
    </row>
    <row r="223" spans="1:6">
      <c r="A223" s="142" t="s">
        <v>360</v>
      </c>
      <c r="B223" s="142" t="s">
        <v>361</v>
      </c>
      <c r="C223" s="143"/>
      <c r="D223" s="144">
        <f>+D211+D216+D218+D221</f>
        <v>918208887.79999995</v>
      </c>
      <c r="E223" s="144">
        <f>+E211+E216+E218+E221</f>
        <v>2345100665.5411406</v>
      </c>
      <c r="F223" s="144"/>
    </row>
    <row r="224" spans="1:6">
      <c r="A224" s="44"/>
      <c r="B224" s="46" t="s">
        <v>419</v>
      </c>
      <c r="C224" s="49"/>
      <c r="D224" s="50"/>
      <c r="E224" s="50"/>
      <c r="F224" s="50"/>
    </row>
    <row r="225" spans="1:6">
      <c r="A225" s="43" t="s">
        <v>102</v>
      </c>
      <c r="B225" s="46" t="s">
        <v>420</v>
      </c>
      <c r="C225" s="49"/>
      <c r="D225" s="154">
        <v>0.3</v>
      </c>
      <c r="E225" s="154">
        <v>0.3</v>
      </c>
      <c r="F225" s="154">
        <v>0.3</v>
      </c>
    </row>
    <row r="226" spans="1:6">
      <c r="A226" s="43"/>
      <c r="B226" s="46" t="s">
        <v>408</v>
      </c>
      <c r="C226" s="49"/>
      <c r="D226" s="121">
        <f>+D223*D225</f>
        <v>275462666.33999997</v>
      </c>
      <c r="E226" s="121">
        <f>+E223*E225</f>
        <v>703530199.66234219</v>
      </c>
      <c r="F226" s="121">
        <f>+F223*F225</f>
        <v>0</v>
      </c>
    </row>
    <row r="227" spans="1:6">
      <c r="A227" s="43" t="s">
        <v>104</v>
      </c>
      <c r="B227" s="46" t="s">
        <v>421</v>
      </c>
      <c r="C227" s="49"/>
      <c r="D227" s="154">
        <v>0.1</v>
      </c>
      <c r="E227" s="154">
        <v>0.1</v>
      </c>
      <c r="F227" s="154">
        <v>7.4999999999999997E-2</v>
      </c>
    </row>
    <row r="228" spans="1:6">
      <c r="A228" s="43"/>
      <c r="B228" s="46" t="s">
        <v>408</v>
      </c>
      <c r="C228" s="49"/>
      <c r="D228" s="121">
        <f>+D226*D227</f>
        <v>27546266.634</v>
      </c>
      <c r="E228" s="121">
        <f>+E226*E227</f>
        <v>70353019.966234222</v>
      </c>
      <c r="F228" s="121">
        <f>+F226*F227</f>
        <v>0</v>
      </c>
    </row>
    <row r="229" spans="1:6">
      <c r="A229" s="43" t="s">
        <v>106</v>
      </c>
      <c r="B229" s="46" t="s">
        <v>477</v>
      </c>
      <c r="C229" s="49"/>
      <c r="D229" s="154">
        <v>0.03</v>
      </c>
      <c r="E229" s="154">
        <v>0.03</v>
      </c>
      <c r="F229" s="154">
        <v>0.03</v>
      </c>
    </row>
    <row r="230" spans="1:6">
      <c r="A230" s="2"/>
      <c r="B230" s="46" t="s">
        <v>476</v>
      </c>
      <c r="C230" s="49"/>
      <c r="D230" s="121">
        <f>+(D226+D228)*D229</f>
        <v>9090267.9892199989</v>
      </c>
      <c r="E230" s="121">
        <f>+(E226+E228)*E229</f>
        <v>23216496.588857289</v>
      </c>
      <c r="F230" s="121">
        <f>+(F226+F228)*F229</f>
        <v>0</v>
      </c>
    </row>
    <row r="231" spans="1:6">
      <c r="A231" s="145" t="s">
        <v>423</v>
      </c>
      <c r="B231" s="145" t="s">
        <v>422</v>
      </c>
      <c r="C231" s="149"/>
      <c r="D231" s="150">
        <f>+D226+D228+D230</f>
        <v>312099200.96322</v>
      </c>
      <c r="E231" s="150">
        <f>+E226+E228+E230</f>
        <v>797099716.21743369</v>
      </c>
      <c r="F231" s="150">
        <f>+F226+F228+F230</f>
        <v>0</v>
      </c>
    </row>
    <row r="232" spans="1:6">
      <c r="A232" s="43"/>
      <c r="B232" s="46"/>
      <c r="C232" s="49"/>
      <c r="D232" s="120"/>
      <c r="E232" s="120"/>
      <c r="F232" s="120"/>
    </row>
    <row r="233" spans="1:6">
      <c r="A233" s="145" t="s">
        <v>437</v>
      </c>
      <c r="B233" s="145" t="s">
        <v>438</v>
      </c>
      <c r="C233" s="151" t="s">
        <v>451</v>
      </c>
      <c r="D233" s="150">
        <f>+MAT115JB!D71</f>
        <v>119820217.4048</v>
      </c>
      <c r="E233" s="150">
        <f>+MAT115JB!E71</f>
        <v>335515094.10392725</v>
      </c>
      <c r="F233" s="150"/>
    </row>
    <row r="234" spans="1:6">
      <c r="A234" s="43"/>
      <c r="B234" s="46"/>
      <c r="C234" s="49"/>
      <c r="D234" s="120"/>
      <c r="E234" s="120"/>
      <c r="F234" s="120"/>
    </row>
    <row r="235" spans="1:6">
      <c r="A235" s="145" t="s">
        <v>439</v>
      </c>
      <c r="B235" s="145" t="s">
        <v>440</v>
      </c>
      <c r="C235" s="149"/>
      <c r="D235" s="150">
        <f>IF(D231&gt;D233,D231,D233)</f>
        <v>312099200.96322</v>
      </c>
      <c r="E235" s="150">
        <f>IF(E231&gt;E233,E231,E233)</f>
        <v>797099716.21743369</v>
      </c>
      <c r="F235" s="150"/>
    </row>
    <row r="236" spans="1:6">
      <c r="A236" s="43"/>
      <c r="B236" s="46"/>
      <c r="C236" s="49"/>
      <c r="D236" s="120"/>
      <c r="E236" s="120"/>
      <c r="F236" s="120"/>
    </row>
    <row r="237" spans="1:6">
      <c r="A237" s="145" t="s">
        <v>441</v>
      </c>
      <c r="B237" s="145" t="s">
        <v>442</v>
      </c>
      <c r="C237" s="151" t="s">
        <v>332</v>
      </c>
      <c r="D237" s="141">
        <f>-'MAT-CF115JAA'!F6</f>
        <v>-192278981</v>
      </c>
      <c r="E237" s="141">
        <f>-'MAT-CF115JAA'!F7</f>
        <v>-127613086</v>
      </c>
      <c r="F237" s="150"/>
    </row>
    <row r="238" spans="1:6">
      <c r="A238" s="2"/>
      <c r="B238" s="2"/>
      <c r="C238" s="49"/>
      <c r="D238" s="2"/>
      <c r="E238" s="2"/>
      <c r="F238" s="2"/>
    </row>
    <row r="239" spans="1:6">
      <c r="A239" s="145" t="s">
        <v>443</v>
      </c>
      <c r="B239" s="145" t="s">
        <v>444</v>
      </c>
      <c r="C239" s="149"/>
      <c r="D239" s="150">
        <f>+D235+D237</f>
        <v>119820219.96322</v>
      </c>
      <c r="E239" s="150">
        <f>+E235+E237</f>
        <v>669486630.21743369</v>
      </c>
      <c r="F239" s="150"/>
    </row>
    <row r="240" spans="1:6">
      <c r="A240" s="2"/>
      <c r="B240" s="2"/>
      <c r="C240" s="49"/>
      <c r="D240" s="2"/>
      <c r="E240" s="2"/>
      <c r="F240" s="2"/>
    </row>
    <row r="241" spans="1:6">
      <c r="A241" s="145" t="s">
        <v>445</v>
      </c>
      <c r="B241" s="145" t="s">
        <v>446</v>
      </c>
      <c r="C241" s="149"/>
      <c r="D241" s="141">
        <v>-58165281</v>
      </c>
      <c r="E241" s="141">
        <v>-17987000</v>
      </c>
      <c r="F241" s="150"/>
    </row>
    <row r="242" spans="1:6">
      <c r="A242" s="2"/>
      <c r="B242" s="2"/>
      <c r="C242" s="49"/>
      <c r="D242" s="2"/>
      <c r="E242" s="2"/>
      <c r="F242" s="2"/>
    </row>
    <row r="243" spans="1:6">
      <c r="A243" s="145" t="s">
        <v>447</v>
      </c>
      <c r="B243" s="145" t="s">
        <v>448</v>
      </c>
      <c r="C243" s="149"/>
      <c r="D243" s="141">
        <v>-220000000</v>
      </c>
      <c r="E243" s="141">
        <v>-6080000</v>
      </c>
      <c r="F243" s="150"/>
    </row>
    <row r="244" spans="1:6">
      <c r="A244" s="2"/>
      <c r="B244" s="2"/>
      <c r="C244" s="49"/>
      <c r="D244" s="2"/>
      <c r="E244" s="2"/>
      <c r="F244" s="2"/>
    </row>
    <row r="245" spans="1:6">
      <c r="A245" s="145" t="s">
        <v>449</v>
      </c>
      <c r="B245" s="145" t="s">
        <v>450</v>
      </c>
      <c r="C245" s="149"/>
      <c r="D245" s="141">
        <f>+D239+D241+D243</f>
        <v>-158345061.03678</v>
      </c>
      <c r="E245" s="150">
        <f>+E239+E241+E243</f>
        <v>645419630.21743369</v>
      </c>
      <c r="F245" s="150"/>
    </row>
    <row r="246" spans="1:6">
      <c r="A246" s="2"/>
      <c r="B246" s="2"/>
      <c r="C246" s="49"/>
      <c r="D246" s="2"/>
      <c r="E246" s="2"/>
      <c r="F246" s="2"/>
    </row>
  </sheetData>
  <printOptions horizontalCentered="1" verticalCentered="1"/>
  <pageMargins left="0.11811023622047245" right="0.11811023622047245" top="0.11811023622047245" bottom="0.11811023622047245" header="0.11811023622047245" footer="0.11811023622047245"/>
  <pageSetup paperSize="9" scale="81" orientation="portrait" r:id="rId1"/>
  <headerFooter>
    <oddFooter>&amp;L&amp;A&amp;F&amp;N</oddFooter>
  </headerFooter>
  <rowBreaks count="2" manualBreakCount="2">
    <brk id="152" max="4" man="1"/>
    <brk id="211" max="4" man="1"/>
  </rowBreaks>
</worksheet>
</file>

<file path=xl/worksheets/sheet20.xml><?xml version="1.0" encoding="utf-8"?>
<worksheet xmlns="http://schemas.openxmlformats.org/spreadsheetml/2006/main" xmlns:r="http://schemas.openxmlformats.org/officeDocument/2006/relationships">
  <sheetPr>
    <tabColor rgb="FF92D050"/>
  </sheetPr>
  <dimension ref="A2:N74"/>
  <sheetViews>
    <sheetView zoomScaleSheetLayoutView="100" workbookViewId="0">
      <pane xSplit="5" ySplit="7" topLeftCell="F8" activePane="bottomRight" state="frozen"/>
      <selection pane="topRight" activeCell="F1" sqref="F1"/>
      <selection pane="bottomLeft" activeCell="A8" sqref="A8"/>
      <selection pane="bottomRight" activeCell="E15" sqref="E15"/>
    </sheetView>
  </sheetViews>
  <sheetFormatPr defaultRowHeight="12.75"/>
  <cols>
    <col min="1" max="1" width="5.28515625" style="293" customWidth="1"/>
    <col min="2" max="2" width="40.5703125" style="293" bestFit="1" customWidth="1"/>
    <col min="3" max="3" width="5.7109375" style="293" bestFit="1" customWidth="1"/>
    <col min="4" max="4" width="15.42578125" style="328" customWidth="1"/>
    <col min="5" max="5" width="13.85546875" style="328" bestFit="1" customWidth="1"/>
    <col min="6" max="6" width="16.5703125" style="328" customWidth="1"/>
    <col min="7" max="7" width="10.28515625" style="293" bestFit="1" customWidth="1"/>
    <col min="8" max="8" width="11.5703125" style="293" bestFit="1" customWidth="1"/>
    <col min="9" max="16384" width="9.140625" style="293"/>
  </cols>
  <sheetData>
    <row r="2" spans="1:6">
      <c r="A2" s="350" t="s">
        <v>804</v>
      </c>
      <c r="B2" s="350"/>
      <c r="C2" s="350"/>
      <c r="D2" s="350"/>
      <c r="E2" s="350"/>
      <c r="F2" s="350"/>
    </row>
    <row r="3" spans="1:6">
      <c r="A3" s="350" t="s">
        <v>805</v>
      </c>
      <c r="B3" s="350"/>
      <c r="C3" s="350"/>
      <c r="D3" s="350"/>
      <c r="E3" s="350"/>
      <c r="F3" s="350"/>
    </row>
    <row r="4" spans="1:6">
      <c r="A4" s="350" t="s">
        <v>806</v>
      </c>
      <c r="B4" s="350"/>
      <c r="C4" s="350"/>
      <c r="D4" s="350"/>
      <c r="E4" s="350"/>
      <c r="F4" s="350"/>
    </row>
    <row r="5" spans="1:6">
      <c r="A5" s="350"/>
      <c r="B5" s="350"/>
      <c r="C5" s="350"/>
      <c r="D5" s="350"/>
      <c r="E5" s="350"/>
      <c r="F5" s="350"/>
    </row>
    <row r="6" spans="1:6">
      <c r="A6" s="294" t="s">
        <v>807</v>
      </c>
      <c r="B6" s="295" t="s">
        <v>39</v>
      </c>
      <c r="C6" s="295" t="s">
        <v>808</v>
      </c>
      <c r="D6" s="296" t="s">
        <v>809</v>
      </c>
      <c r="E6" s="296" t="s">
        <v>785</v>
      </c>
      <c r="F6" s="296" t="s">
        <v>810</v>
      </c>
    </row>
    <row r="7" spans="1:6">
      <c r="A7" s="297"/>
      <c r="B7" s="298"/>
      <c r="C7" s="299" t="s">
        <v>811</v>
      </c>
      <c r="D7" s="300"/>
      <c r="E7" s="300"/>
      <c r="F7" s="300"/>
    </row>
    <row r="8" spans="1:6">
      <c r="A8" s="301"/>
      <c r="B8" s="302"/>
      <c r="C8" s="302"/>
      <c r="D8" s="303"/>
      <c r="E8" s="303"/>
      <c r="F8" s="303"/>
    </row>
    <row r="9" spans="1:6">
      <c r="A9" s="301"/>
      <c r="B9" s="304"/>
      <c r="C9" s="305"/>
      <c r="D9" s="303"/>
      <c r="E9" s="303"/>
      <c r="F9" s="303"/>
    </row>
    <row r="10" spans="1:6">
      <c r="A10" s="301">
        <v>1</v>
      </c>
      <c r="B10" s="306" t="s">
        <v>812</v>
      </c>
      <c r="C10" s="305"/>
      <c r="D10" s="303"/>
      <c r="E10" s="303"/>
      <c r="F10" s="303"/>
    </row>
    <row r="11" spans="1:6">
      <c r="A11" s="301"/>
      <c r="B11" s="304" t="s">
        <v>813</v>
      </c>
      <c r="C11" s="305">
        <v>12.5</v>
      </c>
      <c r="D11" s="303">
        <v>129238909</v>
      </c>
      <c r="E11" s="303">
        <f t="shared" ref="E11:E16" si="0">ROUND(D11*C11%,0)</f>
        <v>16154864</v>
      </c>
      <c r="F11" s="303">
        <f t="shared" ref="F11:F24" si="1">D11-E11</f>
        <v>113084045</v>
      </c>
    </row>
    <row r="12" spans="1:6">
      <c r="A12" s="301"/>
      <c r="B12" s="304" t="s">
        <v>814</v>
      </c>
      <c r="C12" s="305">
        <v>25</v>
      </c>
      <c r="D12" s="303">
        <f t="shared" ref="D12:D24" si="2">F11</f>
        <v>113084045</v>
      </c>
      <c r="E12" s="303">
        <f t="shared" si="0"/>
        <v>28271011</v>
      </c>
      <c r="F12" s="303">
        <f t="shared" si="1"/>
        <v>84813034</v>
      </c>
    </row>
    <row r="13" spans="1:6">
      <c r="A13" s="301"/>
      <c r="B13" s="304" t="s">
        <v>815</v>
      </c>
      <c r="C13" s="305">
        <v>25</v>
      </c>
      <c r="D13" s="303">
        <f t="shared" si="2"/>
        <v>84813034</v>
      </c>
      <c r="E13" s="303">
        <f t="shared" si="0"/>
        <v>21203259</v>
      </c>
      <c r="F13" s="303">
        <f t="shared" si="1"/>
        <v>63609775</v>
      </c>
    </row>
    <row r="14" spans="1:6">
      <c r="A14" s="301"/>
      <c r="B14" s="304" t="s">
        <v>816</v>
      </c>
      <c r="C14" s="305">
        <v>25</v>
      </c>
      <c r="D14" s="303">
        <f t="shared" si="2"/>
        <v>63609775</v>
      </c>
      <c r="E14" s="303">
        <f t="shared" si="0"/>
        <v>15902444</v>
      </c>
      <c r="F14" s="303">
        <f t="shared" si="1"/>
        <v>47707331</v>
      </c>
    </row>
    <row r="15" spans="1:6">
      <c r="A15" s="301"/>
      <c r="B15" s="304" t="s">
        <v>817</v>
      </c>
      <c r="C15" s="305">
        <v>25</v>
      </c>
      <c r="D15" s="303">
        <f t="shared" si="2"/>
        <v>47707331</v>
      </c>
      <c r="E15" s="303">
        <f t="shared" si="0"/>
        <v>11926833</v>
      </c>
      <c r="F15" s="303">
        <f t="shared" si="1"/>
        <v>35780498</v>
      </c>
    </row>
    <row r="16" spans="1:6">
      <c r="A16" s="301"/>
      <c r="B16" s="304" t="s">
        <v>818</v>
      </c>
      <c r="C16" s="305">
        <v>25</v>
      </c>
      <c r="D16" s="303">
        <f t="shared" si="2"/>
        <v>35780498</v>
      </c>
      <c r="E16" s="303">
        <f t="shared" si="0"/>
        <v>8945125</v>
      </c>
      <c r="F16" s="303">
        <f t="shared" si="1"/>
        <v>26835373</v>
      </c>
    </row>
    <row r="17" spans="1:6">
      <c r="A17" s="301"/>
      <c r="B17" s="304" t="s">
        <v>819</v>
      </c>
      <c r="C17" s="305">
        <v>25</v>
      </c>
      <c r="D17" s="303">
        <f t="shared" si="2"/>
        <v>26835373</v>
      </c>
      <c r="E17" s="303">
        <f>ROUND(D17*C17%,0)+1</f>
        <v>6708844</v>
      </c>
      <c r="F17" s="303">
        <f t="shared" si="1"/>
        <v>20126529</v>
      </c>
    </row>
    <row r="18" spans="1:6">
      <c r="A18" s="301"/>
      <c r="B18" s="304" t="s">
        <v>820</v>
      </c>
      <c r="C18" s="305">
        <v>25</v>
      </c>
      <c r="D18" s="303">
        <f t="shared" si="2"/>
        <v>20126529</v>
      </c>
      <c r="E18" s="303">
        <f>ROUND(D18*C18%,0)</f>
        <v>5031632</v>
      </c>
      <c r="F18" s="303">
        <f t="shared" si="1"/>
        <v>15094897</v>
      </c>
    </row>
    <row r="19" spans="1:6">
      <c r="A19" s="301"/>
      <c r="B19" s="304" t="s">
        <v>821</v>
      </c>
      <c r="C19" s="305">
        <v>15</v>
      </c>
      <c r="D19" s="303">
        <f t="shared" si="2"/>
        <v>15094897</v>
      </c>
      <c r="E19" s="303">
        <f>ROUND(D19*C19%,0)</f>
        <v>2264235</v>
      </c>
      <c r="F19" s="303">
        <f t="shared" si="1"/>
        <v>12830662</v>
      </c>
    </row>
    <row r="20" spans="1:6">
      <c r="A20" s="301"/>
      <c r="B20" s="304" t="s">
        <v>822</v>
      </c>
      <c r="C20" s="305">
        <v>15</v>
      </c>
      <c r="D20" s="303">
        <f t="shared" si="2"/>
        <v>12830662</v>
      </c>
      <c r="E20" s="303">
        <f>ROUND(D20*C20%,0)</f>
        <v>1924599</v>
      </c>
      <c r="F20" s="303">
        <f t="shared" si="1"/>
        <v>10906063</v>
      </c>
    </row>
    <row r="21" spans="1:6">
      <c r="A21" s="301"/>
      <c r="B21" s="304" t="s">
        <v>823</v>
      </c>
      <c r="C21" s="305">
        <v>15</v>
      </c>
      <c r="D21" s="303">
        <f t="shared" si="2"/>
        <v>10906063</v>
      </c>
      <c r="E21" s="303">
        <f>ROUND(D21*C21%,0)</f>
        <v>1635909</v>
      </c>
      <c r="F21" s="303">
        <f t="shared" si="1"/>
        <v>9270154</v>
      </c>
    </row>
    <row r="22" spans="1:6">
      <c r="A22" s="301"/>
      <c r="B22" s="304" t="s">
        <v>824</v>
      </c>
      <c r="C22" s="305">
        <v>15</v>
      </c>
      <c r="D22" s="303">
        <f t="shared" si="2"/>
        <v>9270154</v>
      </c>
      <c r="E22" s="307">
        <f>ROUND((D22*C22%)*12/12,0)</f>
        <v>1390523</v>
      </c>
      <c r="F22" s="303">
        <f t="shared" si="1"/>
        <v>7879631</v>
      </c>
    </row>
    <row r="23" spans="1:6">
      <c r="A23" s="301"/>
      <c r="B23" s="331" t="s">
        <v>481</v>
      </c>
      <c r="C23" s="332">
        <v>15</v>
      </c>
      <c r="D23" s="333">
        <f t="shared" si="2"/>
        <v>7879631</v>
      </c>
      <c r="E23" s="334">
        <f>ROUND((D23*C23%)*12/12,0)</f>
        <v>1181945</v>
      </c>
      <c r="F23" s="333">
        <f t="shared" si="1"/>
        <v>6697686</v>
      </c>
    </row>
    <row r="24" spans="1:6">
      <c r="A24" s="301"/>
      <c r="B24" s="308" t="s">
        <v>825</v>
      </c>
      <c r="C24" s="309">
        <v>15</v>
      </c>
      <c r="D24" s="310">
        <f t="shared" si="2"/>
        <v>6697686</v>
      </c>
      <c r="E24" s="311">
        <f>ROUND((D24*C24%)*12/12,0)</f>
        <v>1004653</v>
      </c>
      <c r="F24" s="310">
        <f t="shared" si="1"/>
        <v>5693033</v>
      </c>
    </row>
    <row r="25" spans="1:6">
      <c r="A25" s="301">
        <f>+A10+1</f>
        <v>2</v>
      </c>
      <c r="B25" s="312" t="s">
        <v>826</v>
      </c>
      <c r="C25" s="305"/>
      <c r="D25" s="303"/>
      <c r="E25" s="303"/>
      <c r="F25" s="303"/>
    </row>
    <row r="26" spans="1:6">
      <c r="A26" s="301"/>
      <c r="B26" s="304" t="s">
        <v>815</v>
      </c>
      <c r="C26" s="305">
        <v>25</v>
      </c>
      <c r="D26" s="303">
        <v>339759</v>
      </c>
      <c r="E26" s="303">
        <f>ROUND(D26*C26%,0)</f>
        <v>84940</v>
      </c>
      <c r="F26" s="303">
        <f t="shared" ref="F26:F37" si="3">D26-E26</f>
        <v>254819</v>
      </c>
    </row>
    <row r="27" spans="1:6">
      <c r="A27" s="301"/>
      <c r="B27" s="304" t="s">
        <v>816</v>
      </c>
      <c r="C27" s="305">
        <v>25</v>
      </c>
      <c r="D27" s="303">
        <f>F26</f>
        <v>254819</v>
      </c>
      <c r="E27" s="303">
        <f>ROUND(D27*C27%,0)</f>
        <v>63705</v>
      </c>
      <c r="F27" s="303">
        <f t="shared" si="3"/>
        <v>191114</v>
      </c>
    </row>
    <row r="28" spans="1:6">
      <c r="A28" s="301"/>
      <c r="B28" s="304" t="s">
        <v>817</v>
      </c>
      <c r="C28" s="305">
        <v>25</v>
      </c>
      <c r="D28" s="303">
        <f>F27</f>
        <v>191114</v>
      </c>
      <c r="E28" s="303">
        <f>ROUND(D28*C28%,0)</f>
        <v>47779</v>
      </c>
      <c r="F28" s="303">
        <f t="shared" si="3"/>
        <v>143335</v>
      </c>
    </row>
    <row r="29" spans="1:6">
      <c r="A29" s="301"/>
      <c r="B29" s="304" t="s">
        <v>818</v>
      </c>
      <c r="C29" s="305">
        <v>25</v>
      </c>
      <c r="D29" s="303">
        <f>F28</f>
        <v>143335</v>
      </c>
      <c r="E29" s="303">
        <f>ROUND(D29*C29%,0)</f>
        <v>35834</v>
      </c>
      <c r="F29" s="303">
        <f t="shared" si="3"/>
        <v>107501</v>
      </c>
    </row>
    <row r="30" spans="1:6">
      <c r="A30" s="301"/>
      <c r="B30" s="304" t="s">
        <v>819</v>
      </c>
      <c r="C30" s="305">
        <v>25</v>
      </c>
      <c r="D30" s="303">
        <f>339759-232258</f>
        <v>107501</v>
      </c>
      <c r="E30" s="303">
        <f>ROUND(D30*C30%,0)+1</f>
        <v>26876</v>
      </c>
      <c r="F30" s="303">
        <f t="shared" si="3"/>
        <v>80625</v>
      </c>
    </row>
    <row r="31" spans="1:6">
      <c r="A31" s="301"/>
      <c r="B31" s="304" t="s">
        <v>820</v>
      </c>
      <c r="C31" s="305">
        <v>25</v>
      </c>
      <c r="D31" s="303">
        <f t="shared" ref="D31:D37" si="4">F30</f>
        <v>80625</v>
      </c>
      <c r="E31" s="303">
        <f>ROUND(D31*C31%,0)</f>
        <v>20156</v>
      </c>
      <c r="F31" s="303">
        <f t="shared" si="3"/>
        <v>60469</v>
      </c>
    </row>
    <row r="32" spans="1:6">
      <c r="A32" s="301"/>
      <c r="B32" s="304" t="s">
        <v>821</v>
      </c>
      <c r="C32" s="305">
        <v>15</v>
      </c>
      <c r="D32" s="303">
        <f t="shared" si="4"/>
        <v>60469</v>
      </c>
      <c r="E32" s="303">
        <f>ROUND(D32*C32%,0)</f>
        <v>9070</v>
      </c>
      <c r="F32" s="303">
        <f t="shared" si="3"/>
        <v>51399</v>
      </c>
    </row>
    <row r="33" spans="1:14">
      <c r="A33" s="301"/>
      <c r="B33" s="304" t="s">
        <v>822</v>
      </c>
      <c r="C33" s="305">
        <v>15</v>
      </c>
      <c r="D33" s="303">
        <f t="shared" si="4"/>
        <v>51399</v>
      </c>
      <c r="E33" s="303">
        <f>ROUND(D33*C33%,0)</f>
        <v>7710</v>
      </c>
      <c r="F33" s="303">
        <f t="shared" si="3"/>
        <v>43689</v>
      </c>
    </row>
    <row r="34" spans="1:14">
      <c r="A34" s="301"/>
      <c r="B34" s="304" t="s">
        <v>823</v>
      </c>
      <c r="C34" s="305">
        <v>15</v>
      </c>
      <c r="D34" s="303">
        <f t="shared" si="4"/>
        <v>43689</v>
      </c>
      <c r="E34" s="303">
        <f>ROUND(D34*C34%,0)</f>
        <v>6553</v>
      </c>
      <c r="F34" s="303">
        <f t="shared" si="3"/>
        <v>37136</v>
      </c>
    </row>
    <row r="35" spans="1:14">
      <c r="A35" s="301"/>
      <c r="B35" s="304" t="s">
        <v>824</v>
      </c>
      <c r="C35" s="305">
        <v>15</v>
      </c>
      <c r="D35" s="303">
        <f t="shared" si="4"/>
        <v>37136</v>
      </c>
      <c r="E35" s="307">
        <f>ROUND((D35*C35%)*12/12,0)</f>
        <v>5570</v>
      </c>
      <c r="F35" s="303">
        <f t="shared" si="3"/>
        <v>31566</v>
      </c>
    </row>
    <row r="36" spans="1:14">
      <c r="A36" s="301"/>
      <c r="B36" s="331" t="s">
        <v>481</v>
      </c>
      <c r="C36" s="332">
        <v>15</v>
      </c>
      <c r="D36" s="333">
        <f t="shared" si="4"/>
        <v>31566</v>
      </c>
      <c r="E36" s="334">
        <f>ROUND((D36*C36%)*12/12,0)</f>
        <v>4735</v>
      </c>
      <c r="F36" s="333">
        <f t="shared" si="3"/>
        <v>26831</v>
      </c>
    </row>
    <row r="37" spans="1:14">
      <c r="A37" s="301"/>
      <c r="B37" s="308" t="s">
        <v>825</v>
      </c>
      <c r="C37" s="309">
        <v>15</v>
      </c>
      <c r="D37" s="310">
        <f t="shared" si="4"/>
        <v>26831</v>
      </c>
      <c r="E37" s="311">
        <f>ROUND((D37*C37%)*12/12,0)</f>
        <v>4025</v>
      </c>
      <c r="F37" s="310">
        <f t="shared" si="3"/>
        <v>22806</v>
      </c>
    </row>
    <row r="38" spans="1:14">
      <c r="A38" s="301"/>
      <c r="B38" s="304"/>
      <c r="C38" s="305"/>
      <c r="D38" s="303"/>
      <c r="E38" s="303"/>
      <c r="F38" s="303"/>
    </row>
    <row r="39" spans="1:14">
      <c r="A39" s="301">
        <f>+A25+1</f>
        <v>3</v>
      </c>
      <c r="B39" s="312" t="s">
        <v>827</v>
      </c>
      <c r="C39" s="305"/>
      <c r="D39" s="303"/>
      <c r="E39" s="303"/>
      <c r="F39" s="303"/>
    </row>
    <row r="40" spans="1:14">
      <c r="A40" s="301"/>
      <c r="B40" s="304" t="s">
        <v>816</v>
      </c>
      <c r="C40" s="305">
        <v>25</v>
      </c>
      <c r="D40" s="303">
        <v>42350016</v>
      </c>
      <c r="E40" s="303">
        <f t="shared" ref="E40:E45" si="5">ROUND(D40*C40%,0)</f>
        <v>10587504</v>
      </c>
      <c r="F40" s="303">
        <f t="shared" ref="F40:F46" si="6">D40-E40</f>
        <v>31762512</v>
      </c>
      <c r="G40" s="313" t="s">
        <v>828</v>
      </c>
      <c r="H40" s="313"/>
      <c r="I40" s="313"/>
      <c r="J40" s="313"/>
      <c r="K40" s="313"/>
      <c r="L40" s="313"/>
      <c r="M40" s="313"/>
      <c r="N40" s="313"/>
    </row>
    <row r="41" spans="1:14">
      <c r="A41" s="301"/>
      <c r="B41" s="304" t="s">
        <v>817</v>
      </c>
      <c r="C41" s="305">
        <v>25</v>
      </c>
      <c r="D41" s="303">
        <f t="shared" ref="D41:D46" si="7">F40</f>
        <v>31762512</v>
      </c>
      <c r="E41" s="303">
        <f t="shared" si="5"/>
        <v>7940628</v>
      </c>
      <c r="F41" s="303">
        <f t="shared" si="6"/>
        <v>23821884</v>
      </c>
      <c r="G41" s="255"/>
    </row>
    <row r="42" spans="1:14">
      <c r="A42" s="301"/>
      <c r="B42" s="314" t="s">
        <v>818</v>
      </c>
      <c r="C42" s="305">
        <v>25</v>
      </c>
      <c r="D42" s="303">
        <f t="shared" si="7"/>
        <v>23821884</v>
      </c>
      <c r="E42" s="303">
        <f t="shared" si="5"/>
        <v>5955471</v>
      </c>
      <c r="F42" s="303">
        <f t="shared" si="6"/>
        <v>17866413</v>
      </c>
      <c r="G42" s="315"/>
    </row>
    <row r="43" spans="1:14">
      <c r="A43" s="301"/>
      <c r="B43" s="304" t="s">
        <v>819</v>
      </c>
      <c r="C43" s="305">
        <v>25</v>
      </c>
      <c r="D43" s="303">
        <f t="shared" si="7"/>
        <v>17866413</v>
      </c>
      <c r="E43" s="303">
        <f t="shared" si="5"/>
        <v>4466603</v>
      </c>
      <c r="F43" s="303">
        <f t="shared" si="6"/>
        <v>13399810</v>
      </c>
    </row>
    <row r="44" spans="1:14">
      <c r="A44" s="301"/>
      <c r="B44" s="304" t="s">
        <v>820</v>
      </c>
      <c r="C44" s="305">
        <v>25</v>
      </c>
      <c r="D44" s="303">
        <f t="shared" si="7"/>
        <v>13399810</v>
      </c>
      <c r="E44" s="303">
        <f t="shared" si="5"/>
        <v>3349953</v>
      </c>
      <c r="F44" s="303">
        <f t="shared" si="6"/>
        <v>10049857</v>
      </c>
    </row>
    <row r="45" spans="1:14">
      <c r="A45" s="301"/>
      <c r="B45" s="304" t="s">
        <v>821</v>
      </c>
      <c r="C45" s="305">
        <v>15</v>
      </c>
      <c r="D45" s="303">
        <f t="shared" si="7"/>
        <v>10049857</v>
      </c>
      <c r="E45" s="303">
        <f t="shared" si="5"/>
        <v>1507479</v>
      </c>
      <c r="F45" s="303">
        <f t="shared" si="6"/>
        <v>8542378</v>
      </c>
    </row>
    <row r="46" spans="1:14">
      <c r="A46" s="301"/>
      <c r="B46" s="304" t="s">
        <v>822</v>
      </c>
      <c r="C46" s="305">
        <v>15</v>
      </c>
      <c r="D46" s="303">
        <f t="shared" si="7"/>
        <v>8542378</v>
      </c>
      <c r="E46" s="303">
        <f>ROUND(D46*C46%,0)</f>
        <v>1281357</v>
      </c>
      <c r="F46" s="303">
        <f t="shared" si="6"/>
        <v>7261021</v>
      </c>
    </row>
    <row r="47" spans="1:14">
      <c r="A47" s="301"/>
      <c r="B47" s="304" t="s">
        <v>823</v>
      </c>
      <c r="C47" s="305">
        <v>15</v>
      </c>
      <c r="D47" s="303">
        <f>F46</f>
        <v>7261021</v>
      </c>
      <c r="E47" s="303">
        <f>ROUND(D47*C47%,0)</f>
        <v>1089153</v>
      </c>
      <c r="F47" s="303">
        <f>D47-E47</f>
        <v>6171868</v>
      </c>
    </row>
    <row r="48" spans="1:14">
      <c r="A48" s="301"/>
      <c r="B48" s="304" t="s">
        <v>824</v>
      </c>
      <c r="C48" s="305">
        <v>15</v>
      </c>
      <c r="D48" s="303">
        <f>F47</f>
        <v>6171868</v>
      </c>
      <c r="E48" s="307">
        <f>ROUND((D48*C48%)*12/12,0)</f>
        <v>925780</v>
      </c>
      <c r="F48" s="303">
        <f>D48-E48</f>
        <v>5246088</v>
      </c>
    </row>
    <row r="49" spans="1:8">
      <c r="A49" s="301"/>
      <c r="B49" s="331" t="s">
        <v>481</v>
      </c>
      <c r="C49" s="332">
        <v>15</v>
      </c>
      <c r="D49" s="333">
        <f>F48</f>
        <v>5246088</v>
      </c>
      <c r="E49" s="334">
        <f>ROUND((D49*C49%)*12/12,0)</f>
        <v>786913</v>
      </c>
      <c r="F49" s="333">
        <f>D49-E49</f>
        <v>4459175</v>
      </c>
    </row>
    <row r="50" spans="1:8">
      <c r="A50" s="301"/>
      <c r="B50" s="308" t="s">
        <v>825</v>
      </c>
      <c r="C50" s="309">
        <v>15</v>
      </c>
      <c r="D50" s="310">
        <f t="shared" ref="D50" si="8">F49</f>
        <v>4459175</v>
      </c>
      <c r="E50" s="311">
        <f>ROUND((D50*C50%)*12/12,0)</f>
        <v>668876</v>
      </c>
      <c r="F50" s="310">
        <f>D50-E50</f>
        <v>3790299</v>
      </c>
    </row>
    <row r="51" spans="1:8">
      <c r="A51" s="301"/>
      <c r="B51" s="304"/>
      <c r="C51" s="316"/>
      <c r="D51" s="303"/>
      <c r="E51" s="317"/>
      <c r="F51" s="303"/>
    </row>
    <row r="52" spans="1:8">
      <c r="A52" s="301"/>
      <c r="B52" s="312" t="s">
        <v>829</v>
      </c>
      <c r="C52" s="316"/>
      <c r="D52" s="307"/>
      <c r="E52" s="317"/>
      <c r="F52" s="307"/>
      <c r="G52" s="318"/>
      <c r="H52" s="315"/>
    </row>
    <row r="53" spans="1:8">
      <c r="A53" s="319">
        <v>1</v>
      </c>
      <c r="B53" s="320" t="s">
        <v>830</v>
      </c>
      <c r="C53" s="321"/>
      <c r="D53" s="307"/>
      <c r="E53" s="307"/>
      <c r="F53" s="307"/>
      <c r="G53" s="318"/>
    </row>
    <row r="54" spans="1:8">
      <c r="A54" s="319"/>
      <c r="B54" s="322" t="s">
        <v>817</v>
      </c>
      <c r="C54" s="321">
        <v>10</v>
      </c>
      <c r="D54" s="307">
        <v>247000</v>
      </c>
      <c r="E54" s="307">
        <f>ROUND(D54*5%,0)</f>
        <v>12350</v>
      </c>
      <c r="F54" s="307">
        <f t="shared" ref="F54:F59" si="9">D54-E54</f>
        <v>234650</v>
      </c>
      <c r="G54" s="318"/>
    </row>
    <row r="55" spans="1:8">
      <c r="A55" s="319"/>
      <c r="B55" s="322" t="s">
        <v>818</v>
      </c>
      <c r="C55" s="321">
        <v>10</v>
      </c>
      <c r="D55" s="307">
        <f t="shared" ref="D55:D60" si="10">F54</f>
        <v>234650</v>
      </c>
      <c r="E55" s="307">
        <f t="shared" ref="E55:E60" si="11">ROUND(D55*C55%,0)</f>
        <v>23465</v>
      </c>
      <c r="F55" s="307">
        <f t="shared" si="9"/>
        <v>211185</v>
      </c>
      <c r="G55" s="318"/>
    </row>
    <row r="56" spans="1:8">
      <c r="A56" s="319"/>
      <c r="B56" s="322" t="s">
        <v>819</v>
      </c>
      <c r="C56" s="321">
        <v>10</v>
      </c>
      <c r="D56" s="307">
        <f t="shared" si="10"/>
        <v>211185</v>
      </c>
      <c r="E56" s="307">
        <f t="shared" si="11"/>
        <v>21119</v>
      </c>
      <c r="F56" s="307">
        <f t="shared" si="9"/>
        <v>190066</v>
      </c>
      <c r="G56" s="318"/>
    </row>
    <row r="57" spans="1:8">
      <c r="A57" s="301"/>
      <c r="B57" s="322" t="s">
        <v>820</v>
      </c>
      <c r="C57" s="323">
        <v>10</v>
      </c>
      <c r="D57" s="307">
        <f t="shared" si="10"/>
        <v>190066</v>
      </c>
      <c r="E57" s="307">
        <f t="shared" si="11"/>
        <v>19007</v>
      </c>
      <c r="F57" s="307">
        <f t="shared" si="9"/>
        <v>171059</v>
      </c>
      <c r="G57" s="318"/>
    </row>
    <row r="58" spans="1:8">
      <c r="A58" s="301"/>
      <c r="B58" s="322" t="s">
        <v>821</v>
      </c>
      <c r="C58" s="323">
        <v>10</v>
      </c>
      <c r="D58" s="307">
        <f t="shared" si="10"/>
        <v>171059</v>
      </c>
      <c r="E58" s="307">
        <f t="shared" si="11"/>
        <v>17106</v>
      </c>
      <c r="F58" s="307">
        <f t="shared" si="9"/>
        <v>153953</v>
      </c>
      <c r="G58" s="318"/>
    </row>
    <row r="59" spans="1:8">
      <c r="A59" s="301"/>
      <c r="B59" s="322" t="s">
        <v>822</v>
      </c>
      <c r="C59" s="323">
        <v>10</v>
      </c>
      <c r="D59" s="307">
        <f t="shared" si="10"/>
        <v>153953</v>
      </c>
      <c r="E59" s="307">
        <f t="shared" si="11"/>
        <v>15395</v>
      </c>
      <c r="F59" s="307">
        <f t="shared" si="9"/>
        <v>138558</v>
      </c>
      <c r="G59" s="318"/>
    </row>
    <row r="60" spans="1:8">
      <c r="A60" s="318"/>
      <c r="B60" s="304" t="s">
        <v>823</v>
      </c>
      <c r="C60" s="323">
        <v>10</v>
      </c>
      <c r="D60" s="307">
        <f t="shared" si="10"/>
        <v>138558</v>
      </c>
      <c r="E60" s="307">
        <f t="shared" si="11"/>
        <v>13856</v>
      </c>
      <c r="F60" s="307">
        <f>D60-E60</f>
        <v>124702</v>
      </c>
      <c r="G60" s="318"/>
    </row>
    <row r="61" spans="1:8">
      <c r="A61" s="318"/>
      <c r="B61" s="304" t="s">
        <v>824</v>
      </c>
      <c r="C61" s="323">
        <v>10</v>
      </c>
      <c r="D61" s="307">
        <f>F60</f>
        <v>124702</v>
      </c>
      <c r="E61" s="307">
        <f>ROUND((D61*C61%)*12/12,0)</f>
        <v>12470</v>
      </c>
      <c r="F61" s="307">
        <f>D61-E61</f>
        <v>112232</v>
      </c>
      <c r="G61" s="318"/>
    </row>
    <row r="62" spans="1:8">
      <c r="A62" s="318"/>
      <c r="B62" s="331" t="s">
        <v>481</v>
      </c>
      <c r="C62" s="335">
        <v>10</v>
      </c>
      <c r="D62" s="334">
        <f>F61</f>
        <v>112232</v>
      </c>
      <c r="E62" s="334">
        <f>ROUND((D62*C62%)*12/12,0)</f>
        <v>11223</v>
      </c>
      <c r="F62" s="334">
        <f>D62-E62</f>
        <v>101009</v>
      </c>
      <c r="G62" s="318"/>
    </row>
    <row r="63" spans="1:8">
      <c r="A63" s="318"/>
      <c r="B63" s="308" t="s">
        <v>825</v>
      </c>
      <c r="C63" s="309">
        <v>15</v>
      </c>
      <c r="D63" s="310">
        <f t="shared" ref="D63" si="12">F62</f>
        <v>101009</v>
      </c>
      <c r="E63" s="311">
        <f>ROUND((D63*C63%)*12/12,0)</f>
        <v>15151</v>
      </c>
      <c r="F63" s="310">
        <f>D63-E63</f>
        <v>85858</v>
      </c>
      <c r="G63" s="318"/>
    </row>
    <row r="64" spans="1:8">
      <c r="A64" s="318"/>
      <c r="B64" s="324"/>
      <c r="C64" s="316"/>
      <c r="D64" s="317"/>
      <c r="E64" s="317"/>
      <c r="F64" s="317"/>
      <c r="G64" s="318"/>
    </row>
    <row r="65" spans="2:6" s="325" customFormat="1" ht="53.25" customHeight="1">
      <c r="D65" s="326" t="s">
        <v>838</v>
      </c>
      <c r="E65" s="326" t="s">
        <v>839</v>
      </c>
      <c r="F65" s="327"/>
    </row>
    <row r="67" spans="2:6">
      <c r="B67" s="293" t="s">
        <v>831</v>
      </c>
      <c r="D67" s="328">
        <f>+F23</f>
        <v>6697686</v>
      </c>
      <c r="E67" s="328">
        <f>+E23</f>
        <v>1181945</v>
      </c>
    </row>
    <row r="68" spans="2:6">
      <c r="B68" s="293" t="s">
        <v>826</v>
      </c>
      <c r="D68" s="328">
        <f>+F36</f>
        <v>26831</v>
      </c>
      <c r="E68" s="328">
        <f>+E36</f>
        <v>4735</v>
      </c>
    </row>
    <row r="69" spans="2:6">
      <c r="B69" s="293" t="s">
        <v>832</v>
      </c>
      <c r="D69" s="328">
        <f>+F49</f>
        <v>4459175</v>
      </c>
      <c r="E69" s="328">
        <f>+E49</f>
        <v>786913</v>
      </c>
    </row>
    <row r="70" spans="2:6">
      <c r="B70" s="293" t="s">
        <v>833</v>
      </c>
      <c r="D70" s="317">
        <f>-F62</f>
        <v>-101009</v>
      </c>
      <c r="E70" s="328">
        <f>-(+E62)</f>
        <v>-11223</v>
      </c>
    </row>
    <row r="71" spans="2:6">
      <c r="B71" s="324" t="s">
        <v>834</v>
      </c>
      <c r="D71" s="317"/>
    </row>
    <row r="72" spans="2:6">
      <c r="B72" s="324" t="s">
        <v>835</v>
      </c>
      <c r="D72" s="329">
        <v>0</v>
      </c>
      <c r="E72" s="329">
        <v>0</v>
      </c>
    </row>
    <row r="73" spans="2:6">
      <c r="D73" s="328">
        <f>SUM(D67:D72)</f>
        <v>11082683</v>
      </c>
      <c r="E73" s="328">
        <f>+SUM(E67:E72)</f>
        <v>1962370</v>
      </c>
    </row>
    <row r="74" spans="2:6">
      <c r="B74" s="269" t="s">
        <v>836</v>
      </c>
      <c r="C74" s="255"/>
      <c r="D74" s="330">
        <f>+D73/100000</f>
        <v>110.82683</v>
      </c>
      <c r="E74" s="330">
        <f>+E73/100000</f>
        <v>19.623699999999999</v>
      </c>
    </row>
  </sheetData>
  <mergeCells count="4">
    <mergeCell ref="A2:F2"/>
    <mergeCell ref="A3:F3"/>
    <mergeCell ref="A4:F4"/>
    <mergeCell ref="A5:F5"/>
  </mergeCells>
  <printOptions horizontalCentered="1" verticalCentered="1"/>
  <pageMargins left="0.11811023622047245" right="0.11811023622047245" top="0.11811023622047245" bottom="0.11811023622047245" header="0.11811023622047245" footer="0.11811023622047245"/>
  <pageSetup paperSize="9" orientation="portrait" r:id="rId1"/>
  <headerFooter alignWithMargins="0">
    <oddFooter>&amp;L&amp;A&amp;F&amp;N</oddFooter>
  </headerFooter>
  <rowBreaks count="1" manualBreakCount="1">
    <brk id="51" max="16383" man="1"/>
  </rowBreaks>
</worksheet>
</file>

<file path=xl/worksheets/sheet3.xml><?xml version="1.0" encoding="utf-8"?>
<worksheet xmlns="http://schemas.openxmlformats.org/spreadsheetml/2006/main" xmlns:r="http://schemas.openxmlformats.org/officeDocument/2006/relationships">
  <dimension ref="A2:C47"/>
  <sheetViews>
    <sheetView workbookViewId="0">
      <pane xSplit="2" ySplit="3" topLeftCell="C4" activePane="bottomRight" state="frozen"/>
      <selection pane="topRight" activeCell="C1" sqref="C1"/>
      <selection pane="bottomLeft" activeCell="A4" sqref="A4"/>
      <selection pane="bottomRight" activeCell="B8" sqref="B8"/>
    </sheetView>
  </sheetViews>
  <sheetFormatPr defaultRowHeight="15"/>
  <cols>
    <col min="1" max="1" width="3.28515625" style="95" bestFit="1" customWidth="1"/>
    <col min="2" max="2" width="61.7109375" customWidth="1"/>
    <col min="3" max="3" width="16.5703125" bestFit="1" customWidth="1"/>
  </cols>
  <sheetData>
    <row r="2" spans="1:3">
      <c r="A2" s="189"/>
      <c r="B2" s="184" t="s">
        <v>41</v>
      </c>
      <c r="C2" s="183"/>
    </row>
    <row r="3" spans="1:3" s="95" customFormat="1">
      <c r="A3" s="1" t="s">
        <v>407</v>
      </c>
      <c r="B3" s="1" t="s">
        <v>39</v>
      </c>
      <c r="C3" s="1" t="s">
        <v>408</v>
      </c>
    </row>
    <row r="4" spans="1:3">
      <c r="A4" s="15">
        <v>1</v>
      </c>
      <c r="B4" s="44" t="s">
        <v>682</v>
      </c>
      <c r="C4" s="116">
        <v>-89676414</v>
      </c>
    </row>
    <row r="5" spans="1:3" ht="90">
      <c r="A5" s="1"/>
      <c r="B5" s="185" t="s">
        <v>686</v>
      </c>
      <c r="C5" s="2"/>
    </row>
    <row r="6" spans="1:3">
      <c r="A6" s="1"/>
      <c r="B6" s="185"/>
      <c r="C6" s="2"/>
    </row>
    <row r="7" spans="1:3">
      <c r="A7" s="1">
        <v>2</v>
      </c>
      <c r="B7" s="65" t="s">
        <v>466</v>
      </c>
      <c r="C7" s="117">
        <v>400685386</v>
      </c>
    </row>
    <row r="8" spans="1:3" ht="45">
      <c r="A8" s="1"/>
      <c r="B8" s="185" t="s">
        <v>745</v>
      </c>
      <c r="C8" s="2"/>
    </row>
    <row r="9" spans="1:3">
      <c r="A9" s="1"/>
      <c r="B9" s="2"/>
      <c r="C9" s="2"/>
    </row>
    <row r="10" spans="1:3">
      <c r="A10" s="1">
        <v>3</v>
      </c>
      <c r="B10" s="185" t="s">
        <v>684</v>
      </c>
      <c r="C10" s="117">
        <v>11540419</v>
      </c>
    </row>
    <row r="11" spans="1:3">
      <c r="A11" s="1"/>
      <c r="B11" s="185" t="s">
        <v>685</v>
      </c>
      <c r="C11" s="117">
        <v>4211281</v>
      </c>
    </row>
    <row r="12" spans="1:3" ht="60">
      <c r="A12" s="1"/>
      <c r="B12" s="185" t="s">
        <v>744</v>
      </c>
      <c r="C12" s="2"/>
    </row>
    <row r="13" spans="1:3">
      <c r="A13" s="1"/>
      <c r="B13" s="185"/>
      <c r="C13" s="2"/>
    </row>
    <row r="14" spans="1:3">
      <c r="A14" s="1">
        <v>4</v>
      </c>
      <c r="B14" s="44" t="s">
        <v>687</v>
      </c>
      <c r="C14" s="116">
        <f>3255.5774489*100000</f>
        <v>325557744.88999999</v>
      </c>
    </row>
    <row r="15" spans="1:3">
      <c r="A15" s="1"/>
      <c r="B15" s="185"/>
      <c r="C15" s="2"/>
    </row>
    <row r="16" spans="1:3" ht="45">
      <c r="A16" s="190">
        <v>5</v>
      </c>
      <c r="B16" s="185" t="s">
        <v>689</v>
      </c>
      <c r="C16" s="2"/>
    </row>
    <row r="17" spans="1:3">
      <c r="A17" s="1" t="s">
        <v>553</v>
      </c>
      <c r="B17" s="191" t="s">
        <v>688</v>
      </c>
      <c r="C17" s="2"/>
    </row>
    <row r="18" spans="1:3">
      <c r="A18" s="1"/>
      <c r="B18" s="177" t="s">
        <v>592</v>
      </c>
      <c r="C18" s="178">
        <v>1385958</v>
      </c>
    </row>
    <row r="19" spans="1:3">
      <c r="A19" s="1"/>
      <c r="B19" s="177" t="s">
        <v>597</v>
      </c>
      <c r="C19" s="178">
        <v>981624</v>
      </c>
    </row>
    <row r="20" spans="1:3">
      <c r="A20" s="1"/>
      <c r="B20" s="177" t="s">
        <v>598</v>
      </c>
      <c r="C20" s="178">
        <v>9473</v>
      </c>
    </row>
    <row r="21" spans="1:3">
      <c r="A21" s="1"/>
      <c r="B21" s="177" t="s">
        <v>599</v>
      </c>
      <c r="C21" s="178">
        <v>64800</v>
      </c>
    </row>
    <row r="22" spans="1:3">
      <c r="A22" s="1"/>
      <c r="B22" s="177" t="s">
        <v>600</v>
      </c>
      <c r="C22" s="178">
        <v>315478</v>
      </c>
    </row>
    <row r="23" spans="1:3">
      <c r="A23" s="1"/>
      <c r="B23" s="185"/>
      <c r="C23" s="185"/>
    </row>
    <row r="24" spans="1:3">
      <c r="A24" s="1" t="s">
        <v>554</v>
      </c>
      <c r="B24" s="191" t="s">
        <v>690</v>
      </c>
      <c r="C24" s="185"/>
    </row>
    <row r="25" spans="1:3">
      <c r="A25" s="1"/>
      <c r="B25" s="177" t="s">
        <v>666</v>
      </c>
      <c r="C25" s="178">
        <v>200925</v>
      </c>
    </row>
    <row r="26" spans="1:3">
      <c r="A26" s="1"/>
      <c r="B26" s="185"/>
      <c r="C26" s="185"/>
    </row>
    <row r="27" spans="1:3" ht="30">
      <c r="A27" s="190">
        <v>6</v>
      </c>
      <c r="B27" s="185" t="s">
        <v>691</v>
      </c>
      <c r="C27" s="117">
        <v>50000</v>
      </c>
    </row>
    <row r="28" spans="1:3">
      <c r="A28" s="1"/>
      <c r="B28" s="185"/>
      <c r="C28" s="185"/>
    </row>
    <row r="29" spans="1:3">
      <c r="A29" s="1"/>
      <c r="B29" s="185"/>
      <c r="C29" s="185"/>
    </row>
    <row r="30" spans="1:3">
      <c r="A30" s="1"/>
      <c r="B30" s="185"/>
      <c r="C30" s="185"/>
    </row>
    <row r="31" spans="1:3">
      <c r="A31" s="1"/>
      <c r="B31" s="185"/>
      <c r="C31" s="185"/>
    </row>
    <row r="32" spans="1:3">
      <c r="A32" s="1"/>
      <c r="B32" s="185"/>
      <c r="C32" s="185"/>
    </row>
    <row r="33" spans="1:3">
      <c r="A33" s="1"/>
      <c r="B33" s="185"/>
      <c r="C33" s="185"/>
    </row>
    <row r="34" spans="1:3">
      <c r="A34" s="1"/>
      <c r="B34" s="185"/>
      <c r="C34" s="185"/>
    </row>
    <row r="35" spans="1:3">
      <c r="A35" s="1"/>
      <c r="B35" s="65"/>
      <c r="C35" s="2"/>
    </row>
    <row r="36" spans="1:3">
      <c r="A36" s="1"/>
      <c r="B36" s="65"/>
      <c r="C36" s="2"/>
    </row>
    <row r="37" spans="1:3">
      <c r="A37" s="1"/>
      <c r="B37" s="65"/>
      <c r="C37" s="2"/>
    </row>
    <row r="38" spans="1:3">
      <c r="A38" s="1"/>
      <c r="B38" s="2"/>
      <c r="C38" s="2"/>
    </row>
    <row r="39" spans="1:3">
      <c r="A39" s="189"/>
      <c r="B39" s="184" t="s">
        <v>123</v>
      </c>
      <c r="C39" s="183"/>
    </row>
    <row r="40" spans="1:3">
      <c r="A40" s="1" t="s">
        <v>407</v>
      </c>
      <c r="B40" s="1" t="s">
        <v>39</v>
      </c>
      <c r="C40" s="1" t="s">
        <v>408</v>
      </c>
    </row>
    <row r="41" spans="1:3" ht="45">
      <c r="A41" s="15">
        <v>1</v>
      </c>
      <c r="B41" s="96" t="s">
        <v>409</v>
      </c>
      <c r="C41" s="118">
        <v>12470</v>
      </c>
    </row>
    <row r="42" spans="1:3">
      <c r="A42" s="1"/>
      <c r="B42" s="2"/>
      <c r="C42" s="2"/>
    </row>
    <row r="43" spans="1:3" ht="60">
      <c r="A43" s="15">
        <v>2</v>
      </c>
      <c r="B43" s="96" t="s">
        <v>681</v>
      </c>
      <c r="C43" s="186">
        <v>-169191691</v>
      </c>
    </row>
    <row r="44" spans="1:3">
      <c r="A44" s="1"/>
      <c r="B44" s="2"/>
      <c r="C44" s="2"/>
    </row>
    <row r="45" spans="1:3">
      <c r="A45" s="1"/>
      <c r="B45" s="2"/>
      <c r="C45" s="2"/>
    </row>
    <row r="46" spans="1:3">
      <c r="A46" s="1"/>
      <c r="B46" s="2"/>
      <c r="C46" s="2"/>
    </row>
    <row r="47" spans="1:3">
      <c r="A47" s="1"/>
      <c r="B47" s="2"/>
      <c r="C47" s="2"/>
    </row>
  </sheetData>
  <printOptions horizontalCentered="1" verticalCentered="1"/>
  <pageMargins left="9.8425196850393706E-2" right="9.8425196850393706E-2" top="9.8425196850393706E-2" bottom="9.8425196850393706E-2" header="9.8425196850393706E-2" footer="9.8425196850393706E-2"/>
  <pageSetup paperSize="9" orientation="portrait" r:id="rId1"/>
  <headerFooter>
    <oddFooter>&amp;L&amp;A&amp;F&amp;N</oddFooter>
  </headerFooter>
</worksheet>
</file>

<file path=xl/worksheets/sheet4.xml><?xml version="1.0" encoding="utf-8"?>
<worksheet xmlns="http://schemas.openxmlformats.org/spreadsheetml/2006/main" xmlns:r="http://schemas.openxmlformats.org/officeDocument/2006/relationships">
  <dimension ref="A2:F34"/>
  <sheetViews>
    <sheetView workbookViewId="0">
      <pane xSplit="3" ySplit="3" topLeftCell="D13" activePane="bottomRight" state="frozen"/>
      <selection pane="topRight" activeCell="D1" sqref="D1"/>
      <selection pane="bottomLeft" activeCell="A4" sqref="A4"/>
      <selection pane="bottomRight" activeCell="C19" sqref="C19"/>
    </sheetView>
  </sheetViews>
  <sheetFormatPr defaultRowHeight="15"/>
  <cols>
    <col min="1" max="1" width="6.140625" bestFit="1" customWidth="1"/>
    <col min="2" max="2" width="55.140625" bestFit="1" customWidth="1"/>
    <col min="3" max="3" width="7.5703125" bestFit="1" customWidth="1"/>
    <col min="4" max="4" width="16.7109375" bestFit="1" customWidth="1"/>
    <col min="5" max="5" width="21.140625" bestFit="1" customWidth="1"/>
    <col min="6" max="6" width="10.140625" bestFit="1" customWidth="1"/>
  </cols>
  <sheetData>
    <row r="2" spans="1:6">
      <c r="A2" s="166"/>
      <c r="B2" s="167" t="s">
        <v>521</v>
      </c>
      <c r="C2" s="167"/>
      <c r="D2" s="86" t="s">
        <v>123</v>
      </c>
      <c r="E2" s="86" t="s">
        <v>41</v>
      </c>
      <c r="F2" s="86" t="s">
        <v>42</v>
      </c>
    </row>
    <row r="3" spans="1:6">
      <c r="A3" s="51" t="s">
        <v>522</v>
      </c>
      <c r="B3" s="51" t="s">
        <v>39</v>
      </c>
      <c r="C3" s="51" t="s">
        <v>304</v>
      </c>
      <c r="D3" s="51" t="s">
        <v>523</v>
      </c>
      <c r="E3" s="51"/>
      <c r="F3" s="51"/>
    </row>
    <row r="4" spans="1:6">
      <c r="B4" s="51" t="s">
        <v>526</v>
      </c>
      <c r="C4" s="51">
        <v>50</v>
      </c>
      <c r="D4" s="2"/>
      <c r="E4" s="2"/>
      <c r="F4" s="2"/>
    </row>
    <row r="5" spans="1:6">
      <c r="A5" s="106" t="s">
        <v>534</v>
      </c>
      <c r="B5" s="106" t="s">
        <v>527</v>
      </c>
      <c r="C5" s="106" t="s">
        <v>528</v>
      </c>
      <c r="D5" s="168"/>
      <c r="E5" s="168"/>
      <c r="F5" s="168"/>
    </row>
    <row r="6" spans="1:6">
      <c r="A6" s="49">
        <v>1</v>
      </c>
      <c r="B6" s="2" t="s">
        <v>525</v>
      </c>
      <c r="C6" s="2"/>
      <c r="D6" s="10">
        <v>0</v>
      </c>
      <c r="E6" s="10"/>
      <c r="F6" s="10"/>
    </row>
    <row r="7" spans="1:6">
      <c r="A7" s="49"/>
      <c r="B7" s="1" t="s">
        <v>335</v>
      </c>
      <c r="C7" s="2"/>
      <c r="D7" s="2"/>
      <c r="E7" s="2"/>
      <c r="F7" s="2"/>
    </row>
    <row r="8" spans="1:6">
      <c r="A8" s="49">
        <v>1</v>
      </c>
      <c r="B8" s="2" t="s">
        <v>336</v>
      </c>
      <c r="C8" s="2"/>
      <c r="D8" s="116"/>
      <c r="E8" s="116"/>
      <c r="F8" s="116"/>
    </row>
    <row r="9" spans="1:6">
      <c r="A9" s="49">
        <v>2</v>
      </c>
      <c r="B9" s="2" t="s">
        <v>529</v>
      </c>
      <c r="C9" s="2"/>
      <c r="D9" s="116"/>
      <c r="E9" s="116"/>
      <c r="F9" s="116"/>
    </row>
    <row r="10" spans="1:6">
      <c r="A10" s="49">
        <v>3</v>
      </c>
      <c r="B10" s="2" t="s">
        <v>530</v>
      </c>
      <c r="C10" s="2"/>
      <c r="D10" s="116"/>
      <c r="E10" s="116"/>
      <c r="F10" s="116"/>
    </row>
    <row r="11" spans="1:6">
      <c r="A11" s="2"/>
      <c r="B11" s="2"/>
      <c r="C11" s="2"/>
      <c r="D11" s="2"/>
      <c r="E11" s="2"/>
      <c r="F11" s="2"/>
    </row>
    <row r="12" spans="1:6">
      <c r="A12" s="51">
        <v>4</v>
      </c>
      <c r="B12" s="51" t="s">
        <v>531</v>
      </c>
      <c r="C12" s="51"/>
      <c r="D12" s="152">
        <v>0</v>
      </c>
      <c r="E12" s="176">
        <v>33323556</v>
      </c>
      <c r="F12" s="152"/>
    </row>
    <row r="13" spans="1:6">
      <c r="A13" s="2"/>
      <c r="B13" s="51" t="s">
        <v>532</v>
      </c>
      <c r="C13" s="2"/>
      <c r="D13" s="2"/>
      <c r="E13" s="2"/>
      <c r="F13" s="2"/>
    </row>
    <row r="14" spans="1:6">
      <c r="A14" s="2"/>
      <c r="B14" s="2"/>
      <c r="C14" s="2"/>
      <c r="D14" s="2"/>
      <c r="E14" s="2"/>
      <c r="F14" s="2"/>
    </row>
    <row r="15" spans="1:6">
      <c r="A15" s="106" t="s">
        <v>533</v>
      </c>
      <c r="B15" s="106" t="s">
        <v>535</v>
      </c>
      <c r="C15" s="106" t="s">
        <v>536</v>
      </c>
      <c r="D15" s="168"/>
      <c r="E15" s="168"/>
      <c r="F15" s="168"/>
    </row>
    <row r="16" spans="1:6">
      <c r="A16" s="49">
        <v>1</v>
      </c>
      <c r="B16" s="2" t="s">
        <v>525</v>
      </c>
      <c r="C16" s="2"/>
      <c r="D16" s="10">
        <v>0</v>
      </c>
      <c r="E16" s="10"/>
      <c r="F16" s="10"/>
    </row>
    <row r="17" spans="1:6">
      <c r="A17" s="49"/>
      <c r="B17" s="1" t="s">
        <v>335</v>
      </c>
      <c r="C17" s="2"/>
      <c r="D17" s="2"/>
      <c r="E17" s="2"/>
      <c r="F17" s="2"/>
    </row>
    <row r="18" spans="1:6">
      <c r="A18" s="49">
        <v>2</v>
      </c>
      <c r="B18" s="2" t="s">
        <v>336</v>
      </c>
      <c r="C18" s="2"/>
      <c r="D18" s="116"/>
      <c r="E18" s="116"/>
      <c r="F18" s="116"/>
    </row>
    <row r="19" spans="1:6">
      <c r="A19" s="49">
        <v>3</v>
      </c>
      <c r="B19" s="2" t="s">
        <v>529</v>
      </c>
      <c r="C19" s="2"/>
      <c r="D19" s="116"/>
      <c r="E19" s="116"/>
      <c r="F19" s="116"/>
    </row>
    <row r="20" spans="1:6">
      <c r="A20" s="49">
        <v>4</v>
      </c>
      <c r="B20" s="2" t="s">
        <v>530</v>
      </c>
      <c r="C20" s="2"/>
      <c r="D20" s="116"/>
      <c r="E20" s="116"/>
      <c r="F20" s="116"/>
    </row>
    <row r="21" spans="1:6">
      <c r="A21" s="2"/>
      <c r="B21" s="2"/>
      <c r="C21" s="2"/>
      <c r="D21" s="2"/>
      <c r="E21" s="2"/>
      <c r="F21" s="2"/>
    </row>
    <row r="22" spans="1:6">
      <c r="A22" s="51">
        <v>5</v>
      </c>
      <c r="B22" s="51" t="s">
        <v>531</v>
      </c>
      <c r="C22" s="51"/>
      <c r="D22" s="165">
        <f>+SUM(D15:D20)</f>
        <v>0</v>
      </c>
      <c r="E22" s="165"/>
      <c r="F22" s="165"/>
    </row>
    <row r="23" spans="1:6">
      <c r="A23" s="51">
        <v>6</v>
      </c>
      <c r="B23" s="51" t="s">
        <v>537</v>
      </c>
      <c r="C23" s="2"/>
      <c r="D23" s="2"/>
      <c r="E23" s="2"/>
      <c r="F23" s="2"/>
    </row>
    <row r="24" spans="1:6">
      <c r="A24" s="2"/>
      <c r="B24" s="2"/>
      <c r="C24" s="2"/>
      <c r="D24" s="2"/>
      <c r="E24" s="2"/>
      <c r="F24" s="2"/>
    </row>
    <row r="25" spans="1:6">
      <c r="A25" s="106" t="s">
        <v>538</v>
      </c>
      <c r="B25" s="106" t="s">
        <v>539</v>
      </c>
      <c r="C25" s="106"/>
      <c r="D25" s="168"/>
      <c r="E25" s="168"/>
      <c r="F25" s="168"/>
    </row>
    <row r="26" spans="1:6">
      <c r="A26" s="49">
        <v>1</v>
      </c>
      <c r="B26" s="2" t="s">
        <v>540</v>
      </c>
      <c r="C26" s="2"/>
      <c r="D26" s="10">
        <v>0</v>
      </c>
      <c r="E26" s="10"/>
      <c r="F26" s="10"/>
    </row>
    <row r="27" spans="1:6">
      <c r="A27" s="49"/>
      <c r="B27" s="1" t="s">
        <v>335</v>
      </c>
      <c r="C27" s="2"/>
      <c r="D27" s="2"/>
      <c r="E27" s="2"/>
      <c r="F27" s="2"/>
    </row>
    <row r="28" spans="1:6">
      <c r="A28" s="49">
        <v>2</v>
      </c>
      <c r="B28" s="2" t="s">
        <v>336</v>
      </c>
      <c r="C28" s="2"/>
      <c r="D28" s="116"/>
      <c r="E28" s="116"/>
      <c r="F28" s="116"/>
    </row>
    <row r="29" spans="1:6">
      <c r="A29" s="49">
        <v>3</v>
      </c>
      <c r="B29" s="2" t="s">
        <v>541</v>
      </c>
      <c r="C29" s="2"/>
      <c r="D29" s="116"/>
      <c r="E29" s="116"/>
      <c r="F29" s="116"/>
    </row>
    <row r="30" spans="1:6">
      <c r="A30" s="49"/>
      <c r="B30" s="2"/>
      <c r="C30" s="2"/>
      <c r="D30" s="116"/>
      <c r="E30" s="116"/>
      <c r="F30" s="116"/>
    </row>
    <row r="31" spans="1:6">
      <c r="A31" s="2"/>
      <c r="B31" s="2"/>
      <c r="C31" s="2"/>
      <c r="D31" s="2"/>
      <c r="E31" s="2"/>
      <c r="F31" s="2"/>
    </row>
    <row r="32" spans="1:6">
      <c r="A32" s="51">
        <v>4</v>
      </c>
      <c r="B32" s="51" t="s">
        <v>531</v>
      </c>
      <c r="C32" s="51"/>
      <c r="D32" s="165">
        <f>+SUM(D25:D30)</f>
        <v>0</v>
      </c>
      <c r="E32" s="165"/>
      <c r="F32" s="165"/>
    </row>
    <row r="33" spans="1:6">
      <c r="A33" s="51">
        <v>5</v>
      </c>
      <c r="B33" s="51" t="s">
        <v>537</v>
      </c>
      <c r="C33" s="2"/>
      <c r="D33" s="2"/>
      <c r="E33" s="2"/>
      <c r="F33" s="2"/>
    </row>
    <row r="34" spans="1:6">
      <c r="A34" s="106" t="s">
        <v>542</v>
      </c>
      <c r="B34" s="106" t="s">
        <v>543</v>
      </c>
      <c r="C34" s="106"/>
      <c r="D34" s="168"/>
      <c r="E34" s="168"/>
      <c r="F34" s="168"/>
    </row>
  </sheetData>
  <printOptions horizontalCentered="1" verticalCentered="1"/>
  <pageMargins left="9.8425196850393706E-2" right="9.8425196850393706E-2" top="9.8425196850393706E-2" bottom="9.8425196850393706E-2" header="9.8425196850393706E-2" footer="9.8425196850393706E-2"/>
  <pageSetup scale="95" orientation="portrait" r:id="rId1"/>
  <headerFooter>
    <oddFooter>&amp;L&amp;A&amp;F&amp;N</oddFooter>
  </headerFooter>
</worksheet>
</file>

<file path=xl/worksheets/sheet5.xml><?xml version="1.0" encoding="utf-8"?>
<worksheet xmlns="http://schemas.openxmlformats.org/spreadsheetml/2006/main" xmlns:r="http://schemas.openxmlformats.org/officeDocument/2006/relationships">
  <dimension ref="A2:H34"/>
  <sheetViews>
    <sheetView workbookViewId="0">
      <pane xSplit="3" ySplit="3" topLeftCell="D4" activePane="bottomRight" state="frozen"/>
      <selection pane="topRight" activeCell="D1" sqref="D1"/>
      <selection pane="bottomLeft" activeCell="A4" sqref="A4"/>
      <selection pane="bottomRight" activeCell="B10" sqref="B10"/>
    </sheetView>
  </sheetViews>
  <sheetFormatPr defaultRowHeight="15"/>
  <cols>
    <col min="1" max="1" width="6.140625" bestFit="1" customWidth="1"/>
    <col min="2" max="2" width="55.140625" bestFit="1" customWidth="1"/>
    <col min="3" max="3" width="7.5703125" bestFit="1" customWidth="1"/>
    <col min="4" max="4" width="10.140625" bestFit="1" customWidth="1"/>
    <col min="5" max="5" width="16.28515625" bestFit="1" customWidth="1"/>
    <col min="6" max="6" width="10.140625" bestFit="1" customWidth="1"/>
    <col min="8" max="8" width="15.85546875" bestFit="1" customWidth="1"/>
  </cols>
  <sheetData>
    <row r="2" spans="1:8">
      <c r="A2" s="214"/>
      <c r="B2" s="106" t="s">
        <v>545</v>
      </c>
      <c r="C2" s="106"/>
      <c r="D2" s="86" t="s">
        <v>123</v>
      </c>
      <c r="E2" s="86" t="s">
        <v>41</v>
      </c>
      <c r="F2" s="86" t="s">
        <v>42</v>
      </c>
    </row>
    <row r="3" spans="1:8">
      <c r="A3" s="51" t="s">
        <v>522</v>
      </c>
      <c r="B3" s="51" t="s">
        <v>39</v>
      </c>
      <c r="C3" s="51" t="s">
        <v>304</v>
      </c>
      <c r="D3" s="51" t="s">
        <v>523</v>
      </c>
      <c r="E3" s="51"/>
      <c r="F3" s="51"/>
    </row>
    <row r="4" spans="1:8">
      <c r="A4" s="106"/>
      <c r="B4" s="106" t="s">
        <v>544</v>
      </c>
      <c r="C4" s="106"/>
      <c r="D4" s="168"/>
      <c r="E4" s="168"/>
      <c r="F4" s="168"/>
    </row>
    <row r="5" spans="1:8">
      <c r="A5" s="51" t="s">
        <v>43</v>
      </c>
      <c r="B5" s="1" t="s">
        <v>540</v>
      </c>
      <c r="C5" s="1"/>
      <c r="D5" s="170"/>
      <c r="E5" s="170"/>
      <c r="F5" s="10"/>
    </row>
    <row r="6" spans="1:8">
      <c r="A6" s="49">
        <v>1</v>
      </c>
      <c r="B6" s="2" t="s">
        <v>733</v>
      </c>
      <c r="C6" s="2"/>
      <c r="D6" s="10">
        <v>0</v>
      </c>
      <c r="E6" s="10">
        <f>+LTCASold!C36*100000</f>
        <v>530734599.99999994</v>
      </c>
      <c r="F6" s="10"/>
    </row>
    <row r="7" spans="1:8">
      <c r="A7" s="49">
        <v>2</v>
      </c>
      <c r="B7" s="2" t="s">
        <v>734</v>
      </c>
      <c r="C7" s="2"/>
      <c r="D7" s="10">
        <v>0</v>
      </c>
      <c r="E7" s="10">
        <f>+LTCASold!E25*100000</f>
        <v>15787500</v>
      </c>
      <c r="F7" s="10"/>
    </row>
    <row r="8" spans="1:8">
      <c r="A8" s="49"/>
      <c r="B8" s="1" t="s">
        <v>335</v>
      </c>
      <c r="C8" s="2"/>
      <c r="D8" s="2"/>
      <c r="E8" s="2"/>
      <c r="F8" s="2"/>
    </row>
    <row r="9" spans="1:8">
      <c r="A9" s="51" t="s">
        <v>735</v>
      </c>
      <c r="B9" s="1" t="s">
        <v>336</v>
      </c>
      <c r="C9" s="1"/>
      <c r="D9" s="170"/>
      <c r="E9" s="170"/>
      <c r="F9" s="116"/>
    </row>
    <row r="10" spans="1:8">
      <c r="A10" s="49">
        <v>1</v>
      </c>
      <c r="B10" s="2" t="s">
        <v>733</v>
      </c>
      <c r="C10" s="1"/>
      <c r="D10" s="170"/>
      <c r="E10" s="170">
        <v>0</v>
      </c>
      <c r="F10" s="116"/>
    </row>
    <row r="11" spans="1:8">
      <c r="A11" s="49">
        <v>2</v>
      </c>
      <c r="B11" s="2" t="s">
        <v>734</v>
      </c>
      <c r="C11" s="2"/>
      <c r="D11" s="10"/>
      <c r="E11" s="116">
        <v>0</v>
      </c>
      <c r="F11" s="116"/>
    </row>
    <row r="12" spans="1:8">
      <c r="A12" s="51" t="s">
        <v>66</v>
      </c>
      <c r="B12" s="1" t="s">
        <v>546</v>
      </c>
      <c r="C12" s="1"/>
      <c r="D12" s="170"/>
      <c r="E12" s="171">
        <f>+SUM(E6:E7)</f>
        <v>546522100</v>
      </c>
      <c r="F12" s="171"/>
      <c r="H12" s="216"/>
    </row>
    <row r="13" spans="1:8">
      <c r="A13" s="49"/>
      <c r="B13" s="1" t="s">
        <v>335</v>
      </c>
      <c r="C13" s="2"/>
      <c r="D13" s="116"/>
      <c r="E13" s="116"/>
      <c r="F13" s="116"/>
    </row>
    <row r="14" spans="1:8">
      <c r="A14" s="51" t="s">
        <v>88</v>
      </c>
      <c r="B14" s="1" t="s">
        <v>547</v>
      </c>
      <c r="C14" s="2"/>
      <c r="D14" s="2"/>
      <c r="E14" s="2"/>
      <c r="F14" s="2"/>
    </row>
    <row r="15" spans="1:8">
      <c r="A15" s="51"/>
      <c r="B15" s="153" t="s">
        <v>736</v>
      </c>
      <c r="C15" s="2">
        <f>+CII!C32</f>
        <v>632</v>
      </c>
      <c r="D15" s="2"/>
      <c r="E15" s="2"/>
      <c r="F15" s="2"/>
    </row>
    <row r="16" spans="1:8">
      <c r="A16" s="49">
        <v>1</v>
      </c>
      <c r="B16" s="2" t="s">
        <v>733</v>
      </c>
      <c r="C16" s="2"/>
      <c r="D16" s="2"/>
      <c r="E16" s="10"/>
      <c r="F16" s="2"/>
    </row>
    <row r="17" spans="1:6">
      <c r="A17" s="49"/>
      <c r="B17" s="2" t="s">
        <v>737</v>
      </c>
      <c r="C17" s="2">
        <f>+CII!C29</f>
        <v>519</v>
      </c>
      <c r="D17" s="2"/>
      <c r="E17" s="117">
        <f>-((+LTCASold!B39*100000)/C17)*C15</f>
        <v>-588813333.33333337</v>
      </c>
      <c r="F17" s="2"/>
    </row>
    <row r="18" spans="1:6">
      <c r="A18" s="49">
        <v>2</v>
      </c>
      <c r="B18" s="2" t="s">
        <v>734</v>
      </c>
      <c r="C18" s="2"/>
      <c r="D18" s="2"/>
      <c r="E18" s="10"/>
      <c r="F18" s="2"/>
    </row>
    <row r="19" spans="1:6">
      <c r="A19" s="49"/>
      <c r="B19" s="2" t="s">
        <v>738</v>
      </c>
      <c r="C19" s="2">
        <f>+CII!C4</f>
        <v>100</v>
      </c>
      <c r="D19" s="2"/>
      <c r="E19" s="117">
        <f>-((+LTCASold!C25*100000)/C19)*C15</f>
        <v>-30601.440000000002</v>
      </c>
      <c r="F19" s="2"/>
    </row>
    <row r="20" spans="1:6">
      <c r="A20" s="51" t="s">
        <v>96</v>
      </c>
      <c r="B20" s="1" t="s">
        <v>548</v>
      </c>
      <c r="C20" s="51"/>
      <c r="D20" s="165"/>
      <c r="E20" s="116"/>
      <c r="F20" s="165"/>
    </row>
    <row r="21" spans="1:6">
      <c r="A21" s="49">
        <v>1</v>
      </c>
      <c r="B21" s="2" t="s">
        <v>733</v>
      </c>
      <c r="C21" s="51"/>
      <c r="D21" s="165"/>
      <c r="E21" s="116">
        <v>0</v>
      </c>
      <c r="F21" s="165"/>
    </row>
    <row r="22" spans="1:6">
      <c r="A22" s="49">
        <v>2</v>
      </c>
      <c r="B22" s="2" t="s">
        <v>734</v>
      </c>
      <c r="C22" s="51"/>
      <c r="D22" s="165"/>
      <c r="E22" s="165">
        <v>0</v>
      </c>
      <c r="F22" s="165"/>
    </row>
    <row r="23" spans="1:6">
      <c r="A23" s="51" t="s">
        <v>99</v>
      </c>
      <c r="B23" s="1" t="s">
        <v>739</v>
      </c>
      <c r="C23" s="51"/>
      <c r="D23" s="165"/>
      <c r="E23" s="215">
        <f>+SUM(E12:E22)</f>
        <v>-42321834.773333371</v>
      </c>
      <c r="F23" s="165"/>
    </row>
    <row r="24" spans="1:6">
      <c r="A24" s="51"/>
      <c r="B24" s="1"/>
      <c r="C24" s="51"/>
      <c r="D24" s="165"/>
      <c r="E24" s="215"/>
      <c r="F24" s="165"/>
    </row>
    <row r="25" spans="1:6">
      <c r="A25" s="49"/>
      <c r="B25" s="1" t="s">
        <v>335</v>
      </c>
      <c r="C25" s="51"/>
      <c r="D25" s="165"/>
      <c r="E25" s="165"/>
      <c r="F25" s="165"/>
    </row>
    <row r="26" spans="1:6">
      <c r="A26" s="49"/>
      <c r="B26" s="2" t="s">
        <v>549</v>
      </c>
      <c r="C26" s="51"/>
      <c r="D26" s="165"/>
      <c r="E26" s="165"/>
      <c r="F26" s="165"/>
    </row>
    <row r="27" spans="1:6">
      <c r="A27" s="51" t="s">
        <v>425</v>
      </c>
      <c r="B27" s="1" t="s">
        <v>552</v>
      </c>
      <c r="C27" s="51" t="s">
        <v>551</v>
      </c>
      <c r="D27" s="165"/>
      <c r="E27" s="165"/>
      <c r="F27" s="165"/>
    </row>
    <row r="28" spans="1:6">
      <c r="A28" s="49" t="s">
        <v>553</v>
      </c>
      <c r="B28" s="2" t="s">
        <v>556</v>
      </c>
      <c r="C28" s="51"/>
      <c r="D28" s="165">
        <v>0</v>
      </c>
      <c r="E28" s="165">
        <v>0</v>
      </c>
      <c r="F28" s="165"/>
    </row>
    <row r="29" spans="1:6">
      <c r="A29" s="49" t="s">
        <v>554</v>
      </c>
      <c r="B29" s="2" t="s">
        <v>555</v>
      </c>
      <c r="C29" s="51"/>
      <c r="D29" s="165">
        <v>0</v>
      </c>
      <c r="E29" s="165">
        <v>0</v>
      </c>
      <c r="F29" s="165"/>
    </row>
    <row r="30" spans="1:6">
      <c r="A30" s="49"/>
      <c r="B30" s="2"/>
      <c r="C30" s="51"/>
      <c r="D30" s="165"/>
      <c r="E30" s="165"/>
      <c r="F30" s="165"/>
    </row>
    <row r="31" spans="1:6">
      <c r="A31" s="219" t="s">
        <v>426</v>
      </c>
      <c r="B31" s="219" t="s">
        <v>741</v>
      </c>
      <c r="C31" s="220"/>
      <c r="D31" s="221"/>
      <c r="E31" s="218">
        <f>+SUM(E23:E29)</f>
        <v>-42321834.773333371</v>
      </c>
      <c r="F31" s="221"/>
    </row>
    <row r="32" spans="1:6">
      <c r="A32" s="49"/>
      <c r="B32" s="51"/>
      <c r="C32" s="2"/>
      <c r="D32" s="2"/>
      <c r="E32" s="2"/>
      <c r="F32" s="2"/>
    </row>
    <row r="33" spans="1:6">
      <c r="A33" s="106"/>
      <c r="B33" s="106" t="s">
        <v>743</v>
      </c>
      <c r="C33" s="106"/>
      <c r="D33" s="168"/>
      <c r="E33" s="168"/>
      <c r="F33" s="168"/>
    </row>
    <row r="34" spans="1:6" ht="75">
      <c r="A34" s="2"/>
      <c r="B34" s="217" t="s">
        <v>732</v>
      </c>
      <c r="C34" s="194" t="s">
        <v>740</v>
      </c>
      <c r="D34" s="165"/>
      <c r="E34" s="176">
        <v>132621875.59999999</v>
      </c>
      <c r="F34" s="165"/>
    </row>
  </sheetData>
  <printOptions horizontalCentered="1" verticalCentered="1"/>
  <pageMargins left="9.8425196850393706E-2" right="9.8425196850393706E-2" top="9.8425196850393706E-2" bottom="9.8425196850393706E-2" header="9.8425196850393706E-2" footer="9.8425196850393706E-2"/>
  <pageSetup paperSize="9" orientation="portrait" r:id="rId1"/>
  <headerFooter>
    <oddFooter>&amp;L&amp;A&amp;F&amp;N</oddFooter>
  </headerFooter>
</worksheet>
</file>

<file path=xl/worksheets/sheet6.xml><?xml version="1.0" encoding="utf-8"?>
<worksheet xmlns="http://schemas.openxmlformats.org/spreadsheetml/2006/main" xmlns:r="http://schemas.openxmlformats.org/officeDocument/2006/relationships">
  <sheetPr>
    <pageSetUpPr fitToPage="1"/>
  </sheetPr>
  <dimension ref="A2:K43"/>
  <sheetViews>
    <sheetView workbookViewId="0">
      <selection activeCell="E25" sqref="E25"/>
    </sheetView>
  </sheetViews>
  <sheetFormatPr defaultRowHeight="12.75"/>
  <cols>
    <col min="1" max="1" width="30.140625" style="195" bestFit="1" customWidth="1"/>
    <col min="2" max="2" width="9.42578125" style="195" bestFit="1" customWidth="1"/>
    <col min="3" max="3" width="10.42578125" style="195" bestFit="1" customWidth="1"/>
    <col min="4" max="4" width="14" style="195" bestFit="1" customWidth="1"/>
    <col min="5" max="5" width="10.5703125" style="195" bestFit="1" customWidth="1"/>
    <col min="6" max="6" width="13" style="195" bestFit="1" customWidth="1"/>
    <col min="7" max="8" width="9.140625" style="195"/>
    <col min="9" max="9" width="10.140625" style="195" customWidth="1"/>
    <col min="10" max="10" width="11.28515625" style="195" customWidth="1"/>
    <col min="11" max="11" width="12.5703125" style="195" customWidth="1"/>
    <col min="12" max="12" width="14.28515625" style="195" customWidth="1"/>
    <col min="13" max="16384" width="9.140625" style="195"/>
  </cols>
  <sheetData>
    <row r="2" spans="1:11">
      <c r="A2" s="337" t="s">
        <v>698</v>
      </c>
      <c r="B2" s="337"/>
      <c r="C2" s="337"/>
      <c r="D2" s="337"/>
      <c r="E2" s="337"/>
      <c r="F2" s="337"/>
    </row>
    <row r="3" spans="1:11">
      <c r="A3" s="337" t="s">
        <v>699</v>
      </c>
      <c r="B3" s="337"/>
      <c r="C3" s="337"/>
      <c r="D3" s="337"/>
      <c r="E3" s="337"/>
      <c r="F3" s="337"/>
    </row>
    <row r="4" spans="1:11">
      <c r="A4" s="337" t="s">
        <v>700</v>
      </c>
      <c r="B4" s="337"/>
      <c r="C4" s="337"/>
      <c r="D4" s="337"/>
      <c r="E4" s="337"/>
      <c r="F4" s="337"/>
    </row>
    <row r="5" spans="1:11">
      <c r="B5" s="196"/>
      <c r="F5" s="196" t="s">
        <v>701</v>
      </c>
    </row>
    <row r="6" spans="1:11">
      <c r="A6" s="197"/>
      <c r="B6" s="198"/>
      <c r="C6" s="197"/>
      <c r="D6" s="197"/>
      <c r="E6" s="197"/>
      <c r="F6" s="197"/>
    </row>
    <row r="7" spans="1:11">
      <c r="A7" s="338" t="s">
        <v>702</v>
      </c>
      <c r="B7" s="338"/>
      <c r="C7" s="338"/>
      <c r="D7" s="338" t="s">
        <v>703</v>
      </c>
      <c r="E7" s="338"/>
      <c r="F7" s="338"/>
      <c r="I7" s="195">
        <v>632</v>
      </c>
    </row>
    <row r="8" spans="1:11">
      <c r="A8" s="199"/>
      <c r="B8" s="200"/>
      <c r="C8" s="199"/>
      <c r="D8" s="199"/>
      <c r="E8" s="199"/>
      <c r="F8" s="199"/>
    </row>
    <row r="9" spans="1:11" ht="25.5">
      <c r="A9" s="201"/>
      <c r="B9" s="202" t="s">
        <v>704</v>
      </c>
      <c r="C9" s="202" t="s">
        <v>705</v>
      </c>
      <c r="D9" s="202" t="s">
        <v>704</v>
      </c>
      <c r="E9" s="202" t="s">
        <v>703</v>
      </c>
      <c r="F9" s="202" t="s">
        <v>706</v>
      </c>
      <c r="H9" s="202" t="s">
        <v>707</v>
      </c>
      <c r="I9" s="202" t="s">
        <v>708</v>
      </c>
      <c r="K9" s="202" t="s">
        <v>709</v>
      </c>
    </row>
    <row r="10" spans="1:11">
      <c r="B10" s="196"/>
    </row>
    <row r="11" spans="1:11">
      <c r="A11" s="203" t="s">
        <v>710</v>
      </c>
      <c r="B11" s="196">
        <v>30000</v>
      </c>
      <c r="C11" s="210">
        <v>4.01</v>
      </c>
      <c r="D11" s="204">
        <v>30000</v>
      </c>
      <c r="E11" s="205">
        <v>721.86</v>
      </c>
      <c r="F11" s="205">
        <f>E11-C11</f>
        <v>717.85</v>
      </c>
      <c r="G11" s="195" t="s">
        <v>711</v>
      </c>
      <c r="H11" s="195" t="s">
        <v>712</v>
      </c>
    </row>
    <row r="12" spans="1:11">
      <c r="A12" s="203"/>
      <c r="B12" s="196"/>
      <c r="C12" s="210"/>
      <c r="D12" s="204"/>
      <c r="E12" s="205"/>
      <c r="F12" s="205"/>
    </row>
    <row r="13" spans="1:11">
      <c r="A13" s="203" t="s">
        <v>713</v>
      </c>
      <c r="B13" s="196">
        <v>700</v>
      </c>
      <c r="C13" s="210">
        <v>0.44</v>
      </c>
      <c r="D13" s="204">
        <v>700</v>
      </c>
      <c r="E13" s="205">
        <v>9.77</v>
      </c>
      <c r="F13" s="205">
        <f>E13-C13</f>
        <v>9.33</v>
      </c>
      <c r="G13" s="195" t="s">
        <v>711</v>
      </c>
      <c r="H13" s="195" t="s">
        <v>712</v>
      </c>
    </row>
    <row r="14" spans="1:11">
      <c r="B14" s="196"/>
      <c r="C14" s="210"/>
      <c r="D14" s="204"/>
      <c r="E14" s="205"/>
      <c r="F14" s="205"/>
    </row>
    <row r="15" spans="1:11">
      <c r="A15" s="203" t="s">
        <v>714</v>
      </c>
      <c r="B15" s="196">
        <v>140</v>
      </c>
      <c r="C15" s="210">
        <v>0.21</v>
      </c>
      <c r="D15" s="204">
        <v>140</v>
      </c>
      <c r="E15" s="205">
        <v>1</v>
      </c>
      <c r="F15" s="205">
        <f>E15-C15</f>
        <v>0.79</v>
      </c>
      <c r="G15" s="195" t="s">
        <v>711</v>
      </c>
      <c r="H15" s="195" t="s">
        <v>712</v>
      </c>
    </row>
    <row r="16" spans="1:11">
      <c r="B16" s="196"/>
      <c r="C16" s="210"/>
      <c r="D16" s="204"/>
      <c r="E16" s="205"/>
      <c r="F16" s="205"/>
    </row>
    <row r="17" spans="1:11">
      <c r="A17" s="195" t="s">
        <v>715</v>
      </c>
      <c r="B17" s="196">
        <v>800000</v>
      </c>
      <c r="C17" s="210">
        <v>255</v>
      </c>
      <c r="D17" s="204">
        <v>800000</v>
      </c>
      <c r="E17" s="205">
        <v>382.22505999999998</v>
      </c>
      <c r="F17" s="205">
        <f>E17-C17</f>
        <v>127.22505999999998</v>
      </c>
      <c r="G17" s="195" t="s">
        <v>711</v>
      </c>
      <c r="H17" s="195" t="s">
        <v>712</v>
      </c>
      <c r="K17" s="206"/>
    </row>
    <row r="18" spans="1:11">
      <c r="A18" s="207" t="s">
        <v>716</v>
      </c>
      <c r="B18" s="196"/>
      <c r="C18" s="210"/>
      <c r="D18" s="205"/>
      <c r="E18" s="205"/>
      <c r="F18" s="205"/>
    </row>
    <row r="19" spans="1:11">
      <c r="A19" s="203" t="s">
        <v>717</v>
      </c>
      <c r="B19" s="196"/>
      <c r="C19" s="210">
        <v>1993.72</v>
      </c>
      <c r="D19" s="205">
        <v>1993721</v>
      </c>
      <c r="E19" s="205">
        <v>2465.7199999999998</v>
      </c>
      <c r="F19" s="205">
        <f>E19-C19</f>
        <v>471.99999999999977</v>
      </c>
      <c r="G19" s="195" t="s">
        <v>718</v>
      </c>
      <c r="H19" s="195" t="s">
        <v>719</v>
      </c>
      <c r="I19" s="205"/>
      <c r="K19" s="205"/>
    </row>
    <row r="20" spans="1:11">
      <c r="B20" s="196"/>
      <c r="C20" s="210"/>
      <c r="D20" s="205"/>
      <c r="E20" s="205"/>
      <c r="F20" s="205"/>
    </row>
    <row r="21" spans="1:11">
      <c r="B21" s="196"/>
      <c r="C21" s="210"/>
      <c r="D21" s="205"/>
      <c r="E21" s="205"/>
      <c r="F21" s="208">
        <f>SUM(F11:F20)</f>
        <v>1327.1950599999998</v>
      </c>
      <c r="I21" s="205"/>
    </row>
    <row r="22" spans="1:11">
      <c r="C22" s="210"/>
    </row>
    <row r="23" spans="1:11">
      <c r="C23" s="210"/>
      <c r="D23" s="211"/>
      <c r="F23" s="205"/>
      <c r="I23" s="203" t="s">
        <v>720</v>
      </c>
    </row>
    <row r="25" spans="1:11">
      <c r="A25" s="195" t="s">
        <v>721</v>
      </c>
      <c r="C25" s="205">
        <f>4842/100000</f>
        <v>4.8419999999999998E-2</v>
      </c>
      <c r="E25" s="195">
        <f>15787500/100000</f>
        <v>157.875</v>
      </c>
      <c r="F25" s="205">
        <f>E25-C25</f>
        <v>157.82658000000001</v>
      </c>
      <c r="H25" s="195" t="s">
        <v>719</v>
      </c>
      <c r="I25" s="205">
        <f>632/100*C25</f>
        <v>0.30601440000000002</v>
      </c>
      <c r="J25" s="209">
        <f>+E25-I25</f>
        <v>157.56898559999999</v>
      </c>
    </row>
    <row r="31" spans="1:11">
      <c r="D31" s="203" t="s">
        <v>722</v>
      </c>
    </row>
    <row r="32" spans="1:11">
      <c r="A32" s="203" t="s">
        <v>723</v>
      </c>
    </row>
    <row r="34" spans="1:3">
      <c r="A34" s="195" t="s">
        <v>724</v>
      </c>
    </row>
    <row r="35" spans="1:3">
      <c r="A35" s="195" t="s">
        <v>725</v>
      </c>
      <c r="B35" s="212">
        <v>2841.625</v>
      </c>
      <c r="C35" s="205"/>
    </row>
    <row r="36" spans="1:3">
      <c r="A36" s="195" t="s">
        <v>726</v>
      </c>
      <c r="B36" s="212">
        <v>2465.721</v>
      </c>
      <c r="C36" s="205">
        <f>SUM(B35:B36)</f>
        <v>5307.3459999999995</v>
      </c>
    </row>
    <row r="37" spans="1:3">
      <c r="B37" s="205"/>
      <c r="C37" s="205"/>
    </row>
    <row r="38" spans="1:3">
      <c r="A38" s="195" t="s">
        <v>727</v>
      </c>
      <c r="B38" s="205"/>
      <c r="C38" s="212">
        <f>+B39/B40*B41</f>
        <v>5888.1333333333341</v>
      </c>
    </row>
    <row r="39" spans="1:3">
      <c r="A39" s="195" t="s">
        <v>728</v>
      </c>
      <c r="B39" s="212">
        <v>4835.3500000000004</v>
      </c>
      <c r="C39" s="205"/>
    </row>
    <row r="40" spans="1:3">
      <c r="A40" s="195" t="s">
        <v>729</v>
      </c>
      <c r="B40" s="205">
        <v>519</v>
      </c>
      <c r="C40" s="205"/>
    </row>
    <row r="41" spans="1:3">
      <c r="A41" s="195" t="s">
        <v>730</v>
      </c>
      <c r="B41" s="205">
        <v>632</v>
      </c>
      <c r="C41" s="205"/>
    </row>
    <row r="42" spans="1:3">
      <c r="B42" s="205"/>
      <c r="C42" s="205"/>
    </row>
    <row r="43" spans="1:3">
      <c r="A43" s="195" t="s">
        <v>731</v>
      </c>
      <c r="B43" s="205"/>
      <c r="C43" s="213">
        <f>+C36-C38</f>
        <v>-580.78733333333457</v>
      </c>
    </row>
  </sheetData>
  <mergeCells count="5">
    <mergeCell ref="A2:F2"/>
    <mergeCell ref="A3:F3"/>
    <mergeCell ref="A4:F4"/>
    <mergeCell ref="A7:C7"/>
    <mergeCell ref="D7:F7"/>
  </mergeCells>
  <printOptions horizontalCentered="1" verticalCentered="1"/>
  <pageMargins left="0.11811023622047245" right="0.11811023622047245" top="0.11811023622047245" bottom="0.11811023622047245" header="0.11811023622047245" footer="0.11811023622047245"/>
  <pageSetup paperSize="9" orientation="landscape" r:id="rId1"/>
  <headerFooter>
    <oddFooter>&amp;L&amp;A&amp;F&amp;N</oddFooter>
  </headerFooter>
  <drawing r:id="rId2"/>
</worksheet>
</file>

<file path=xl/worksheets/sheet7.xml><?xml version="1.0" encoding="utf-8"?>
<worksheet xmlns="http://schemas.openxmlformats.org/spreadsheetml/2006/main" xmlns:r="http://schemas.openxmlformats.org/officeDocument/2006/relationships">
  <dimension ref="A2:C33"/>
  <sheetViews>
    <sheetView workbookViewId="0">
      <pane xSplit="2" ySplit="3" topLeftCell="C13" activePane="bottomRight" state="frozen"/>
      <selection pane="topRight" activeCell="C1" sqref="C1"/>
      <selection pane="bottomLeft" activeCell="A4" sqref="A4"/>
      <selection pane="bottomRight" activeCell="F25" sqref="F25"/>
    </sheetView>
  </sheetViews>
  <sheetFormatPr defaultRowHeight="15"/>
  <cols>
    <col min="1" max="1" width="6.140625" bestFit="1" customWidth="1"/>
    <col min="2" max="2" width="30.85546875" bestFit="1" customWidth="1"/>
  </cols>
  <sheetData>
    <row r="2" spans="1:3">
      <c r="A2" s="2"/>
      <c r="B2" s="1" t="s">
        <v>560</v>
      </c>
      <c r="C2" s="2"/>
    </row>
    <row r="3" spans="1:3">
      <c r="A3" s="1" t="s">
        <v>522</v>
      </c>
      <c r="B3" s="1" t="s">
        <v>561</v>
      </c>
      <c r="C3" s="51" t="s">
        <v>562</v>
      </c>
    </row>
    <row r="4" spans="1:3">
      <c r="A4" s="2">
        <v>1</v>
      </c>
      <c r="B4" s="2" t="s">
        <v>563</v>
      </c>
      <c r="C4" s="2">
        <v>100</v>
      </c>
    </row>
    <row r="5" spans="1:3">
      <c r="A5" s="2">
        <v>2</v>
      </c>
      <c r="B5" s="2" t="s">
        <v>564</v>
      </c>
      <c r="C5" s="2">
        <v>109</v>
      </c>
    </row>
    <row r="6" spans="1:3">
      <c r="A6" s="2">
        <v>3</v>
      </c>
      <c r="B6" s="2" t="s">
        <v>565</v>
      </c>
      <c r="C6" s="2">
        <v>116</v>
      </c>
    </row>
    <row r="7" spans="1:3">
      <c r="A7" s="2">
        <v>4</v>
      </c>
      <c r="B7" s="2" t="s">
        <v>566</v>
      </c>
      <c r="C7" s="2">
        <v>125</v>
      </c>
    </row>
    <row r="8" spans="1:3">
      <c r="A8" s="2">
        <v>5</v>
      </c>
      <c r="B8" s="2" t="s">
        <v>567</v>
      </c>
      <c r="C8" s="2">
        <v>133</v>
      </c>
    </row>
    <row r="9" spans="1:3">
      <c r="A9" s="2">
        <v>6</v>
      </c>
      <c r="B9" s="2" t="s">
        <v>568</v>
      </c>
      <c r="C9" s="2">
        <v>140</v>
      </c>
    </row>
    <row r="10" spans="1:3">
      <c r="A10" s="2">
        <v>7</v>
      </c>
      <c r="B10" s="2" t="s">
        <v>569</v>
      </c>
      <c r="C10" s="2">
        <v>150</v>
      </c>
    </row>
    <row r="11" spans="1:3">
      <c r="A11" s="2">
        <v>8</v>
      </c>
      <c r="B11" s="2" t="s">
        <v>570</v>
      </c>
      <c r="C11" s="2">
        <v>161</v>
      </c>
    </row>
    <row r="12" spans="1:3">
      <c r="A12" s="2">
        <v>9</v>
      </c>
      <c r="B12" s="2" t="s">
        <v>571</v>
      </c>
      <c r="C12" s="2">
        <v>172</v>
      </c>
    </row>
    <row r="13" spans="1:3">
      <c r="A13" s="2">
        <v>10</v>
      </c>
      <c r="B13" s="2" t="s">
        <v>572</v>
      </c>
      <c r="C13" s="2">
        <v>182</v>
      </c>
    </row>
    <row r="14" spans="1:3">
      <c r="A14" s="2">
        <v>11</v>
      </c>
      <c r="B14" s="2" t="s">
        <v>573</v>
      </c>
      <c r="C14" s="2">
        <v>199</v>
      </c>
    </row>
    <row r="15" spans="1:3">
      <c r="A15" s="2">
        <v>12</v>
      </c>
      <c r="B15" s="2" t="s">
        <v>574</v>
      </c>
      <c r="C15" s="2">
        <v>223</v>
      </c>
    </row>
    <row r="16" spans="1:3">
      <c r="A16" s="2">
        <v>13</v>
      </c>
      <c r="B16" s="2" t="s">
        <v>575</v>
      </c>
      <c r="C16" s="2">
        <v>244</v>
      </c>
    </row>
    <row r="17" spans="1:3">
      <c r="A17" s="2">
        <v>14</v>
      </c>
      <c r="B17" s="2" t="s">
        <v>576</v>
      </c>
      <c r="C17" s="2">
        <v>259</v>
      </c>
    </row>
    <row r="18" spans="1:3">
      <c r="A18" s="2">
        <v>15</v>
      </c>
      <c r="B18" s="2" t="s">
        <v>577</v>
      </c>
      <c r="C18" s="2">
        <v>281</v>
      </c>
    </row>
    <row r="19" spans="1:3">
      <c r="A19" s="2">
        <v>16</v>
      </c>
      <c r="B19" s="2" t="s">
        <v>578</v>
      </c>
      <c r="C19" s="2">
        <v>305</v>
      </c>
    </row>
    <row r="20" spans="1:3">
      <c r="A20" s="2">
        <v>17</v>
      </c>
      <c r="B20" s="2" t="s">
        <v>579</v>
      </c>
      <c r="C20" s="2">
        <v>331</v>
      </c>
    </row>
    <row r="21" spans="1:3">
      <c r="A21" s="2">
        <v>18</v>
      </c>
      <c r="B21" s="2" t="s">
        <v>580</v>
      </c>
      <c r="C21" s="2">
        <v>351</v>
      </c>
    </row>
    <row r="22" spans="1:3">
      <c r="A22" s="2">
        <v>19</v>
      </c>
      <c r="B22" s="2" t="s">
        <v>33</v>
      </c>
      <c r="C22" s="2">
        <v>389</v>
      </c>
    </row>
    <row r="23" spans="1:3">
      <c r="A23" s="2">
        <v>20</v>
      </c>
      <c r="B23" s="2" t="s">
        <v>34</v>
      </c>
      <c r="C23" s="2">
        <v>406</v>
      </c>
    </row>
    <row r="24" spans="1:3">
      <c r="A24" s="2">
        <v>21</v>
      </c>
      <c r="B24" s="2" t="s">
        <v>581</v>
      </c>
      <c r="C24" s="2">
        <v>426</v>
      </c>
    </row>
    <row r="25" spans="1:3">
      <c r="A25" s="2">
        <v>22</v>
      </c>
      <c r="B25" s="2" t="s">
        <v>35</v>
      </c>
      <c r="C25" s="2">
        <v>447</v>
      </c>
    </row>
    <row r="26" spans="1:3">
      <c r="A26" s="2">
        <v>23</v>
      </c>
      <c r="B26" s="2" t="s">
        <v>36</v>
      </c>
      <c r="C26" s="2">
        <v>463</v>
      </c>
    </row>
    <row r="27" spans="1:3">
      <c r="A27" s="2">
        <v>24</v>
      </c>
      <c r="B27" s="2" t="s">
        <v>37</v>
      </c>
      <c r="C27" s="2">
        <v>480</v>
      </c>
    </row>
    <row r="28" spans="1:3">
      <c r="A28" s="2">
        <v>25</v>
      </c>
      <c r="B28" s="2" t="s">
        <v>38</v>
      </c>
      <c r="C28" s="2">
        <v>497</v>
      </c>
    </row>
    <row r="29" spans="1:3">
      <c r="A29" s="2">
        <v>26</v>
      </c>
      <c r="B29" s="2" t="s">
        <v>11</v>
      </c>
      <c r="C29" s="2">
        <v>519</v>
      </c>
    </row>
    <row r="30" spans="1:3">
      <c r="A30" s="2">
        <v>27</v>
      </c>
      <c r="B30" s="2" t="s">
        <v>12</v>
      </c>
      <c r="C30" s="2">
        <v>551</v>
      </c>
    </row>
    <row r="31" spans="1:3">
      <c r="A31" s="2">
        <v>28</v>
      </c>
      <c r="B31" s="2" t="s">
        <v>14</v>
      </c>
      <c r="C31" s="2">
        <v>582</v>
      </c>
    </row>
    <row r="32" spans="1:3">
      <c r="A32" s="2">
        <v>29</v>
      </c>
      <c r="B32" s="2" t="s">
        <v>15</v>
      </c>
      <c r="C32" s="2">
        <v>632</v>
      </c>
    </row>
    <row r="33" spans="1:3">
      <c r="A33" s="2">
        <v>30</v>
      </c>
      <c r="B33" s="2" t="s">
        <v>16</v>
      </c>
      <c r="C33" s="2">
        <v>711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tabColor rgb="FF00B050"/>
  </sheetPr>
  <dimension ref="A1:F75"/>
  <sheetViews>
    <sheetView workbookViewId="0">
      <pane xSplit="3" ySplit="4" topLeftCell="D55" activePane="bottomRight" state="frozen"/>
      <selection pane="topRight" activeCell="D1" sqref="D1"/>
      <selection pane="bottomLeft" activeCell="A5" sqref="A5"/>
      <selection pane="bottomRight" activeCell="C63" sqref="C63"/>
    </sheetView>
  </sheetViews>
  <sheetFormatPr defaultRowHeight="14.25"/>
  <cols>
    <col min="1" max="1" width="3" style="26" bestFit="1" customWidth="1"/>
    <col min="2" max="2" width="7.140625" style="26" bestFit="1" customWidth="1"/>
    <col min="3" max="3" width="60.140625" style="26" bestFit="1" customWidth="1"/>
    <col min="4" max="4" width="18" style="26" bestFit="1" customWidth="1"/>
    <col min="5" max="5" width="19.140625" style="26" bestFit="1" customWidth="1"/>
    <col min="6" max="6" width="14.140625" style="26" bestFit="1" customWidth="1"/>
    <col min="7" max="257" width="9.140625" style="26"/>
    <col min="258" max="258" width="3" style="26" bestFit="1" customWidth="1"/>
    <col min="259" max="259" width="7.140625" style="26" bestFit="1" customWidth="1"/>
    <col min="260" max="260" width="60.140625" style="26" bestFit="1" customWidth="1"/>
    <col min="261" max="261" width="16.28515625" style="26" bestFit="1" customWidth="1"/>
    <col min="262" max="262" width="14" style="26" bestFit="1" customWidth="1"/>
    <col min="263" max="513" width="9.140625" style="26"/>
    <col min="514" max="514" width="3" style="26" bestFit="1" customWidth="1"/>
    <col min="515" max="515" width="7.140625" style="26" bestFit="1" customWidth="1"/>
    <col min="516" max="516" width="60.140625" style="26" bestFit="1" customWidth="1"/>
    <col min="517" max="517" width="16.28515625" style="26" bestFit="1" customWidth="1"/>
    <col min="518" max="518" width="14" style="26" bestFit="1" customWidth="1"/>
    <col min="519" max="769" width="9.140625" style="26"/>
    <col min="770" max="770" width="3" style="26" bestFit="1" customWidth="1"/>
    <col min="771" max="771" width="7.140625" style="26" bestFit="1" customWidth="1"/>
    <col min="772" max="772" width="60.140625" style="26" bestFit="1" customWidth="1"/>
    <col min="773" max="773" width="16.28515625" style="26" bestFit="1" customWidth="1"/>
    <col min="774" max="774" width="14" style="26" bestFit="1" customWidth="1"/>
    <col min="775" max="1025" width="9.140625" style="26"/>
    <col min="1026" max="1026" width="3" style="26" bestFit="1" customWidth="1"/>
    <col min="1027" max="1027" width="7.140625" style="26" bestFit="1" customWidth="1"/>
    <col min="1028" max="1028" width="60.140625" style="26" bestFit="1" customWidth="1"/>
    <col min="1029" max="1029" width="16.28515625" style="26" bestFit="1" customWidth="1"/>
    <col min="1030" max="1030" width="14" style="26" bestFit="1" customWidth="1"/>
    <col min="1031" max="1281" width="9.140625" style="26"/>
    <col min="1282" max="1282" width="3" style="26" bestFit="1" customWidth="1"/>
    <col min="1283" max="1283" width="7.140625" style="26" bestFit="1" customWidth="1"/>
    <col min="1284" max="1284" width="60.140625" style="26" bestFit="1" customWidth="1"/>
    <col min="1285" max="1285" width="16.28515625" style="26" bestFit="1" customWidth="1"/>
    <col min="1286" max="1286" width="14" style="26" bestFit="1" customWidth="1"/>
    <col min="1287" max="1537" width="9.140625" style="26"/>
    <col min="1538" max="1538" width="3" style="26" bestFit="1" customWidth="1"/>
    <col min="1539" max="1539" width="7.140625" style="26" bestFit="1" customWidth="1"/>
    <col min="1540" max="1540" width="60.140625" style="26" bestFit="1" customWidth="1"/>
    <col min="1541" max="1541" width="16.28515625" style="26" bestFit="1" customWidth="1"/>
    <col min="1542" max="1542" width="14" style="26" bestFit="1" customWidth="1"/>
    <col min="1543" max="1793" width="9.140625" style="26"/>
    <col min="1794" max="1794" width="3" style="26" bestFit="1" customWidth="1"/>
    <col min="1795" max="1795" width="7.140625" style="26" bestFit="1" customWidth="1"/>
    <col min="1796" max="1796" width="60.140625" style="26" bestFit="1" customWidth="1"/>
    <col min="1797" max="1797" width="16.28515625" style="26" bestFit="1" customWidth="1"/>
    <col min="1798" max="1798" width="14" style="26" bestFit="1" customWidth="1"/>
    <col min="1799" max="2049" width="9.140625" style="26"/>
    <col min="2050" max="2050" width="3" style="26" bestFit="1" customWidth="1"/>
    <col min="2051" max="2051" width="7.140625" style="26" bestFit="1" customWidth="1"/>
    <col min="2052" max="2052" width="60.140625" style="26" bestFit="1" customWidth="1"/>
    <col min="2053" max="2053" width="16.28515625" style="26" bestFit="1" customWidth="1"/>
    <col min="2054" max="2054" width="14" style="26" bestFit="1" customWidth="1"/>
    <col min="2055" max="2305" width="9.140625" style="26"/>
    <col min="2306" max="2306" width="3" style="26" bestFit="1" customWidth="1"/>
    <col min="2307" max="2307" width="7.140625" style="26" bestFit="1" customWidth="1"/>
    <col min="2308" max="2308" width="60.140625" style="26" bestFit="1" customWidth="1"/>
    <col min="2309" max="2309" width="16.28515625" style="26" bestFit="1" customWidth="1"/>
    <col min="2310" max="2310" width="14" style="26" bestFit="1" customWidth="1"/>
    <col min="2311" max="2561" width="9.140625" style="26"/>
    <col min="2562" max="2562" width="3" style="26" bestFit="1" customWidth="1"/>
    <col min="2563" max="2563" width="7.140625" style="26" bestFit="1" customWidth="1"/>
    <col min="2564" max="2564" width="60.140625" style="26" bestFit="1" customWidth="1"/>
    <col min="2565" max="2565" width="16.28515625" style="26" bestFit="1" customWidth="1"/>
    <col min="2566" max="2566" width="14" style="26" bestFit="1" customWidth="1"/>
    <col min="2567" max="2817" width="9.140625" style="26"/>
    <col min="2818" max="2818" width="3" style="26" bestFit="1" customWidth="1"/>
    <col min="2819" max="2819" width="7.140625" style="26" bestFit="1" customWidth="1"/>
    <col min="2820" max="2820" width="60.140625" style="26" bestFit="1" customWidth="1"/>
    <col min="2821" max="2821" width="16.28515625" style="26" bestFit="1" customWidth="1"/>
    <col min="2822" max="2822" width="14" style="26" bestFit="1" customWidth="1"/>
    <col min="2823" max="3073" width="9.140625" style="26"/>
    <col min="3074" max="3074" width="3" style="26" bestFit="1" customWidth="1"/>
    <col min="3075" max="3075" width="7.140625" style="26" bestFit="1" customWidth="1"/>
    <col min="3076" max="3076" width="60.140625" style="26" bestFit="1" customWidth="1"/>
    <col min="3077" max="3077" width="16.28515625" style="26" bestFit="1" customWidth="1"/>
    <col min="3078" max="3078" width="14" style="26" bestFit="1" customWidth="1"/>
    <col min="3079" max="3329" width="9.140625" style="26"/>
    <col min="3330" max="3330" width="3" style="26" bestFit="1" customWidth="1"/>
    <col min="3331" max="3331" width="7.140625" style="26" bestFit="1" customWidth="1"/>
    <col min="3332" max="3332" width="60.140625" style="26" bestFit="1" customWidth="1"/>
    <col min="3333" max="3333" width="16.28515625" style="26" bestFit="1" customWidth="1"/>
    <col min="3334" max="3334" width="14" style="26" bestFit="1" customWidth="1"/>
    <col min="3335" max="3585" width="9.140625" style="26"/>
    <col min="3586" max="3586" width="3" style="26" bestFit="1" customWidth="1"/>
    <col min="3587" max="3587" width="7.140625" style="26" bestFit="1" customWidth="1"/>
    <col min="3588" max="3588" width="60.140625" style="26" bestFit="1" customWidth="1"/>
    <col min="3589" max="3589" width="16.28515625" style="26" bestFit="1" customWidth="1"/>
    <col min="3590" max="3590" width="14" style="26" bestFit="1" customWidth="1"/>
    <col min="3591" max="3841" width="9.140625" style="26"/>
    <col min="3842" max="3842" width="3" style="26" bestFit="1" customWidth="1"/>
    <col min="3843" max="3843" width="7.140625" style="26" bestFit="1" customWidth="1"/>
    <col min="3844" max="3844" width="60.140625" style="26" bestFit="1" customWidth="1"/>
    <col min="3845" max="3845" width="16.28515625" style="26" bestFit="1" customWidth="1"/>
    <col min="3846" max="3846" width="14" style="26" bestFit="1" customWidth="1"/>
    <col min="3847" max="4097" width="9.140625" style="26"/>
    <col min="4098" max="4098" width="3" style="26" bestFit="1" customWidth="1"/>
    <col min="4099" max="4099" width="7.140625" style="26" bestFit="1" customWidth="1"/>
    <col min="4100" max="4100" width="60.140625" style="26" bestFit="1" customWidth="1"/>
    <col min="4101" max="4101" width="16.28515625" style="26" bestFit="1" customWidth="1"/>
    <col min="4102" max="4102" width="14" style="26" bestFit="1" customWidth="1"/>
    <col min="4103" max="4353" width="9.140625" style="26"/>
    <col min="4354" max="4354" width="3" style="26" bestFit="1" customWidth="1"/>
    <col min="4355" max="4355" width="7.140625" style="26" bestFit="1" customWidth="1"/>
    <col min="4356" max="4356" width="60.140625" style="26" bestFit="1" customWidth="1"/>
    <col min="4357" max="4357" width="16.28515625" style="26" bestFit="1" customWidth="1"/>
    <col min="4358" max="4358" width="14" style="26" bestFit="1" customWidth="1"/>
    <col min="4359" max="4609" width="9.140625" style="26"/>
    <col min="4610" max="4610" width="3" style="26" bestFit="1" customWidth="1"/>
    <col min="4611" max="4611" width="7.140625" style="26" bestFit="1" customWidth="1"/>
    <col min="4612" max="4612" width="60.140625" style="26" bestFit="1" customWidth="1"/>
    <col min="4613" max="4613" width="16.28515625" style="26" bestFit="1" customWidth="1"/>
    <col min="4614" max="4614" width="14" style="26" bestFit="1" customWidth="1"/>
    <col min="4615" max="4865" width="9.140625" style="26"/>
    <col min="4866" max="4866" width="3" style="26" bestFit="1" customWidth="1"/>
    <col min="4867" max="4867" width="7.140625" style="26" bestFit="1" customWidth="1"/>
    <col min="4868" max="4868" width="60.140625" style="26" bestFit="1" customWidth="1"/>
    <col min="4869" max="4869" width="16.28515625" style="26" bestFit="1" customWidth="1"/>
    <col min="4870" max="4870" width="14" style="26" bestFit="1" customWidth="1"/>
    <col min="4871" max="5121" width="9.140625" style="26"/>
    <col min="5122" max="5122" width="3" style="26" bestFit="1" customWidth="1"/>
    <col min="5123" max="5123" width="7.140625" style="26" bestFit="1" customWidth="1"/>
    <col min="5124" max="5124" width="60.140625" style="26" bestFit="1" customWidth="1"/>
    <col min="5125" max="5125" width="16.28515625" style="26" bestFit="1" customWidth="1"/>
    <col min="5126" max="5126" width="14" style="26" bestFit="1" customWidth="1"/>
    <col min="5127" max="5377" width="9.140625" style="26"/>
    <col min="5378" max="5378" width="3" style="26" bestFit="1" customWidth="1"/>
    <col min="5379" max="5379" width="7.140625" style="26" bestFit="1" customWidth="1"/>
    <col min="5380" max="5380" width="60.140625" style="26" bestFit="1" customWidth="1"/>
    <col min="5381" max="5381" width="16.28515625" style="26" bestFit="1" customWidth="1"/>
    <col min="5382" max="5382" width="14" style="26" bestFit="1" customWidth="1"/>
    <col min="5383" max="5633" width="9.140625" style="26"/>
    <col min="5634" max="5634" width="3" style="26" bestFit="1" customWidth="1"/>
    <col min="5635" max="5635" width="7.140625" style="26" bestFit="1" customWidth="1"/>
    <col min="5636" max="5636" width="60.140625" style="26" bestFit="1" customWidth="1"/>
    <col min="5637" max="5637" width="16.28515625" style="26" bestFit="1" customWidth="1"/>
    <col min="5638" max="5638" width="14" style="26" bestFit="1" customWidth="1"/>
    <col min="5639" max="5889" width="9.140625" style="26"/>
    <col min="5890" max="5890" width="3" style="26" bestFit="1" customWidth="1"/>
    <col min="5891" max="5891" width="7.140625" style="26" bestFit="1" customWidth="1"/>
    <col min="5892" max="5892" width="60.140625" style="26" bestFit="1" customWidth="1"/>
    <col min="5893" max="5893" width="16.28515625" style="26" bestFit="1" customWidth="1"/>
    <col min="5894" max="5894" width="14" style="26" bestFit="1" customWidth="1"/>
    <col min="5895" max="6145" width="9.140625" style="26"/>
    <col min="6146" max="6146" width="3" style="26" bestFit="1" customWidth="1"/>
    <col min="6147" max="6147" width="7.140625" style="26" bestFit="1" customWidth="1"/>
    <col min="6148" max="6148" width="60.140625" style="26" bestFit="1" customWidth="1"/>
    <col min="6149" max="6149" width="16.28515625" style="26" bestFit="1" customWidth="1"/>
    <col min="6150" max="6150" width="14" style="26" bestFit="1" customWidth="1"/>
    <col min="6151" max="6401" width="9.140625" style="26"/>
    <col min="6402" max="6402" width="3" style="26" bestFit="1" customWidth="1"/>
    <col min="6403" max="6403" width="7.140625" style="26" bestFit="1" customWidth="1"/>
    <col min="6404" max="6404" width="60.140625" style="26" bestFit="1" customWidth="1"/>
    <col min="6405" max="6405" width="16.28515625" style="26" bestFit="1" customWidth="1"/>
    <col min="6406" max="6406" width="14" style="26" bestFit="1" customWidth="1"/>
    <col min="6407" max="6657" width="9.140625" style="26"/>
    <col min="6658" max="6658" width="3" style="26" bestFit="1" customWidth="1"/>
    <col min="6659" max="6659" width="7.140625" style="26" bestFit="1" customWidth="1"/>
    <col min="6660" max="6660" width="60.140625" style="26" bestFit="1" customWidth="1"/>
    <col min="6661" max="6661" width="16.28515625" style="26" bestFit="1" customWidth="1"/>
    <col min="6662" max="6662" width="14" style="26" bestFit="1" customWidth="1"/>
    <col min="6663" max="6913" width="9.140625" style="26"/>
    <col min="6914" max="6914" width="3" style="26" bestFit="1" customWidth="1"/>
    <col min="6915" max="6915" width="7.140625" style="26" bestFit="1" customWidth="1"/>
    <col min="6916" max="6916" width="60.140625" style="26" bestFit="1" customWidth="1"/>
    <col min="6917" max="6917" width="16.28515625" style="26" bestFit="1" customWidth="1"/>
    <col min="6918" max="6918" width="14" style="26" bestFit="1" customWidth="1"/>
    <col min="6919" max="7169" width="9.140625" style="26"/>
    <col min="7170" max="7170" width="3" style="26" bestFit="1" customWidth="1"/>
    <col min="7171" max="7171" width="7.140625" style="26" bestFit="1" customWidth="1"/>
    <col min="7172" max="7172" width="60.140625" style="26" bestFit="1" customWidth="1"/>
    <col min="7173" max="7173" width="16.28515625" style="26" bestFit="1" customWidth="1"/>
    <col min="7174" max="7174" width="14" style="26" bestFit="1" customWidth="1"/>
    <col min="7175" max="7425" width="9.140625" style="26"/>
    <col min="7426" max="7426" width="3" style="26" bestFit="1" customWidth="1"/>
    <col min="7427" max="7427" width="7.140625" style="26" bestFit="1" customWidth="1"/>
    <col min="7428" max="7428" width="60.140625" style="26" bestFit="1" customWidth="1"/>
    <col min="7429" max="7429" width="16.28515625" style="26" bestFit="1" customWidth="1"/>
    <col min="7430" max="7430" width="14" style="26" bestFit="1" customWidth="1"/>
    <col min="7431" max="7681" width="9.140625" style="26"/>
    <col min="7682" max="7682" width="3" style="26" bestFit="1" customWidth="1"/>
    <col min="7683" max="7683" width="7.140625" style="26" bestFit="1" customWidth="1"/>
    <col min="7684" max="7684" width="60.140625" style="26" bestFit="1" customWidth="1"/>
    <col min="7685" max="7685" width="16.28515625" style="26" bestFit="1" customWidth="1"/>
    <col min="7686" max="7686" width="14" style="26" bestFit="1" customWidth="1"/>
    <col min="7687" max="7937" width="9.140625" style="26"/>
    <col min="7938" max="7938" width="3" style="26" bestFit="1" customWidth="1"/>
    <col min="7939" max="7939" width="7.140625" style="26" bestFit="1" customWidth="1"/>
    <col min="7940" max="7940" width="60.140625" style="26" bestFit="1" customWidth="1"/>
    <col min="7941" max="7941" width="16.28515625" style="26" bestFit="1" customWidth="1"/>
    <col min="7942" max="7942" width="14" style="26" bestFit="1" customWidth="1"/>
    <col min="7943" max="8193" width="9.140625" style="26"/>
    <col min="8194" max="8194" width="3" style="26" bestFit="1" customWidth="1"/>
    <col min="8195" max="8195" width="7.140625" style="26" bestFit="1" customWidth="1"/>
    <col min="8196" max="8196" width="60.140625" style="26" bestFit="1" customWidth="1"/>
    <col min="8197" max="8197" width="16.28515625" style="26" bestFit="1" customWidth="1"/>
    <col min="8198" max="8198" width="14" style="26" bestFit="1" customWidth="1"/>
    <col min="8199" max="8449" width="9.140625" style="26"/>
    <col min="8450" max="8450" width="3" style="26" bestFit="1" customWidth="1"/>
    <col min="8451" max="8451" width="7.140625" style="26" bestFit="1" customWidth="1"/>
    <col min="8452" max="8452" width="60.140625" style="26" bestFit="1" customWidth="1"/>
    <col min="8453" max="8453" width="16.28515625" style="26" bestFit="1" customWidth="1"/>
    <col min="8454" max="8454" width="14" style="26" bestFit="1" customWidth="1"/>
    <col min="8455" max="8705" width="9.140625" style="26"/>
    <col min="8706" max="8706" width="3" style="26" bestFit="1" customWidth="1"/>
    <col min="8707" max="8707" width="7.140625" style="26" bestFit="1" customWidth="1"/>
    <col min="8708" max="8708" width="60.140625" style="26" bestFit="1" customWidth="1"/>
    <col min="8709" max="8709" width="16.28515625" style="26" bestFit="1" customWidth="1"/>
    <col min="8710" max="8710" width="14" style="26" bestFit="1" customWidth="1"/>
    <col min="8711" max="8961" width="9.140625" style="26"/>
    <col min="8962" max="8962" width="3" style="26" bestFit="1" customWidth="1"/>
    <col min="8963" max="8963" width="7.140625" style="26" bestFit="1" customWidth="1"/>
    <col min="8964" max="8964" width="60.140625" style="26" bestFit="1" customWidth="1"/>
    <col min="8965" max="8965" width="16.28515625" style="26" bestFit="1" customWidth="1"/>
    <col min="8966" max="8966" width="14" style="26" bestFit="1" customWidth="1"/>
    <col min="8967" max="9217" width="9.140625" style="26"/>
    <col min="9218" max="9218" width="3" style="26" bestFit="1" customWidth="1"/>
    <col min="9219" max="9219" width="7.140625" style="26" bestFit="1" customWidth="1"/>
    <col min="9220" max="9220" width="60.140625" style="26" bestFit="1" customWidth="1"/>
    <col min="9221" max="9221" width="16.28515625" style="26" bestFit="1" customWidth="1"/>
    <col min="9222" max="9222" width="14" style="26" bestFit="1" customWidth="1"/>
    <col min="9223" max="9473" width="9.140625" style="26"/>
    <col min="9474" max="9474" width="3" style="26" bestFit="1" customWidth="1"/>
    <col min="9475" max="9475" width="7.140625" style="26" bestFit="1" customWidth="1"/>
    <col min="9476" max="9476" width="60.140625" style="26" bestFit="1" customWidth="1"/>
    <col min="9477" max="9477" width="16.28515625" style="26" bestFit="1" customWidth="1"/>
    <col min="9478" max="9478" width="14" style="26" bestFit="1" customWidth="1"/>
    <col min="9479" max="9729" width="9.140625" style="26"/>
    <col min="9730" max="9730" width="3" style="26" bestFit="1" customWidth="1"/>
    <col min="9731" max="9731" width="7.140625" style="26" bestFit="1" customWidth="1"/>
    <col min="9732" max="9732" width="60.140625" style="26" bestFit="1" customWidth="1"/>
    <col min="9733" max="9733" width="16.28515625" style="26" bestFit="1" customWidth="1"/>
    <col min="9734" max="9734" width="14" style="26" bestFit="1" customWidth="1"/>
    <col min="9735" max="9985" width="9.140625" style="26"/>
    <col min="9986" max="9986" width="3" style="26" bestFit="1" customWidth="1"/>
    <col min="9987" max="9987" width="7.140625" style="26" bestFit="1" customWidth="1"/>
    <col min="9988" max="9988" width="60.140625" style="26" bestFit="1" customWidth="1"/>
    <col min="9989" max="9989" width="16.28515625" style="26" bestFit="1" customWidth="1"/>
    <col min="9990" max="9990" width="14" style="26" bestFit="1" customWidth="1"/>
    <col min="9991" max="10241" width="9.140625" style="26"/>
    <col min="10242" max="10242" width="3" style="26" bestFit="1" customWidth="1"/>
    <col min="10243" max="10243" width="7.140625" style="26" bestFit="1" customWidth="1"/>
    <col min="10244" max="10244" width="60.140625" style="26" bestFit="1" customWidth="1"/>
    <col min="10245" max="10245" width="16.28515625" style="26" bestFit="1" customWidth="1"/>
    <col min="10246" max="10246" width="14" style="26" bestFit="1" customWidth="1"/>
    <col min="10247" max="10497" width="9.140625" style="26"/>
    <col min="10498" max="10498" width="3" style="26" bestFit="1" customWidth="1"/>
    <col min="10499" max="10499" width="7.140625" style="26" bestFit="1" customWidth="1"/>
    <col min="10500" max="10500" width="60.140625" style="26" bestFit="1" customWidth="1"/>
    <col min="10501" max="10501" width="16.28515625" style="26" bestFit="1" customWidth="1"/>
    <col min="10502" max="10502" width="14" style="26" bestFit="1" customWidth="1"/>
    <col min="10503" max="10753" width="9.140625" style="26"/>
    <col min="10754" max="10754" width="3" style="26" bestFit="1" customWidth="1"/>
    <col min="10755" max="10755" width="7.140625" style="26" bestFit="1" customWidth="1"/>
    <col min="10756" max="10756" width="60.140625" style="26" bestFit="1" customWidth="1"/>
    <col min="10757" max="10757" width="16.28515625" style="26" bestFit="1" customWidth="1"/>
    <col min="10758" max="10758" width="14" style="26" bestFit="1" customWidth="1"/>
    <col min="10759" max="11009" width="9.140625" style="26"/>
    <col min="11010" max="11010" width="3" style="26" bestFit="1" customWidth="1"/>
    <col min="11011" max="11011" width="7.140625" style="26" bestFit="1" customWidth="1"/>
    <col min="11012" max="11012" width="60.140625" style="26" bestFit="1" customWidth="1"/>
    <col min="11013" max="11013" width="16.28515625" style="26" bestFit="1" customWidth="1"/>
    <col min="11014" max="11014" width="14" style="26" bestFit="1" customWidth="1"/>
    <col min="11015" max="11265" width="9.140625" style="26"/>
    <col min="11266" max="11266" width="3" style="26" bestFit="1" customWidth="1"/>
    <col min="11267" max="11267" width="7.140625" style="26" bestFit="1" customWidth="1"/>
    <col min="11268" max="11268" width="60.140625" style="26" bestFit="1" customWidth="1"/>
    <col min="11269" max="11269" width="16.28515625" style="26" bestFit="1" customWidth="1"/>
    <col min="11270" max="11270" width="14" style="26" bestFit="1" customWidth="1"/>
    <col min="11271" max="11521" width="9.140625" style="26"/>
    <col min="11522" max="11522" width="3" style="26" bestFit="1" customWidth="1"/>
    <col min="11523" max="11523" width="7.140625" style="26" bestFit="1" customWidth="1"/>
    <col min="11524" max="11524" width="60.140625" style="26" bestFit="1" customWidth="1"/>
    <col min="11525" max="11525" width="16.28515625" style="26" bestFit="1" customWidth="1"/>
    <col min="11526" max="11526" width="14" style="26" bestFit="1" customWidth="1"/>
    <col min="11527" max="11777" width="9.140625" style="26"/>
    <col min="11778" max="11778" width="3" style="26" bestFit="1" customWidth="1"/>
    <col min="11779" max="11779" width="7.140625" style="26" bestFit="1" customWidth="1"/>
    <col min="11780" max="11780" width="60.140625" style="26" bestFit="1" customWidth="1"/>
    <col min="11781" max="11781" width="16.28515625" style="26" bestFit="1" customWidth="1"/>
    <col min="11782" max="11782" width="14" style="26" bestFit="1" customWidth="1"/>
    <col min="11783" max="12033" width="9.140625" style="26"/>
    <col min="12034" max="12034" width="3" style="26" bestFit="1" customWidth="1"/>
    <col min="12035" max="12035" width="7.140625" style="26" bestFit="1" customWidth="1"/>
    <col min="12036" max="12036" width="60.140625" style="26" bestFit="1" customWidth="1"/>
    <col min="12037" max="12037" width="16.28515625" style="26" bestFit="1" customWidth="1"/>
    <col min="12038" max="12038" width="14" style="26" bestFit="1" customWidth="1"/>
    <col min="12039" max="12289" width="9.140625" style="26"/>
    <col min="12290" max="12290" width="3" style="26" bestFit="1" customWidth="1"/>
    <col min="12291" max="12291" width="7.140625" style="26" bestFit="1" customWidth="1"/>
    <col min="12292" max="12292" width="60.140625" style="26" bestFit="1" customWidth="1"/>
    <col min="12293" max="12293" width="16.28515625" style="26" bestFit="1" customWidth="1"/>
    <col min="12294" max="12294" width="14" style="26" bestFit="1" customWidth="1"/>
    <col min="12295" max="12545" width="9.140625" style="26"/>
    <col min="12546" max="12546" width="3" style="26" bestFit="1" customWidth="1"/>
    <col min="12547" max="12547" width="7.140625" style="26" bestFit="1" customWidth="1"/>
    <col min="12548" max="12548" width="60.140625" style="26" bestFit="1" customWidth="1"/>
    <col min="12549" max="12549" width="16.28515625" style="26" bestFit="1" customWidth="1"/>
    <col min="12550" max="12550" width="14" style="26" bestFit="1" customWidth="1"/>
    <col min="12551" max="12801" width="9.140625" style="26"/>
    <col min="12802" max="12802" width="3" style="26" bestFit="1" customWidth="1"/>
    <col min="12803" max="12803" width="7.140625" style="26" bestFit="1" customWidth="1"/>
    <col min="12804" max="12804" width="60.140625" style="26" bestFit="1" customWidth="1"/>
    <col min="12805" max="12805" width="16.28515625" style="26" bestFit="1" customWidth="1"/>
    <col min="12806" max="12806" width="14" style="26" bestFit="1" customWidth="1"/>
    <col min="12807" max="13057" width="9.140625" style="26"/>
    <col min="13058" max="13058" width="3" style="26" bestFit="1" customWidth="1"/>
    <col min="13059" max="13059" width="7.140625" style="26" bestFit="1" customWidth="1"/>
    <col min="13060" max="13060" width="60.140625" style="26" bestFit="1" customWidth="1"/>
    <col min="13061" max="13061" width="16.28515625" style="26" bestFit="1" customWidth="1"/>
    <col min="13062" max="13062" width="14" style="26" bestFit="1" customWidth="1"/>
    <col min="13063" max="13313" width="9.140625" style="26"/>
    <col min="13314" max="13314" width="3" style="26" bestFit="1" customWidth="1"/>
    <col min="13315" max="13315" width="7.140625" style="26" bestFit="1" customWidth="1"/>
    <col min="13316" max="13316" width="60.140625" style="26" bestFit="1" customWidth="1"/>
    <col min="13317" max="13317" width="16.28515625" style="26" bestFit="1" customWidth="1"/>
    <col min="13318" max="13318" width="14" style="26" bestFit="1" customWidth="1"/>
    <col min="13319" max="13569" width="9.140625" style="26"/>
    <col min="13570" max="13570" width="3" style="26" bestFit="1" customWidth="1"/>
    <col min="13571" max="13571" width="7.140625" style="26" bestFit="1" customWidth="1"/>
    <col min="13572" max="13572" width="60.140625" style="26" bestFit="1" customWidth="1"/>
    <col min="13573" max="13573" width="16.28515625" style="26" bestFit="1" customWidth="1"/>
    <col min="13574" max="13574" width="14" style="26" bestFit="1" customWidth="1"/>
    <col min="13575" max="13825" width="9.140625" style="26"/>
    <col min="13826" max="13826" width="3" style="26" bestFit="1" customWidth="1"/>
    <col min="13827" max="13827" width="7.140625" style="26" bestFit="1" customWidth="1"/>
    <col min="13828" max="13828" width="60.140625" style="26" bestFit="1" customWidth="1"/>
    <col min="13829" max="13829" width="16.28515625" style="26" bestFit="1" customWidth="1"/>
    <col min="13830" max="13830" width="14" style="26" bestFit="1" customWidth="1"/>
    <col min="13831" max="14081" width="9.140625" style="26"/>
    <col min="14082" max="14082" width="3" style="26" bestFit="1" customWidth="1"/>
    <col min="14083" max="14083" width="7.140625" style="26" bestFit="1" customWidth="1"/>
    <col min="14084" max="14084" width="60.140625" style="26" bestFit="1" customWidth="1"/>
    <col min="14085" max="14085" width="16.28515625" style="26" bestFit="1" customWidth="1"/>
    <col min="14086" max="14086" width="14" style="26" bestFit="1" customWidth="1"/>
    <col min="14087" max="14337" width="9.140625" style="26"/>
    <col min="14338" max="14338" width="3" style="26" bestFit="1" customWidth="1"/>
    <col min="14339" max="14339" width="7.140625" style="26" bestFit="1" customWidth="1"/>
    <col min="14340" max="14340" width="60.140625" style="26" bestFit="1" customWidth="1"/>
    <col min="14341" max="14341" width="16.28515625" style="26" bestFit="1" customWidth="1"/>
    <col min="14342" max="14342" width="14" style="26" bestFit="1" customWidth="1"/>
    <col min="14343" max="14593" width="9.140625" style="26"/>
    <col min="14594" max="14594" width="3" style="26" bestFit="1" customWidth="1"/>
    <col min="14595" max="14595" width="7.140625" style="26" bestFit="1" customWidth="1"/>
    <col min="14596" max="14596" width="60.140625" style="26" bestFit="1" customWidth="1"/>
    <col min="14597" max="14597" width="16.28515625" style="26" bestFit="1" customWidth="1"/>
    <col min="14598" max="14598" width="14" style="26" bestFit="1" customWidth="1"/>
    <col min="14599" max="14849" width="9.140625" style="26"/>
    <col min="14850" max="14850" width="3" style="26" bestFit="1" customWidth="1"/>
    <col min="14851" max="14851" width="7.140625" style="26" bestFit="1" customWidth="1"/>
    <col min="14852" max="14852" width="60.140625" style="26" bestFit="1" customWidth="1"/>
    <col min="14853" max="14853" width="16.28515625" style="26" bestFit="1" customWidth="1"/>
    <col min="14854" max="14854" width="14" style="26" bestFit="1" customWidth="1"/>
    <col min="14855" max="15105" width="9.140625" style="26"/>
    <col min="15106" max="15106" width="3" style="26" bestFit="1" customWidth="1"/>
    <col min="15107" max="15107" width="7.140625" style="26" bestFit="1" customWidth="1"/>
    <col min="15108" max="15108" width="60.140625" style="26" bestFit="1" customWidth="1"/>
    <col min="15109" max="15109" width="16.28515625" style="26" bestFit="1" customWidth="1"/>
    <col min="15110" max="15110" width="14" style="26" bestFit="1" customWidth="1"/>
    <col min="15111" max="15361" width="9.140625" style="26"/>
    <col min="15362" max="15362" width="3" style="26" bestFit="1" customWidth="1"/>
    <col min="15363" max="15363" width="7.140625" style="26" bestFit="1" customWidth="1"/>
    <col min="15364" max="15364" width="60.140625" style="26" bestFit="1" customWidth="1"/>
    <col min="15365" max="15365" width="16.28515625" style="26" bestFit="1" customWidth="1"/>
    <col min="15366" max="15366" width="14" style="26" bestFit="1" customWidth="1"/>
    <col min="15367" max="15617" width="9.140625" style="26"/>
    <col min="15618" max="15618" width="3" style="26" bestFit="1" customWidth="1"/>
    <col min="15619" max="15619" width="7.140625" style="26" bestFit="1" customWidth="1"/>
    <col min="15620" max="15620" width="60.140625" style="26" bestFit="1" customWidth="1"/>
    <col min="15621" max="15621" width="16.28515625" style="26" bestFit="1" customWidth="1"/>
    <col min="15622" max="15622" width="14" style="26" bestFit="1" customWidth="1"/>
    <col min="15623" max="15873" width="9.140625" style="26"/>
    <col min="15874" max="15874" width="3" style="26" bestFit="1" customWidth="1"/>
    <col min="15875" max="15875" width="7.140625" style="26" bestFit="1" customWidth="1"/>
    <col min="15876" max="15876" width="60.140625" style="26" bestFit="1" customWidth="1"/>
    <col min="15877" max="15877" width="16.28515625" style="26" bestFit="1" customWidth="1"/>
    <col min="15878" max="15878" width="14" style="26" bestFit="1" customWidth="1"/>
    <col min="15879" max="16129" width="9.140625" style="26"/>
    <col min="16130" max="16130" width="3" style="26" bestFit="1" customWidth="1"/>
    <col min="16131" max="16131" width="7.140625" style="26" bestFit="1" customWidth="1"/>
    <col min="16132" max="16132" width="60.140625" style="26" bestFit="1" customWidth="1"/>
    <col min="16133" max="16133" width="16.28515625" style="26" bestFit="1" customWidth="1"/>
    <col min="16134" max="16134" width="14" style="26" bestFit="1" customWidth="1"/>
    <col min="16135" max="16384" width="9.140625" style="26"/>
  </cols>
  <sheetData>
    <row r="1" spans="1:6" ht="15">
      <c r="A1" s="74"/>
      <c r="B1" s="74"/>
      <c r="C1" s="77" t="s">
        <v>190</v>
      </c>
      <c r="D1" s="77"/>
      <c r="E1" s="75"/>
      <c r="F1" s="76"/>
    </row>
    <row r="2" spans="1:6" ht="15">
      <c r="A2" s="78"/>
      <c r="B2" s="78"/>
      <c r="C2" s="79" t="s">
        <v>39</v>
      </c>
      <c r="D2" s="79"/>
      <c r="E2" s="80"/>
      <c r="F2" s="81"/>
    </row>
    <row r="3" spans="1:6" ht="15">
      <c r="A3" s="87"/>
      <c r="B3" s="87"/>
      <c r="C3" s="88" t="s">
        <v>40</v>
      </c>
      <c r="D3" s="137" t="s">
        <v>123</v>
      </c>
      <c r="E3" s="137" t="s">
        <v>41</v>
      </c>
      <c r="F3" s="137" t="s">
        <v>42</v>
      </c>
    </row>
    <row r="4" spans="1:6" ht="15">
      <c r="A4" s="123" t="s">
        <v>43</v>
      </c>
      <c r="B4" s="122" t="s">
        <v>44</v>
      </c>
      <c r="C4" s="129" t="s">
        <v>45</v>
      </c>
      <c r="D4" s="124"/>
      <c r="E4" s="124"/>
      <c r="F4" s="124"/>
    </row>
    <row r="5" spans="1:6" ht="15">
      <c r="A5" s="28"/>
      <c r="B5" s="28" t="s">
        <v>102</v>
      </c>
      <c r="C5" s="29" t="s">
        <v>427</v>
      </c>
      <c r="D5" s="30">
        <v>932847162</v>
      </c>
      <c r="E5" s="33">
        <f>15696.0985322114*100000</f>
        <v>1569609853.2211399</v>
      </c>
      <c r="F5" s="33">
        <v>0</v>
      </c>
    </row>
    <row r="6" spans="1:6" ht="15">
      <c r="A6" s="123" t="s">
        <v>46</v>
      </c>
      <c r="B6" s="122" t="s">
        <v>47</v>
      </c>
      <c r="C6" s="129" t="s">
        <v>48</v>
      </c>
      <c r="D6" s="124"/>
      <c r="E6" s="124"/>
      <c r="F6" s="124"/>
    </row>
    <row r="7" spans="1:6" ht="15">
      <c r="A7" s="123"/>
      <c r="B7" s="122" t="s">
        <v>49</v>
      </c>
      <c r="C7" s="129" t="s">
        <v>432</v>
      </c>
      <c r="D7" s="124"/>
      <c r="E7" s="124"/>
      <c r="F7" s="124"/>
    </row>
    <row r="8" spans="1:6" ht="15">
      <c r="A8" s="27"/>
      <c r="B8" s="28" t="s">
        <v>102</v>
      </c>
      <c r="C8" s="32" t="s">
        <v>428</v>
      </c>
      <c r="D8" s="33">
        <v>362704000</v>
      </c>
      <c r="E8" s="33">
        <f>8041.29*100000</f>
        <v>804129000</v>
      </c>
      <c r="F8" s="33">
        <v>0</v>
      </c>
    </row>
    <row r="9" spans="1:6" ht="15">
      <c r="A9" s="27"/>
      <c r="B9" s="28" t="s">
        <v>104</v>
      </c>
      <c r="C9" s="32" t="s">
        <v>429</v>
      </c>
      <c r="D9" s="33">
        <v>-63000</v>
      </c>
      <c r="E9" s="33">
        <f>-12.38*100000</f>
        <v>-1238000</v>
      </c>
      <c r="F9" s="33">
        <v>0</v>
      </c>
    </row>
    <row r="10" spans="1:6" ht="15">
      <c r="A10" s="27"/>
      <c r="B10" s="28" t="s">
        <v>106</v>
      </c>
      <c r="C10" s="32" t="s">
        <v>430</v>
      </c>
      <c r="D10" s="33">
        <v>-48264000</v>
      </c>
      <c r="E10" s="33">
        <f>-1755.14*100000</f>
        <v>-175514000</v>
      </c>
      <c r="F10" s="33">
        <v>0</v>
      </c>
    </row>
    <row r="11" spans="1:6" ht="15">
      <c r="A11" s="27"/>
      <c r="B11" s="139" t="s">
        <v>108</v>
      </c>
      <c r="C11" s="32" t="s">
        <v>431</v>
      </c>
      <c r="D11" s="33">
        <v>7000000</v>
      </c>
      <c r="E11" s="33">
        <f>-6.12018*100000</f>
        <v>-612018</v>
      </c>
      <c r="F11" s="33">
        <v>0</v>
      </c>
    </row>
    <row r="12" spans="1:6" ht="45">
      <c r="A12" s="123"/>
      <c r="B12" s="140" t="s">
        <v>50</v>
      </c>
      <c r="C12" s="129" t="s">
        <v>51</v>
      </c>
      <c r="D12" s="124"/>
      <c r="E12" s="124"/>
      <c r="F12" s="124"/>
    </row>
    <row r="13" spans="1:6" ht="15">
      <c r="A13" s="27"/>
      <c r="B13" s="28" t="s">
        <v>102</v>
      </c>
      <c r="C13" s="32"/>
      <c r="D13" s="33">
        <v>0</v>
      </c>
      <c r="E13" s="33">
        <v>0</v>
      </c>
      <c r="F13" s="33">
        <v>0</v>
      </c>
    </row>
    <row r="14" spans="1:6" ht="15">
      <c r="A14" s="123"/>
      <c r="B14" s="140" t="s">
        <v>52</v>
      </c>
      <c r="C14" s="129" t="s">
        <v>53</v>
      </c>
      <c r="D14" s="124"/>
      <c r="E14" s="124"/>
      <c r="F14" s="124"/>
    </row>
    <row r="15" spans="1:6" ht="15">
      <c r="A15" s="27"/>
      <c r="B15" s="28" t="s">
        <v>102</v>
      </c>
      <c r="C15" s="32" t="s">
        <v>377</v>
      </c>
      <c r="D15" s="33">
        <v>6327</v>
      </c>
      <c r="E15" s="33">
        <v>0</v>
      </c>
      <c r="F15" s="33">
        <v>0</v>
      </c>
    </row>
    <row r="16" spans="1:6" ht="15">
      <c r="A16" s="123"/>
      <c r="B16" s="140" t="s">
        <v>54</v>
      </c>
      <c r="C16" s="129" t="s">
        <v>55</v>
      </c>
      <c r="D16" s="124"/>
      <c r="E16" s="124"/>
      <c r="F16" s="124"/>
    </row>
    <row r="17" spans="1:6" ht="15">
      <c r="A17" s="27"/>
      <c r="B17" s="28"/>
      <c r="C17" s="32"/>
      <c r="D17" s="33">
        <v>0</v>
      </c>
      <c r="E17" s="33">
        <v>0</v>
      </c>
      <c r="F17" s="33">
        <v>0</v>
      </c>
    </row>
    <row r="18" spans="1:6" ht="15">
      <c r="A18" s="123"/>
      <c r="B18" s="140" t="s">
        <v>56</v>
      </c>
      <c r="C18" s="129" t="s">
        <v>57</v>
      </c>
      <c r="D18" s="124"/>
      <c r="E18" s="124"/>
      <c r="F18" s="124"/>
    </row>
    <row r="19" spans="1:6" ht="15">
      <c r="A19" s="27"/>
      <c r="B19" s="28"/>
      <c r="C19" s="32" t="s">
        <v>433</v>
      </c>
      <c r="D19" s="33">
        <v>0</v>
      </c>
      <c r="E19" s="33">
        <v>0</v>
      </c>
      <c r="F19" s="33">
        <v>0</v>
      </c>
    </row>
    <row r="20" spans="1:6" ht="30">
      <c r="A20" s="123"/>
      <c r="B20" s="140" t="s">
        <v>58</v>
      </c>
      <c r="C20" s="129" t="s">
        <v>59</v>
      </c>
      <c r="D20" s="124"/>
      <c r="E20" s="124"/>
      <c r="F20" s="124"/>
    </row>
    <row r="21" spans="1:6" ht="15">
      <c r="A21" s="27"/>
      <c r="B21" s="28"/>
      <c r="C21" s="32"/>
      <c r="D21" s="33">
        <v>0</v>
      </c>
      <c r="E21" s="33">
        <v>0</v>
      </c>
      <c r="F21" s="33">
        <v>0</v>
      </c>
    </row>
    <row r="22" spans="1:6" ht="15">
      <c r="A22" s="123"/>
      <c r="B22" s="140" t="s">
        <v>60</v>
      </c>
      <c r="C22" s="129" t="s">
        <v>61</v>
      </c>
      <c r="D22" s="124"/>
      <c r="E22" s="124"/>
      <c r="F22" s="124"/>
    </row>
    <row r="23" spans="1:6" ht="15">
      <c r="A23" s="27"/>
      <c r="B23" s="28" t="s">
        <v>102</v>
      </c>
      <c r="C23" s="32" t="s">
        <v>434</v>
      </c>
      <c r="D23" s="33">
        <f>+I.TAX!D15</f>
        <v>177511735</v>
      </c>
      <c r="E23" s="33">
        <f>+I.TAX!E15</f>
        <v>195076367</v>
      </c>
      <c r="F23" s="33">
        <v>0</v>
      </c>
    </row>
    <row r="24" spans="1:6" ht="30">
      <c r="A24" s="123"/>
      <c r="B24" s="140" t="s">
        <v>62</v>
      </c>
      <c r="C24" s="129" t="s">
        <v>63</v>
      </c>
      <c r="D24" s="124"/>
      <c r="E24" s="124"/>
      <c r="F24" s="124"/>
    </row>
    <row r="25" spans="1:6" ht="15">
      <c r="A25" s="27"/>
      <c r="B25" s="28"/>
      <c r="C25" s="32" t="s">
        <v>436</v>
      </c>
      <c r="D25" s="116">
        <v>0</v>
      </c>
      <c r="E25" s="116">
        <v>0</v>
      </c>
      <c r="F25" s="33">
        <v>0</v>
      </c>
    </row>
    <row r="26" spans="1:6" ht="30">
      <c r="A26" s="123"/>
      <c r="B26" s="140" t="s">
        <v>64</v>
      </c>
      <c r="C26" s="129" t="s">
        <v>65</v>
      </c>
      <c r="D26" s="124"/>
      <c r="E26" s="124"/>
      <c r="F26" s="124"/>
    </row>
    <row r="27" spans="1:6" ht="15">
      <c r="A27" s="27"/>
      <c r="B27" s="28"/>
      <c r="C27" s="32"/>
      <c r="D27" s="33">
        <v>0</v>
      </c>
      <c r="E27" s="33">
        <v>0</v>
      </c>
      <c r="F27" s="33">
        <v>0</v>
      </c>
    </row>
    <row r="28" spans="1:6" ht="15">
      <c r="A28" s="125" t="s">
        <v>66</v>
      </c>
      <c r="B28" s="126" t="s">
        <v>67</v>
      </c>
      <c r="C28" s="127" t="s">
        <v>68</v>
      </c>
      <c r="D28" s="128"/>
      <c r="E28" s="128"/>
      <c r="F28" s="128"/>
    </row>
    <row r="29" spans="1:6" ht="15">
      <c r="A29" s="125"/>
      <c r="B29" s="126" t="s">
        <v>64</v>
      </c>
      <c r="C29" s="127" t="s">
        <v>69</v>
      </c>
      <c r="D29" s="128"/>
      <c r="E29" s="128"/>
      <c r="F29" s="128"/>
    </row>
    <row r="30" spans="1:6" ht="15">
      <c r="A30" s="27"/>
      <c r="B30" s="28" t="s">
        <v>102</v>
      </c>
      <c r="C30" s="32"/>
      <c r="D30" s="33"/>
      <c r="E30" s="33"/>
      <c r="F30" s="33"/>
    </row>
    <row r="31" spans="1:6" ht="30">
      <c r="A31" s="125"/>
      <c r="B31" s="130" t="s">
        <v>70</v>
      </c>
      <c r="C31" s="127" t="s">
        <v>71</v>
      </c>
      <c r="D31" s="128"/>
      <c r="E31" s="128"/>
      <c r="F31" s="128"/>
    </row>
    <row r="32" spans="1:6" ht="15">
      <c r="A32" s="27"/>
      <c r="B32" s="28" t="s">
        <v>102</v>
      </c>
      <c r="C32" s="44" t="s">
        <v>412</v>
      </c>
      <c r="D32" s="116">
        <f>+I.TAX!D202</f>
        <v>-77771422</v>
      </c>
      <c r="E32" s="33">
        <f>+I.TAX!E202</f>
        <v>-113583251</v>
      </c>
      <c r="F32" s="33">
        <v>0</v>
      </c>
    </row>
    <row r="33" spans="1:6" ht="15">
      <c r="A33" s="27"/>
      <c r="B33" s="28" t="s">
        <v>104</v>
      </c>
      <c r="C33" s="44" t="s">
        <v>414</v>
      </c>
      <c r="D33" s="116">
        <f>+I.TAX!D204</f>
        <v>-111910811</v>
      </c>
      <c r="E33" s="33">
        <f>+I.TAX!E204</f>
        <v>-109204754.89</v>
      </c>
      <c r="F33" s="33">
        <v>0</v>
      </c>
    </row>
    <row r="34" spans="1:6" ht="30">
      <c r="A34" s="125"/>
      <c r="B34" s="130" t="s">
        <v>72</v>
      </c>
      <c r="C34" s="127" t="s">
        <v>73</v>
      </c>
      <c r="D34" s="128"/>
      <c r="E34" s="128"/>
      <c r="F34" s="128"/>
    </row>
    <row r="35" spans="1:6" ht="15">
      <c r="A35" s="27"/>
      <c r="B35" s="28" t="s">
        <v>102</v>
      </c>
      <c r="C35" s="32" t="s">
        <v>434</v>
      </c>
      <c r="D35" s="33">
        <f>-I.TAX!D15</f>
        <v>-177511735</v>
      </c>
      <c r="E35" s="33">
        <f>-I.TAX!E15</f>
        <v>-195076367</v>
      </c>
      <c r="F35" s="33">
        <v>0</v>
      </c>
    </row>
    <row r="36" spans="1:6" ht="45">
      <c r="A36" s="125"/>
      <c r="B36" s="130" t="s">
        <v>74</v>
      </c>
      <c r="C36" s="127" t="s">
        <v>75</v>
      </c>
      <c r="D36" s="128"/>
      <c r="E36" s="128"/>
      <c r="F36" s="128"/>
    </row>
    <row r="37" spans="1:6" ht="15">
      <c r="A37" s="27"/>
      <c r="B37" s="31"/>
      <c r="C37" s="32"/>
      <c r="D37" s="33">
        <v>0</v>
      </c>
      <c r="E37" s="33">
        <v>0</v>
      </c>
      <c r="F37" s="33">
        <v>0</v>
      </c>
    </row>
    <row r="38" spans="1:6" ht="45">
      <c r="A38" s="125"/>
      <c r="B38" s="130" t="s">
        <v>76</v>
      </c>
      <c r="C38" s="127" t="s">
        <v>77</v>
      </c>
      <c r="D38" s="128"/>
      <c r="E38" s="128"/>
      <c r="F38" s="128"/>
    </row>
    <row r="39" spans="1:6" ht="15">
      <c r="A39" s="27"/>
      <c r="B39" s="31"/>
      <c r="C39" s="32"/>
      <c r="D39" s="33">
        <v>0</v>
      </c>
      <c r="E39" s="33">
        <v>0</v>
      </c>
      <c r="F39" s="33">
        <v>0</v>
      </c>
    </row>
    <row r="40" spans="1:6" ht="15">
      <c r="A40" s="125"/>
      <c r="B40" s="130" t="s">
        <v>78</v>
      </c>
      <c r="C40" s="127" t="s">
        <v>79</v>
      </c>
      <c r="D40" s="128"/>
      <c r="E40" s="128"/>
      <c r="F40" s="128"/>
    </row>
    <row r="41" spans="1:6" ht="15">
      <c r="A41" s="125"/>
      <c r="B41" s="130" t="s">
        <v>80</v>
      </c>
      <c r="C41" s="127" t="s">
        <v>81</v>
      </c>
      <c r="D41" s="128"/>
      <c r="E41" s="128"/>
      <c r="F41" s="128"/>
    </row>
    <row r="42" spans="1:6" ht="15">
      <c r="A42" s="125"/>
      <c r="B42" s="130" t="s">
        <v>82</v>
      </c>
      <c r="C42" s="127" t="s">
        <v>83</v>
      </c>
      <c r="D42" s="128"/>
      <c r="E42" s="128"/>
      <c r="F42" s="128"/>
    </row>
    <row r="43" spans="1:6" ht="15">
      <c r="A43" s="125"/>
      <c r="B43" s="130" t="s">
        <v>84</v>
      </c>
      <c r="C43" s="127" t="s">
        <v>85</v>
      </c>
      <c r="D43" s="128"/>
      <c r="E43" s="128"/>
      <c r="F43" s="128"/>
    </row>
    <row r="44" spans="1:6" ht="15">
      <c r="A44" s="27"/>
      <c r="B44" s="31"/>
      <c r="C44" s="32"/>
      <c r="D44" s="33">
        <v>0</v>
      </c>
      <c r="E44" s="33">
        <v>0</v>
      </c>
      <c r="F44" s="33">
        <v>0</v>
      </c>
    </row>
    <row r="45" spans="1:6" ht="15">
      <c r="A45" s="125"/>
      <c r="B45" s="130" t="s">
        <v>86</v>
      </c>
      <c r="C45" s="127" t="s">
        <v>87</v>
      </c>
      <c r="D45" s="128"/>
      <c r="E45" s="128"/>
      <c r="F45" s="128"/>
    </row>
    <row r="46" spans="1:6" ht="15">
      <c r="A46" s="27"/>
      <c r="B46" s="139" t="s">
        <v>102</v>
      </c>
      <c r="C46" s="32" t="s">
        <v>436</v>
      </c>
      <c r="D46" s="33">
        <v>0</v>
      </c>
      <c r="E46" s="33">
        <v>0</v>
      </c>
      <c r="F46" s="33">
        <v>0</v>
      </c>
    </row>
    <row r="47" spans="1:6" ht="15">
      <c r="A47" s="125" t="s">
        <v>88</v>
      </c>
      <c r="B47" s="126" t="s">
        <v>89</v>
      </c>
      <c r="C47" s="127" t="s">
        <v>68</v>
      </c>
      <c r="D47" s="128"/>
      <c r="E47" s="128"/>
      <c r="F47" s="128"/>
    </row>
    <row r="48" spans="1:6" ht="15">
      <c r="A48" s="125"/>
      <c r="B48" s="126" t="s">
        <v>90</v>
      </c>
      <c r="C48" s="127" t="s">
        <v>91</v>
      </c>
      <c r="D48" s="128"/>
      <c r="E48" s="128"/>
      <c r="F48" s="128"/>
    </row>
    <row r="49" spans="1:6" ht="15">
      <c r="A49" s="125"/>
      <c r="B49" s="126" t="s">
        <v>92</v>
      </c>
      <c r="C49" s="127" t="s">
        <v>93</v>
      </c>
      <c r="D49" s="128"/>
      <c r="E49" s="128"/>
      <c r="F49" s="128"/>
    </row>
    <row r="50" spans="1:6" ht="15">
      <c r="A50" s="125"/>
      <c r="B50" s="126" t="s">
        <v>94</v>
      </c>
      <c r="C50" s="127" t="s">
        <v>95</v>
      </c>
      <c r="D50" s="128"/>
      <c r="E50" s="128"/>
      <c r="F50" s="128"/>
    </row>
    <row r="51" spans="1:6" ht="15">
      <c r="A51" s="27"/>
      <c r="B51" s="139"/>
      <c r="C51" s="32"/>
      <c r="D51" s="33">
        <v>0</v>
      </c>
      <c r="E51" s="33">
        <v>0</v>
      </c>
      <c r="F51" s="33">
        <v>0</v>
      </c>
    </row>
    <row r="52" spans="1:6" ht="30">
      <c r="A52" s="125" t="s">
        <v>96</v>
      </c>
      <c r="B52" s="130" t="s">
        <v>67</v>
      </c>
      <c r="C52" s="127" t="s">
        <v>97</v>
      </c>
      <c r="D52" s="128"/>
      <c r="E52" s="128"/>
      <c r="F52" s="128"/>
    </row>
    <row r="53" spans="1:6" ht="30">
      <c r="A53" s="27"/>
      <c r="B53" s="31" t="s">
        <v>90</v>
      </c>
      <c r="C53" s="32" t="s">
        <v>98</v>
      </c>
      <c r="D53" s="138">
        <v>-7000000</v>
      </c>
      <c r="E53" s="138">
        <f>--6.12018*100000</f>
        <v>612018</v>
      </c>
      <c r="F53" s="33">
        <v>0</v>
      </c>
    </row>
    <row r="54" spans="1:6" ht="15">
      <c r="A54" s="136" t="s">
        <v>99</v>
      </c>
      <c r="B54" s="134"/>
      <c r="C54" s="131" t="s">
        <v>435</v>
      </c>
      <c r="D54" s="135">
        <f>+SUM(D5:D53)</f>
        <v>1057548256</v>
      </c>
      <c r="E54" s="135">
        <f>+SUM(E5:E53)</f>
        <v>1974198847.33114</v>
      </c>
      <c r="F54" s="135">
        <f>+SUM(F5:F53)</f>
        <v>0</v>
      </c>
    </row>
    <row r="55" spans="1:6" ht="15">
      <c r="A55" s="34"/>
      <c r="B55" s="34"/>
      <c r="C55" s="25"/>
      <c r="D55" s="35"/>
      <c r="E55" s="35"/>
    </row>
    <row r="56" spans="1:6" ht="15">
      <c r="A56" s="123"/>
      <c r="B56" s="122"/>
      <c r="C56" s="129" t="s">
        <v>100</v>
      </c>
      <c r="D56" s="124"/>
      <c r="E56" s="124"/>
      <c r="F56" s="124"/>
    </row>
    <row r="57" spans="1:6" ht="15">
      <c r="A57" s="123"/>
      <c r="B57" s="122"/>
      <c r="C57" s="129" t="s">
        <v>101</v>
      </c>
      <c r="D57" s="124"/>
      <c r="E57" s="124"/>
      <c r="F57" s="124"/>
    </row>
    <row r="58" spans="1:6" ht="15">
      <c r="A58" s="29"/>
      <c r="B58" s="29" t="s">
        <v>102</v>
      </c>
      <c r="C58" s="29" t="s">
        <v>103</v>
      </c>
      <c r="D58" s="36">
        <v>0.1</v>
      </c>
      <c r="E58" s="36">
        <v>0.15</v>
      </c>
      <c r="F58" s="36">
        <v>0.18</v>
      </c>
    </row>
    <row r="59" spans="1:6" ht="15">
      <c r="A59" s="29"/>
      <c r="B59" s="29" t="s">
        <v>104</v>
      </c>
      <c r="C59" s="37" t="s">
        <v>105</v>
      </c>
      <c r="D59" s="36">
        <v>0</v>
      </c>
      <c r="E59" s="36">
        <v>0</v>
      </c>
      <c r="F59" s="36">
        <v>0</v>
      </c>
    </row>
    <row r="60" spans="1:6" ht="15">
      <c r="A60" s="29"/>
      <c r="B60" s="29" t="s">
        <v>106</v>
      </c>
      <c r="C60" s="29" t="s">
        <v>107</v>
      </c>
      <c r="D60" s="38">
        <v>1.8E-3</v>
      </c>
      <c r="E60" s="38">
        <v>3.0000000000000001E-3</v>
      </c>
      <c r="F60" s="38">
        <v>3.5999999999999999E-3</v>
      </c>
    </row>
    <row r="61" spans="1:6" ht="15">
      <c r="A61" s="29"/>
      <c r="B61" s="29" t="s">
        <v>108</v>
      </c>
      <c r="C61" s="29" t="s">
        <v>109</v>
      </c>
      <c r="D61" s="38">
        <v>1.5E-3</v>
      </c>
      <c r="E61" s="38">
        <v>1.5E-3</v>
      </c>
      <c r="F61" s="38">
        <v>1.8E-3</v>
      </c>
    </row>
    <row r="62" spans="1:6" ht="15">
      <c r="A62" s="29"/>
      <c r="B62" s="29" t="s">
        <v>110</v>
      </c>
      <c r="C62" s="39" t="s">
        <v>111</v>
      </c>
      <c r="D62" s="40">
        <f>+SUM(D58:D61)</f>
        <v>0.1033</v>
      </c>
      <c r="E62" s="40">
        <f>+SUM(E58:E61)</f>
        <v>0.1545</v>
      </c>
      <c r="F62" s="40">
        <f>+SUM(F58:F61)</f>
        <v>0.18539999999999998</v>
      </c>
    </row>
    <row r="63" spans="1:6" ht="15">
      <c r="A63" s="136" t="s">
        <v>425</v>
      </c>
      <c r="B63" s="133"/>
      <c r="C63" s="131" t="s">
        <v>100</v>
      </c>
      <c r="D63" s="132">
        <f>IF(+OR(D$54&lt;10000000,D$54=10000000),D$54*D$62,0)</f>
        <v>0</v>
      </c>
      <c r="E63" s="132">
        <f>IF(+OR(E$54&lt;10000000,E$54=10000000),E$54*E$62,0)</f>
        <v>0</v>
      </c>
      <c r="F63" s="132">
        <f>IF(+OR(F$54&lt;10000000,F$54=10000000),F$54*F$62,0)</f>
        <v>0</v>
      </c>
    </row>
    <row r="64" spans="1:6" ht="15">
      <c r="A64" s="123"/>
      <c r="B64" s="122"/>
      <c r="C64" s="129" t="s">
        <v>424</v>
      </c>
      <c r="D64" s="124"/>
      <c r="E64" s="124"/>
      <c r="F64" s="124"/>
    </row>
    <row r="65" spans="1:6" ht="15">
      <c r="A65" s="29"/>
      <c r="B65" s="29" t="s">
        <v>102</v>
      </c>
      <c r="C65" s="29" t="s">
        <v>103</v>
      </c>
      <c r="D65" s="36">
        <v>0.1</v>
      </c>
      <c r="E65" s="36">
        <v>0.15</v>
      </c>
      <c r="F65" s="36">
        <v>0.18</v>
      </c>
    </row>
    <row r="66" spans="1:6" ht="15">
      <c r="A66" s="29"/>
      <c r="B66" s="29" t="s">
        <v>104</v>
      </c>
      <c r="C66" s="37" t="s">
        <v>105</v>
      </c>
      <c r="D66" s="36">
        <v>0.01</v>
      </c>
      <c r="E66" s="36">
        <v>1.4999999999999999E-2</v>
      </c>
      <c r="F66" s="36">
        <v>1.35E-2</v>
      </c>
    </row>
    <row r="67" spans="1:6" ht="15">
      <c r="A67" s="29"/>
      <c r="B67" s="29" t="s">
        <v>106</v>
      </c>
      <c r="C67" s="29" t="s">
        <v>107</v>
      </c>
      <c r="D67" s="38">
        <v>1.8E-3</v>
      </c>
      <c r="E67" s="38">
        <v>3.3E-3</v>
      </c>
      <c r="F67" s="38">
        <v>3.8700000000000002E-3</v>
      </c>
    </row>
    <row r="68" spans="1:6" ht="15">
      <c r="A68" s="29"/>
      <c r="B68" s="29" t="s">
        <v>108</v>
      </c>
      <c r="C68" s="29" t="s">
        <v>109</v>
      </c>
      <c r="D68" s="38">
        <v>1.5E-3</v>
      </c>
      <c r="E68" s="38">
        <v>1.65E-3</v>
      </c>
      <c r="F68" s="41">
        <v>1.9350000000000001E-3</v>
      </c>
    </row>
    <row r="69" spans="1:6" ht="15">
      <c r="A69" s="29"/>
      <c r="B69" s="29" t="s">
        <v>110</v>
      </c>
      <c r="C69" s="29" t="s">
        <v>111</v>
      </c>
      <c r="D69" s="40">
        <f>+SUM(D65:D68)</f>
        <v>0.1133</v>
      </c>
      <c r="E69" s="40">
        <f>+SUM(E65:E68)</f>
        <v>0.16994999999999999</v>
      </c>
      <c r="F69" s="42">
        <f>+SUM(F65:F68)</f>
        <v>0.19930500000000001</v>
      </c>
    </row>
    <row r="70" spans="1:6" ht="15">
      <c r="A70" s="29"/>
      <c r="B70" s="29" t="s">
        <v>112</v>
      </c>
      <c r="C70" s="39" t="s">
        <v>100</v>
      </c>
      <c r="D70" s="30">
        <f>IF(D$54&gt;10000000,D$54*D$69,0)</f>
        <v>119820217.4048</v>
      </c>
      <c r="E70" s="30">
        <f>IF(E$54&gt;10000000,E$54*E$69,0)</f>
        <v>335515094.10392725</v>
      </c>
      <c r="F70" s="30">
        <f>IF(F$54&gt;10000000,F$54*F$69,0)</f>
        <v>0</v>
      </c>
    </row>
    <row r="71" spans="1:6" ht="15">
      <c r="A71" s="136" t="s">
        <v>426</v>
      </c>
      <c r="B71" s="133"/>
      <c r="C71" s="131" t="s">
        <v>114</v>
      </c>
      <c r="D71" s="135">
        <f>IF(D70&gt;(1500000+D$54-10000000+D$54*D$67+D$54*D$68),(1500000+D$54-10000000+D$54*D$67+D$54*D$68),D$70)</f>
        <v>119820217.4048</v>
      </c>
      <c r="E71" s="135">
        <f>IF(E70&gt;(1500000+E$54-10000000+E$54*E$67+E$54*E$68),(1500000+E$54-10000000+E$54*E$67+E$54*E$68),E$70)</f>
        <v>335515094.10392725</v>
      </c>
      <c r="F71" s="223">
        <f>IF(F70&gt;(1800000+F$54-10000000+F$54*F$67+F$54*F$68),(1800000+F$54-10000000+F$54*F$67+F$54*F$68),F$70)</f>
        <v>-8200000</v>
      </c>
    </row>
    <row r="73" spans="1:6">
      <c r="C73" s="26" t="s">
        <v>115</v>
      </c>
    </row>
    <row r="74" spans="1:6" ht="45">
      <c r="B74" s="32" t="s">
        <v>90</v>
      </c>
      <c r="C74" s="32" t="s">
        <v>116</v>
      </c>
      <c r="D74" s="89"/>
    </row>
    <row r="75" spans="1:6" ht="75">
      <c r="B75" s="32" t="s">
        <v>92</v>
      </c>
      <c r="C75" s="32" t="s">
        <v>117</v>
      </c>
      <c r="D75" s="89"/>
    </row>
  </sheetData>
  <printOptions horizontalCentered="1" verticalCentered="1"/>
  <pageMargins left="0.11811023622047245" right="0.11811023622047245" top="0.11811023622047245" bottom="0.11811023622047245" header="0.11811023622047245" footer="0.11811023622047245"/>
  <pageSetup paperSize="9" scale="92" orientation="portrait" r:id="rId1"/>
  <headerFooter>
    <oddFooter>&amp;L&amp;A&amp;F&amp;N</oddFooter>
  </headerFooter>
  <colBreaks count="1" manualBreakCount="1">
    <brk id="5" max="1048575" man="1"/>
  </colBreaks>
</worksheet>
</file>

<file path=xl/worksheets/sheet9.xml><?xml version="1.0" encoding="utf-8"?>
<worksheet xmlns="http://schemas.openxmlformats.org/spreadsheetml/2006/main" xmlns:r="http://schemas.openxmlformats.org/officeDocument/2006/relationships">
  <dimension ref="A1:J17"/>
  <sheetViews>
    <sheetView workbookViewId="0">
      <selection activeCell="E4" sqref="E4"/>
    </sheetView>
  </sheetViews>
  <sheetFormatPr defaultRowHeight="15"/>
  <cols>
    <col min="1" max="1" width="7.7109375" bestFit="1" customWidth="1"/>
    <col min="2" max="2" width="16" bestFit="1" customWidth="1"/>
    <col min="3" max="3" width="15.28515625" customWidth="1"/>
    <col min="4" max="4" width="15.28515625" bestFit="1" customWidth="1"/>
    <col min="5" max="6" width="15.28515625" customWidth="1"/>
    <col min="7" max="8" width="16" bestFit="1" customWidth="1"/>
    <col min="9" max="9" width="8.28515625" bestFit="1" customWidth="1"/>
  </cols>
  <sheetData>
    <row r="1" spans="1:10" ht="45">
      <c r="A1" s="1" t="s">
        <v>0</v>
      </c>
      <c r="B1" s="2"/>
      <c r="C1" s="2"/>
      <c r="D1" s="2"/>
      <c r="E1" s="3" t="s">
        <v>1</v>
      </c>
      <c r="F1" s="3" t="s">
        <v>1</v>
      </c>
      <c r="G1" s="3" t="s">
        <v>1</v>
      </c>
      <c r="H1" s="2"/>
      <c r="I1" s="2"/>
      <c r="J1" s="2"/>
    </row>
    <row r="2" spans="1:10" ht="45">
      <c r="A2" s="4" t="s">
        <v>2</v>
      </c>
      <c r="B2" s="5" t="s">
        <v>3</v>
      </c>
      <c r="C2" s="6" t="s">
        <v>4</v>
      </c>
      <c r="D2" s="6" t="s">
        <v>5</v>
      </c>
      <c r="E2" s="6" t="s">
        <v>842</v>
      </c>
      <c r="F2" s="7" t="s">
        <v>6</v>
      </c>
      <c r="G2" s="8" t="s">
        <v>7</v>
      </c>
      <c r="H2" s="9" t="s">
        <v>8</v>
      </c>
      <c r="I2" s="9" t="s">
        <v>9</v>
      </c>
      <c r="J2" s="9" t="s">
        <v>10</v>
      </c>
    </row>
    <row r="3" spans="1:10">
      <c r="A3" s="2" t="s">
        <v>11</v>
      </c>
      <c r="B3" s="10">
        <v>0</v>
      </c>
      <c r="C3" s="10">
        <v>0</v>
      </c>
      <c r="D3" s="10">
        <v>19415800</v>
      </c>
      <c r="E3" s="11">
        <f>+IF(C3&gt;D3,0,D3)</f>
        <v>19415800</v>
      </c>
      <c r="F3" s="11">
        <f>IF(C3-D3&gt;0,C3-D3,0)</f>
        <v>0</v>
      </c>
      <c r="G3" s="11">
        <f t="shared" ref="G3:G4" si="0">+B3+E3-F3</f>
        <v>19415800</v>
      </c>
      <c r="H3" s="2"/>
      <c r="I3" s="2"/>
      <c r="J3" s="2"/>
    </row>
    <row r="4" spans="1:10">
      <c r="A4" s="2" t="s">
        <v>12</v>
      </c>
      <c r="B4" s="10">
        <f>+G3</f>
        <v>19415800</v>
      </c>
      <c r="C4" s="10">
        <v>0</v>
      </c>
      <c r="D4" s="10">
        <v>442977720</v>
      </c>
      <c r="E4" s="11">
        <f>+IF(C4&gt;D4,0,D4)</f>
        <v>442977720</v>
      </c>
      <c r="F4" s="11">
        <f>IF(C4-D4&gt;0,C4-D4,0)</f>
        <v>0</v>
      </c>
      <c r="G4" s="11">
        <f t="shared" si="0"/>
        <v>462393520</v>
      </c>
      <c r="H4" s="12">
        <f>+E4</f>
        <v>442977720</v>
      </c>
      <c r="I4" s="2" t="s">
        <v>12</v>
      </c>
      <c r="J4" s="2" t="s">
        <v>13</v>
      </c>
    </row>
    <row r="5" spans="1:10">
      <c r="A5" s="2" t="s">
        <v>14</v>
      </c>
      <c r="B5" s="10">
        <f t="shared" ref="B5:B17" si="1">+G4</f>
        <v>462393520</v>
      </c>
      <c r="C5" s="10">
        <v>258141367</v>
      </c>
      <c r="D5" s="10">
        <v>115639914</v>
      </c>
      <c r="E5" s="11">
        <f>+IF(C5&gt;D5,0,D5)</f>
        <v>0</v>
      </c>
      <c r="F5" s="11">
        <f>IF(C5-D5&gt;0,C5-D5,0)</f>
        <v>142501453</v>
      </c>
      <c r="G5" s="11">
        <f>+B5+E5-F5</f>
        <v>319892067</v>
      </c>
      <c r="H5" s="12">
        <f>E4-(+F5-E3)</f>
        <v>319892067</v>
      </c>
      <c r="I5" s="2" t="s">
        <v>12</v>
      </c>
      <c r="J5" s="2" t="s">
        <v>13</v>
      </c>
    </row>
    <row r="6" spans="1:10">
      <c r="A6" s="2" t="s">
        <v>15</v>
      </c>
      <c r="B6" s="10">
        <f t="shared" si="1"/>
        <v>319892067</v>
      </c>
      <c r="C6" s="10">
        <v>312099201</v>
      </c>
      <c r="D6" s="10">
        <v>119820220</v>
      </c>
      <c r="E6" s="11">
        <f>+IF(C6&gt;D6,0,D6)</f>
        <v>0</v>
      </c>
      <c r="F6" s="11">
        <f>IF(C6-D6&gt;0,C6-D6,0)</f>
        <v>192278981</v>
      </c>
      <c r="G6" s="11">
        <f>+B6+E6-F6</f>
        <v>127613086</v>
      </c>
      <c r="H6" s="12">
        <f>+H5-F6</f>
        <v>127613086</v>
      </c>
      <c r="I6" s="2" t="s">
        <v>12</v>
      </c>
      <c r="J6" s="2" t="s">
        <v>13</v>
      </c>
    </row>
    <row r="7" spans="1:10">
      <c r="A7" s="2" t="s">
        <v>16</v>
      </c>
      <c r="B7" s="10">
        <f t="shared" si="1"/>
        <v>127613086</v>
      </c>
      <c r="C7" s="10">
        <f>+I.TAX!E231</f>
        <v>797099716.21743369</v>
      </c>
      <c r="D7" s="10">
        <f>+MAT115JB!E71</f>
        <v>335515094.10392725</v>
      </c>
      <c r="E7" s="11">
        <f>+IF(C7&gt;D7,0,D7)</f>
        <v>0</v>
      </c>
      <c r="F7" s="11">
        <f>IF(IF(C7-D7&gt;0,C7-D7,0)&gt;G6,G6,IF(C7-D7&gt;0,C7-D7,0))</f>
        <v>127613086</v>
      </c>
      <c r="G7" s="11">
        <f>+B7+E7-F7</f>
        <v>0</v>
      </c>
      <c r="H7" s="12">
        <f>+H6-F7</f>
        <v>0</v>
      </c>
      <c r="I7" s="2" t="s">
        <v>12</v>
      </c>
      <c r="J7" s="2" t="s">
        <v>13</v>
      </c>
    </row>
    <row r="8" spans="1:10">
      <c r="A8" s="2" t="s">
        <v>17</v>
      </c>
      <c r="B8" s="10">
        <f t="shared" si="1"/>
        <v>0</v>
      </c>
      <c r="C8" s="10"/>
      <c r="D8" s="10"/>
      <c r="E8" s="11">
        <f t="shared" ref="E8:E17" si="2">+IF(C8&gt;D8,0,D8)</f>
        <v>0</v>
      </c>
      <c r="F8" s="11">
        <f t="shared" ref="F8:F17" si="3">IF(C8-D8&gt;0,C8-D8,0)</f>
        <v>0</v>
      </c>
      <c r="G8" s="11">
        <f t="shared" ref="G8:G17" si="4">+B8+E8-F8</f>
        <v>0</v>
      </c>
      <c r="H8" s="2"/>
      <c r="I8" s="2"/>
      <c r="J8" s="2"/>
    </row>
    <row r="9" spans="1:10">
      <c r="A9" s="2" t="s">
        <v>18</v>
      </c>
      <c r="B9" s="10">
        <f t="shared" si="1"/>
        <v>0</v>
      </c>
      <c r="C9" s="10"/>
      <c r="D9" s="10"/>
      <c r="E9" s="11">
        <f t="shared" si="2"/>
        <v>0</v>
      </c>
      <c r="F9" s="11">
        <f t="shared" si="3"/>
        <v>0</v>
      </c>
      <c r="G9" s="11">
        <f t="shared" si="4"/>
        <v>0</v>
      </c>
      <c r="H9" s="2"/>
      <c r="I9" s="2"/>
      <c r="J9" s="2"/>
    </row>
    <row r="10" spans="1:10">
      <c r="A10" s="2" t="s">
        <v>19</v>
      </c>
      <c r="B10" s="10">
        <f t="shared" si="1"/>
        <v>0</v>
      </c>
      <c r="C10" s="10"/>
      <c r="D10" s="10"/>
      <c r="E10" s="11">
        <f t="shared" si="2"/>
        <v>0</v>
      </c>
      <c r="F10" s="11">
        <f t="shared" si="3"/>
        <v>0</v>
      </c>
      <c r="G10" s="11">
        <f t="shared" si="4"/>
        <v>0</v>
      </c>
      <c r="H10" s="2"/>
      <c r="I10" s="2"/>
      <c r="J10" s="2"/>
    </row>
    <row r="11" spans="1:10">
      <c r="A11" s="2" t="s">
        <v>13</v>
      </c>
      <c r="B11" s="10">
        <f t="shared" si="1"/>
        <v>0</v>
      </c>
      <c r="C11" s="10"/>
      <c r="D11" s="10"/>
      <c r="E11" s="11">
        <f t="shared" si="2"/>
        <v>0</v>
      </c>
      <c r="F11" s="11">
        <f t="shared" si="3"/>
        <v>0</v>
      </c>
      <c r="G11" s="11">
        <f t="shared" si="4"/>
        <v>0</v>
      </c>
      <c r="H11" s="2"/>
      <c r="I11" s="2"/>
      <c r="J11" s="2"/>
    </row>
    <row r="12" spans="1:10">
      <c r="A12" s="2" t="s">
        <v>20</v>
      </c>
      <c r="B12" s="10">
        <f t="shared" si="1"/>
        <v>0</v>
      </c>
      <c r="C12" s="10"/>
      <c r="D12" s="10"/>
      <c r="E12" s="11">
        <f t="shared" si="2"/>
        <v>0</v>
      </c>
      <c r="F12" s="11">
        <f t="shared" si="3"/>
        <v>0</v>
      </c>
      <c r="G12" s="11">
        <f t="shared" si="4"/>
        <v>0</v>
      </c>
      <c r="H12" s="2"/>
      <c r="I12" s="2"/>
      <c r="J12" s="2"/>
    </row>
    <row r="13" spans="1:10">
      <c r="A13" s="2" t="s">
        <v>21</v>
      </c>
      <c r="B13" s="10">
        <f t="shared" si="1"/>
        <v>0</v>
      </c>
      <c r="C13" s="10"/>
      <c r="D13" s="10"/>
      <c r="E13" s="11">
        <f t="shared" si="2"/>
        <v>0</v>
      </c>
      <c r="F13" s="11">
        <f t="shared" si="3"/>
        <v>0</v>
      </c>
      <c r="G13" s="11">
        <f t="shared" si="4"/>
        <v>0</v>
      </c>
      <c r="H13" s="2"/>
      <c r="I13" s="2"/>
      <c r="J13" s="2"/>
    </row>
    <row r="14" spans="1:10">
      <c r="A14" s="2" t="s">
        <v>22</v>
      </c>
      <c r="B14" s="10">
        <f t="shared" si="1"/>
        <v>0</v>
      </c>
      <c r="C14" s="10"/>
      <c r="D14" s="10"/>
      <c r="E14" s="11">
        <f t="shared" si="2"/>
        <v>0</v>
      </c>
      <c r="F14" s="11">
        <f t="shared" si="3"/>
        <v>0</v>
      </c>
      <c r="G14" s="11">
        <f t="shared" si="4"/>
        <v>0</v>
      </c>
      <c r="H14" s="2"/>
      <c r="I14" s="2"/>
      <c r="J14" s="2"/>
    </row>
    <row r="15" spans="1:10">
      <c r="A15" s="2" t="s">
        <v>23</v>
      </c>
      <c r="B15" s="10">
        <f t="shared" si="1"/>
        <v>0</v>
      </c>
      <c r="C15" s="10"/>
      <c r="D15" s="10"/>
      <c r="E15" s="11">
        <f t="shared" si="2"/>
        <v>0</v>
      </c>
      <c r="F15" s="11">
        <f t="shared" si="3"/>
        <v>0</v>
      </c>
      <c r="G15" s="11">
        <f t="shared" si="4"/>
        <v>0</v>
      </c>
      <c r="H15" s="2"/>
      <c r="I15" s="2"/>
      <c r="J15" s="2"/>
    </row>
    <row r="16" spans="1:10">
      <c r="A16" s="2" t="s">
        <v>24</v>
      </c>
      <c r="B16" s="10">
        <f t="shared" si="1"/>
        <v>0</v>
      </c>
      <c r="C16" s="10"/>
      <c r="D16" s="10"/>
      <c r="E16" s="11">
        <f t="shared" si="2"/>
        <v>0</v>
      </c>
      <c r="F16" s="11">
        <f t="shared" si="3"/>
        <v>0</v>
      </c>
      <c r="G16" s="11">
        <f t="shared" si="4"/>
        <v>0</v>
      </c>
      <c r="H16" s="2"/>
      <c r="I16" s="2"/>
      <c r="J16" s="2"/>
    </row>
    <row r="17" spans="1:10">
      <c r="A17" s="2" t="s">
        <v>25</v>
      </c>
      <c r="B17" s="10">
        <f t="shared" si="1"/>
        <v>0</v>
      </c>
      <c r="C17" s="10"/>
      <c r="D17" s="10"/>
      <c r="E17" s="11">
        <f t="shared" si="2"/>
        <v>0</v>
      </c>
      <c r="F17" s="11">
        <f t="shared" si="3"/>
        <v>0</v>
      </c>
      <c r="G17" s="11">
        <f t="shared" si="4"/>
        <v>0</v>
      </c>
      <c r="H17" s="2"/>
      <c r="I17" s="2"/>
      <c r="J17" s="2"/>
    </row>
  </sheetData>
  <printOptions horizontalCentered="1" verticalCentered="1"/>
  <pageMargins left="9.8425196850393706E-2" right="9.8425196850393706E-2" top="9.8425196850393706E-2" bottom="9.8425196850393706E-2" header="9.8425196850393706E-2" footer="9.8425196850393706E-2"/>
  <pageSetup paperSize="9" orientation="landscape" r:id="rId1"/>
  <headerFooter>
    <oddFooter>&amp;L&amp;A&amp;F&amp;N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14</vt:i4>
      </vt:variant>
    </vt:vector>
  </HeadingPairs>
  <TitlesOfParts>
    <vt:vector size="34" baseType="lpstr">
      <vt:lpstr>DetReqd</vt:lpstr>
      <vt:lpstr>I.TAX</vt:lpstr>
      <vt:lpstr>Notes</vt:lpstr>
      <vt:lpstr>STCG</vt:lpstr>
      <vt:lpstr>LTCG</vt:lpstr>
      <vt:lpstr>LTCASold</vt:lpstr>
      <vt:lpstr>CII</vt:lpstr>
      <vt:lpstr>MAT115JB</vt:lpstr>
      <vt:lpstr>MAT-CF115JAA</vt:lpstr>
      <vt:lpstr>CF's</vt:lpstr>
      <vt:lpstr>Sec50</vt:lpstr>
      <vt:lpstr>sections(CF)</vt:lpstr>
      <vt:lpstr>115JAA(MAT-CF)</vt:lpstr>
      <vt:lpstr>VRS35DDA</vt:lpstr>
      <vt:lpstr>MiscExp</vt:lpstr>
      <vt:lpstr>SWE</vt:lpstr>
      <vt:lpstr>MiscInc</vt:lpstr>
      <vt:lpstr>OL</vt:lpstr>
      <vt:lpstr>DepnITax</vt:lpstr>
      <vt:lpstr>Dep on NPK Plant </vt:lpstr>
      <vt:lpstr>'Dep on NPK Plant '!Print_Area</vt:lpstr>
      <vt:lpstr>DepnITax!Print_Area</vt:lpstr>
      <vt:lpstr>DetReqd!Print_Area</vt:lpstr>
      <vt:lpstr>I.TAX!Print_Area</vt:lpstr>
      <vt:lpstr>LTCASold!Print_Area</vt:lpstr>
      <vt:lpstr>LTCG!Print_Area</vt:lpstr>
      <vt:lpstr>MAT115JB!Print_Area</vt:lpstr>
      <vt:lpstr>'MAT-CF115JAA'!Print_Area</vt:lpstr>
      <vt:lpstr>MiscInc!Print_Area</vt:lpstr>
      <vt:lpstr>Notes!Print_Area</vt:lpstr>
      <vt:lpstr>STCG!Print_Area</vt:lpstr>
      <vt:lpstr>'Dep on NPK Plant '!Print_Titles</vt:lpstr>
      <vt:lpstr>I.TAX!Print_Titles</vt:lpstr>
      <vt:lpstr>MAT115JB!Print_Titles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Tulsyan</dc:creator>
  <cp:lastModifiedBy>Amit</cp:lastModifiedBy>
  <cp:lastPrinted>2010-07-14T06:52:39Z</cp:lastPrinted>
  <dcterms:created xsi:type="dcterms:W3CDTF">2010-06-23T10:40:27Z</dcterms:created>
  <dcterms:modified xsi:type="dcterms:W3CDTF">2010-07-26T10:57:56Z</dcterms:modified>
</cp:coreProperties>
</file>