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Depreciation Circular" sheetId="3" r:id="rId1"/>
    <sheet name="Format of Chart" sheetId="4" r:id="rId2"/>
    <sheet name="Notes" sheetId="6" r:id="rId3"/>
  </sheets>
  <calcPr calcId="124519"/>
</workbook>
</file>

<file path=xl/calcChain.xml><?xml version="1.0" encoding="utf-8"?>
<calcChain xmlns="http://schemas.openxmlformats.org/spreadsheetml/2006/main">
  <c r="G6" i="4"/>
  <c r="F6"/>
  <c r="H6"/>
  <c r="S22"/>
  <c r="S17"/>
  <c r="S14"/>
  <c r="S13"/>
  <c r="S10"/>
  <c r="S7"/>
  <c r="S6"/>
  <c r="M22"/>
  <c r="M21"/>
  <c r="M20"/>
  <c r="M17"/>
  <c r="M14"/>
  <c r="M13"/>
  <c r="M10"/>
  <c r="M8"/>
  <c r="M7"/>
  <c r="M6"/>
  <c r="L21"/>
  <c r="L22"/>
  <c r="L20"/>
  <c r="L17"/>
  <c r="L14"/>
  <c r="L13"/>
  <c r="L10"/>
  <c r="L8"/>
  <c r="L7"/>
  <c r="L6"/>
  <c r="Q22"/>
  <c r="Q21"/>
  <c r="S21" s="1"/>
  <c r="Q20"/>
  <c r="S20" s="1"/>
  <c r="Q17"/>
  <c r="Q14"/>
  <c r="Q13"/>
  <c r="Q10"/>
  <c r="Q8"/>
  <c r="S8" s="1"/>
  <c r="Q7"/>
  <c r="Q6"/>
  <c r="I29"/>
  <c r="I22"/>
  <c r="I21"/>
  <c r="I20"/>
  <c r="I17"/>
  <c r="I14"/>
  <c r="I13"/>
  <c r="I10"/>
  <c r="I8"/>
  <c r="I7"/>
  <c r="I6"/>
  <c r="I32"/>
  <c r="I33" s="1"/>
  <c r="J31"/>
  <c r="K29"/>
  <c r="H29"/>
  <c r="F29"/>
  <c r="G29" s="1"/>
  <c r="J29" s="1"/>
  <c r="L33" s="1"/>
  <c r="R22"/>
  <c r="R21"/>
  <c r="R20"/>
  <c r="R17"/>
  <c r="R14"/>
  <c r="R13"/>
  <c r="R7"/>
  <c r="R6"/>
  <c r="K20"/>
  <c r="K22"/>
  <c r="H22"/>
  <c r="F22"/>
  <c r="G22" s="1"/>
  <c r="K21"/>
  <c r="H21"/>
  <c r="F21"/>
  <c r="G21" s="1"/>
  <c r="H20"/>
  <c r="F20"/>
  <c r="G20" s="1"/>
  <c r="K17"/>
  <c r="H17"/>
  <c r="F17"/>
  <c r="G17" s="1"/>
  <c r="K14"/>
  <c r="H14"/>
  <c r="F14"/>
  <c r="G14" s="1"/>
  <c r="K13"/>
  <c r="H13"/>
  <c r="F13"/>
  <c r="G13" s="1"/>
  <c r="K10"/>
  <c r="H10"/>
  <c r="F10"/>
  <c r="G10" s="1"/>
  <c r="K8"/>
  <c r="H8"/>
  <c r="F8"/>
  <c r="G8" s="1"/>
  <c r="K7"/>
  <c r="H7"/>
  <c r="F7"/>
  <c r="G7" s="1"/>
  <c r="K6"/>
  <c r="S24" l="1"/>
  <c r="L29"/>
  <c r="M29" s="1"/>
  <c r="K31"/>
  <c r="L31" s="1"/>
  <c r="M31" s="1"/>
  <c r="Q24"/>
  <c r="R10"/>
  <c r="J8"/>
  <c r="J13"/>
  <c r="J14"/>
  <c r="J20"/>
  <c r="J21"/>
  <c r="J22"/>
  <c r="J6"/>
  <c r="J7"/>
  <c r="J10"/>
  <c r="J17"/>
  <c r="R8" l="1"/>
  <c r="R24" s="1"/>
  <c r="L24"/>
  <c r="M24"/>
</calcChain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rPr>
            <sz val="9"/>
            <color indexed="81"/>
            <rFont val="Tahoma"/>
            <family val="2"/>
          </rPr>
          <t>Enter the opening WDV as on 01/04/2014 or Cost of purchase in case of purchase of asset in current year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be estimated by management and must be less than or equal to 5% of Cost of asset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If sale of any asset is applicable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If sale of any asset is applicable</t>
        </r>
      </text>
    </comment>
    <comment ref="P5" authorId="0">
      <text>
        <r>
          <rPr>
            <sz val="10"/>
            <color indexed="81"/>
            <rFont val="Tahoma"/>
            <family val="2"/>
          </rPr>
          <t>To be determined by management whether to write off at the end of usefull life of asset or there after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<sst xmlns="http://schemas.openxmlformats.org/spreadsheetml/2006/main" count="69" uniqueCount="69">
  <si>
    <t>Heading of Assets</t>
  </si>
  <si>
    <t>Date of Purchase</t>
  </si>
  <si>
    <t>Cost</t>
  </si>
  <si>
    <t>Opening WDV or Cost</t>
  </si>
  <si>
    <t>Residual Life</t>
  </si>
  <si>
    <t>No of  years asset used</t>
  </si>
  <si>
    <t>No of years remaining</t>
  </si>
  <si>
    <t>Date of scrapping</t>
  </si>
  <si>
    <t xml:space="preserve">Residual Value </t>
  </si>
  <si>
    <t>Rate of Depreciation %</t>
  </si>
  <si>
    <t>No of days Used in the year</t>
  </si>
  <si>
    <t>Depreciation for the year</t>
  </si>
  <si>
    <t>WDV as on 31/03/2015</t>
  </si>
  <si>
    <t>Sale Value</t>
  </si>
  <si>
    <t>Date of Sale</t>
  </si>
  <si>
    <t>Furniture</t>
  </si>
  <si>
    <t>Motor Car</t>
  </si>
  <si>
    <t>Office Equipment</t>
  </si>
  <si>
    <t>Electrical Equipments</t>
  </si>
  <si>
    <t>a) Type of each individual Asset</t>
  </si>
  <si>
    <r>
      <t xml:space="preserve">c) </t>
    </r>
    <r>
      <rPr>
        <b/>
        <sz val="12"/>
        <color theme="1"/>
        <rFont val="Times New Roman"/>
        <family val="1"/>
      </rPr>
      <t>Cost</t>
    </r>
    <r>
      <rPr>
        <sz val="12"/>
        <color theme="1"/>
        <rFont val="Times New Roman"/>
        <family val="1"/>
      </rPr>
      <t xml:space="preserve"> at which asset purchased</t>
    </r>
  </si>
  <si>
    <t xml:space="preserve">          1) shall not exceed 5% of original cost </t>
  </si>
  <si>
    <r>
      <t xml:space="preserve">f) Date and amount of Sale or scrap in current year, </t>
    </r>
    <r>
      <rPr>
        <b/>
        <sz val="12"/>
        <color theme="1"/>
        <rFont val="Times New Roman"/>
        <family val="1"/>
      </rPr>
      <t>if any</t>
    </r>
  </si>
  <si>
    <t>Telephone</t>
  </si>
  <si>
    <t>Air Conditioner</t>
  </si>
  <si>
    <t>Plant and Machinery</t>
  </si>
  <si>
    <t>SPECIMEN OF DEPRECIATION STATEMENT (AS PER AMENDED COMPANY LAW)</t>
  </si>
  <si>
    <t>Amount of Depreciation can be changed by reworking the residual value of the asset.</t>
  </si>
  <si>
    <r>
      <t>b) Date of Purchase of each individual asset-</t>
    </r>
    <r>
      <rPr>
        <b/>
        <sz val="12"/>
        <color theme="1"/>
        <rFont val="Times New Roman"/>
        <family val="1"/>
      </rPr>
      <t>old and new</t>
    </r>
  </si>
  <si>
    <t xml:space="preserve">          3) cannot exceed the opening WDV as on 01/04/2014</t>
  </si>
  <si>
    <r>
      <t xml:space="preserve">d) Opening WDV of </t>
    </r>
    <r>
      <rPr>
        <b/>
        <sz val="12"/>
        <color theme="1"/>
        <rFont val="Times New Roman"/>
        <family val="1"/>
      </rPr>
      <t>individual</t>
    </r>
    <r>
      <rPr>
        <sz val="12"/>
        <color theme="1"/>
        <rFont val="Times New Roman"/>
        <family val="1"/>
      </rPr>
      <t xml:space="preserve"> asset as on 01/04/2014</t>
    </r>
  </si>
  <si>
    <r>
      <t xml:space="preserve">Following are the requirements for computing </t>
    </r>
    <r>
      <rPr>
        <b/>
        <i/>
        <sz val="12"/>
        <color theme="1"/>
        <rFont val="Times New Roman"/>
        <family val="1"/>
      </rPr>
      <t>DEPRECIATION</t>
    </r>
    <r>
      <rPr>
        <b/>
        <sz val="12"/>
        <color theme="1"/>
        <rFont val="Times New Roman"/>
        <family val="1"/>
      </rPr>
      <t xml:space="preserve"> for the year ended 31/03/2015 </t>
    </r>
  </si>
  <si>
    <t>(As per Schedule II of Companies Act, 2013)</t>
  </si>
  <si>
    <t>e) Estimate the Residual Value/Scrap value of asset, subject to following conditions</t>
  </si>
  <si>
    <t>Written off</t>
  </si>
  <si>
    <t>W/O VALUE</t>
  </si>
  <si>
    <t>Profit/(Loss) on Sale</t>
  </si>
  <si>
    <t>YES</t>
  </si>
  <si>
    <t xml:space="preserve">          2) cannot be Nil</t>
  </si>
  <si>
    <r>
      <t xml:space="preserve">g) Also provide us the details of any asset you plan to </t>
    </r>
    <r>
      <rPr>
        <b/>
        <sz val="12"/>
        <color theme="1"/>
        <rFont val="Times New Roman"/>
        <family val="1"/>
      </rPr>
      <t>write off</t>
    </r>
    <r>
      <rPr>
        <sz val="12"/>
        <color theme="1"/>
        <rFont val="Times New Roman"/>
        <family val="1"/>
      </rPr>
      <t xml:space="preserve"> during the year ended.</t>
    </r>
  </si>
  <si>
    <t>(It is possible to write off those assets which has closing WDV same as the residual value.)</t>
  </si>
  <si>
    <t>WDV BEFORE SALE OR W/O</t>
  </si>
  <si>
    <t>NOTES:</t>
  </si>
  <si>
    <r>
      <rPr>
        <b/>
        <sz val="11"/>
        <color theme="1"/>
        <rFont val="Calibri"/>
        <family val="2"/>
        <scheme val="minor"/>
      </rPr>
      <t>Residual value</t>
    </r>
    <r>
      <rPr>
        <sz val="11"/>
        <color theme="1"/>
        <rFont val="Calibri"/>
        <family val="2"/>
        <scheme val="minor"/>
      </rPr>
      <t xml:space="preserve"> can not go below Rs.100 </t>
    </r>
  </si>
  <si>
    <t>It must be maximum 5% of Cost of asset</t>
  </si>
  <si>
    <t>But subject to maximum of Opening WDV as at 01/04/2014</t>
  </si>
  <si>
    <t>This value is to be determined by management</t>
  </si>
  <si>
    <r>
      <rPr>
        <b/>
        <sz val="11"/>
        <color theme="1"/>
        <rFont val="Calibri"/>
        <family val="2"/>
        <scheme val="minor"/>
      </rPr>
      <t>Opening WDV</t>
    </r>
    <r>
      <rPr>
        <sz val="11"/>
        <color theme="1"/>
        <rFont val="Calibri"/>
        <family val="2"/>
        <scheme val="minor"/>
      </rPr>
      <t xml:space="preserve"> of asset is as per Companies Act, 1956</t>
    </r>
  </si>
  <si>
    <t xml:space="preserve">In case of purchase of asset in the current year, cost of asset must be entered in </t>
  </si>
  <si>
    <t>both the column cost as well as column named as "opening wdv or cost".</t>
  </si>
  <si>
    <r>
      <rPr>
        <b/>
        <sz val="11"/>
        <color theme="1"/>
        <rFont val="Calibri"/>
        <family val="2"/>
        <scheme val="minor"/>
      </rPr>
      <t>Residual life</t>
    </r>
    <r>
      <rPr>
        <sz val="11"/>
        <color theme="1"/>
        <rFont val="Calibri"/>
        <family val="2"/>
        <scheme val="minor"/>
      </rPr>
      <t xml:space="preserve"> is as per Schedule II of Companies Act, 2013</t>
    </r>
  </si>
  <si>
    <t>Assets must be classified under the headings specified in Schedule II</t>
  </si>
  <si>
    <r>
      <rPr>
        <b/>
        <sz val="11"/>
        <color theme="1"/>
        <rFont val="Calibri"/>
        <family val="2"/>
        <scheme val="minor"/>
      </rPr>
      <t>No of years used</t>
    </r>
    <r>
      <rPr>
        <sz val="11"/>
        <color theme="1"/>
        <rFont val="Calibri"/>
        <family val="2"/>
        <scheme val="minor"/>
      </rPr>
      <t xml:space="preserve"> are calculated till the date of 01/04/2014 from the date of </t>
    </r>
  </si>
  <si>
    <t>purchase of asset</t>
  </si>
  <si>
    <r>
      <rPr>
        <b/>
        <sz val="11"/>
        <color theme="1"/>
        <rFont val="Calibri"/>
        <family val="2"/>
        <scheme val="minor"/>
      </rPr>
      <t>Rate of Depreciation</t>
    </r>
    <r>
      <rPr>
        <sz val="11"/>
        <color theme="1"/>
        <rFont val="Calibri"/>
        <family val="2"/>
        <scheme val="minor"/>
      </rPr>
      <t xml:space="preserve"> is calculated as per WDV method</t>
    </r>
  </si>
  <si>
    <t>Sale of asset</t>
  </si>
  <si>
    <t>In case of sale of asset in current year, enter the date of sale and value of sale</t>
  </si>
  <si>
    <t>SPECIAL NOTES</t>
  </si>
  <si>
    <t>Please do not enter anything in the column of "Date of sale" unless there is sale of asset.</t>
  </si>
  <si>
    <t xml:space="preserve">Please do not charge any depreciation in subsequent years for which WDV </t>
  </si>
  <si>
    <t>as on 31/03/2015 is same as residual value or scrape value.</t>
  </si>
  <si>
    <t>Please also note that management has to decide that the asset whose life has been ended already</t>
  </si>
  <si>
    <t>or it is over used then the residual value is to be written off in the current year or to be written off</t>
  </si>
  <si>
    <t>in the year in which the asset is scraped out or sold.</t>
  </si>
  <si>
    <t>If the management want that particular asset is to be written off during the year then just enter</t>
  </si>
  <si>
    <r>
      <rPr>
        <b/>
        <i/>
        <sz val="11"/>
        <color rgb="FF002060"/>
        <rFont val="Calibri"/>
        <family val="2"/>
        <scheme val="minor"/>
      </rPr>
      <t>"YES"</t>
    </r>
    <r>
      <rPr>
        <b/>
        <i/>
        <sz val="11"/>
        <color rgb="FFFF0000"/>
        <rFont val="Calibri"/>
        <family val="2"/>
        <scheme val="minor"/>
      </rPr>
      <t xml:space="preserve"> in column named as </t>
    </r>
    <r>
      <rPr>
        <b/>
        <i/>
        <sz val="11"/>
        <color rgb="FF002060"/>
        <rFont val="Calibri"/>
        <family val="2"/>
        <scheme val="minor"/>
      </rPr>
      <t>"Written off" otherwise don't write anything in this column.</t>
    </r>
  </si>
  <si>
    <t>The total Depreciation for the year will be the total of column "Depreciation for the year" and</t>
  </si>
  <si>
    <t>"Written off".</t>
  </si>
  <si>
    <t>Please take the depreciation for shift basis assets as per additional rates to this chart.</t>
  </si>
</sst>
</file>

<file path=xl/styles.xml><?xml version="1.0" encoding="utf-8"?>
<styleSheet xmlns="http://schemas.openxmlformats.org/spreadsheetml/2006/main">
  <numFmts count="1">
    <numFmt numFmtId="164" formatCode="dd/mm/yyyy;@"/>
  </numFmts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u/>
      <sz val="12"/>
      <color rgb="FFFF0000"/>
      <name val="Times New Roman"/>
      <family val="1"/>
    </font>
    <font>
      <sz val="10"/>
      <color indexed="81"/>
      <name val="Tahoma"/>
      <family val="2"/>
    </font>
    <font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2" fontId="1" fillId="0" borderId="0" xfId="0" applyNumberFormat="1" applyFont="1"/>
    <xf numFmtId="0" fontId="1" fillId="0" borderId="0" xfId="0" applyFont="1" applyFill="1"/>
    <xf numFmtId="2" fontId="1" fillId="0" borderId="1" xfId="0" applyNumberFormat="1" applyFont="1" applyBorder="1"/>
    <xf numFmtId="0" fontId="2" fillId="0" borderId="0" xfId="0" applyFont="1" applyFill="1" applyAlignment="1">
      <alignment horizontal="center" vertical="top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7"/>
  <sheetViews>
    <sheetView workbookViewId="0">
      <selection activeCell="A8" sqref="A8"/>
    </sheetView>
  </sheetViews>
  <sheetFormatPr defaultRowHeight="15.75"/>
  <cols>
    <col min="1" max="8" width="9.140625" style="1"/>
    <col min="9" max="9" width="17.140625" style="1" customWidth="1"/>
    <col min="10" max="16384" width="9.140625" style="1"/>
  </cols>
  <sheetData>
    <row r="2" spans="1:1">
      <c r="A2" s="8" t="s">
        <v>31</v>
      </c>
    </row>
    <row r="3" spans="1:1">
      <c r="A3" s="8" t="s">
        <v>32</v>
      </c>
    </row>
    <row r="4" spans="1:1">
      <c r="A4" s="8"/>
    </row>
    <row r="5" spans="1:1">
      <c r="A5" s="1" t="s">
        <v>19</v>
      </c>
    </row>
    <row r="6" spans="1:1">
      <c r="A6" s="1" t="s">
        <v>28</v>
      </c>
    </row>
    <row r="7" spans="1:1">
      <c r="A7" s="1" t="s">
        <v>20</v>
      </c>
    </row>
    <row r="8" spans="1:1">
      <c r="A8" s="1" t="s">
        <v>30</v>
      </c>
    </row>
    <row r="9" spans="1:1">
      <c r="A9" s="1" t="s">
        <v>33</v>
      </c>
    </row>
    <row r="10" spans="1:1">
      <c r="A10" s="1" t="s">
        <v>21</v>
      </c>
    </row>
    <row r="11" spans="1:1">
      <c r="A11" s="1" t="s">
        <v>38</v>
      </c>
    </row>
    <row r="12" spans="1:1">
      <c r="A12" s="1" t="s">
        <v>29</v>
      </c>
    </row>
    <row r="13" spans="1:1">
      <c r="A13" s="1" t="s">
        <v>22</v>
      </c>
    </row>
    <row r="14" spans="1:1">
      <c r="A14" s="1" t="s">
        <v>39</v>
      </c>
    </row>
    <row r="15" spans="1:1">
      <c r="A15" s="15" t="s">
        <v>40</v>
      </c>
    </row>
    <row r="16" spans="1:1">
      <c r="A16" s="15"/>
    </row>
    <row r="17" spans="1:1">
      <c r="A17" s="13" t="s">
        <v>27</v>
      </c>
    </row>
  </sheetData>
  <pageMargins left="0.7" right="0.6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134"/>
  <sheetViews>
    <sheetView topLeftCell="B1" zoomScale="85" zoomScaleNormal="85" workbookViewId="0">
      <pane ySplit="5" topLeftCell="A6" activePane="bottomLeft" state="frozen"/>
      <selection pane="bottomLeft" activeCell="J6" sqref="J6"/>
    </sheetView>
  </sheetViews>
  <sheetFormatPr defaultRowHeight="15.75"/>
  <cols>
    <col min="1" max="1" width="24.7109375" style="1" customWidth="1"/>
    <col min="2" max="2" width="18.7109375" style="2" bestFit="1" customWidth="1"/>
    <col min="3" max="3" width="18.7109375" style="1" customWidth="1"/>
    <col min="4" max="4" width="14.28515625" style="1" customWidth="1"/>
    <col min="5" max="5" width="14" style="1" bestFit="1" customWidth="1"/>
    <col min="6" max="7" width="14" style="1" customWidth="1"/>
    <col min="8" max="8" width="14.42578125" style="2" customWidth="1"/>
    <col min="9" max="9" width="15.7109375" style="1" bestFit="1" customWidth="1"/>
    <col min="10" max="10" width="14" style="1" customWidth="1"/>
    <col min="11" max="11" width="12.140625" style="1" customWidth="1"/>
    <col min="12" max="13" width="13.28515625" style="1" customWidth="1"/>
    <col min="14" max="14" width="12.140625" style="1" customWidth="1"/>
    <col min="15" max="15" width="12.7109375" style="2" bestFit="1" customWidth="1"/>
    <col min="16" max="16" width="9.140625" style="1"/>
    <col min="17" max="17" width="10" style="1" bestFit="1" customWidth="1"/>
    <col min="18" max="18" width="11.5703125" style="1" bestFit="1" customWidth="1"/>
    <col min="19" max="19" width="12.28515625" style="1" customWidth="1"/>
    <col min="20" max="16384" width="9.140625" style="1"/>
  </cols>
  <sheetData>
    <row r="2" spans="1:19" ht="18.75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4.25" customHeight="1"/>
    <row r="4" spans="1:19" ht="3" customHeight="1">
      <c r="D4" s="2">
        <v>41729</v>
      </c>
      <c r="M4" s="2">
        <v>42094</v>
      </c>
    </row>
    <row r="5" spans="1:19" ht="81.75" customHeight="1">
      <c r="A5" s="3" t="s">
        <v>0</v>
      </c>
      <c r="B5" s="4" t="s">
        <v>1</v>
      </c>
      <c r="C5" s="3" t="s">
        <v>2</v>
      </c>
      <c r="D5" s="5" t="s">
        <v>3</v>
      </c>
      <c r="E5" s="3" t="s">
        <v>4</v>
      </c>
      <c r="F5" s="5" t="s">
        <v>5</v>
      </c>
      <c r="G5" s="5" t="s">
        <v>6</v>
      </c>
      <c r="H5" s="6" t="s">
        <v>7</v>
      </c>
      <c r="I5" s="12" t="s">
        <v>8</v>
      </c>
      <c r="J5" s="7" t="s">
        <v>9</v>
      </c>
      <c r="K5" s="5" t="s">
        <v>10</v>
      </c>
      <c r="L5" s="5" t="s">
        <v>11</v>
      </c>
      <c r="M5" s="5" t="s">
        <v>41</v>
      </c>
      <c r="N5" s="3" t="s">
        <v>13</v>
      </c>
      <c r="O5" s="4" t="s">
        <v>14</v>
      </c>
      <c r="P5" s="5" t="s">
        <v>34</v>
      </c>
      <c r="Q5" s="5" t="s">
        <v>35</v>
      </c>
      <c r="R5" s="5" t="s">
        <v>36</v>
      </c>
      <c r="S5" s="16" t="s">
        <v>12</v>
      </c>
    </row>
    <row r="6" spans="1:19">
      <c r="A6" s="8" t="s">
        <v>15</v>
      </c>
      <c r="B6" s="2">
        <v>35155</v>
      </c>
      <c r="C6" s="9">
        <v>1354713.82</v>
      </c>
      <c r="D6" s="9">
        <v>42035.945837968211</v>
      </c>
      <c r="E6" s="1">
        <v>10</v>
      </c>
      <c r="F6" s="9">
        <f>($D$4-B6)/365</f>
        <v>18.010958904109589</v>
      </c>
      <c r="G6" s="9">
        <f>MIN(E6-F6,E6)</f>
        <v>-8.0109589041095894</v>
      </c>
      <c r="H6" s="2">
        <f>(E6*365)+B6+1</f>
        <v>38806</v>
      </c>
      <c r="I6" s="9">
        <f>MIN($C6*5%,$D6)</f>
        <v>42035.945837968211</v>
      </c>
      <c r="J6" s="9">
        <f t="shared" ref="J6:J8" si="0">MAX(0,IF($G6&lt;1,($D6-$I6)/$D6%,(1-(($I6/$D6)^(1/$G6)))*100))</f>
        <v>0</v>
      </c>
      <c r="K6" s="1">
        <f>IF((O6-$D$4)&gt;0,MIN(O6-$D$4,O6-B6),MIN(MAX($D$4-B6,$M$4-B6),365))</f>
        <v>365</v>
      </c>
      <c r="L6" s="9">
        <f>D6*J6*K6/365/100</f>
        <v>0</v>
      </c>
      <c r="M6" s="9">
        <f>D6-L6</f>
        <v>42035.945837968211</v>
      </c>
      <c r="P6" s="14"/>
      <c r="Q6" s="9">
        <f>IF(AND($N6&lt;1,$G6&lt;1),SUMIF($P6,"YES",$I6),0)</f>
        <v>0</v>
      </c>
      <c r="R6" s="9">
        <f>IF(ISBLANK($O6),0,$N6-$M6)</f>
        <v>0</v>
      </c>
      <c r="S6" s="9">
        <f>M6-N6+R6-Q6</f>
        <v>42035.945837968211</v>
      </c>
    </row>
    <row r="7" spans="1:19">
      <c r="B7" s="2">
        <v>39172</v>
      </c>
      <c r="C7" s="9">
        <v>1322347</v>
      </c>
      <c r="D7" s="9">
        <v>373253.40835119522</v>
      </c>
      <c r="E7" s="1">
        <v>10</v>
      </c>
      <c r="F7" s="9">
        <f>($D$4-B7)/365-0.01</f>
        <v>6.9954794520547949</v>
      </c>
      <c r="G7" s="9">
        <f t="shared" ref="G7:G8" si="1">MIN(E7-F7,E7)</f>
        <v>3.0045205479452051</v>
      </c>
      <c r="H7" s="2">
        <f>(E7*365)+B7+2</f>
        <v>42824</v>
      </c>
      <c r="I7" s="9">
        <f>MIN($C7*5%,$D7)</f>
        <v>66117.350000000006</v>
      </c>
      <c r="J7" s="9">
        <f t="shared" si="0"/>
        <v>43.789919002391954</v>
      </c>
      <c r="K7" s="1">
        <f>IF((O7-$D$4)&gt;0,MIN(O7-$D$4,O7-B7),MIN(MAX($D$4-B7,$M$4-B7),365))</f>
        <v>365</v>
      </c>
      <c r="L7" s="9">
        <f>D7*J7*K7/365/100</f>
        <v>163447.36519065569</v>
      </c>
      <c r="M7" s="9">
        <f t="shared" ref="M7:M8" si="2">D7-L7</f>
        <v>209806.04316053953</v>
      </c>
      <c r="P7" s="14"/>
      <c r="Q7" s="9">
        <f>IF(AND($N7&lt;1,$G7&lt;1),SUMIF($P7,"YES",$I7),0)</f>
        <v>0</v>
      </c>
      <c r="R7" s="9">
        <f t="shared" ref="R7:R22" si="3">IF(ISBLANK($O7),0,$N7-$M7)</f>
        <v>0</v>
      </c>
      <c r="S7" s="9">
        <f>M7-N7+R7-Q7</f>
        <v>209806.04316053953</v>
      </c>
    </row>
    <row r="8" spans="1:19">
      <c r="B8" s="2">
        <v>40850</v>
      </c>
      <c r="C8" s="9">
        <v>360500</v>
      </c>
      <c r="D8" s="9">
        <v>223871.79229983903</v>
      </c>
      <c r="E8" s="1">
        <v>10</v>
      </c>
      <c r="F8" s="9">
        <f>($D$4-B8)/365</f>
        <v>2.408219178082192</v>
      </c>
      <c r="G8" s="9">
        <f t="shared" si="1"/>
        <v>7.5917808219178085</v>
      </c>
      <c r="H8" s="2">
        <f>(E8*365)+B8+2</f>
        <v>44502</v>
      </c>
      <c r="I8" s="9">
        <f>MIN($C8*5%,$D8)</f>
        <v>18025</v>
      </c>
      <c r="J8" s="9">
        <f t="shared" si="0"/>
        <v>28.240328627071609</v>
      </c>
      <c r="K8" s="1">
        <f>IF((O8-$D$4)&gt;0,MIN(O8-$D$4,O8-B8),MIN(MAX($D$4-B8,$M$4-B8),365))</f>
        <v>183</v>
      </c>
      <c r="L8" s="9">
        <f>D8*J8*K8/365/100</f>
        <v>31697.67058172197</v>
      </c>
      <c r="M8" s="9">
        <f t="shared" si="2"/>
        <v>192174.12171811707</v>
      </c>
      <c r="N8" s="1">
        <v>200000</v>
      </c>
      <c r="O8" s="2">
        <v>41912</v>
      </c>
      <c r="P8" s="14"/>
      <c r="Q8" s="9">
        <f>IF(AND($N8&lt;1,$G8&lt;1),SUMIF($P8,"YES",$I8),0)</f>
        <v>0</v>
      </c>
      <c r="R8" s="9">
        <f t="shared" si="3"/>
        <v>7825.878281882935</v>
      </c>
      <c r="S8" s="9">
        <f>M8-N8+R8-Q8</f>
        <v>0</v>
      </c>
    </row>
    <row r="9" spans="1:19">
      <c r="C9" s="9"/>
      <c r="P9" s="14"/>
      <c r="Q9" s="9"/>
      <c r="R9" s="9"/>
    </row>
    <row r="10" spans="1:19">
      <c r="A10" s="8" t="s">
        <v>16</v>
      </c>
      <c r="B10" s="2">
        <v>40654</v>
      </c>
      <c r="C10" s="9">
        <v>1112982</v>
      </c>
      <c r="D10" s="9">
        <v>467723.00169539382</v>
      </c>
      <c r="E10" s="1">
        <v>8</v>
      </c>
      <c r="F10" s="9">
        <f>($D$4-B10)/365</f>
        <v>2.9452054794520546</v>
      </c>
      <c r="G10" s="9">
        <f>MIN(E10-F10,E10)</f>
        <v>5.0547945205479454</v>
      </c>
      <c r="H10" s="2">
        <f>(E10*365)+B10+1</f>
        <v>43575</v>
      </c>
      <c r="I10" s="9">
        <f>MIN($C10*5%,$D10)</f>
        <v>55649.100000000006</v>
      </c>
      <c r="J10" s="9">
        <f>MAX(0,IF($G10&lt;1,($D10-$I10)/$D10%,(1-(($I10/$D10)^(1/$G10)))*100))</f>
        <v>34.370622386487504</v>
      </c>
      <c r="K10" s="1">
        <f>IF((O10-$D$4)&gt;0,MIN(O10-$D$4,O10-B10),MIN(MAX($D$4-B10,$M$4-B10),365))</f>
        <v>365</v>
      </c>
      <c r="L10" s="9">
        <f>D10*J10*K10/365/100</f>
        <v>160759.30672746836</v>
      </c>
      <c r="M10" s="9">
        <f>D10-L10</f>
        <v>306963.69496792543</v>
      </c>
      <c r="P10" s="14"/>
      <c r="Q10" s="9">
        <f>IF(AND($N10&lt;1,$G10&lt;1),SUMIF($P10,"YES",$I10),0)</f>
        <v>0</v>
      </c>
      <c r="R10" s="9">
        <f t="shared" si="3"/>
        <v>0</v>
      </c>
      <c r="S10" s="9">
        <f>M10-N10+R10-Q10</f>
        <v>306963.69496792543</v>
      </c>
    </row>
    <row r="11" spans="1:19">
      <c r="C11" s="9"/>
      <c r="P11" s="14"/>
      <c r="Q11" s="9"/>
      <c r="R11" s="9"/>
    </row>
    <row r="12" spans="1:19">
      <c r="A12" s="8" t="s">
        <v>17</v>
      </c>
      <c r="C12" s="9"/>
      <c r="P12" s="14"/>
      <c r="Q12" s="9"/>
      <c r="R12" s="9"/>
    </row>
    <row r="13" spans="1:19">
      <c r="A13" s="1" t="s">
        <v>23</v>
      </c>
      <c r="B13" s="2">
        <v>36206</v>
      </c>
      <c r="C13" s="9">
        <v>11600</v>
      </c>
      <c r="D13" s="9">
        <v>1205.52</v>
      </c>
      <c r="E13" s="1">
        <v>5</v>
      </c>
      <c r="F13" s="9">
        <f>($D$4-B13)/365</f>
        <v>15.131506849315068</v>
      </c>
      <c r="G13" s="9">
        <f>MIN(E13-F13,E13)</f>
        <v>-10.131506849315068</v>
      </c>
      <c r="H13" s="2">
        <f>(E13*365)+B13</f>
        <v>38031</v>
      </c>
      <c r="I13" s="9">
        <f>MIN($C13*5%,$D13)</f>
        <v>580</v>
      </c>
      <c r="J13" s="9">
        <f>MAX(0,IF($G13&lt;1,($D13-$I13)/$D13%,(1-(($I13/$D13)^(1/$G13)))*100))</f>
        <v>51.887981949698059</v>
      </c>
      <c r="K13" s="1">
        <f>IF((O13-$D$4)&gt;0,MIN(O13-$D$4,O13-B13),MIN(MAX($D$4-B13,$M$4-B13),365))</f>
        <v>365</v>
      </c>
      <c r="L13" s="9">
        <f>D13*J13*K13/365/100</f>
        <v>625.52</v>
      </c>
      <c r="M13" s="9">
        <f>D13-L13</f>
        <v>580</v>
      </c>
      <c r="P13" s="14"/>
      <c r="Q13" s="9">
        <f t="shared" ref="Q13:Q14" si="4">IF(AND($N13&lt;1,$G13&lt;1),SUMIF($P13,"YES",$I13),0)</f>
        <v>0</v>
      </c>
      <c r="R13" s="9">
        <f t="shared" si="3"/>
        <v>0</v>
      </c>
      <c r="S13" s="9">
        <f>M13-N13+R13-Q13</f>
        <v>580</v>
      </c>
    </row>
    <row r="14" spans="1:19">
      <c r="B14" s="2">
        <v>41803</v>
      </c>
      <c r="C14" s="9">
        <v>11259.004000000001</v>
      </c>
      <c r="D14" s="9">
        <v>11259.004000000001</v>
      </c>
      <c r="E14" s="1">
        <v>5</v>
      </c>
      <c r="F14" s="9">
        <f>($D$4-B14)/365</f>
        <v>-0.20273972602739726</v>
      </c>
      <c r="G14" s="9">
        <f>MIN(E14-F14,E14)</f>
        <v>5</v>
      </c>
      <c r="H14" s="2">
        <f>(E14*365)+B14</f>
        <v>43628</v>
      </c>
      <c r="I14" s="9">
        <f>MIN($C14*5%,$D14)</f>
        <v>562.95020000000011</v>
      </c>
      <c r="J14" s="9">
        <f>MAX(0,IF($G14&lt;1,($D14-$I14)/$D14%,(1-(($I14/$D14)^(1/$G14)))*100))</f>
        <v>45.071972834694108</v>
      </c>
      <c r="K14" s="1">
        <f>IF((O14-$D$4)&gt;0,MIN(O14-$D$4,O14-B14),MIN(MAX($D$4-B14,$M$4-B14),365))</f>
        <v>291</v>
      </c>
      <c r="L14" s="9">
        <f>D14*J14*K14/365/100</f>
        <v>4045.8210144715144</v>
      </c>
      <c r="M14" s="9">
        <f>D14-L14</f>
        <v>7213.1829855284868</v>
      </c>
      <c r="P14" s="14"/>
      <c r="Q14" s="9">
        <f t="shared" si="4"/>
        <v>0</v>
      </c>
      <c r="R14" s="9">
        <f t="shared" si="3"/>
        <v>0</v>
      </c>
      <c r="S14" s="9">
        <f>M14-N14+R14-Q14</f>
        <v>7213.1829855284868</v>
      </c>
    </row>
    <row r="15" spans="1:19">
      <c r="C15" s="9"/>
      <c r="D15" s="9"/>
      <c r="F15" s="9"/>
      <c r="G15" s="9"/>
      <c r="I15" s="9"/>
      <c r="J15" s="9"/>
      <c r="L15" s="9"/>
      <c r="M15" s="9"/>
      <c r="P15" s="14"/>
      <c r="Q15" s="9"/>
      <c r="R15" s="9"/>
    </row>
    <row r="16" spans="1:19">
      <c r="A16" s="8" t="s">
        <v>18</v>
      </c>
      <c r="C16" s="9"/>
      <c r="D16" s="9"/>
      <c r="F16" s="9"/>
      <c r="G16" s="9"/>
      <c r="I16" s="9"/>
      <c r="J16" s="9"/>
      <c r="L16" s="9"/>
      <c r="M16" s="9"/>
      <c r="P16" s="14"/>
      <c r="Q16" s="9"/>
      <c r="R16" s="9"/>
    </row>
    <row r="17" spans="1:19">
      <c r="A17" s="10" t="s">
        <v>24</v>
      </c>
      <c r="B17" s="2">
        <v>39380</v>
      </c>
      <c r="C17" s="9">
        <v>398406</v>
      </c>
      <c r="D17" s="9">
        <v>149443.00422248672</v>
      </c>
      <c r="E17" s="1">
        <v>10</v>
      </c>
      <c r="F17" s="9">
        <f>($D$4-B17)/365</f>
        <v>6.4356164383561643</v>
      </c>
      <c r="G17" s="9">
        <f>MIN(E17-F17,E17)</f>
        <v>3.5643835616438357</v>
      </c>
      <c r="H17" s="2">
        <f>(E17*365)+B17+2</f>
        <v>43032</v>
      </c>
      <c r="I17" s="9">
        <f>MIN($C17*5%,$D17)</f>
        <v>19920.300000000003</v>
      </c>
      <c r="J17" s="9">
        <f t="shared" ref="J17" si="5">MAX(0,IF($G17&lt;1,($D17-$I17)/$D17%,(1-(($I17/$D17)^(1/$G17)))*100))</f>
        <v>43.184695647321092</v>
      </c>
      <c r="K17" s="1">
        <f>IF(($O17-$D$4)&gt;0,MIN($O17-$D$4,$O17-$B17),MIN(MAX($D$4-$B17,$M$4-$B17),365))</f>
        <v>365</v>
      </c>
      <c r="L17" s="9">
        <f>D17*J17*K17/365/100</f>
        <v>64536.506539694092</v>
      </c>
      <c r="M17" s="9">
        <f>D17-L17</f>
        <v>84906.497682792629</v>
      </c>
      <c r="P17" s="14"/>
      <c r="Q17" s="9">
        <f>IF(AND($N17&lt;1,$G17&lt;1),SUMIF($P17,"YES",$I17),0)</f>
        <v>0</v>
      </c>
      <c r="R17" s="9">
        <f t="shared" si="3"/>
        <v>0</v>
      </c>
      <c r="S17" s="9">
        <f>M17-N17+R17-Q17</f>
        <v>84906.497682792629</v>
      </c>
    </row>
    <row r="18" spans="1:19">
      <c r="C18" s="9"/>
      <c r="D18" s="9"/>
      <c r="P18" s="14"/>
      <c r="Q18" s="9"/>
      <c r="R18" s="9"/>
    </row>
    <row r="19" spans="1:19">
      <c r="A19" s="8" t="s">
        <v>25</v>
      </c>
      <c r="C19" s="9"/>
      <c r="D19" s="9"/>
      <c r="P19" s="14"/>
      <c r="Q19" s="9"/>
      <c r="R19" s="9"/>
    </row>
    <row r="20" spans="1:19">
      <c r="A20" s="10"/>
      <c r="B20" s="2">
        <v>41450</v>
      </c>
      <c r="C20" s="9">
        <v>16172</v>
      </c>
      <c r="D20" s="9">
        <v>14446.000002876712</v>
      </c>
      <c r="E20" s="1">
        <v>15</v>
      </c>
      <c r="F20" s="9">
        <f>($D$4-B20)/365</f>
        <v>0.76438356164383559</v>
      </c>
      <c r="G20" s="9">
        <f>MIN(E20-F20,E20)</f>
        <v>14.235616438356164</v>
      </c>
      <c r="H20" s="2">
        <f>(E20*365)+B20+3</f>
        <v>46928</v>
      </c>
      <c r="I20" s="9">
        <f>MIN($C20*5%,$D20)</f>
        <v>808.6</v>
      </c>
      <c r="J20" s="9">
        <f>MAX(0,IF($G20&lt;1,($D20-$I20)/$D20%,(1-(($I20/$D20)^(1/$G20)))*100))</f>
        <v>18.332247572214222</v>
      </c>
      <c r="K20" s="1">
        <f t="shared" ref="K20" si="6">IF(($O20-$D$4)&gt;0,MIN($O20-$D$4,$O20-$B20),MIN(MAX($D$4-$B20,$M$4-$B20),365))</f>
        <v>365</v>
      </c>
      <c r="L20" s="9">
        <f>D20*J20*K20/365/100</f>
        <v>2648.2764848094321</v>
      </c>
      <c r="M20" s="9">
        <f>D20-L20</f>
        <v>11797.72351806728</v>
      </c>
      <c r="P20" s="14"/>
      <c r="Q20" s="9">
        <f t="shared" ref="Q20:Q22" si="7">IF(AND($N20&lt;1,$G20&lt;1),SUMIF($P20,"YES",$I20),0)</f>
        <v>0</v>
      </c>
      <c r="R20" s="9">
        <f t="shared" si="3"/>
        <v>0</v>
      </c>
      <c r="S20" s="9">
        <f>M20-N20+R20-Q20</f>
        <v>11797.72351806728</v>
      </c>
    </row>
    <row r="21" spans="1:19">
      <c r="B21" s="2">
        <v>35361</v>
      </c>
      <c r="C21" s="9">
        <v>16500</v>
      </c>
      <c r="D21" s="9">
        <v>1218.3851127881253</v>
      </c>
      <c r="E21" s="1">
        <v>13</v>
      </c>
      <c r="F21" s="9">
        <f>($D$4-B21)/365</f>
        <v>17.446575342465753</v>
      </c>
      <c r="G21" s="9">
        <f>MIN(E21-F21,E21)</f>
        <v>-4.4465753424657528</v>
      </c>
      <c r="H21" s="2">
        <f>(E21*365)+B21+2</f>
        <v>40108</v>
      </c>
      <c r="I21" s="9">
        <f>MIN($C21*5%,$D21)</f>
        <v>825</v>
      </c>
      <c r="J21" s="9">
        <f>MAX(0,IF($G21&lt;1,($D21-$I21)/$D21%,(1-(($I21/$D21)^(1/$G21)))*100))</f>
        <v>32.287419524349865</v>
      </c>
      <c r="K21" s="1">
        <f>IF(($O21-$D$4)&gt;0,MIN($O21-$D$4,$O21-$B21),MIN(MAX($D$4-$B21,$M$4-$B21),365))</f>
        <v>365</v>
      </c>
      <c r="L21" s="9">
        <f>D21*J21*K21/365/100</f>
        <v>393.38511278812524</v>
      </c>
      <c r="M21" s="9">
        <f>D21-L21</f>
        <v>825</v>
      </c>
      <c r="P21" s="14" t="s">
        <v>37</v>
      </c>
      <c r="Q21" s="9">
        <f t="shared" si="7"/>
        <v>825</v>
      </c>
      <c r="R21" s="9">
        <f t="shared" si="3"/>
        <v>0</v>
      </c>
      <c r="S21" s="9">
        <f>M21-N21+R21-Q21</f>
        <v>0</v>
      </c>
    </row>
    <row r="22" spans="1:19">
      <c r="B22" s="2">
        <v>40425</v>
      </c>
      <c r="C22" s="9">
        <v>30900</v>
      </c>
      <c r="D22" s="9">
        <v>18145.619872219402</v>
      </c>
      <c r="E22" s="1">
        <v>13</v>
      </c>
      <c r="F22" s="9">
        <f>($D$4-B22)/365</f>
        <v>3.5726027397260274</v>
      </c>
      <c r="G22" s="9">
        <f>MIN(E22-F22,E22)</f>
        <v>9.4273972602739722</v>
      </c>
      <c r="H22" s="2">
        <f>(E22*365)+B22+2</f>
        <v>45172</v>
      </c>
      <c r="I22" s="9">
        <f>MIN($C22*5%,$D22)</f>
        <v>1545</v>
      </c>
      <c r="J22" s="9">
        <f>MAX(0,IF($G22&lt;1,($D22-$I22)/$D22%,(1-(($I22/$D22)^(1/$G22)))*100))</f>
        <v>22.995228540803701</v>
      </c>
      <c r="K22" s="1">
        <f>IF(($O22-$D$4)&gt;0,MIN($O22-$D$4,$O22-$B22),MIN(MAX($D$4-$B22,$M$4-$B22),365))</f>
        <v>365</v>
      </c>
      <c r="L22" s="9">
        <f>D22*J22*K22/365/100</f>
        <v>4172.6267597623446</v>
      </c>
      <c r="M22" s="9">
        <f>D22-L22</f>
        <v>13972.993112457058</v>
      </c>
      <c r="P22" s="14"/>
      <c r="Q22" s="9">
        <f t="shared" si="7"/>
        <v>0</v>
      </c>
      <c r="R22" s="9">
        <f t="shared" si="3"/>
        <v>0</v>
      </c>
      <c r="S22" s="9">
        <f>M22-N22+R22-Q22</f>
        <v>13972.993112457058</v>
      </c>
    </row>
    <row r="23" spans="1:19">
      <c r="C23" s="9"/>
      <c r="D23" s="9"/>
      <c r="Q23" s="9"/>
      <c r="R23" s="9"/>
    </row>
    <row r="24" spans="1:19" ht="16.5" thickBot="1">
      <c r="C24" s="9"/>
      <c r="D24" s="9"/>
      <c r="L24" s="11">
        <f>SUM(L6:L22)</f>
        <v>432326.47841137153</v>
      </c>
      <c r="M24" s="11">
        <f>SUM(M6:M22)</f>
        <v>870275.20298339566</v>
      </c>
      <c r="Q24" s="11">
        <f>SUM(Q6:Q22)</f>
        <v>825</v>
      </c>
      <c r="R24" s="11">
        <f>SUM(R6:R22)</f>
        <v>7825.878281882935</v>
      </c>
      <c r="S24" s="11">
        <f>SUM(S6:S22)</f>
        <v>677276.08126527863</v>
      </c>
    </row>
    <row r="25" spans="1:19" ht="16.5" thickTop="1">
      <c r="C25" s="9"/>
      <c r="D25" s="9"/>
      <c r="Q25" s="9"/>
      <c r="R25" s="9"/>
    </row>
    <row r="26" spans="1:19">
      <c r="C26" s="9"/>
      <c r="D26" s="9"/>
      <c r="Q26" s="9"/>
      <c r="R26" s="9"/>
    </row>
    <row r="27" spans="1:19">
      <c r="C27" s="9"/>
      <c r="D27" s="9"/>
      <c r="Q27" s="9"/>
      <c r="R27" s="9"/>
    </row>
    <row r="28" spans="1:19">
      <c r="C28" s="9"/>
      <c r="D28" s="9"/>
      <c r="Q28" s="9"/>
      <c r="R28" s="9"/>
    </row>
    <row r="29" spans="1:19">
      <c r="B29" s="2">
        <v>39172</v>
      </c>
      <c r="C29" s="9">
        <v>1322347</v>
      </c>
      <c r="D29" s="9">
        <v>373253.40835119522</v>
      </c>
      <c r="E29" s="1">
        <v>10</v>
      </c>
      <c r="F29" s="9">
        <f>($D$4-B29)/365-0.01</f>
        <v>6.9954794520547949</v>
      </c>
      <c r="G29" s="9">
        <f t="shared" ref="G29" si="8">MIN(E29-F29,E29)</f>
        <v>3.0045205479452051</v>
      </c>
      <c r="H29" s="2">
        <f>(E29*365)+B29+2</f>
        <v>42824</v>
      </c>
      <c r="I29" s="9">
        <f>MIN($C29*5%,$D29)</f>
        <v>66117.350000000006</v>
      </c>
      <c r="J29" s="9">
        <f t="shared" ref="J29" si="9">MAX(0,IF($G29&lt;1,($D29-$I29)/$D29%,(1-(($I29/$D29)^(1/$G29)))*100))</f>
        <v>43.789919002391954</v>
      </c>
      <c r="K29" s="1">
        <f>IF((O29-$D$4)&gt;0,MIN(O29-$D$4,O29-B29),MIN(MAX($D$4-B29,$M$4-B29),365))</f>
        <v>365</v>
      </c>
      <c r="L29" s="9">
        <f t="shared" ref="L29" si="10">MAX(0,IF($G29&lt;1,$D29-$I29,(1-(($I29/$D29)^(1/$G29)))*$D29*$K29/365))</f>
        <v>163447.36519065566</v>
      </c>
      <c r="M29" s="9">
        <f t="shared" ref="M29" si="11">D29-L29-Q29</f>
        <v>209806.04316053956</v>
      </c>
      <c r="Q29" s="9"/>
      <c r="R29" s="9"/>
    </row>
    <row r="30" spans="1:19">
      <c r="C30" s="9"/>
      <c r="D30" s="9"/>
      <c r="Q30" s="9"/>
      <c r="R30" s="9"/>
    </row>
    <row r="31" spans="1:19">
      <c r="C31" s="9"/>
      <c r="D31" s="9"/>
      <c r="J31" s="1">
        <f>I29/D29</f>
        <v>0.17713796718445501</v>
      </c>
      <c r="K31" s="1">
        <f>1/G29</f>
        <v>0.33283180595449785</v>
      </c>
      <c r="L31" s="1">
        <f>J31^K31</f>
        <v>0.56210080997608047</v>
      </c>
      <c r="M31" s="1">
        <f>1-L31</f>
        <v>0.43789919002391953</v>
      </c>
      <c r="Q31" s="9"/>
      <c r="R31" s="9"/>
    </row>
    <row r="32" spans="1:19">
      <c r="C32" s="9"/>
      <c r="D32" s="9"/>
      <c r="I32" s="9">
        <f>D29-I29</f>
        <v>307136.05835119518</v>
      </c>
      <c r="Q32" s="9"/>
      <c r="R32" s="9"/>
    </row>
    <row r="33" spans="3:18">
      <c r="C33" s="9"/>
      <c r="D33" s="9"/>
      <c r="I33" s="1">
        <f>I32/D29%</f>
        <v>82.286203281554492</v>
      </c>
      <c r="L33" s="1">
        <f>D29*J29*K29/365/100</f>
        <v>163447.36519065569</v>
      </c>
      <c r="Q33" s="9"/>
      <c r="R33" s="9"/>
    </row>
    <row r="34" spans="3:18">
      <c r="C34" s="9"/>
      <c r="D34" s="9"/>
      <c r="Q34" s="9"/>
      <c r="R34" s="9"/>
    </row>
    <row r="35" spans="3:18">
      <c r="C35" s="9"/>
      <c r="D35" s="9"/>
      <c r="Q35" s="9"/>
      <c r="R35" s="9"/>
    </row>
    <row r="36" spans="3:18">
      <c r="C36" s="9"/>
      <c r="D36" s="9"/>
      <c r="Q36" s="9"/>
      <c r="R36" s="9"/>
    </row>
    <row r="37" spans="3:18">
      <c r="C37" s="9"/>
      <c r="D37" s="9"/>
      <c r="Q37" s="9"/>
      <c r="R37" s="9"/>
    </row>
    <row r="38" spans="3:18">
      <c r="C38" s="9"/>
      <c r="D38" s="9"/>
      <c r="Q38" s="9"/>
      <c r="R38" s="9"/>
    </row>
    <row r="39" spans="3:18">
      <c r="C39" s="9"/>
      <c r="D39" s="9"/>
      <c r="Q39" s="9"/>
      <c r="R39" s="9"/>
    </row>
    <row r="40" spans="3:18">
      <c r="C40" s="9"/>
      <c r="D40" s="9"/>
      <c r="Q40" s="9"/>
      <c r="R40" s="9"/>
    </row>
    <row r="41" spans="3:18">
      <c r="C41" s="9"/>
      <c r="D41" s="9"/>
      <c r="Q41" s="9"/>
      <c r="R41" s="9"/>
    </row>
    <row r="42" spans="3:18">
      <c r="C42" s="9"/>
      <c r="D42" s="9"/>
      <c r="Q42" s="9"/>
      <c r="R42" s="9"/>
    </row>
    <row r="43" spans="3:18">
      <c r="C43" s="9"/>
      <c r="D43" s="9"/>
      <c r="Q43" s="9"/>
      <c r="R43" s="9"/>
    </row>
    <row r="44" spans="3:18">
      <c r="C44" s="9"/>
      <c r="D44" s="9"/>
      <c r="Q44" s="9"/>
      <c r="R44" s="9"/>
    </row>
    <row r="45" spans="3:18">
      <c r="Q45" s="9"/>
      <c r="R45" s="9"/>
    </row>
    <row r="46" spans="3:18">
      <c r="Q46" s="9"/>
      <c r="R46" s="9"/>
    </row>
    <row r="47" spans="3:18">
      <c r="Q47" s="9"/>
      <c r="R47" s="9"/>
    </row>
    <row r="48" spans="3:18">
      <c r="Q48" s="9"/>
      <c r="R48" s="9"/>
    </row>
    <row r="49" spans="17:18">
      <c r="Q49" s="9"/>
      <c r="R49" s="9"/>
    </row>
    <row r="50" spans="17:18">
      <c r="Q50" s="9"/>
      <c r="R50" s="9"/>
    </row>
    <row r="51" spans="17:18">
      <c r="Q51" s="9"/>
      <c r="R51" s="9"/>
    </row>
    <row r="52" spans="17:18">
      <c r="Q52" s="9"/>
      <c r="R52" s="9"/>
    </row>
    <row r="53" spans="17:18">
      <c r="Q53" s="9"/>
      <c r="R53" s="9"/>
    </row>
    <row r="54" spans="17:18">
      <c r="Q54" s="9"/>
      <c r="R54" s="9"/>
    </row>
    <row r="55" spans="17:18">
      <c r="Q55" s="9"/>
      <c r="R55" s="9"/>
    </row>
    <row r="56" spans="17:18">
      <c r="Q56" s="9"/>
      <c r="R56" s="9"/>
    </row>
    <row r="57" spans="17:18">
      <c r="Q57" s="9"/>
      <c r="R57" s="9"/>
    </row>
    <row r="58" spans="17:18">
      <c r="Q58" s="9"/>
      <c r="R58" s="9"/>
    </row>
    <row r="59" spans="17:18">
      <c r="Q59" s="9"/>
      <c r="R59" s="9"/>
    </row>
    <row r="60" spans="17:18">
      <c r="Q60" s="9"/>
      <c r="R60" s="9"/>
    </row>
    <row r="61" spans="17:18">
      <c r="Q61" s="9"/>
      <c r="R61" s="9"/>
    </row>
    <row r="62" spans="17:18">
      <c r="Q62" s="9"/>
      <c r="R62" s="9"/>
    </row>
    <row r="63" spans="17:18">
      <c r="Q63" s="9"/>
      <c r="R63" s="9"/>
    </row>
    <row r="64" spans="17:18">
      <c r="Q64" s="9"/>
      <c r="R64" s="9"/>
    </row>
    <row r="65" spans="17:18">
      <c r="Q65" s="9"/>
      <c r="R65" s="9"/>
    </row>
    <row r="66" spans="17:18">
      <c r="Q66" s="9"/>
      <c r="R66" s="9"/>
    </row>
    <row r="67" spans="17:18">
      <c r="Q67" s="9"/>
      <c r="R67" s="9"/>
    </row>
    <row r="68" spans="17:18">
      <c r="Q68" s="9"/>
      <c r="R68" s="9"/>
    </row>
    <row r="69" spans="17:18">
      <c r="Q69" s="9"/>
      <c r="R69" s="9"/>
    </row>
    <row r="70" spans="17:18">
      <c r="Q70" s="9"/>
      <c r="R70" s="9"/>
    </row>
    <row r="71" spans="17:18">
      <c r="Q71" s="9"/>
      <c r="R71" s="9"/>
    </row>
    <row r="72" spans="17:18">
      <c r="Q72" s="9"/>
      <c r="R72" s="9"/>
    </row>
    <row r="73" spans="17:18">
      <c r="Q73" s="9"/>
      <c r="R73" s="9"/>
    </row>
    <row r="74" spans="17:18">
      <c r="Q74" s="9"/>
      <c r="R74" s="9"/>
    </row>
    <row r="75" spans="17:18">
      <c r="Q75" s="9"/>
      <c r="R75" s="9"/>
    </row>
    <row r="76" spans="17:18">
      <c r="Q76" s="9"/>
      <c r="R76" s="9"/>
    </row>
    <row r="77" spans="17:18">
      <c r="Q77" s="9"/>
      <c r="R77" s="9"/>
    </row>
    <row r="78" spans="17:18">
      <c r="Q78" s="9"/>
      <c r="R78" s="9"/>
    </row>
    <row r="79" spans="17:18">
      <c r="Q79" s="9"/>
      <c r="R79" s="9"/>
    </row>
    <row r="80" spans="17:18">
      <c r="Q80" s="9"/>
      <c r="R80" s="9"/>
    </row>
    <row r="81" spans="17:18">
      <c r="Q81" s="9"/>
      <c r="R81" s="9"/>
    </row>
    <row r="82" spans="17:18">
      <c r="Q82" s="9"/>
      <c r="R82" s="9"/>
    </row>
    <row r="83" spans="17:18">
      <c r="Q83" s="9"/>
      <c r="R83" s="9"/>
    </row>
    <row r="84" spans="17:18">
      <c r="Q84" s="9"/>
      <c r="R84" s="9"/>
    </row>
    <row r="85" spans="17:18">
      <c r="Q85" s="9"/>
      <c r="R85" s="9"/>
    </row>
    <row r="86" spans="17:18">
      <c r="Q86" s="9"/>
      <c r="R86" s="9"/>
    </row>
    <row r="87" spans="17:18">
      <c r="Q87" s="9"/>
      <c r="R87" s="9"/>
    </row>
    <row r="88" spans="17:18">
      <c r="Q88" s="9"/>
      <c r="R88" s="9"/>
    </row>
    <row r="89" spans="17:18">
      <c r="Q89" s="9"/>
      <c r="R89" s="9"/>
    </row>
    <row r="90" spans="17:18">
      <c r="Q90" s="9"/>
      <c r="R90" s="9"/>
    </row>
    <row r="91" spans="17:18">
      <c r="Q91" s="9"/>
      <c r="R91" s="9"/>
    </row>
    <row r="92" spans="17:18">
      <c r="Q92" s="9"/>
      <c r="R92" s="9"/>
    </row>
    <row r="93" spans="17:18">
      <c r="Q93" s="9"/>
      <c r="R93" s="9"/>
    </row>
    <row r="94" spans="17:18">
      <c r="Q94" s="9"/>
      <c r="R94" s="9"/>
    </row>
    <row r="95" spans="17:18">
      <c r="Q95" s="9"/>
      <c r="R95" s="9"/>
    </row>
    <row r="96" spans="17:18">
      <c r="Q96" s="9"/>
      <c r="R96" s="9"/>
    </row>
    <row r="97" spans="17:18">
      <c r="Q97" s="9"/>
      <c r="R97" s="9"/>
    </row>
    <row r="98" spans="17:18">
      <c r="Q98" s="9"/>
      <c r="R98" s="9"/>
    </row>
    <row r="99" spans="17:18">
      <c r="Q99" s="9"/>
      <c r="R99" s="9"/>
    </row>
    <row r="100" spans="17:18">
      <c r="Q100" s="9"/>
      <c r="R100" s="9"/>
    </row>
    <row r="101" spans="17:18">
      <c r="Q101" s="9"/>
      <c r="R101" s="9"/>
    </row>
    <row r="102" spans="17:18">
      <c r="Q102" s="9"/>
      <c r="R102" s="9"/>
    </row>
    <row r="103" spans="17:18">
      <c r="Q103" s="9"/>
      <c r="R103" s="9"/>
    </row>
    <row r="104" spans="17:18">
      <c r="Q104" s="9"/>
      <c r="R104" s="9"/>
    </row>
    <row r="105" spans="17:18">
      <c r="Q105" s="9"/>
      <c r="R105" s="9"/>
    </row>
    <row r="106" spans="17:18">
      <c r="Q106" s="9"/>
      <c r="R106" s="9"/>
    </row>
    <row r="107" spans="17:18">
      <c r="Q107" s="9"/>
      <c r="R107" s="9"/>
    </row>
    <row r="108" spans="17:18">
      <c r="Q108" s="9"/>
      <c r="R108" s="9"/>
    </row>
    <row r="109" spans="17:18">
      <c r="Q109" s="9"/>
      <c r="R109" s="9"/>
    </row>
    <row r="110" spans="17:18">
      <c r="Q110" s="9"/>
      <c r="R110" s="9"/>
    </row>
    <row r="111" spans="17:18">
      <c r="Q111" s="9"/>
      <c r="R111" s="9"/>
    </row>
    <row r="112" spans="17:18">
      <c r="Q112" s="9"/>
      <c r="R112" s="9"/>
    </row>
    <row r="113" spans="17:18">
      <c r="Q113" s="9"/>
      <c r="R113" s="9"/>
    </row>
    <row r="114" spans="17:18">
      <c r="Q114" s="9"/>
      <c r="R114" s="9"/>
    </row>
    <row r="115" spans="17:18">
      <c r="Q115" s="9"/>
      <c r="R115" s="9"/>
    </row>
    <row r="116" spans="17:18">
      <c r="Q116" s="9"/>
      <c r="R116" s="9"/>
    </row>
    <row r="117" spans="17:18">
      <c r="Q117" s="9"/>
      <c r="R117" s="9"/>
    </row>
    <row r="118" spans="17:18">
      <c r="Q118" s="9"/>
      <c r="R118" s="9"/>
    </row>
    <row r="119" spans="17:18">
      <c r="Q119" s="9"/>
      <c r="R119" s="9"/>
    </row>
    <row r="120" spans="17:18">
      <c r="Q120" s="9"/>
      <c r="R120" s="9"/>
    </row>
    <row r="121" spans="17:18">
      <c r="Q121" s="9"/>
      <c r="R121" s="9"/>
    </row>
    <row r="122" spans="17:18">
      <c r="Q122" s="9"/>
      <c r="R122" s="9"/>
    </row>
    <row r="123" spans="17:18">
      <c r="Q123" s="9"/>
      <c r="R123" s="9"/>
    </row>
    <row r="124" spans="17:18">
      <c r="Q124" s="9"/>
      <c r="R124" s="9"/>
    </row>
    <row r="125" spans="17:18">
      <c r="Q125" s="9"/>
      <c r="R125" s="9"/>
    </row>
    <row r="126" spans="17:18">
      <c r="Q126" s="9"/>
      <c r="R126" s="9"/>
    </row>
    <row r="127" spans="17:18">
      <c r="Q127" s="9"/>
      <c r="R127" s="9"/>
    </row>
    <row r="128" spans="17:18">
      <c r="Q128" s="9"/>
      <c r="R128" s="9"/>
    </row>
    <row r="129" spans="17:18">
      <c r="Q129" s="9"/>
      <c r="R129" s="9"/>
    </row>
    <row r="130" spans="17:18">
      <c r="Q130" s="9"/>
      <c r="R130" s="9"/>
    </row>
    <row r="131" spans="17:18">
      <c r="Q131" s="9"/>
      <c r="R131" s="9"/>
    </row>
    <row r="132" spans="17:18">
      <c r="Q132" s="9"/>
      <c r="R132" s="9"/>
    </row>
    <row r="133" spans="17:18">
      <c r="Q133" s="9"/>
      <c r="R133" s="9"/>
    </row>
    <row r="134" spans="17:18">
      <c r="Q134" s="9"/>
      <c r="R134" s="9"/>
    </row>
  </sheetData>
  <mergeCells count="1">
    <mergeCell ref="A2:S2"/>
  </mergeCells>
  <pageMargins left="0.39" right="0.42" top="0.57999999999999996" bottom="0.75" header="0.3" footer="0.3"/>
  <pageSetup paperSize="5" scale="74" orientation="landscape" r:id="rId1"/>
  <ignoredErrors>
    <ignoredError sqref="F7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9"/>
  <sheetViews>
    <sheetView tabSelected="1" topLeftCell="A22" workbookViewId="0">
      <selection activeCell="A39" sqref="A39"/>
    </sheetView>
  </sheetViews>
  <sheetFormatPr defaultRowHeight="15"/>
  <sheetData>
    <row r="1" spans="1:1">
      <c r="A1" s="17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s="18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1" spans="1:1">
      <c r="A11" t="s">
        <v>50</v>
      </c>
    </row>
    <row r="12" spans="1:1">
      <c r="A12" t="s">
        <v>51</v>
      </c>
    </row>
    <row r="14" spans="1:1">
      <c r="A14" t="s">
        <v>52</v>
      </c>
    </row>
    <row r="15" spans="1:1">
      <c r="A15" t="s">
        <v>53</v>
      </c>
    </row>
    <row r="17" spans="1:1">
      <c r="A17" t="s">
        <v>54</v>
      </c>
    </row>
    <row r="19" spans="1:1">
      <c r="A19" s="17" t="s">
        <v>55</v>
      </c>
    </row>
    <row r="20" spans="1:1">
      <c r="A20" t="s">
        <v>56</v>
      </c>
    </row>
    <row r="22" spans="1:1" ht="15.75">
      <c r="A22" s="19" t="s">
        <v>57</v>
      </c>
    </row>
    <row r="23" spans="1:1">
      <c r="A23" s="20" t="s">
        <v>58</v>
      </c>
    </row>
    <row r="24" spans="1:1">
      <c r="A24" s="20"/>
    </row>
    <row r="25" spans="1:1">
      <c r="A25" s="20" t="s">
        <v>59</v>
      </c>
    </row>
    <row r="26" spans="1:1">
      <c r="A26" s="20" t="s">
        <v>60</v>
      </c>
    </row>
    <row r="28" spans="1:1" ht="15.75">
      <c r="A28" s="19"/>
    </row>
    <row r="29" spans="1:1">
      <c r="A29" s="20" t="s">
        <v>61</v>
      </c>
    </row>
    <row r="30" spans="1:1">
      <c r="A30" s="20" t="s">
        <v>62</v>
      </c>
    </row>
    <row r="31" spans="1:1">
      <c r="A31" s="20" t="s">
        <v>63</v>
      </c>
    </row>
    <row r="32" spans="1:1">
      <c r="A32" s="20" t="s">
        <v>64</v>
      </c>
    </row>
    <row r="33" spans="1:1">
      <c r="A33" s="20" t="s">
        <v>65</v>
      </c>
    </row>
    <row r="35" spans="1:1">
      <c r="A35" s="20" t="s">
        <v>66</v>
      </c>
    </row>
    <row r="36" spans="1:1">
      <c r="A36" s="20" t="s">
        <v>67</v>
      </c>
    </row>
    <row r="37" spans="1:1">
      <c r="A37" s="20"/>
    </row>
    <row r="38" spans="1:1">
      <c r="A38" s="20" t="s">
        <v>68</v>
      </c>
    </row>
    <row r="39" spans="1:1">
      <c r="A3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Depreciation Circular</vt:lpstr>
      <vt:lpstr>Format of Chart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2015-07-08T07:04:24Z</dcterms:modified>
</cp:coreProperties>
</file>