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tabRatio="599" firstSheet="10" activeTab="14"/>
  </bookViews>
  <sheets>
    <sheet name="Clinker pro @ plant" sheetId="1" r:id="rId1"/>
    <sheet name="Baught out Clinker" sheetId="2" r:id="rId2"/>
    <sheet name="Clinker production" sheetId="3" r:id="rId3"/>
    <sheet name="Priliminary production details" sheetId="4" r:id="rId4"/>
    <sheet name="Final production details" sheetId="5" r:id="rId5"/>
    <sheet name="Material Management" sheetId="6" r:id="rId6"/>
    <sheet name="Turn over details" sheetId="7" r:id="rId7"/>
    <sheet name="Prodution &amp; Fund details" sheetId="8" r:id="rId8"/>
    <sheet name="Sales Chart" sheetId="9" r:id="rId9"/>
    <sheet name="Budget" sheetId="10" r:id="rId10"/>
    <sheet name="Production Cum Margin" sheetId="13" r:id="rId11"/>
    <sheet name="Clinker Production cost" sheetId="14" r:id="rId12"/>
    <sheet name="Invest ment calculations" sheetId="15" r:id="rId13"/>
    <sheet name="Sheet1" sheetId="16" r:id="rId14"/>
    <sheet name="Sheet2" sheetId="17" r:id="rId15"/>
  </sheets>
  <definedNames>
    <definedName name="_xlnm.Print_Area" localSheetId="13">Sheet1!$B$5:$P$29</definedName>
  </definedNames>
  <calcPr calcId="124519"/>
</workbook>
</file>

<file path=xl/calcChain.xml><?xml version="1.0" encoding="utf-8"?>
<calcChain xmlns="http://schemas.openxmlformats.org/spreadsheetml/2006/main">
  <c r="G21" i="17"/>
  <c r="I21"/>
  <c r="J21" s="1"/>
  <c r="F21"/>
  <c r="M5"/>
  <c r="M8"/>
  <c r="M9"/>
  <c r="M12"/>
  <c r="M13"/>
  <c r="M16"/>
  <c r="M17"/>
  <c r="M4"/>
  <c r="J4" i="9"/>
  <c r="K4"/>
  <c r="L4"/>
  <c r="M4"/>
  <c r="N4"/>
  <c r="O4"/>
  <c r="P4"/>
  <c r="Q4"/>
  <c r="R4"/>
  <c r="S4"/>
  <c r="T4"/>
  <c r="J5"/>
  <c r="K5"/>
  <c r="L5"/>
  <c r="M5"/>
  <c r="N5"/>
  <c r="O5"/>
  <c r="P5"/>
  <c r="Q5"/>
  <c r="R5"/>
  <c r="S5"/>
  <c r="T5"/>
  <c r="J6"/>
  <c r="K6"/>
  <c r="L6"/>
  <c r="M6"/>
  <c r="N6"/>
  <c r="O6"/>
  <c r="P6"/>
  <c r="Q6"/>
  <c r="R6"/>
  <c r="S6"/>
  <c r="T6"/>
  <c r="J7"/>
  <c r="K7"/>
  <c r="L7"/>
  <c r="M7"/>
  <c r="N7"/>
  <c r="O7"/>
  <c r="P7"/>
  <c r="Q7"/>
  <c r="R7"/>
  <c r="S7"/>
  <c r="T7"/>
  <c r="J8"/>
  <c r="K8"/>
  <c r="L8"/>
  <c r="M8"/>
  <c r="N8"/>
  <c r="O8"/>
  <c r="P8"/>
  <c r="Q8"/>
  <c r="R8"/>
  <c r="S8"/>
  <c r="T8"/>
  <c r="J9"/>
  <c r="K9"/>
  <c r="L9"/>
  <c r="M9"/>
  <c r="N9"/>
  <c r="O9"/>
  <c r="P9"/>
  <c r="Q9"/>
  <c r="R9"/>
  <c r="S9"/>
  <c r="T9"/>
  <c r="J10"/>
  <c r="K10"/>
  <c r="L10"/>
  <c r="M10"/>
  <c r="N10"/>
  <c r="O10"/>
  <c r="P10"/>
  <c r="Q10"/>
  <c r="R10"/>
  <c r="S10"/>
  <c r="T10"/>
  <c r="J11"/>
  <c r="K11"/>
  <c r="L11"/>
  <c r="M11"/>
  <c r="N11"/>
  <c r="O11"/>
  <c r="P11"/>
  <c r="Q11"/>
  <c r="R11"/>
  <c r="S11"/>
  <c r="T11"/>
  <c r="J12"/>
  <c r="K12"/>
  <c r="L12"/>
  <c r="M12"/>
  <c r="N12"/>
  <c r="O12"/>
  <c r="P12"/>
  <c r="Q12"/>
  <c r="R12"/>
  <c r="S12"/>
  <c r="T12"/>
  <c r="J13"/>
  <c r="K13"/>
  <c r="L13"/>
  <c r="M13"/>
  <c r="N13"/>
  <c r="O13"/>
  <c r="P13"/>
  <c r="Q13"/>
  <c r="R13"/>
  <c r="S13"/>
  <c r="T13"/>
  <c r="J14"/>
  <c r="K14"/>
  <c r="L14"/>
  <c r="M14"/>
  <c r="N14"/>
  <c r="O14"/>
  <c r="P14"/>
  <c r="Q14"/>
  <c r="R14"/>
  <c r="S14"/>
  <c r="T14"/>
  <c r="J15"/>
  <c r="K15"/>
  <c r="L15"/>
  <c r="M15"/>
  <c r="N15"/>
  <c r="O15"/>
  <c r="P15"/>
  <c r="Q15"/>
  <c r="R15"/>
  <c r="S15"/>
  <c r="T15"/>
  <c r="J16"/>
  <c r="K16"/>
  <c r="L16"/>
  <c r="M16"/>
  <c r="N16"/>
  <c r="O16"/>
  <c r="P16"/>
  <c r="Q16"/>
  <c r="R16"/>
  <c r="S16"/>
  <c r="T16"/>
  <c r="J17"/>
  <c r="K17"/>
  <c r="L17"/>
  <c r="M17"/>
  <c r="N17"/>
  <c r="O17"/>
  <c r="P17"/>
  <c r="Q17"/>
  <c r="R17"/>
  <c r="S17"/>
  <c r="T17"/>
  <c r="J18"/>
  <c r="K18"/>
  <c r="L18"/>
  <c r="M18"/>
  <c r="N18"/>
  <c r="O18"/>
  <c r="P18"/>
  <c r="Q18"/>
  <c r="R18"/>
  <c r="S18"/>
  <c r="T18"/>
  <c r="J19"/>
  <c r="K19"/>
  <c r="L19"/>
  <c r="M19"/>
  <c r="N19"/>
  <c r="O19"/>
  <c r="P19"/>
  <c r="Q19"/>
  <c r="R19"/>
  <c r="S19"/>
  <c r="T19"/>
  <c r="J20"/>
  <c r="K20"/>
  <c r="L20"/>
  <c r="M20"/>
  <c r="N20"/>
  <c r="O20"/>
  <c r="P20"/>
  <c r="Q20"/>
  <c r="R20"/>
  <c r="S20"/>
  <c r="T20"/>
  <c r="J21"/>
  <c r="K21"/>
  <c r="L21"/>
  <c r="M21"/>
  <c r="N21"/>
  <c r="O21"/>
  <c r="P21"/>
  <c r="Q21"/>
  <c r="R21"/>
  <c r="S21"/>
  <c r="T21"/>
  <c r="J22"/>
  <c r="K22"/>
  <c r="L22"/>
  <c r="M22"/>
  <c r="N22"/>
  <c r="O22"/>
  <c r="P22"/>
  <c r="Q22"/>
  <c r="R22"/>
  <c r="S22"/>
  <c r="T22"/>
  <c r="J23"/>
  <c r="K23"/>
  <c r="L23"/>
  <c r="M23"/>
  <c r="N23"/>
  <c r="O23"/>
  <c r="P23"/>
  <c r="Q23"/>
  <c r="R23"/>
  <c r="S23"/>
  <c r="T23"/>
  <c r="J24"/>
  <c r="K24"/>
  <c r="L24"/>
  <c r="M24"/>
  <c r="N24"/>
  <c r="O24"/>
  <c r="P24"/>
  <c r="Q24"/>
  <c r="R24"/>
  <c r="S24"/>
  <c r="T24"/>
  <c r="J25"/>
  <c r="K25"/>
  <c r="L25"/>
  <c r="M25"/>
  <c r="N25"/>
  <c r="O25"/>
  <c r="P25"/>
  <c r="Q25"/>
  <c r="R25"/>
  <c r="S25"/>
  <c r="T25"/>
  <c r="J26"/>
  <c r="K26"/>
  <c r="L26"/>
  <c r="M26"/>
  <c r="N26"/>
  <c r="O26"/>
  <c r="P26"/>
  <c r="Q26"/>
  <c r="R26"/>
  <c r="S26"/>
  <c r="T26"/>
  <c r="J27"/>
  <c r="K27"/>
  <c r="L27"/>
  <c r="M27"/>
  <c r="N27"/>
  <c r="O27"/>
  <c r="P27"/>
  <c r="Q27"/>
  <c r="R27"/>
  <c r="S27"/>
  <c r="T27"/>
  <c r="Q5" i="13"/>
  <c r="Q8"/>
  <c r="Q9"/>
  <c r="Q12"/>
  <c r="Q13"/>
  <c r="Q16"/>
  <c r="Q17"/>
  <c r="Q20"/>
  <c r="Q21"/>
  <c r="Q24"/>
  <c r="Q25"/>
  <c r="Q28"/>
  <c r="Q29"/>
  <c r="Q32"/>
  <c r="Q33"/>
  <c r="Q36"/>
  <c r="Q37"/>
  <c r="Q40"/>
  <c r="Q41"/>
  <c r="Q4"/>
  <c r="M2" i="15"/>
  <c r="L2"/>
  <c r="K2"/>
  <c r="I2"/>
  <c r="H2"/>
  <c r="H21" i="17" l="1"/>
  <c r="K45" i="13"/>
  <c r="K46"/>
  <c r="K47"/>
  <c r="K48"/>
  <c r="K49"/>
  <c r="K50"/>
  <c r="K51"/>
  <c r="K52"/>
  <c r="K53"/>
  <c r="K44"/>
  <c r="J45"/>
  <c r="J46"/>
  <c r="J47"/>
  <c r="J48"/>
  <c r="J49"/>
  <c r="J50"/>
  <c r="J51"/>
  <c r="J52"/>
  <c r="J53"/>
  <c r="J44"/>
  <c r="I45"/>
  <c r="I46"/>
  <c r="I47"/>
  <c r="I48"/>
  <c r="I49"/>
  <c r="I50"/>
  <c r="I51"/>
  <c r="I52"/>
  <c r="I53"/>
  <c r="I44"/>
  <c r="F45"/>
  <c r="F46"/>
  <c r="F47"/>
  <c r="F48"/>
  <c r="F49"/>
  <c r="F50"/>
  <c r="F51"/>
  <c r="F52"/>
  <c r="F53"/>
  <c r="F44"/>
  <c r="H5" i="14"/>
  <c r="J5" s="1"/>
  <c r="K5" s="1"/>
  <c r="G5"/>
  <c r="D100" i="5"/>
  <c r="F100"/>
  <c r="G100"/>
  <c r="D101"/>
  <c r="E101"/>
  <c r="F101"/>
  <c r="G101"/>
  <c r="D102"/>
  <c r="E102"/>
  <c r="F102"/>
  <c r="G102"/>
  <c r="D103"/>
  <c r="E103"/>
  <c r="F103"/>
  <c r="G103"/>
  <c r="D104"/>
  <c r="E104"/>
  <c r="F104"/>
  <c r="G104"/>
  <c r="D105"/>
  <c r="E105"/>
  <c r="F105"/>
  <c r="G105"/>
  <c r="D106"/>
  <c r="E106"/>
  <c r="F106"/>
  <c r="G106"/>
  <c r="K100"/>
  <c r="L100"/>
  <c r="K101"/>
  <c r="L101"/>
  <c r="K102"/>
  <c r="L102"/>
  <c r="K103"/>
  <c r="L103"/>
  <c r="K104"/>
  <c r="L104"/>
  <c r="K105"/>
  <c r="L105"/>
  <c r="K106"/>
  <c r="L106"/>
  <c r="D107"/>
  <c r="E107"/>
  <c r="F107"/>
  <c r="G107"/>
  <c r="D108"/>
  <c r="E108"/>
  <c r="F108"/>
  <c r="G108"/>
  <c r="D109"/>
  <c r="E109"/>
  <c r="F109"/>
  <c r="G109"/>
  <c r="J100"/>
  <c r="J101"/>
  <c r="J102"/>
  <c r="J103"/>
  <c r="J104"/>
  <c r="J105"/>
  <c r="J106"/>
  <c r="J107"/>
  <c r="K107"/>
  <c r="L107"/>
  <c r="J108"/>
  <c r="K108"/>
  <c r="L108"/>
  <c r="J109"/>
  <c r="K109"/>
  <c r="L109"/>
  <c r="P22" i="10"/>
  <c r="O22"/>
  <c r="N22"/>
  <c r="M22"/>
  <c r="L22"/>
  <c r="J22"/>
  <c r="I22"/>
  <c r="P21"/>
  <c r="O21"/>
  <c r="N21"/>
  <c r="L21"/>
  <c r="K21"/>
  <c r="J21"/>
  <c r="N18"/>
  <c r="R18"/>
  <c r="Q18"/>
  <c r="P18"/>
  <c r="O18"/>
  <c r="M18"/>
  <c r="J18"/>
  <c r="K14"/>
  <c r="M14" s="1"/>
  <c r="O14" s="1"/>
  <c r="H4"/>
  <c r="H3"/>
  <c r="H5" s="1"/>
  <c r="J2"/>
  <c r="J4" s="1"/>
  <c r="I2"/>
  <c r="I4" s="1"/>
  <c r="G5"/>
  <c r="B7"/>
  <c r="C3"/>
  <c r="D3" s="1"/>
  <c r="C4"/>
  <c r="D4" s="1"/>
  <c r="C5"/>
  <c r="D5" s="1"/>
  <c r="C6"/>
  <c r="D6" s="1"/>
  <c r="C2"/>
  <c r="C7" s="1"/>
  <c r="C23"/>
  <c r="D23"/>
  <c r="E23"/>
  <c r="F23"/>
  <c r="B23"/>
  <c r="F22"/>
  <c r="E22"/>
  <c r="D22"/>
  <c r="C22"/>
  <c r="F21"/>
  <c r="E21"/>
  <c r="D21"/>
  <c r="C21"/>
  <c r="F19"/>
  <c r="E19"/>
  <c r="C19"/>
  <c r="F18"/>
  <c r="E18"/>
  <c r="D17"/>
  <c r="F17" s="1"/>
  <c r="C17"/>
  <c r="F16"/>
  <c r="E16"/>
  <c r="C16"/>
  <c r="C20" s="1"/>
  <c r="D15"/>
  <c r="F15" s="1"/>
  <c r="D14"/>
  <c r="F14" s="1"/>
  <c r="D13"/>
  <c r="F13" s="1"/>
  <c r="D12"/>
  <c r="F12" s="1"/>
  <c r="F20" s="1"/>
  <c r="N3" i="9"/>
  <c r="O3"/>
  <c r="P3"/>
  <c r="Q3"/>
  <c r="R3"/>
  <c r="S3"/>
  <c r="T3"/>
  <c r="B4"/>
  <c r="G4" s="1"/>
  <c r="B5"/>
  <c r="G5" s="1"/>
  <c r="B6"/>
  <c r="G6" s="1"/>
  <c r="B7"/>
  <c r="G7" s="1"/>
  <c r="B8"/>
  <c r="G8" s="1"/>
  <c r="B9"/>
  <c r="G9" s="1"/>
  <c r="B10"/>
  <c r="G10" s="1"/>
  <c r="B11"/>
  <c r="G11" s="1"/>
  <c r="B12"/>
  <c r="G12" s="1"/>
  <c r="B13"/>
  <c r="G13" s="1"/>
  <c r="B14"/>
  <c r="G14" s="1"/>
  <c r="B15"/>
  <c r="G15" s="1"/>
  <c r="B16"/>
  <c r="G16" s="1"/>
  <c r="B17"/>
  <c r="G17" s="1"/>
  <c r="B18"/>
  <c r="G18" s="1"/>
  <c r="B19"/>
  <c r="G19" s="1"/>
  <c r="B20"/>
  <c r="G20" s="1"/>
  <c r="B21"/>
  <c r="G21" s="1"/>
  <c r="B22"/>
  <c r="G22" s="1"/>
  <c r="B23"/>
  <c r="G23" s="1"/>
  <c r="B24"/>
  <c r="G24" s="1"/>
  <c r="B25"/>
  <c r="G25" s="1"/>
  <c r="B26"/>
  <c r="G26" s="1"/>
  <c r="B27"/>
  <c r="G27" s="1"/>
  <c r="B3"/>
  <c r="F3" s="1"/>
  <c r="J3"/>
  <c r="K3" s="1"/>
  <c r="G3"/>
  <c r="H13" i="7"/>
  <c r="I13"/>
  <c r="J13"/>
  <c r="K13"/>
  <c r="L13"/>
  <c r="M13"/>
  <c r="N13"/>
  <c r="O13"/>
  <c r="P13"/>
  <c r="Q13"/>
  <c r="R13"/>
  <c r="S13"/>
  <c r="G13"/>
  <c r="F13"/>
  <c r="I26"/>
  <c r="J26"/>
  <c r="K26"/>
  <c r="L26"/>
  <c r="M26"/>
  <c r="N26"/>
  <c r="O26"/>
  <c r="P26"/>
  <c r="Q26"/>
  <c r="R26"/>
  <c r="S26"/>
  <c r="H26"/>
  <c r="G26"/>
  <c r="G17"/>
  <c r="F26"/>
  <c r="E26"/>
  <c r="I17"/>
  <c r="H17"/>
  <c r="P38"/>
  <c r="Q38"/>
  <c r="O33"/>
  <c r="D56" i="6"/>
  <c r="D8" i="7"/>
  <c r="N34"/>
  <c r="Q37"/>
  <c r="P37"/>
  <c r="N37"/>
  <c r="Q36"/>
  <c r="P36"/>
  <c r="O35"/>
  <c r="Q35" s="1"/>
  <c r="N35"/>
  <c r="Q34"/>
  <c r="P34"/>
  <c r="Q33"/>
  <c r="P33"/>
  <c r="O32"/>
  <c r="Q32" s="1"/>
  <c r="O31"/>
  <c r="Q31" s="1"/>
  <c r="O30"/>
  <c r="O38" s="1"/>
  <c r="F53" i="6"/>
  <c r="F54"/>
  <c r="F55"/>
  <c r="F56"/>
  <c r="F60" s="1"/>
  <c r="F57"/>
  <c r="F58"/>
  <c r="F59"/>
  <c r="F52"/>
  <c r="D59"/>
  <c r="D58"/>
  <c r="E57"/>
  <c r="D57"/>
  <c r="G4" i="7"/>
  <c r="C9"/>
  <c r="C7" i="8"/>
  <c r="C8" s="1"/>
  <c r="F4"/>
  <c r="F5"/>
  <c r="F7" s="1"/>
  <c r="F8" s="1"/>
  <c r="F3"/>
  <c r="E4"/>
  <c r="E5"/>
  <c r="E7" s="1"/>
  <c r="E8" s="1"/>
  <c r="E3"/>
  <c r="D4"/>
  <c r="D5"/>
  <c r="D7" s="1"/>
  <c r="D8" s="1"/>
  <c r="D3"/>
  <c r="C17"/>
  <c r="C16"/>
  <c r="E13"/>
  <c r="F13"/>
  <c r="E14"/>
  <c r="H14" s="1"/>
  <c r="E15"/>
  <c r="H15" s="1"/>
  <c r="G74" i="6"/>
  <c r="C69"/>
  <c r="C70"/>
  <c r="C71"/>
  <c r="C72"/>
  <c r="C73"/>
  <c r="C74"/>
  <c r="C68"/>
  <c r="L78"/>
  <c r="E68"/>
  <c r="E69"/>
  <c r="E70"/>
  <c r="E71"/>
  <c r="E72"/>
  <c r="E73"/>
  <c r="E74"/>
  <c r="E78"/>
  <c r="E67"/>
  <c r="B79"/>
  <c r="B80" s="1"/>
  <c r="G30" i="7"/>
  <c r="I30" s="1"/>
  <c r="J30" s="1"/>
  <c r="F30"/>
  <c r="I5" i="14" l="1"/>
  <c r="K2" i="10"/>
  <c r="K4" s="1"/>
  <c r="J3"/>
  <c r="I3"/>
  <c r="I5" s="1"/>
  <c r="D2"/>
  <c r="D7" s="1"/>
  <c r="D20"/>
  <c r="E12"/>
  <c r="E13"/>
  <c r="E14"/>
  <c r="E15"/>
  <c r="E17"/>
  <c r="M3" i="9"/>
  <c r="L3"/>
  <c r="E3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F4"/>
  <c r="E4"/>
  <c r="P30" i="7"/>
  <c r="Q30"/>
  <c r="P31"/>
  <c r="P32"/>
  <c r="P35"/>
  <c r="C18" i="8"/>
  <c r="F10"/>
  <c r="G10" s="1"/>
  <c r="F9"/>
  <c r="G9" s="1"/>
  <c r="C10"/>
  <c r="C9"/>
  <c r="E17"/>
  <c r="F15"/>
  <c r="D10" s="1"/>
  <c r="F14"/>
  <c r="D9" s="1"/>
  <c r="G13"/>
  <c r="G15"/>
  <c r="E10" s="1"/>
  <c r="G14"/>
  <c r="E9" s="1"/>
  <c r="H13"/>
  <c r="E16"/>
  <c r="B81" i="6"/>
  <c r="E80"/>
  <c r="F78"/>
  <c r="E79"/>
  <c r="H30" i="7"/>
  <c r="S4"/>
  <c r="O4"/>
  <c r="B24"/>
  <c r="C24" s="1"/>
  <c r="D24" s="1"/>
  <c r="C23"/>
  <c r="D23" s="1"/>
  <c r="C22"/>
  <c r="D22" s="1"/>
  <c r="D21"/>
  <c r="D20"/>
  <c r="B20"/>
  <c r="D19"/>
  <c r="D18"/>
  <c r="P17"/>
  <c r="D17"/>
  <c r="D25" s="1"/>
  <c r="P4"/>
  <c r="M4"/>
  <c r="I4"/>
  <c r="D6"/>
  <c r="D5"/>
  <c r="D4"/>
  <c r="D12" s="1"/>
  <c r="D9"/>
  <c r="B7"/>
  <c r="B11"/>
  <c r="C10"/>
  <c r="D10" s="1"/>
  <c r="C11"/>
  <c r="D7"/>
  <c r="B68" i="6"/>
  <c r="F67"/>
  <c r="I67" s="1"/>
  <c r="G55"/>
  <c r="G56"/>
  <c r="G58"/>
  <c r="G59"/>
  <c r="G57"/>
  <c r="E54"/>
  <c r="G54" s="1"/>
  <c r="E53"/>
  <c r="G53" s="1"/>
  <c r="E52"/>
  <c r="G52" s="1"/>
  <c r="I62"/>
  <c r="J63" s="1"/>
  <c r="J59"/>
  <c r="J58"/>
  <c r="J57"/>
  <c r="K57" s="1"/>
  <c r="L57" s="1"/>
  <c r="M57" s="1"/>
  <c r="J54"/>
  <c r="J53"/>
  <c r="K53" s="1"/>
  <c r="L53" s="1"/>
  <c r="M53" s="1"/>
  <c r="H7"/>
  <c r="I7"/>
  <c r="H8"/>
  <c r="I8"/>
  <c r="H17"/>
  <c r="I17"/>
  <c r="H18"/>
  <c r="I18"/>
  <c r="H19"/>
  <c r="I19"/>
  <c r="H28"/>
  <c r="I28"/>
  <c r="H29"/>
  <c r="I29"/>
  <c r="H30"/>
  <c r="I30"/>
  <c r="J30"/>
  <c r="E30"/>
  <c r="D30"/>
  <c r="J29"/>
  <c r="J28"/>
  <c r="C27"/>
  <c r="H27" s="1"/>
  <c r="C26"/>
  <c r="H26" s="1"/>
  <c r="C25"/>
  <c r="J18"/>
  <c r="J17"/>
  <c r="J8"/>
  <c r="J7"/>
  <c r="J19"/>
  <c r="F9"/>
  <c r="E19"/>
  <c r="D19"/>
  <c r="C15"/>
  <c r="D15" s="1"/>
  <c r="I15" s="1"/>
  <c r="C16"/>
  <c r="D16" s="1"/>
  <c r="I16" s="1"/>
  <c r="C14"/>
  <c r="E14" s="1"/>
  <c r="J14" s="1"/>
  <c r="C4"/>
  <c r="E4" s="1"/>
  <c r="C5"/>
  <c r="E5" s="1"/>
  <c r="C6"/>
  <c r="E6" s="1"/>
  <c r="C3"/>
  <c r="E3" s="1"/>
  <c r="P94" i="5"/>
  <c r="P93"/>
  <c r="P88"/>
  <c r="P87"/>
  <c r="P82"/>
  <c r="P81"/>
  <c r="P76"/>
  <c r="P75"/>
  <c r="P70"/>
  <c r="P69"/>
  <c r="P64"/>
  <c r="P63"/>
  <c r="P58"/>
  <c r="P46"/>
  <c r="P45"/>
  <c r="P40"/>
  <c r="P39"/>
  <c r="P57"/>
  <c r="P52"/>
  <c r="P51"/>
  <c r="L94"/>
  <c r="M94" s="1"/>
  <c r="K94"/>
  <c r="G94"/>
  <c r="H94" s="1"/>
  <c r="I94" s="1"/>
  <c r="E94"/>
  <c r="L93"/>
  <c r="M93" s="1"/>
  <c r="K93"/>
  <c r="G93"/>
  <c r="H93" s="1"/>
  <c r="I93" s="1"/>
  <c r="E93"/>
  <c r="L88"/>
  <c r="M88" s="1"/>
  <c r="K88"/>
  <c r="G88"/>
  <c r="H88" s="1"/>
  <c r="I88" s="1"/>
  <c r="E88"/>
  <c r="L87"/>
  <c r="M87" s="1"/>
  <c r="K87"/>
  <c r="G87"/>
  <c r="H87" s="1"/>
  <c r="I87" s="1"/>
  <c r="E87"/>
  <c r="L82"/>
  <c r="M82" s="1"/>
  <c r="K82"/>
  <c r="G82"/>
  <c r="H82" s="1"/>
  <c r="I82" s="1"/>
  <c r="E82"/>
  <c r="L81"/>
  <c r="M81" s="1"/>
  <c r="K81"/>
  <c r="G81"/>
  <c r="H81" s="1"/>
  <c r="I81" s="1"/>
  <c r="E81"/>
  <c r="L76"/>
  <c r="M76" s="1"/>
  <c r="K76"/>
  <c r="G76"/>
  <c r="H76" s="1"/>
  <c r="I76" s="1"/>
  <c r="E76"/>
  <c r="L75"/>
  <c r="M75" s="1"/>
  <c r="K75"/>
  <c r="G75"/>
  <c r="H75" s="1"/>
  <c r="I75" s="1"/>
  <c r="E75"/>
  <c r="L70"/>
  <c r="M70" s="1"/>
  <c r="K70"/>
  <c r="G70"/>
  <c r="H70" s="1"/>
  <c r="I70" s="1"/>
  <c r="E70"/>
  <c r="L69"/>
  <c r="M69" s="1"/>
  <c r="K69"/>
  <c r="G69"/>
  <c r="H69" s="1"/>
  <c r="I69" s="1"/>
  <c r="E69"/>
  <c r="F39"/>
  <c r="L64"/>
  <c r="M64" s="1"/>
  <c r="K64"/>
  <c r="G64"/>
  <c r="H64" s="1"/>
  <c r="I64" s="1"/>
  <c r="E64"/>
  <c r="L63"/>
  <c r="M63" s="1"/>
  <c r="K63"/>
  <c r="G63"/>
  <c r="H63" s="1"/>
  <c r="I63" s="1"/>
  <c r="E63"/>
  <c r="L58"/>
  <c r="M58" s="1"/>
  <c r="K58"/>
  <c r="G58"/>
  <c r="H58" s="1"/>
  <c r="I58" s="1"/>
  <c r="E58"/>
  <c r="L57"/>
  <c r="M57" s="1"/>
  <c r="K57"/>
  <c r="G57"/>
  <c r="H57" s="1"/>
  <c r="I57" s="1"/>
  <c r="E57"/>
  <c r="K52"/>
  <c r="L52"/>
  <c r="M52" s="1"/>
  <c r="N52" s="1"/>
  <c r="O52" s="1"/>
  <c r="E52"/>
  <c r="K51"/>
  <c r="L51"/>
  <c r="M51" s="1"/>
  <c r="N51" s="1"/>
  <c r="O51" s="1"/>
  <c r="E51"/>
  <c r="K46"/>
  <c r="L46"/>
  <c r="M46" s="1"/>
  <c r="N46" s="1"/>
  <c r="O46" s="1"/>
  <c r="E46"/>
  <c r="K45"/>
  <c r="L45"/>
  <c r="M45" s="1"/>
  <c r="N45" s="1"/>
  <c r="O45" s="1"/>
  <c r="E45"/>
  <c r="L39"/>
  <c r="M39" s="1"/>
  <c r="K40"/>
  <c r="K39"/>
  <c r="G39"/>
  <c r="H39" s="1"/>
  <c r="I39" s="1"/>
  <c r="F40"/>
  <c r="L40" s="1"/>
  <c r="M40" s="1"/>
  <c r="N40" s="1"/>
  <c r="O40" s="1"/>
  <c r="E40"/>
  <c r="E39"/>
  <c r="E27"/>
  <c r="E26"/>
  <c r="H25"/>
  <c r="J25" s="1"/>
  <c r="K25" s="1"/>
  <c r="G25"/>
  <c r="H14"/>
  <c r="J14" s="1"/>
  <c r="K14" s="1"/>
  <c r="G14"/>
  <c r="E16"/>
  <c r="E15"/>
  <c r="E14"/>
  <c r="G3"/>
  <c r="H3"/>
  <c r="J3" s="1"/>
  <c r="K3" s="1"/>
  <c r="G4" i="1"/>
  <c r="G15" i="4"/>
  <c r="F15"/>
  <c r="E15"/>
  <c r="J13"/>
  <c r="J15" s="1"/>
  <c r="I13"/>
  <c r="I15" s="1"/>
  <c r="H13"/>
  <c r="H15" s="1"/>
  <c r="G13"/>
  <c r="F13"/>
  <c r="E13"/>
  <c r="J11"/>
  <c r="I11"/>
  <c r="H11"/>
  <c r="G11"/>
  <c r="F11"/>
  <c r="E11"/>
  <c r="H9"/>
  <c r="J9" s="1"/>
  <c r="G9"/>
  <c r="F9"/>
  <c r="E9"/>
  <c r="H3" i="1"/>
  <c r="D7" i="4"/>
  <c r="C7"/>
  <c r="B7"/>
  <c r="F5"/>
  <c r="G5"/>
  <c r="I5"/>
  <c r="J5"/>
  <c r="E7"/>
  <c r="F7"/>
  <c r="G7"/>
  <c r="H7"/>
  <c r="I7"/>
  <c r="J7"/>
  <c r="Q4" i="1"/>
  <c r="R4" s="1"/>
  <c r="S4" s="1"/>
  <c r="J4"/>
  <c r="D3"/>
  <c r="E3" s="1"/>
  <c r="C3"/>
  <c r="W4" s="1"/>
  <c r="B3"/>
  <c r="I3" s="1"/>
  <c r="I4" s="1"/>
  <c r="K4" i="3"/>
  <c r="J4"/>
  <c r="E4"/>
  <c r="D4"/>
  <c r="C4"/>
  <c r="B4"/>
  <c r="H4" s="1"/>
  <c r="M4" s="1"/>
  <c r="N4" s="1"/>
  <c r="O4" s="1"/>
  <c r="E3" i="2"/>
  <c r="Q4"/>
  <c r="R4" s="1"/>
  <c r="S4" s="1"/>
  <c r="D3"/>
  <c r="J4"/>
  <c r="C3"/>
  <c r="W4" s="1"/>
  <c r="B3"/>
  <c r="I3" s="1"/>
  <c r="I4" s="1"/>
  <c r="J5" i="10" l="1"/>
  <c r="K3"/>
  <c r="K5" s="1"/>
  <c r="E20"/>
  <c r="D26" i="7"/>
  <c r="E17"/>
  <c r="H17" i="8"/>
  <c r="H16"/>
  <c r="G17"/>
  <c r="G16"/>
  <c r="F16"/>
  <c r="F17"/>
  <c r="F18" s="1"/>
  <c r="E18"/>
  <c r="F79" i="6"/>
  <c r="J78"/>
  <c r="K78" s="1"/>
  <c r="I78"/>
  <c r="H78"/>
  <c r="F80"/>
  <c r="B82"/>
  <c r="E81"/>
  <c r="G78"/>
  <c r="F68"/>
  <c r="G68"/>
  <c r="J67"/>
  <c r="K67" s="1"/>
  <c r="L67" s="1"/>
  <c r="G67"/>
  <c r="H67"/>
  <c r="B69"/>
  <c r="M17" i="7"/>
  <c r="J17"/>
  <c r="K17" s="1"/>
  <c r="L17" s="1"/>
  <c r="N17"/>
  <c r="H4"/>
  <c r="J4"/>
  <c r="K4" s="1"/>
  <c r="L4" s="1"/>
  <c r="D11"/>
  <c r="J62" i="6"/>
  <c r="K62" s="1"/>
  <c r="L62" s="1"/>
  <c r="M62" s="1"/>
  <c r="E60"/>
  <c r="G60" s="1"/>
  <c r="K58"/>
  <c r="L58" s="1"/>
  <c r="M58" s="1"/>
  <c r="H25"/>
  <c r="H31" s="1"/>
  <c r="F37" s="1"/>
  <c r="G37" s="1"/>
  <c r="J37" s="1"/>
  <c r="H16"/>
  <c r="H15"/>
  <c r="H14"/>
  <c r="H20" s="1"/>
  <c r="H6"/>
  <c r="I6" s="1"/>
  <c r="H5"/>
  <c r="I5" s="1"/>
  <c r="H4"/>
  <c r="I4" s="1"/>
  <c r="H3"/>
  <c r="J4"/>
  <c r="D25"/>
  <c r="I25" s="1"/>
  <c r="E25"/>
  <c r="J25" s="1"/>
  <c r="D26"/>
  <c r="I26" s="1"/>
  <c r="E26"/>
  <c r="J26" s="1"/>
  <c r="D27"/>
  <c r="I27" s="1"/>
  <c r="E27"/>
  <c r="J27" s="1"/>
  <c r="D3"/>
  <c r="D6"/>
  <c r="D5"/>
  <c r="D4"/>
  <c r="D14"/>
  <c r="I14" s="1"/>
  <c r="I20" s="1"/>
  <c r="H36" s="1"/>
  <c r="E16"/>
  <c r="J16" s="1"/>
  <c r="E15"/>
  <c r="J15" s="1"/>
  <c r="J20" s="1"/>
  <c r="I36" s="1"/>
  <c r="N94" i="5"/>
  <c r="N93"/>
  <c r="N88"/>
  <c r="N87"/>
  <c r="N82"/>
  <c r="N81"/>
  <c r="N76"/>
  <c r="O76" s="1"/>
  <c r="N75"/>
  <c r="N70"/>
  <c r="N69"/>
  <c r="N64"/>
  <c r="N63"/>
  <c r="N58"/>
  <c r="N57"/>
  <c r="G51"/>
  <c r="H51" s="1"/>
  <c r="I51" s="1"/>
  <c r="G52"/>
  <c r="H52" s="1"/>
  <c r="I52" s="1"/>
  <c r="N39"/>
  <c r="I3"/>
  <c r="I14"/>
  <c r="G40"/>
  <c r="H40" s="1"/>
  <c r="I40" s="1"/>
  <c r="G45"/>
  <c r="H45" s="1"/>
  <c r="I45" s="1"/>
  <c r="G46"/>
  <c r="H46" s="1"/>
  <c r="I46" s="1"/>
  <c r="I25"/>
  <c r="I9" i="4"/>
  <c r="G3" i="1"/>
  <c r="H4"/>
  <c r="G3" i="2"/>
  <c r="G4" s="1"/>
  <c r="H3"/>
  <c r="H4" s="1"/>
  <c r="D13" i="7" l="1"/>
  <c r="E4"/>
  <c r="E13" s="1"/>
  <c r="G18" i="8"/>
  <c r="H18"/>
  <c r="Q17" i="7"/>
  <c r="R17" s="1"/>
  <c r="S17" s="1"/>
  <c r="O17"/>
  <c r="F81" i="6"/>
  <c r="B83"/>
  <c r="E82"/>
  <c r="J80"/>
  <c r="K80" s="1"/>
  <c r="I80"/>
  <c r="H80"/>
  <c r="J79"/>
  <c r="K79" s="1"/>
  <c r="I79"/>
  <c r="H79"/>
  <c r="G80"/>
  <c r="G79"/>
  <c r="B70"/>
  <c r="H68"/>
  <c r="I68"/>
  <c r="J68"/>
  <c r="K68" s="1"/>
  <c r="I3"/>
  <c r="I9" s="1"/>
  <c r="H35" s="1"/>
  <c r="J35" s="1"/>
  <c r="J38" s="1"/>
  <c r="H9"/>
  <c r="F35" s="1"/>
  <c r="G35" s="1"/>
  <c r="I31"/>
  <c r="H37" s="1"/>
  <c r="J5"/>
  <c r="J6"/>
  <c r="J3"/>
  <c r="J9" s="1"/>
  <c r="I35" s="1"/>
  <c r="F36"/>
  <c r="G36" s="1"/>
  <c r="J31"/>
  <c r="I37" s="1"/>
  <c r="O39" i="5"/>
  <c r="O57"/>
  <c r="O58"/>
  <c r="O63"/>
  <c r="O64"/>
  <c r="O69"/>
  <c r="O70"/>
  <c r="O75"/>
  <c r="O81"/>
  <c r="O82"/>
  <c r="O87"/>
  <c r="O88"/>
  <c r="O93"/>
  <c r="O94"/>
  <c r="N4" i="1"/>
  <c r="N4" i="2"/>
  <c r="F82" i="6" l="1"/>
  <c r="B84"/>
  <c r="E83"/>
  <c r="J81"/>
  <c r="K81" s="1"/>
  <c r="I81"/>
  <c r="H81"/>
  <c r="G81"/>
  <c r="B71"/>
  <c r="F69"/>
  <c r="G69"/>
  <c r="N4" i="7"/>
  <c r="Q4"/>
  <c r="R4" s="1"/>
  <c r="O4" i="1"/>
  <c r="P4" s="1"/>
  <c r="T4"/>
  <c r="U4" s="1"/>
  <c r="V4" s="1"/>
  <c r="X4" s="1"/>
  <c r="O4" i="2"/>
  <c r="P4" s="1"/>
  <c r="T4"/>
  <c r="U4" s="1"/>
  <c r="V4" s="1"/>
  <c r="X4" s="1"/>
  <c r="F83" i="6" l="1"/>
  <c r="B85"/>
  <c r="E85" s="1"/>
  <c r="E84"/>
  <c r="J82"/>
  <c r="K82" s="1"/>
  <c r="I82"/>
  <c r="H82"/>
  <c r="G82"/>
  <c r="H69"/>
  <c r="I69"/>
  <c r="J69"/>
  <c r="K69" s="1"/>
  <c r="B72"/>
  <c r="F70"/>
  <c r="G70"/>
  <c r="F84" l="1"/>
  <c r="F85"/>
  <c r="J83"/>
  <c r="K83" s="1"/>
  <c r="I83"/>
  <c r="H83"/>
  <c r="G83"/>
  <c r="H70"/>
  <c r="I70"/>
  <c r="J70"/>
  <c r="K70" s="1"/>
  <c r="B73"/>
  <c r="F71"/>
  <c r="G71"/>
  <c r="J85" l="1"/>
  <c r="K85" s="1"/>
  <c r="I85"/>
  <c r="H85"/>
  <c r="J84"/>
  <c r="K84" s="1"/>
  <c r="I84"/>
  <c r="H84"/>
  <c r="G85"/>
  <c r="G84"/>
  <c r="H71"/>
  <c r="I71"/>
  <c r="J71"/>
  <c r="K71" s="1"/>
  <c r="B74"/>
  <c r="F72"/>
  <c r="G72"/>
  <c r="H72" l="1"/>
  <c r="I72"/>
  <c r="J72"/>
  <c r="K72" s="1"/>
  <c r="F74"/>
  <c r="F73"/>
  <c r="G73"/>
  <c r="H73" l="1"/>
  <c r="I73"/>
  <c r="J73"/>
  <c r="K73" s="1"/>
  <c r="H74"/>
  <c r="I74"/>
  <c r="J74"/>
  <c r="K74" s="1"/>
</calcChain>
</file>

<file path=xl/sharedStrings.xml><?xml version="1.0" encoding="utf-8"?>
<sst xmlns="http://schemas.openxmlformats.org/spreadsheetml/2006/main" count="1174" uniqueCount="359">
  <si>
    <t>Avg.Production Per Day (Bags)</t>
  </si>
  <si>
    <t>In Tonnes</t>
  </si>
  <si>
    <t>Power</t>
  </si>
  <si>
    <t>Labour</t>
  </si>
  <si>
    <t>SP</t>
  </si>
  <si>
    <t>Profit per day</t>
  </si>
  <si>
    <t>Profit per Month</t>
  </si>
  <si>
    <t>Profit per Year</t>
  </si>
  <si>
    <t>Turn over P.A</t>
  </si>
  <si>
    <t>Profit Margin(%)</t>
  </si>
  <si>
    <t>Quantity</t>
  </si>
  <si>
    <t>Raw Material</t>
  </si>
  <si>
    <t>Clinker in Kgs</t>
  </si>
  <si>
    <t>Fly Ash in Kgs</t>
  </si>
  <si>
    <t>Gypsum in Kgs</t>
  </si>
  <si>
    <t>Price in INR</t>
  </si>
  <si>
    <t>Totoal investment   per day INR</t>
  </si>
  <si>
    <t>Totoal investment   per Month INR</t>
  </si>
  <si>
    <t>Totoal investment   per Year INR</t>
  </si>
  <si>
    <t>Totoal Sales  per day INR</t>
  </si>
  <si>
    <t>Totoal Sales   per Month INR</t>
  </si>
  <si>
    <t>Totoal Sales   per Year INR</t>
  </si>
  <si>
    <t>Avg.Production Per Month (Bags)</t>
  </si>
  <si>
    <t>Avg.Production Per Year (Bags)</t>
  </si>
  <si>
    <t>Empty Bag in Nos</t>
  </si>
  <si>
    <t xml:space="preserve"> </t>
  </si>
  <si>
    <t>Misc+Intrest for investment</t>
  </si>
  <si>
    <t>Clinker production cost</t>
  </si>
  <si>
    <t>Lime stone in Kgs (80%)</t>
  </si>
  <si>
    <t>Coke Ash in Kgs (15%)</t>
  </si>
  <si>
    <t>Iron Filings in Kgs(2.5%)</t>
  </si>
  <si>
    <t>Clay(2.5%)</t>
  </si>
  <si>
    <t xml:space="preserve">Out put per day in tonne </t>
  </si>
  <si>
    <t>Out put per Year in tonne</t>
  </si>
  <si>
    <t>Out put per Month in tonne</t>
  </si>
  <si>
    <t>Total Cost per tonne</t>
  </si>
  <si>
    <t>In Tones</t>
  </si>
  <si>
    <t>Total investment   per day INR</t>
  </si>
  <si>
    <t>Total investment   per Month INR</t>
  </si>
  <si>
    <t>Total investment   per Year INR</t>
  </si>
  <si>
    <t>Total Sales  per day INR</t>
  </si>
  <si>
    <t>Total Sales   per Month INR</t>
  </si>
  <si>
    <t>Total Sales   per Year INR</t>
  </si>
  <si>
    <t>Baught out Clinker - Cement production cost</t>
  </si>
  <si>
    <t>With In-plant produced Clinker - Cement production cost</t>
  </si>
  <si>
    <t>Fly ash in Kgs</t>
  </si>
  <si>
    <t>Investment on Clinker production</t>
  </si>
  <si>
    <t>Investment on Cement production with baught out Clinker</t>
  </si>
  <si>
    <t>Investment on Cement production with  In plant Clinker</t>
  </si>
  <si>
    <t>Output Per Day in tonne</t>
  </si>
  <si>
    <t>Output Per Month in tonne</t>
  </si>
  <si>
    <t>Output Per Year in tonne</t>
  </si>
  <si>
    <t>Total Investment Per Day</t>
  </si>
  <si>
    <t>Total Investment Per Month</t>
  </si>
  <si>
    <t>Total Investment Per Year</t>
  </si>
  <si>
    <t xml:space="preserve">Out put per day in Bags </t>
  </si>
  <si>
    <t>Out put per Month in Bags</t>
  </si>
  <si>
    <t>Out put per Year in Bags</t>
  </si>
  <si>
    <t>Output Per Day in Kgs</t>
  </si>
  <si>
    <t>Output Per Month in Kgs</t>
  </si>
  <si>
    <t>Output Per Year in Kgs</t>
  </si>
  <si>
    <t>Profit Per day</t>
  </si>
  <si>
    <t>Profit % Per day</t>
  </si>
  <si>
    <t>Profit % per Month</t>
  </si>
  <si>
    <t>Profit % per Year</t>
  </si>
  <si>
    <t xml:space="preserve">Price per Tonne </t>
  </si>
  <si>
    <t>Production cost</t>
  </si>
  <si>
    <t>Total Selling Cost</t>
  </si>
  <si>
    <t>Sl.No.</t>
  </si>
  <si>
    <t>Particulars</t>
  </si>
  <si>
    <t>Remarks</t>
  </si>
  <si>
    <t>Lime Stone</t>
  </si>
  <si>
    <t>Coke Ash</t>
  </si>
  <si>
    <t>Iron Filings</t>
  </si>
  <si>
    <t>Clay</t>
  </si>
  <si>
    <t>Daily clinker production in Tonnes</t>
  </si>
  <si>
    <t>Cost</t>
  </si>
  <si>
    <t>Total</t>
  </si>
  <si>
    <t>Amount to produce 1 tonne of clinker</t>
  </si>
  <si>
    <t>Monthly clinker production in Tonnes</t>
  </si>
  <si>
    <t>Yearly clinker production in Tonnes</t>
  </si>
  <si>
    <t>Qantity required to produce 1 Tonne of clinker in Kgs</t>
  </si>
  <si>
    <t>Qantity required to produce 1 Tonne of Cement in Kgs</t>
  </si>
  <si>
    <t>Amount to produce 1 tonne of Cement</t>
  </si>
  <si>
    <t>Daily Cement production in Tonnes</t>
  </si>
  <si>
    <t>Monthly Cement production in Tonnes</t>
  </si>
  <si>
    <t>Yearly Cement production in Tonnes</t>
  </si>
  <si>
    <t>Clinker</t>
  </si>
  <si>
    <t>Fly ash</t>
  </si>
  <si>
    <t>Gypsum</t>
  </si>
  <si>
    <t>Bags</t>
  </si>
  <si>
    <t>Raw Material for Cement Production</t>
  </si>
  <si>
    <t>Raw material for Clinker Production</t>
  </si>
  <si>
    <t>Cement with in plant clinker</t>
  </si>
  <si>
    <t>Production per day in terms of bags</t>
  </si>
  <si>
    <t>OR production per day in terms of Tonne</t>
  </si>
  <si>
    <t>Cost per Bag(50Kg)</t>
  </si>
  <si>
    <t>Cost per day</t>
  </si>
  <si>
    <t>Cost per Month</t>
  </si>
  <si>
    <t>S.P. Per Bag</t>
  </si>
  <si>
    <t xml:space="preserve"> Per bag Margin</t>
  </si>
  <si>
    <t>Per bag % Margin</t>
  </si>
  <si>
    <t>Per  day Margin</t>
  </si>
  <si>
    <t>Sales turn over per day</t>
  </si>
  <si>
    <t>Per  Month Margin</t>
  </si>
  <si>
    <t xml:space="preserve">Cost Calculated for manufacturing clinker in-plant </t>
  </si>
  <si>
    <t>Sl.No</t>
  </si>
  <si>
    <t>No.of Bags per day</t>
  </si>
  <si>
    <t xml:space="preserve">Cost Calculated for cement with bought out clinker </t>
  </si>
  <si>
    <t>Cement with bought out  clinker</t>
  </si>
  <si>
    <t>Intrest Payable per month</t>
  </si>
  <si>
    <t xml:space="preserve">Misc per month </t>
  </si>
  <si>
    <t>Total per month</t>
  </si>
  <si>
    <t>Turnover per annuam</t>
  </si>
  <si>
    <t>Cost per Year</t>
  </si>
  <si>
    <t xml:space="preserve">Balance per month </t>
  </si>
  <si>
    <t>Break Even point For In-Plnt Clinker</t>
  </si>
  <si>
    <t>Break Even point For baught out Clinker</t>
  </si>
  <si>
    <t xml:space="preserve"> Cost per day in INR in Lakhs</t>
  </si>
  <si>
    <t>Cost per 25 days  in INR in Lakhs</t>
  </si>
  <si>
    <t xml:space="preserve">Material required and its cost for Clinker production </t>
  </si>
  <si>
    <t xml:space="preserve">Material required and its cost for Cement production with In-Plant Clinker </t>
  </si>
  <si>
    <t xml:space="preserve">Material required and its cost for Cement production with baughtout Clinker </t>
  </si>
  <si>
    <t>Production</t>
  </si>
  <si>
    <t xml:space="preserve"> Production Cost per day in INR in Lakhs</t>
  </si>
  <si>
    <t>Production Cost per 25 days  in INR in Lakhs</t>
  </si>
  <si>
    <t>Production Cost per week in INR in Lakhs</t>
  </si>
  <si>
    <t>Commission</t>
  </si>
  <si>
    <t>% commission</t>
  </si>
  <si>
    <t xml:space="preserve"> commission Amount </t>
  </si>
  <si>
    <t>Min. Cost per bag</t>
  </si>
  <si>
    <t>From</t>
  </si>
  <si>
    <t>To</t>
  </si>
  <si>
    <t>Min.no.Bags to be sold per day</t>
  </si>
  <si>
    <t>Sales commission above Rs. 300 per bag will remain  at Rs.10 per bag only</t>
  </si>
  <si>
    <t xml:space="preserve">Commission will be allowed only on cash and carry basis </t>
  </si>
  <si>
    <t>No credit is allowed</t>
  </si>
  <si>
    <t>Budget calculations</t>
  </si>
  <si>
    <t>Sales commission will not be entertained below Rs. 250 per bag</t>
  </si>
  <si>
    <t>Sales Commission sold at Minimum 500 bags per day</t>
  </si>
  <si>
    <t>Selling Price</t>
  </si>
  <si>
    <t>S.P.</t>
  </si>
  <si>
    <t>Margin</t>
  </si>
  <si>
    <t>Bag</t>
  </si>
  <si>
    <t>Fly Ash</t>
  </si>
  <si>
    <t>Cost/T</t>
  </si>
  <si>
    <t>Misc</t>
  </si>
  <si>
    <t>1st week</t>
  </si>
  <si>
    <t>2nd week</t>
  </si>
  <si>
    <t>3rd week</t>
  </si>
  <si>
    <t>4th week</t>
  </si>
  <si>
    <t>Sales</t>
  </si>
  <si>
    <t>Per month</t>
  </si>
  <si>
    <t xml:space="preserve">Per Day </t>
  </si>
  <si>
    <t>Loading</t>
  </si>
  <si>
    <t>Expenses per Week</t>
  </si>
  <si>
    <t>Expenses per Month</t>
  </si>
  <si>
    <t>Total required per day in Tone</t>
  </si>
  <si>
    <t>For Fortnight required in Tone</t>
  </si>
  <si>
    <t>For 25 days required in tone</t>
  </si>
  <si>
    <t xml:space="preserve">Quantity required to produce 1 Tone of clinker </t>
  </si>
  <si>
    <t>Cost per tone</t>
  </si>
  <si>
    <t>Cost per  Fortnight in INR in Lakhs</t>
  </si>
  <si>
    <t xml:space="preserve">Quantity required to produce 1 Tone of Cement </t>
  </si>
  <si>
    <t>Production Cost per  Fortnight in INR in Lakhs</t>
  </si>
  <si>
    <t xml:space="preserve"> Budget considered for 15 days clinker &amp; 6 days  cement production with bought out clinker</t>
  </si>
  <si>
    <t>Intermittent Payment adjustment for running the plant with bought out clinker</t>
  </si>
  <si>
    <t>Per day consumption(T)</t>
  </si>
  <si>
    <t>Per day sales</t>
  </si>
  <si>
    <t>C.P</t>
  </si>
  <si>
    <t>Margin per day</t>
  </si>
  <si>
    <t>Margin per month</t>
  </si>
  <si>
    <t>Total No. of Bags produced for  the total  investment</t>
  </si>
  <si>
    <t>Investment per month</t>
  </si>
  <si>
    <t>Cost per bag</t>
  </si>
  <si>
    <t>S.P. per bag</t>
  </si>
  <si>
    <t>Labour(Rs.)</t>
  </si>
  <si>
    <t>Bag (Nos.)</t>
  </si>
  <si>
    <t>Misc (Rs.)</t>
  </si>
  <si>
    <t>Loading (Rs.)</t>
  </si>
  <si>
    <t>Turnover P.D. (In Crores)</t>
  </si>
  <si>
    <t>Turnover P.W. (In Crores)</t>
  </si>
  <si>
    <t>Turnover P.M. (In Crores)</t>
  </si>
  <si>
    <t>Turnover P.A. on Full Capacity (In Crores)</t>
  </si>
  <si>
    <t>Turnover P.A. on 50 % Capacity (In Crores)</t>
  </si>
  <si>
    <t>Margin on Full Capacity P.A. (In Crores)</t>
  </si>
  <si>
    <t>Margin on  Capacity 50 % Capacity P.A. (In Crores)</t>
  </si>
  <si>
    <t>Bank Interest @ 12% p.a (In Crores)</t>
  </si>
  <si>
    <t>Balance @ Full Capacity P.A. (In Crores)</t>
  </si>
  <si>
    <t>Balance @ 50% Capacity P.A. (In Crores)</t>
  </si>
  <si>
    <t>Margin on  Capacity 25 % Capacity P.A. (In Crores)</t>
  </si>
  <si>
    <t>Balance @ 25% Capacity P.A. (In Crores)</t>
  </si>
  <si>
    <t>Total material required per day in Tone</t>
  </si>
  <si>
    <t>Investment &amp; Out put details per month with baught out clinker</t>
  </si>
  <si>
    <t>Investment &amp; Out put details per month with In plant produced Clinker</t>
  </si>
  <si>
    <t>Margin %</t>
  </si>
  <si>
    <t>No. of bags produced per day for  the total  investment</t>
  </si>
  <si>
    <t xml:space="preserve">No. of working days </t>
  </si>
  <si>
    <t>Expenses per day</t>
  </si>
  <si>
    <t>Raw material required for Clinker Production</t>
  </si>
  <si>
    <t>Expense incurred to produce 1 tonne of clinker</t>
  </si>
  <si>
    <t xml:space="preserve">Cost Involved </t>
  </si>
  <si>
    <t xml:space="preserve">For Six days </t>
  </si>
  <si>
    <t>For fifteen days</t>
  </si>
  <si>
    <t>Turnover P.A. on 25 % Capacity (In Crores)</t>
  </si>
  <si>
    <t xml:space="preserve">Total Fund required </t>
  </si>
  <si>
    <t>100(50+50)</t>
  </si>
  <si>
    <t>Cement with In Plant clinker</t>
  </si>
  <si>
    <t>S.P of cement bags</t>
  </si>
  <si>
    <t>Min. Qnty produced Per Day in Tone</t>
  </si>
  <si>
    <t>For a Month in Tone (25 Days)</t>
  </si>
  <si>
    <t>Cement with bought out clinker</t>
  </si>
  <si>
    <t>For Six days in Tone</t>
  </si>
  <si>
    <t>For fifteen days in Tone</t>
  </si>
  <si>
    <t>% Margin</t>
  </si>
  <si>
    <t>No. of Cement Bags→</t>
  </si>
  <si>
    <t>Buying Cost/T</t>
  </si>
  <si>
    <t>Material requirement details:</t>
  </si>
  <si>
    <t>Minimum Margin details:</t>
  </si>
  <si>
    <t>Plant turnover with In Plant manufactured  clinker to its Fullest,50% &amp; 25%  Load capacity</t>
  </si>
  <si>
    <t>Plant turnover with bought out clinker to its  Fullest, 50% &amp; 25%  Load capacity</t>
  </si>
  <si>
    <t>Margin from bought out clinker</t>
  </si>
  <si>
    <t>Margin from  In -  Plant clinker</t>
  </si>
  <si>
    <t>Funds requirement details for Min of 1000 Bags:</t>
  </si>
  <si>
    <t>Cost involved for Clinker  Production &amp; Cement production with bought out clinker</t>
  </si>
  <si>
    <t>Cost involved for Clinker  Production &amp; Cement production with In plant clinker</t>
  </si>
  <si>
    <t>Avg Funds required</t>
  </si>
  <si>
    <t xml:space="preserve">Payment strecture for Raw material supplier </t>
  </si>
  <si>
    <t>Expenses per Day for producing 50T cement</t>
  </si>
  <si>
    <t>Expenses incurred for 1000 bags of cement</t>
  </si>
  <si>
    <t>Expenses per Day for producing 50T (1000 Bags) cement</t>
  </si>
  <si>
    <t>Expenses per Week (300T - 6000 bags)</t>
  </si>
  <si>
    <t>Expenses per Month (1250T - 25000 bags)</t>
  </si>
  <si>
    <r>
      <t>Cost per Tone of cement(20 bags X 50Kgs)</t>
    </r>
    <r>
      <rPr>
        <b/>
        <sz val="22"/>
        <color theme="0"/>
        <rFont val="Calibri"/>
        <family val="2"/>
        <scheme val="minor"/>
      </rPr>
      <t xml:space="preserve"> </t>
    </r>
    <r>
      <rPr>
        <b/>
        <sz val="22"/>
        <color theme="0"/>
        <rFont val="Calibri"/>
        <family val="2"/>
      </rPr>
      <t>→</t>
    </r>
  </si>
  <si>
    <t>S.P</t>
  </si>
  <si>
    <t>Min Prod. Per day(Bags)</t>
  </si>
  <si>
    <t xml:space="preserve">Margin  P.A.  </t>
  </si>
  <si>
    <t>Liabilities in Crores</t>
  </si>
  <si>
    <t>Intrest P.A. @ 11.5% in Crores</t>
  </si>
  <si>
    <t>Intrest P.M. @ 11.5% in Crores</t>
  </si>
  <si>
    <t>Intrest Per 6 days. @ 11.5% in Crores</t>
  </si>
  <si>
    <t>Intrest Per day. @ 11.5% in Crores</t>
  </si>
  <si>
    <t>Left over per day</t>
  </si>
  <si>
    <t>Left over per 6 days</t>
  </si>
  <si>
    <t>Left over P.M</t>
  </si>
  <si>
    <t>Left over P.A (Crores)</t>
  </si>
  <si>
    <t>Clearance of Liabilities in Years</t>
  </si>
  <si>
    <t>Total C.P</t>
  </si>
  <si>
    <t>Total S.P</t>
  </si>
  <si>
    <t>Depriciation @ 10%</t>
  </si>
  <si>
    <t>Balance</t>
  </si>
  <si>
    <t>Production - Sales Plan</t>
  </si>
  <si>
    <t>Budget Allocation</t>
  </si>
  <si>
    <t>Margin Details</t>
  </si>
  <si>
    <t>Total Expenses</t>
  </si>
  <si>
    <t>Intrest P.A. @ 12%</t>
  </si>
  <si>
    <t>Principle</t>
  </si>
  <si>
    <t>Intrest P.M. @ 12%</t>
  </si>
  <si>
    <t>No of bags</t>
  </si>
  <si>
    <t>Per Day</t>
  </si>
  <si>
    <t>Per 6 days</t>
  </si>
  <si>
    <t>P.M</t>
  </si>
  <si>
    <t>P.A</t>
  </si>
  <si>
    <t>Details</t>
  </si>
  <si>
    <t>Bank Loan</t>
  </si>
  <si>
    <t>Working capital Loan</t>
  </si>
  <si>
    <t>Total Intrest P.M</t>
  </si>
  <si>
    <t>Margin Balance In Hand P.M</t>
  </si>
  <si>
    <t>Bank Repaymnet P.M</t>
  </si>
  <si>
    <t>W.C Repaymnet</t>
  </si>
  <si>
    <t>Margin per bag</t>
  </si>
  <si>
    <t>No. of days required to settle the 12 days Raw material paymnet</t>
  </si>
  <si>
    <t>No. of bags sold per day</t>
  </si>
  <si>
    <t>Cost for making 200 T cement per day(4000 Bags)</t>
  </si>
  <si>
    <t>Cost/200 T OR per day (4000 Bags)</t>
  </si>
  <si>
    <t>For no Of days production</t>
  </si>
  <si>
    <t>Total Payment</t>
  </si>
  <si>
    <t>Total revenue generated for 12000 bags</t>
  </si>
  <si>
    <t>Balance left over revenue</t>
  </si>
  <si>
    <t>C.P.</t>
  </si>
  <si>
    <t>Total C.P for 375 bags</t>
  </si>
  <si>
    <t xml:space="preserve">Payment every 8.03 days </t>
  </si>
  <si>
    <t>Expense per day (1000 Bags)</t>
  </si>
  <si>
    <t>Total cost for 12 days (12000 bags)</t>
  </si>
  <si>
    <t>Total Margin P.M(For 1750 *25 bags)</t>
  </si>
  <si>
    <t>A. Laiabilities Payment chart</t>
  </si>
  <si>
    <t>Revenue P.M</t>
  </si>
  <si>
    <t>Production Cost</t>
  </si>
  <si>
    <t>Left over margin</t>
  </si>
  <si>
    <t>Left over % margin</t>
  </si>
  <si>
    <t>Total Production P.M (Bags)</t>
  </si>
  <si>
    <t>Quantity required to produce 1 Tonne of clinker in Kgs</t>
  </si>
  <si>
    <t>Margin Calculated for cement made with bought out &amp; In-plant clinker  @ 100% capacity</t>
  </si>
  <si>
    <t>Margin Calculated for cement made with bought out &amp; In-plant clinker  @ 80% Capacity</t>
  </si>
  <si>
    <t>Margin Calculated for cement made with bought out &amp; In-plant clinker  @ 10% Capacity</t>
  </si>
  <si>
    <t>Margin Calculated for cement made with bought out &amp; In-plant clinker  @ 90% Capacity</t>
  </si>
  <si>
    <t>Margin Calculated for cement made with bought out &amp; In-plant clinker  @ 70% Capacity</t>
  </si>
  <si>
    <t>Margin Calculated for cement made with bought out &amp; In-plant clinker  @ 60% Capacity</t>
  </si>
  <si>
    <t>Margin Calculated for cement made with bought out &amp; In-plant clinker  @ 50%  Capacity</t>
  </si>
  <si>
    <t>Margin Calculated for cement made with bought out &amp; In-plant clinker  @ 40% Capacity</t>
  </si>
  <si>
    <t>Margin Calculated for cement made with bought out &amp; In-plant clinker  @ 30% Capacity</t>
  </si>
  <si>
    <t>Margin Calculated for cement made with bought out &amp; In-plant clinker  @ 20% Capacity</t>
  </si>
  <si>
    <t xml:space="preserve">Cost Calculated for manufacturing Cement with In plant clinker   </t>
  </si>
  <si>
    <t>Cost per month</t>
  </si>
  <si>
    <t>Cost P.A.</t>
  </si>
  <si>
    <t>Production cum margin calculation Details</t>
  </si>
  <si>
    <t xml:space="preserve">Self produced clinker </t>
  </si>
  <si>
    <t xml:space="preserve">Imported clinker </t>
  </si>
  <si>
    <t xml:space="preserve"> Tones/ day </t>
  </si>
  <si>
    <t xml:space="preserve"> Bags/ day </t>
  </si>
  <si>
    <t xml:space="preserve"> Exp./ Month</t>
  </si>
  <si>
    <t xml:space="preserve"> Exp./ Day</t>
  </si>
  <si>
    <t xml:space="preserve"> Exp./Day</t>
  </si>
  <si>
    <t xml:space="preserve"> Exp./  Day</t>
  </si>
  <si>
    <t>Exp/ year</t>
  </si>
  <si>
    <t xml:space="preserve"> C.P/ Bag  </t>
  </si>
  <si>
    <t xml:space="preserve"> C.P/ Bag </t>
  </si>
  <si>
    <t>S.P. / Bag</t>
  </si>
  <si>
    <t>T.O / annuam</t>
  </si>
  <si>
    <t>M/ Bag</t>
  </si>
  <si>
    <t>M %/ Bag</t>
  </si>
  <si>
    <t>M / Day</t>
  </si>
  <si>
    <t>M / Month</t>
  </si>
  <si>
    <t>T.O/ day</t>
  </si>
  <si>
    <t>Bags Produced</t>
  </si>
  <si>
    <t>%</t>
  </si>
  <si>
    <t xml:space="preserve">Cost/Bag </t>
  </si>
  <si>
    <t>No.of Days</t>
  </si>
  <si>
    <t>Total Payable/M</t>
  </si>
  <si>
    <t>Share in terms of bags</t>
  </si>
  <si>
    <t>Total Payable/Yr</t>
  </si>
  <si>
    <t>No of Yr</t>
  </si>
  <si>
    <t xml:space="preserve">Investment </t>
  </si>
  <si>
    <t>Returns in % on profit</t>
  </si>
  <si>
    <t>Tenure in months</t>
  </si>
  <si>
    <t>Payment intervals - Monthly</t>
  </si>
  <si>
    <t>Max Cap. Production per day</t>
  </si>
  <si>
    <t>Min Cap. Production per day</t>
  </si>
  <si>
    <t>Cost of production per bag</t>
  </si>
  <si>
    <t>Cost on  Max Cap. Production</t>
  </si>
  <si>
    <t>Cost on  Min  Cap. Production</t>
  </si>
  <si>
    <t>Min S.P.</t>
  </si>
  <si>
    <t>Production Margin %</t>
  </si>
  <si>
    <t>Profit Margin on production margin %</t>
  </si>
  <si>
    <t>Margin - Min/Day</t>
  </si>
  <si>
    <t>Margin - Max/Day</t>
  </si>
  <si>
    <t>Inestment</t>
  </si>
  <si>
    <t xml:space="preserve">Margin at 100% plant capacity production with bought out &amp; In-plant clinker  </t>
  </si>
  <si>
    <t xml:space="preserve">Margin at 90% plant capacity production with bought out &amp; In-plant clinker  </t>
  </si>
  <si>
    <t xml:space="preserve">Margin at 80% plant capacity production with bought out &amp; In-plant clinker  </t>
  </si>
  <si>
    <t xml:space="preserve">Margin at 70% plant capacity production with bought out &amp; In-plant clinker  </t>
  </si>
  <si>
    <t xml:space="preserve">Margin at 60% plant capacity production with bought out &amp; In-plant clinker  </t>
  </si>
  <si>
    <t xml:space="preserve">Margin at 50% plant capacity production with bought out &amp; In-plant clinker  </t>
  </si>
  <si>
    <t xml:space="preserve">Margin at 40% plant capacity production with bought out &amp; In-plant clinker  </t>
  </si>
  <si>
    <t xml:space="preserve">Margin at 30% plant capacity production with bought out &amp; In-plant clinker  </t>
  </si>
  <si>
    <t xml:space="preserve">Margin at 10% plant capacity production with bought out &amp; In-plant clinker  </t>
  </si>
  <si>
    <t xml:space="preserve">Margin at 20% plant capacity production with bought out &amp; In-plant clinker  </t>
  </si>
  <si>
    <t>B. Raw material Payment chart</t>
  </si>
  <si>
    <t xml:space="preserve">Brerak up details for manufacturing clinker at Unit-2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</si>
</sst>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61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9C0006"/>
      <name val="Calibri"/>
      <family val="2"/>
      <scheme val="minor"/>
    </font>
    <font>
      <b/>
      <sz val="9"/>
      <color rgb="FF3F3F7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  <xf numFmtId="0" fontId="6" fillId="6" borderId="3" applyNumberForma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</cellStyleXfs>
  <cellXfs count="523">
    <xf numFmtId="0" fontId="0" fillId="0" borderId="0" xfId="0"/>
    <xf numFmtId="1" fontId="0" fillId="0" borderId="0" xfId="0" applyNumberFormat="1"/>
    <xf numFmtId="0" fontId="9" fillId="4" borderId="1" xfId="3" applyFont="1" applyBorder="1" applyAlignment="1">
      <alignment horizontal="center" vertical="center" wrapText="1"/>
    </xf>
    <xf numFmtId="0" fontId="9" fillId="4" borderId="1" xfId="3" applyFont="1" applyBorder="1" applyAlignment="1">
      <alignment horizontal="center" vertical="center"/>
    </xf>
    <xf numFmtId="0" fontId="11" fillId="7" borderId="1" xfId="6" applyFont="1" applyBorder="1" applyAlignment="1">
      <alignment horizontal="center"/>
    </xf>
    <xf numFmtId="0" fontId="11" fillId="7" borderId="1" xfId="6" applyFont="1" applyBorder="1"/>
    <xf numFmtId="0" fontId="11" fillId="10" borderId="1" xfId="9" applyFont="1" applyBorder="1" applyAlignment="1">
      <alignment horizontal="center"/>
    </xf>
    <xf numFmtId="0" fontId="11" fillId="10" borderId="1" xfId="9" applyFont="1" applyBorder="1"/>
    <xf numFmtId="0" fontId="11" fillId="8" borderId="1" xfId="7" applyFont="1" applyBorder="1"/>
    <xf numFmtId="0" fontId="11" fillId="9" borderId="1" xfId="8" applyFont="1" applyBorder="1"/>
    <xf numFmtId="0" fontId="12" fillId="11" borderId="1" xfId="10" applyFont="1" applyBorder="1"/>
    <xf numFmtId="0" fontId="13" fillId="3" borderId="1" xfId="2" applyFont="1" applyBorder="1"/>
    <xf numFmtId="0" fontId="14" fillId="5" borderId="2" xfId="4" applyFont="1"/>
    <xf numFmtId="1" fontId="14" fillId="5" borderId="2" xfId="4" applyNumberFormat="1" applyFont="1"/>
    <xf numFmtId="0" fontId="15" fillId="9" borderId="1" xfId="8" applyFont="1" applyBorder="1"/>
    <xf numFmtId="0" fontId="15" fillId="7" borderId="1" xfId="6" applyFont="1" applyBorder="1"/>
    <xf numFmtId="0" fontId="15" fillId="10" borderId="1" xfId="9" applyFont="1" applyBorder="1"/>
    <xf numFmtId="0" fontId="15" fillId="8" borderId="1" xfId="7" applyFont="1" applyBorder="1"/>
    <xf numFmtId="0" fontId="16" fillId="7" borderId="1" xfId="6" applyFont="1" applyBorder="1" applyAlignment="1">
      <alignment horizontal="center"/>
    </xf>
    <xf numFmtId="0" fontId="9" fillId="10" borderId="1" xfId="9" applyFont="1" applyBorder="1" applyAlignment="1">
      <alignment horizontal="center"/>
    </xf>
    <xf numFmtId="0" fontId="16" fillId="7" borderId="1" xfId="6" applyFont="1" applyBorder="1"/>
    <xf numFmtId="0" fontId="9" fillId="10" borderId="1" xfId="9" applyFont="1" applyBorder="1"/>
    <xf numFmtId="0" fontId="0" fillId="0" borderId="1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0" xfId="0" applyFont="1" applyBorder="1"/>
    <xf numFmtId="0" fontId="17" fillId="0" borderId="1" xfId="0" applyFont="1" applyBorder="1" applyAlignment="1">
      <alignment horizontal="right" wrapText="1"/>
    </xf>
    <xf numFmtId="1" fontId="0" fillId="0" borderId="1" xfId="0" applyNumberFormat="1" applyBorder="1"/>
    <xf numFmtId="0" fontId="17" fillId="0" borderId="11" xfId="0" applyFont="1" applyBorder="1"/>
    <xf numFmtId="0" fontId="17" fillId="0" borderId="11" xfId="0" applyFont="1" applyBorder="1" applyAlignment="1">
      <alignment wrapText="1"/>
    </xf>
    <xf numFmtId="0" fontId="17" fillId="0" borderId="11" xfId="0" applyFont="1" applyBorder="1" applyAlignment="1">
      <alignment horizontal="right" wrapText="1"/>
    </xf>
    <xf numFmtId="0" fontId="0" fillId="0" borderId="11" xfId="0" applyBorder="1"/>
    <xf numFmtId="0" fontId="9" fillId="4" borderId="1" xfId="3" applyFont="1" applyBorder="1" applyAlignment="1">
      <alignment horizontal="center" wrapText="1"/>
    </xf>
    <xf numFmtId="0" fontId="9" fillId="4" borderId="1" xfId="3" applyFont="1" applyBorder="1" applyAlignment="1">
      <alignment horizontal="center"/>
    </xf>
    <xf numFmtId="0" fontId="9" fillId="4" borderId="11" xfId="3" applyFont="1" applyBorder="1" applyAlignment="1">
      <alignment horizontal="center" vertical="center" wrapText="1"/>
    </xf>
    <xf numFmtId="0" fontId="9" fillId="4" borderId="11" xfId="3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" fontId="9" fillId="0" borderId="1" xfId="3" applyNumberFormat="1" applyFont="1" applyFill="1" applyBorder="1" applyAlignment="1">
      <alignment horizontal="center"/>
    </xf>
    <xf numFmtId="0" fontId="21" fillId="12" borderId="17" xfId="12" applyFont="1" applyBorder="1"/>
    <xf numFmtId="0" fontId="22" fillId="12" borderId="1" xfId="12" applyFont="1" applyBorder="1" applyAlignment="1">
      <alignment horizontal="center" vertical="center" wrapText="1"/>
    </xf>
    <xf numFmtId="0" fontId="21" fillId="12" borderId="1" xfId="12" applyFont="1" applyBorder="1"/>
    <xf numFmtId="1" fontId="23" fillId="13" borderId="1" xfId="13" applyNumberFormat="1" applyFont="1" applyBorder="1"/>
    <xf numFmtId="0" fontId="23" fillId="13" borderId="18" xfId="13" applyFont="1" applyBorder="1"/>
    <xf numFmtId="0" fontId="21" fillId="12" borderId="19" xfId="12" applyFont="1" applyBorder="1"/>
    <xf numFmtId="0" fontId="22" fillId="12" borderId="20" xfId="12" applyFont="1" applyBorder="1" applyAlignment="1">
      <alignment horizontal="center" vertical="center" wrapText="1"/>
    </xf>
    <xf numFmtId="0" fontId="21" fillId="12" borderId="20" xfId="12" applyFont="1" applyBorder="1"/>
    <xf numFmtId="1" fontId="23" fillId="13" borderId="20" xfId="13" applyNumberFormat="1" applyFont="1" applyBorder="1"/>
    <xf numFmtId="0" fontId="23" fillId="13" borderId="21" xfId="13" applyFont="1" applyBorder="1"/>
    <xf numFmtId="0" fontId="21" fillId="0" borderId="0" xfId="0" applyFont="1"/>
    <xf numFmtId="0" fontId="22" fillId="15" borderId="26" xfId="15" applyFont="1" applyBorder="1" applyAlignment="1">
      <alignment horizontal="center" vertical="center" wrapText="1"/>
    </xf>
    <xf numFmtId="0" fontId="22" fillId="15" borderId="5" xfId="15" applyFont="1" applyBorder="1" applyAlignment="1">
      <alignment horizontal="center" vertical="center" wrapText="1"/>
    </xf>
    <xf numFmtId="0" fontId="22" fillId="15" borderId="27" xfId="15" applyFont="1" applyBorder="1" applyAlignment="1">
      <alignment horizontal="center" vertical="center" wrapText="1"/>
    </xf>
    <xf numFmtId="0" fontId="24" fillId="12" borderId="17" xfId="11" applyFont="1" applyFill="1" applyBorder="1" applyAlignment="1">
      <alignment horizontal="center"/>
    </xf>
    <xf numFmtId="0" fontId="24" fillId="12" borderId="19" xfId="11" applyFont="1" applyFill="1" applyBorder="1" applyAlignment="1">
      <alignment horizontal="center"/>
    </xf>
    <xf numFmtId="0" fontId="22" fillId="12" borderId="20" xfId="12" applyFont="1" applyBorder="1"/>
    <xf numFmtId="0" fontId="24" fillId="0" borderId="0" xfId="11" applyFont="1" applyFill="1" applyBorder="1" applyAlignment="1">
      <alignment horizontal="center"/>
    </xf>
    <xf numFmtId="0" fontId="21" fillId="0" borderId="0" xfId="12" applyFont="1" applyFill="1" applyBorder="1"/>
    <xf numFmtId="0" fontId="23" fillId="13" borderId="10" xfId="13" applyFont="1" applyBorder="1"/>
    <xf numFmtId="0" fontId="23" fillId="13" borderId="22" xfId="13" applyFont="1" applyBorder="1"/>
    <xf numFmtId="0" fontId="22" fillId="0" borderId="0" xfId="0" applyFont="1"/>
    <xf numFmtId="0" fontId="21" fillId="0" borderId="0" xfId="12" applyFont="1" applyFill="1" applyBorder="1" applyAlignment="1">
      <alignment horizontal="center" vertical="center" wrapText="1"/>
    </xf>
    <xf numFmtId="1" fontId="23" fillId="0" borderId="0" xfId="13" applyNumberFormat="1" applyFont="1" applyFill="1" applyBorder="1"/>
    <xf numFmtId="0" fontId="23" fillId="0" borderId="0" xfId="13" applyFont="1" applyFill="1" applyBorder="1"/>
    <xf numFmtId="0" fontId="22" fillId="14" borderId="1" xfId="14" applyFont="1" applyBorder="1" applyAlignment="1">
      <alignment horizontal="center" vertical="center" wrapText="1"/>
    </xf>
    <xf numFmtId="0" fontId="23" fillId="13" borderId="1" xfId="13" applyFont="1" applyBorder="1"/>
    <xf numFmtId="0" fontId="23" fillId="13" borderId="5" xfId="13" applyFont="1" applyBorder="1"/>
    <xf numFmtId="0" fontId="23" fillId="17" borderId="1" xfId="13" applyFont="1" applyFill="1" applyBorder="1"/>
    <xf numFmtId="0" fontId="22" fillId="15" borderId="17" xfId="15" applyFont="1" applyBorder="1" applyAlignment="1">
      <alignment horizontal="center" vertical="center" wrapText="1"/>
    </xf>
    <xf numFmtId="0" fontId="22" fillId="15" borderId="1" xfId="15" applyFont="1" applyBorder="1" applyAlignment="1">
      <alignment vertical="center" wrapText="1"/>
    </xf>
    <xf numFmtId="0" fontId="22" fillId="15" borderId="1" xfId="15" applyFont="1" applyBorder="1" applyAlignment="1">
      <alignment horizontal="center" vertical="center" wrapText="1"/>
    </xf>
    <xf numFmtId="0" fontId="22" fillId="15" borderId="18" xfId="15" applyFont="1" applyBorder="1" applyAlignment="1">
      <alignment horizontal="center" vertical="center" wrapText="1"/>
    </xf>
    <xf numFmtId="0" fontId="20" fillId="2" borderId="5" xfId="1" applyFont="1" applyBorder="1" applyAlignment="1">
      <alignment horizontal="center" vertical="center"/>
    </xf>
    <xf numFmtId="0" fontId="20" fillId="2" borderId="5" xfId="1" applyFont="1" applyBorder="1" applyAlignment="1">
      <alignment horizontal="center" vertical="center" wrapText="1"/>
    </xf>
    <xf numFmtId="0" fontId="20" fillId="2" borderId="27" xfId="1" applyFont="1" applyBorder="1" applyAlignment="1">
      <alignment horizontal="center" vertical="center" wrapText="1"/>
    </xf>
    <xf numFmtId="0" fontId="20" fillId="2" borderId="6" xfId="1" applyFont="1" applyBorder="1" applyAlignment="1">
      <alignment horizontal="center" vertical="center" wrapText="1"/>
    </xf>
    <xf numFmtId="0" fontId="20" fillId="2" borderId="37" xfId="1" applyFont="1" applyBorder="1" applyAlignment="1">
      <alignment horizontal="center" vertical="center"/>
    </xf>
    <xf numFmtId="0" fontId="21" fillId="12" borderId="39" xfId="12" applyFont="1" applyBorder="1"/>
    <xf numFmtId="0" fontId="21" fillId="12" borderId="40" xfId="12" applyFont="1" applyBorder="1"/>
    <xf numFmtId="0" fontId="22" fillId="12" borderId="41" xfId="12" applyFont="1" applyBorder="1" applyAlignment="1">
      <alignment horizontal="center" vertical="center" wrapText="1"/>
    </xf>
    <xf numFmtId="0" fontId="21" fillId="12" borderId="41" xfId="12" applyFont="1" applyBorder="1"/>
    <xf numFmtId="1" fontId="23" fillId="13" borderId="41" xfId="13" applyNumberFormat="1" applyFont="1" applyBorder="1"/>
    <xf numFmtId="0" fontId="23" fillId="13" borderId="42" xfId="13" applyFont="1" applyBorder="1"/>
    <xf numFmtId="0" fontId="23" fillId="13" borderId="43" xfId="13" applyFont="1" applyBorder="1"/>
    <xf numFmtId="0" fontId="23" fillId="13" borderId="38" xfId="13" applyFont="1" applyBorder="1"/>
    <xf numFmtId="0" fontId="20" fillId="2" borderId="38" xfId="1" applyFont="1" applyBorder="1" applyAlignment="1">
      <alignment horizontal="center" vertical="center" wrapText="1"/>
    </xf>
    <xf numFmtId="0" fontId="21" fillId="0" borderId="0" xfId="12" applyFont="1" applyFill="1" applyBorder="1" applyAlignment="1">
      <alignment horizontal="center" vertical="center"/>
    </xf>
    <xf numFmtId="0" fontId="21" fillId="0" borderId="0" xfId="0" applyFont="1" applyFill="1"/>
    <xf numFmtId="0" fontId="23" fillId="13" borderId="6" xfId="13" applyFont="1" applyBorder="1"/>
    <xf numFmtId="0" fontId="23" fillId="17" borderId="10" xfId="13" applyFont="1" applyFill="1" applyBorder="1"/>
    <xf numFmtId="0" fontId="22" fillId="14" borderId="4" xfId="14" applyFont="1" applyBorder="1" applyAlignment="1">
      <alignment horizontal="center" vertical="center" wrapText="1"/>
    </xf>
    <xf numFmtId="0" fontId="23" fillId="13" borderId="44" xfId="13" applyFont="1" applyBorder="1" applyAlignment="1"/>
    <xf numFmtId="0" fontId="25" fillId="13" borderId="44" xfId="13" applyFont="1" applyBorder="1" applyAlignment="1"/>
    <xf numFmtId="0" fontId="21" fillId="0" borderId="0" xfId="0" applyFont="1" applyBorder="1"/>
    <xf numFmtId="0" fontId="28" fillId="13" borderId="44" xfId="13" applyFont="1" applyBorder="1" applyAlignment="1"/>
    <xf numFmtId="0" fontId="28" fillId="13" borderId="46" xfId="13" applyFont="1" applyBorder="1" applyAlignment="1"/>
    <xf numFmtId="0" fontId="28" fillId="13" borderId="1" xfId="13" applyFont="1" applyBorder="1" applyAlignment="1"/>
    <xf numFmtId="0" fontId="28" fillId="13" borderId="45" xfId="13" applyFont="1" applyBorder="1" applyAlignment="1"/>
    <xf numFmtId="0" fontId="28" fillId="13" borderId="47" xfId="13" applyFont="1" applyBorder="1" applyAlignment="1"/>
    <xf numFmtId="0" fontId="26" fillId="8" borderId="1" xfId="7" applyFont="1" applyBorder="1"/>
    <xf numFmtId="0" fontId="26" fillId="8" borderId="0" xfId="7" applyFont="1"/>
    <xf numFmtId="0" fontId="26" fillId="8" borderId="10" xfId="7" applyFont="1" applyBorder="1"/>
    <xf numFmtId="0" fontId="26" fillId="8" borderId="44" xfId="7" applyFont="1" applyBorder="1" applyAlignment="1"/>
    <xf numFmtId="0" fontId="26" fillId="10" borderId="1" xfId="9" applyFont="1" applyBorder="1"/>
    <xf numFmtId="0" fontId="26" fillId="10" borderId="10" xfId="9" applyFont="1" applyBorder="1"/>
    <xf numFmtId="0" fontId="26" fillId="10" borderId="44" xfId="9" applyFont="1" applyBorder="1" applyAlignment="1"/>
    <xf numFmtId="0" fontId="27" fillId="16" borderId="44" xfId="13" applyFont="1" applyFill="1" applyBorder="1" applyAlignment="1">
      <alignment horizontal="center" vertical="center" wrapText="1"/>
    </xf>
    <xf numFmtId="0" fontId="22" fillId="15" borderId="0" xfId="15" applyFont="1" applyBorder="1" applyAlignment="1">
      <alignment horizontal="center" vertical="center" wrapText="1"/>
    </xf>
    <xf numFmtId="0" fontId="21" fillId="0" borderId="0" xfId="12" applyFont="1" applyFill="1" applyBorder="1" applyAlignment="1">
      <alignment horizontal="center"/>
    </xf>
    <xf numFmtId="0" fontId="1" fillId="0" borderId="0" xfId="12" applyFill="1" applyBorder="1"/>
    <xf numFmtId="0" fontId="22" fillId="15" borderId="5" xfId="15" applyFont="1" applyBorder="1" applyAlignment="1">
      <alignment horizontal="center" vertical="center"/>
    </xf>
    <xf numFmtId="0" fontId="21" fillId="12" borderId="17" xfId="12" applyFont="1" applyBorder="1" applyAlignment="1">
      <alignment horizontal="center"/>
    </xf>
    <xf numFmtId="0" fontId="21" fillId="12" borderId="18" xfId="12" applyFont="1" applyBorder="1"/>
    <xf numFmtId="0" fontId="22" fillId="12" borderId="19" xfId="12" applyFont="1" applyBorder="1" applyAlignment="1">
      <alignment horizontal="center"/>
    </xf>
    <xf numFmtId="0" fontId="22" fillId="12" borderId="21" xfId="12" applyFont="1" applyBorder="1"/>
    <xf numFmtId="0" fontId="20" fillId="2" borderId="17" xfId="1" applyFont="1" applyBorder="1" applyAlignment="1">
      <alignment horizontal="right" vertical="center"/>
    </xf>
    <xf numFmtId="0" fontId="22" fillId="12" borderId="17" xfId="12" applyFont="1" applyBorder="1" applyAlignment="1">
      <alignment horizontal="center"/>
    </xf>
    <xf numFmtId="0" fontId="1" fillId="12" borderId="1" xfId="12" applyBorder="1"/>
    <xf numFmtId="0" fontId="21" fillId="12" borderId="1" xfId="12" applyFont="1" applyBorder="1" applyAlignment="1">
      <alignment horizontal="right" wrapText="1"/>
    </xf>
    <xf numFmtId="0" fontId="20" fillId="2" borderId="49" xfId="1" applyFont="1" applyBorder="1" applyAlignment="1">
      <alignment horizontal="right" vertical="center"/>
    </xf>
    <xf numFmtId="0" fontId="22" fillId="12" borderId="4" xfId="12" applyFont="1" applyBorder="1" applyAlignment="1">
      <alignment horizontal="center" vertical="center" wrapText="1"/>
    </xf>
    <xf numFmtId="0" fontId="21" fillId="12" borderId="4" xfId="12" applyFont="1" applyBorder="1" applyAlignment="1">
      <alignment horizontal="right" wrapText="1"/>
    </xf>
    <xf numFmtId="0" fontId="21" fillId="12" borderId="4" xfId="12" applyFont="1" applyBorder="1"/>
    <xf numFmtId="0" fontId="22" fillId="12" borderId="1" xfId="12" applyFont="1" applyBorder="1"/>
    <xf numFmtId="0" fontId="29" fillId="12" borderId="1" xfId="12" applyFont="1" applyBorder="1" applyAlignment="1">
      <alignment horizontal="center"/>
    </xf>
    <xf numFmtId="0" fontId="0" fillId="0" borderId="0" xfId="0" applyBorder="1"/>
    <xf numFmtId="0" fontId="26" fillId="16" borderId="1" xfId="7" applyFont="1" applyFill="1" applyBorder="1" applyAlignment="1">
      <alignment horizontal="center"/>
    </xf>
    <xf numFmtId="0" fontId="21" fillId="12" borderId="1" xfId="12" applyFont="1" applyBorder="1" applyAlignment="1">
      <alignment horizontal="center"/>
    </xf>
    <xf numFmtId="0" fontId="21" fillId="12" borderId="1" xfId="12" applyFont="1" applyBorder="1" applyAlignment="1">
      <alignment horizontal="right"/>
    </xf>
    <xf numFmtId="0" fontId="21" fillId="12" borderId="1" xfId="12" applyFont="1" applyBorder="1" applyAlignment="1">
      <alignment horizontal="center" wrapText="1"/>
    </xf>
    <xf numFmtId="0" fontId="31" fillId="0" borderId="0" xfId="3" applyFont="1" applyFill="1" applyBorder="1" applyAlignment="1">
      <alignment horizontal="center"/>
    </xf>
    <xf numFmtId="0" fontId="28" fillId="0" borderId="0" xfId="8" applyFont="1" applyFill="1" applyBorder="1"/>
    <xf numFmtId="0" fontId="28" fillId="0" borderId="0" xfId="8" applyFont="1" applyFill="1" applyBorder="1" applyAlignment="1">
      <alignment horizontal="center" vertical="center"/>
    </xf>
    <xf numFmtId="1" fontId="28" fillId="0" borderId="0" xfId="8" applyNumberFormat="1" applyFont="1" applyFill="1" applyBorder="1" applyAlignment="1">
      <alignment horizontal="center" vertical="center"/>
    </xf>
    <xf numFmtId="0" fontId="28" fillId="0" borderId="0" xfId="7" applyFont="1" applyFill="1" applyBorder="1"/>
    <xf numFmtId="0" fontId="28" fillId="0" borderId="0" xfId="7" applyFont="1" applyFill="1" applyBorder="1" applyAlignment="1">
      <alignment horizontal="center" vertical="center"/>
    </xf>
    <xf numFmtId="0" fontId="28" fillId="0" borderId="0" xfId="9" applyFont="1" applyFill="1" applyBorder="1"/>
    <xf numFmtId="0" fontId="28" fillId="0" borderId="0" xfId="9" applyFont="1" applyFill="1" applyBorder="1" applyAlignment="1">
      <alignment horizontal="center" vertical="center"/>
    </xf>
    <xf numFmtId="1" fontId="28" fillId="0" borderId="0" xfId="9" applyNumberFormat="1" applyFont="1" applyFill="1" applyBorder="1" applyAlignment="1">
      <alignment horizontal="center" vertical="center"/>
    </xf>
    <xf numFmtId="0" fontId="26" fillId="2" borderId="26" xfId="1" applyFont="1" applyBorder="1" applyAlignment="1">
      <alignment horizontal="center" vertical="center"/>
    </xf>
    <xf numFmtId="0" fontId="26" fillId="2" borderId="5" xfId="1" applyFont="1" applyBorder="1" applyAlignment="1">
      <alignment horizontal="center" vertical="center"/>
    </xf>
    <xf numFmtId="0" fontId="26" fillId="2" borderId="5" xfId="1" applyFont="1" applyBorder="1" applyAlignment="1">
      <alignment horizontal="center" vertical="center" wrapText="1"/>
    </xf>
    <xf numFmtId="0" fontId="28" fillId="0" borderId="1" xfId="8" applyFont="1" applyFill="1" applyBorder="1"/>
    <xf numFmtId="0" fontId="28" fillId="0" borderId="1" xfId="8" applyFont="1" applyFill="1" applyBorder="1" applyAlignment="1">
      <alignment horizontal="center" vertical="center"/>
    </xf>
    <xf numFmtId="1" fontId="28" fillId="0" borderId="1" xfId="8" applyNumberFormat="1" applyFont="1" applyFill="1" applyBorder="1" applyAlignment="1">
      <alignment horizontal="center" vertical="center"/>
    </xf>
    <xf numFmtId="0" fontId="0" fillId="0" borderId="5" xfId="0" applyBorder="1"/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0" fillId="0" borderId="27" xfId="0" applyBorder="1"/>
    <xf numFmtId="0" fontId="0" fillId="0" borderId="18" xfId="0" applyBorder="1"/>
    <xf numFmtId="0" fontId="0" fillId="0" borderId="4" xfId="0" applyBorder="1"/>
    <xf numFmtId="0" fontId="0" fillId="0" borderId="28" xfId="0" applyBorder="1"/>
    <xf numFmtId="0" fontId="29" fillId="0" borderId="5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1" fillId="0" borderId="19" xfId="3" applyFont="1" applyFill="1" applyBorder="1" applyAlignment="1">
      <alignment horizontal="center"/>
    </xf>
    <xf numFmtId="0" fontId="28" fillId="0" borderId="20" xfId="8" applyFont="1" applyFill="1" applyBorder="1" applyAlignment="1">
      <alignment horizontal="center" vertical="center"/>
    </xf>
    <xf numFmtId="1" fontId="28" fillId="0" borderId="20" xfId="8" applyNumberFormat="1" applyFont="1" applyFill="1" applyBorder="1" applyAlignment="1">
      <alignment horizontal="center" vertical="center"/>
    </xf>
    <xf numFmtId="0" fontId="31" fillId="0" borderId="17" xfId="3" applyFont="1" applyFill="1" applyBorder="1" applyAlignment="1">
      <alignment horizontal="center"/>
    </xf>
    <xf numFmtId="0" fontId="28" fillId="0" borderId="20" xfId="8" applyFont="1" applyFill="1" applyBorder="1"/>
    <xf numFmtId="0" fontId="33" fillId="0" borderId="4" xfId="8" applyFont="1" applyFill="1" applyBorder="1" applyAlignment="1">
      <alignment horizontal="center" vertical="center"/>
    </xf>
    <xf numFmtId="1" fontId="33" fillId="0" borderId="4" xfId="8" applyNumberFormat="1" applyFont="1" applyFill="1" applyBorder="1" applyAlignment="1">
      <alignment horizontal="center" vertical="center"/>
    </xf>
    <xf numFmtId="1" fontId="33" fillId="0" borderId="4" xfId="8" applyNumberFormat="1" applyFont="1" applyFill="1" applyBorder="1"/>
    <xf numFmtId="0" fontId="33" fillId="0" borderId="49" xfId="3" applyFont="1" applyFill="1" applyBorder="1" applyAlignment="1">
      <alignment horizontal="center"/>
    </xf>
    <xf numFmtId="1" fontId="33" fillId="0" borderId="4" xfId="0" applyNumberFormat="1" applyFont="1" applyBorder="1"/>
    <xf numFmtId="1" fontId="0" fillId="0" borderId="10" xfId="0" applyNumberFormat="1" applyBorder="1"/>
    <xf numFmtId="1" fontId="33" fillId="0" borderId="32" xfId="0" applyNumberFormat="1" applyFont="1" applyBorder="1"/>
    <xf numFmtId="0" fontId="28" fillId="0" borderId="10" xfId="8" applyFont="1" applyFill="1" applyBorder="1"/>
    <xf numFmtId="0" fontId="28" fillId="0" borderId="22" xfId="8" applyFont="1" applyFill="1" applyBorder="1"/>
    <xf numFmtId="0" fontId="29" fillId="0" borderId="13" xfId="0" applyFont="1" applyBorder="1" applyAlignment="1">
      <alignment horizontal="center" vertical="center"/>
    </xf>
    <xf numFmtId="0" fontId="0" fillId="0" borderId="34" xfId="0" applyBorder="1"/>
    <xf numFmtId="0" fontId="29" fillId="0" borderId="11" xfId="0" applyFont="1" applyBorder="1" applyAlignment="1">
      <alignment horizontal="center" vertical="center"/>
    </xf>
    <xf numFmtId="0" fontId="0" fillId="0" borderId="33" xfId="0" applyBorder="1"/>
    <xf numFmtId="0" fontId="29" fillId="0" borderId="2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8" fillId="0" borderId="58" xfId="8" applyFont="1" applyFill="1" applyBorder="1"/>
    <xf numFmtId="0" fontId="28" fillId="0" borderId="59" xfId="8" applyFont="1" applyFill="1" applyBorder="1"/>
    <xf numFmtId="0" fontId="28" fillId="0" borderId="60" xfId="8" applyFont="1" applyFill="1" applyBorder="1"/>
    <xf numFmtId="1" fontId="0" fillId="0" borderId="0" xfId="0" applyNumberFormat="1" applyBorder="1"/>
    <xf numFmtId="1" fontId="1" fillId="14" borderId="1" xfId="14" applyNumberFormat="1" applyBorder="1" applyAlignment="1">
      <alignment horizontal="right" vertical="center"/>
    </xf>
    <xf numFmtId="0" fontId="1" fillId="14" borderId="1" xfId="14" applyBorder="1"/>
    <xf numFmtId="1" fontId="1" fillId="14" borderId="1" xfId="14" applyNumberFormat="1" applyBorder="1"/>
    <xf numFmtId="0" fontId="1" fillId="14" borderId="1" xfId="14" applyBorder="1" applyAlignment="1">
      <alignment horizontal="right"/>
    </xf>
    <xf numFmtId="1" fontId="29" fillId="7" borderId="1" xfId="6" applyNumberFormat="1" applyFont="1" applyBorder="1" applyAlignment="1">
      <alignment horizontal="right" vertical="center"/>
    </xf>
    <xf numFmtId="0" fontId="29" fillId="7" borderId="1" xfId="6" applyFont="1" applyBorder="1"/>
    <xf numFmtId="1" fontId="29" fillId="7" borderId="1" xfId="6" applyNumberFormat="1" applyFont="1" applyBorder="1"/>
    <xf numFmtId="0" fontId="6" fillId="8" borderId="1" xfId="7" applyFont="1" applyBorder="1" applyAlignment="1">
      <alignment horizontal="center"/>
    </xf>
    <xf numFmtId="0" fontId="29" fillId="0" borderId="1" xfId="0" applyFont="1" applyFill="1" applyBorder="1"/>
    <xf numFmtId="0" fontId="36" fillId="5" borderId="1" xfId="4" applyFont="1" applyBorder="1" applyAlignment="1">
      <alignment horizontal="center" vertical="center" wrapText="1"/>
    </xf>
    <xf numFmtId="0" fontId="35" fillId="8" borderId="1" xfId="7" applyFont="1" applyBorder="1" applyAlignment="1">
      <alignment horizontal="center" vertical="center" wrapText="1"/>
    </xf>
    <xf numFmtId="0" fontId="35" fillId="7" borderId="1" xfId="6" applyFont="1" applyBorder="1" applyAlignment="1">
      <alignment horizontal="center" vertical="center" wrapText="1"/>
    </xf>
    <xf numFmtId="0" fontId="29" fillId="14" borderId="1" xfId="14" applyFont="1" applyBorder="1" applyAlignment="1">
      <alignment horizontal="center" vertical="center" wrapText="1"/>
    </xf>
    <xf numFmtId="0" fontId="32" fillId="4" borderId="1" xfId="3" applyFont="1" applyBorder="1" applyAlignment="1">
      <alignment horizontal="center" vertical="center" wrapText="1"/>
    </xf>
    <xf numFmtId="0" fontId="29" fillId="7" borderId="10" xfId="6" applyFont="1" applyBorder="1"/>
    <xf numFmtId="1" fontId="1" fillId="14" borderId="10" xfId="14" applyNumberFormat="1" applyBorder="1"/>
    <xf numFmtId="1" fontId="29" fillId="8" borderId="16" xfId="7" applyNumberFormat="1" applyFont="1" applyBorder="1" applyAlignment="1">
      <alignment horizontal="center" vertical="center" wrapText="1"/>
    </xf>
    <xf numFmtId="0" fontId="29" fillId="8" borderId="16" xfId="7" applyFont="1" applyBorder="1" applyAlignment="1">
      <alignment horizontal="center" vertical="center"/>
    </xf>
    <xf numFmtId="0" fontId="29" fillId="8" borderId="16" xfId="7" applyFont="1" applyBorder="1" applyAlignment="1">
      <alignment horizontal="center" vertical="center" wrapText="1"/>
    </xf>
    <xf numFmtId="0" fontId="29" fillId="8" borderId="0" xfId="7" applyFont="1" applyAlignment="1">
      <alignment horizontal="center" vertical="center" wrapText="1"/>
    </xf>
    <xf numFmtId="0" fontId="29" fillId="8" borderId="61" xfId="7" applyFont="1" applyBorder="1" applyAlignment="1">
      <alignment horizontal="center" vertical="center" wrapText="1"/>
    </xf>
    <xf numFmtId="0" fontId="29" fillId="6" borderId="1" xfId="5" applyFont="1" applyBorder="1" applyAlignment="1">
      <alignment horizontal="center" vertical="center" wrapText="1"/>
    </xf>
    <xf numFmtId="0" fontId="35" fillId="8" borderId="5" xfId="7" applyFont="1" applyBorder="1" applyAlignment="1">
      <alignment horizontal="center" vertical="center" wrapText="1"/>
    </xf>
    <xf numFmtId="0" fontId="35" fillId="7" borderId="5" xfId="6" applyFont="1" applyBorder="1" applyAlignment="1">
      <alignment horizontal="center" vertical="center" wrapText="1"/>
    </xf>
    <xf numFmtId="0" fontId="29" fillId="14" borderId="5" xfId="14" applyFont="1" applyBorder="1" applyAlignment="1">
      <alignment horizontal="center" vertical="center" wrapText="1"/>
    </xf>
    <xf numFmtId="0" fontId="32" fillId="4" borderId="5" xfId="3" applyFont="1" applyBorder="1" applyAlignment="1">
      <alignment horizontal="center" vertical="center" wrapText="1"/>
    </xf>
    <xf numFmtId="0" fontId="29" fillId="6" borderId="5" xfId="5" applyFont="1" applyBorder="1" applyAlignment="1">
      <alignment horizontal="center" vertical="center" wrapText="1"/>
    </xf>
    <xf numFmtId="0" fontId="36" fillId="5" borderId="5" xfId="4" applyFont="1" applyBorder="1" applyAlignment="1">
      <alignment horizontal="center" vertical="center" wrapText="1"/>
    </xf>
    <xf numFmtId="0" fontId="33" fillId="2" borderId="1" xfId="1" applyFont="1" applyBorder="1" applyAlignment="1">
      <alignment horizontal="center" vertical="center" wrapText="1"/>
    </xf>
    <xf numFmtId="1" fontId="33" fillId="2" borderId="1" xfId="1" applyNumberFormat="1" applyFont="1" applyBorder="1"/>
    <xf numFmtId="0" fontId="33" fillId="2" borderId="1" xfId="1" applyFont="1" applyBorder="1"/>
    <xf numFmtId="0" fontId="33" fillId="4" borderId="1" xfId="3" applyFont="1" applyBorder="1"/>
    <xf numFmtId="0" fontId="6" fillId="20" borderId="1" xfId="17" applyFont="1" applyBorder="1"/>
    <xf numFmtId="0" fontId="35" fillId="7" borderId="5" xfId="6" applyFont="1" applyBorder="1" applyAlignment="1">
      <alignment horizontal="center" vertical="center"/>
    </xf>
    <xf numFmtId="0" fontId="33" fillId="2" borderId="1" xfId="1" applyFont="1" applyBorder="1" applyAlignment="1">
      <alignment horizontal="right"/>
    </xf>
    <xf numFmtId="0" fontId="7" fillId="8" borderId="5" xfId="7" applyBorder="1" applyAlignment="1">
      <alignment horizontal="center" vertical="center" wrapText="1"/>
    </xf>
    <xf numFmtId="0" fontId="6" fillId="8" borderId="5" xfId="7" applyFont="1" applyBorder="1" applyAlignment="1">
      <alignment horizontal="center" vertical="center" wrapText="1"/>
    </xf>
    <xf numFmtId="0" fontId="35" fillId="21" borderId="1" xfId="18" applyFont="1" applyBorder="1" applyAlignment="1">
      <alignment horizontal="center" wrapText="1"/>
    </xf>
    <xf numFmtId="0" fontId="35" fillId="9" borderId="5" xfId="8" applyFont="1" applyBorder="1" applyAlignment="1">
      <alignment horizontal="center" vertical="center" wrapText="1"/>
    </xf>
    <xf numFmtId="0" fontId="35" fillId="9" borderId="5" xfId="8" applyFont="1" applyBorder="1" applyAlignment="1">
      <alignment horizontal="right" vertical="center"/>
    </xf>
    <xf numFmtId="0" fontId="35" fillId="9" borderId="5" xfId="8" applyFont="1" applyBorder="1" applyAlignment="1">
      <alignment horizontal="right" vertical="center" wrapText="1"/>
    </xf>
    <xf numFmtId="0" fontId="35" fillId="21" borderId="5" xfId="18" applyFont="1" applyBorder="1" applyAlignment="1">
      <alignment horizontal="right" vertical="center"/>
    </xf>
    <xf numFmtId="0" fontId="35" fillId="21" borderId="5" xfId="18" applyFont="1" applyBorder="1" applyAlignment="1">
      <alignment horizontal="right" vertical="center" wrapText="1"/>
    </xf>
    <xf numFmtId="0" fontId="35" fillId="21" borderId="5" xfId="18" applyFont="1" applyBorder="1" applyAlignment="1">
      <alignment horizontal="center" vertical="center" wrapText="1"/>
    </xf>
    <xf numFmtId="1" fontId="35" fillId="21" borderId="5" xfId="18" applyNumberFormat="1" applyFont="1" applyBorder="1" applyAlignment="1">
      <alignment horizontal="right" vertical="center" wrapText="1"/>
    </xf>
    <xf numFmtId="0" fontId="38" fillId="10" borderId="5" xfId="9" applyFont="1" applyBorder="1" applyAlignment="1">
      <alignment horizontal="right" vertical="center"/>
    </xf>
    <xf numFmtId="0" fontId="38" fillId="10" borderId="5" xfId="9" applyFont="1" applyBorder="1" applyAlignment="1">
      <alignment horizontal="center" vertical="center" wrapText="1"/>
    </xf>
    <xf numFmtId="0" fontId="35" fillId="21" borderId="1" xfId="18" applyFont="1" applyBorder="1"/>
    <xf numFmtId="1" fontId="35" fillId="21" borderId="5" xfId="18" applyNumberFormat="1" applyFont="1" applyBorder="1"/>
    <xf numFmtId="0" fontId="7" fillId="8" borderId="16" xfId="7" applyBorder="1" applyAlignment="1">
      <alignment horizontal="center" vertical="center" wrapText="1"/>
    </xf>
    <xf numFmtId="0" fontId="35" fillId="21" borderId="4" xfId="18" applyFont="1" applyBorder="1" applyAlignment="1">
      <alignment horizontal="center" wrapText="1"/>
    </xf>
    <xf numFmtId="0" fontId="35" fillId="21" borderId="16" xfId="18" applyFont="1" applyBorder="1" applyAlignment="1">
      <alignment horizontal="right" vertical="center"/>
    </xf>
    <xf numFmtId="0" fontId="35" fillId="21" borderId="16" xfId="18" applyFont="1" applyBorder="1" applyAlignment="1">
      <alignment horizontal="right" vertical="center" wrapText="1"/>
    </xf>
    <xf numFmtId="0" fontId="35" fillId="21" borderId="16" xfId="18" applyFont="1" applyBorder="1" applyAlignment="1">
      <alignment horizontal="center" vertical="center" wrapText="1"/>
    </xf>
    <xf numFmtId="0" fontId="35" fillId="21" borderId="1" xfId="18" applyFont="1" applyBorder="1" applyAlignment="1">
      <alignment horizontal="center"/>
    </xf>
    <xf numFmtId="0" fontId="33" fillId="4" borderId="1" xfId="3" applyFont="1" applyBorder="1" applyAlignment="1">
      <alignment horizontal="right"/>
    </xf>
    <xf numFmtId="0" fontId="0" fillId="0" borderId="0" xfId="0" applyFill="1" applyBorder="1"/>
    <xf numFmtId="1" fontId="0" fillId="0" borderId="0" xfId="0" applyNumberFormat="1" applyFill="1" applyBorder="1"/>
    <xf numFmtId="0" fontId="29" fillId="0" borderId="0" xfId="0" applyFont="1" applyFill="1" applyBorder="1"/>
    <xf numFmtId="0" fontId="6" fillId="0" borderId="50" xfId="7" applyFont="1" applyFill="1" applyBorder="1" applyAlignment="1">
      <alignment horizontal="left"/>
    </xf>
    <xf numFmtId="0" fontId="6" fillId="6" borderId="3" xfId="5" applyAlignment="1">
      <alignment horizontal="center" vertical="center"/>
    </xf>
    <xf numFmtId="0" fontId="6" fillId="6" borderId="3" xfId="5" applyAlignment="1">
      <alignment horizontal="center" vertical="center" wrapText="1"/>
    </xf>
    <xf numFmtId="1" fontId="6" fillId="6" borderId="3" xfId="5" applyNumberFormat="1"/>
    <xf numFmtId="0" fontId="6" fillId="6" borderId="3" xfId="5"/>
    <xf numFmtId="0" fontId="6" fillId="6" borderId="3" xfId="5" applyAlignment="1">
      <alignment horizontal="center"/>
    </xf>
    <xf numFmtId="1" fontId="6" fillId="6" borderId="3" xfId="5" applyNumberFormat="1" applyAlignment="1">
      <alignment horizontal="center" vertical="center"/>
    </xf>
    <xf numFmtId="0" fontId="6" fillId="0" borderId="48" xfId="7" applyFont="1" applyFill="1" applyBorder="1" applyAlignment="1">
      <alignment horizontal="left"/>
    </xf>
    <xf numFmtId="0" fontId="6" fillId="0" borderId="12" xfId="7" applyFont="1" applyFill="1" applyBorder="1" applyAlignment="1">
      <alignment horizontal="left"/>
    </xf>
    <xf numFmtId="0" fontId="0" fillId="0" borderId="65" xfId="0" applyBorder="1"/>
    <xf numFmtId="0" fontId="0" fillId="0" borderId="66" xfId="0" applyBorder="1"/>
    <xf numFmtId="1" fontId="29" fillId="0" borderId="1" xfId="0" applyNumberFormat="1" applyFont="1" applyBorder="1"/>
    <xf numFmtId="165" fontId="29" fillId="0" borderId="1" xfId="0" applyNumberFormat="1" applyFont="1" applyBorder="1"/>
    <xf numFmtId="0" fontId="29" fillId="0" borderId="4" xfId="0" applyFont="1" applyFill="1" applyBorder="1"/>
    <xf numFmtId="0" fontId="29" fillId="0" borderId="65" xfId="0" applyFont="1" applyFill="1" applyBorder="1"/>
    <xf numFmtId="0" fontId="29" fillId="0" borderId="67" xfId="0" applyFont="1" applyFill="1" applyBorder="1"/>
    <xf numFmtId="1" fontId="29" fillId="0" borderId="51" xfId="0" applyNumberFormat="1" applyFont="1" applyBorder="1"/>
    <xf numFmtId="165" fontId="29" fillId="0" borderId="51" xfId="0" applyNumberFormat="1" applyFont="1" applyBorder="1"/>
    <xf numFmtId="0" fontId="29" fillId="0" borderId="10" xfId="0" applyFont="1" applyFill="1" applyBorder="1"/>
    <xf numFmtId="0" fontId="29" fillId="0" borderId="1" xfId="0" applyFont="1" applyBorder="1"/>
    <xf numFmtId="166" fontId="29" fillId="0" borderId="1" xfId="0" applyNumberFormat="1" applyFont="1" applyBorder="1"/>
    <xf numFmtId="1" fontId="29" fillId="0" borderId="52" xfId="0" applyNumberFormat="1" applyFont="1" applyBorder="1"/>
    <xf numFmtId="0" fontId="29" fillId="16" borderId="5" xfId="14" applyFont="1" applyFill="1" applyBorder="1" applyAlignment="1">
      <alignment horizontal="center" vertical="center" wrapText="1"/>
    </xf>
    <xf numFmtId="1" fontId="29" fillId="16" borderId="1" xfId="0" applyNumberFormat="1" applyFont="1" applyFill="1" applyBorder="1"/>
    <xf numFmtId="0" fontId="29" fillId="16" borderId="1" xfId="14" applyFont="1" applyFill="1" applyBorder="1" applyAlignment="1">
      <alignment horizontal="center" vertical="center" wrapText="1"/>
    </xf>
    <xf numFmtId="1" fontId="29" fillId="16" borderId="51" xfId="0" applyNumberFormat="1" applyFont="1" applyFill="1" applyBorder="1"/>
    <xf numFmtId="0" fontId="0" fillId="0" borderId="1" xfId="0" applyBorder="1" applyAlignment="1">
      <alignment horizontal="center"/>
    </xf>
    <xf numFmtId="0" fontId="29" fillId="0" borderId="16" xfId="0" applyFont="1" applyFill="1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164" fontId="0" fillId="0" borderId="0" xfId="0" applyNumberFormat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6" fillId="6" borderId="8" xfId="5" applyBorder="1" applyAlignment="1">
      <alignment horizontal="center" vertical="center"/>
    </xf>
    <xf numFmtId="0" fontId="6" fillId="6" borderId="8" xfId="5" applyBorder="1"/>
    <xf numFmtId="1" fontId="6" fillId="6" borderId="8" xfId="5" applyNumberFormat="1" applyBorder="1"/>
    <xf numFmtId="0" fontId="33" fillId="6" borderId="8" xfId="5" applyFont="1" applyBorder="1"/>
    <xf numFmtId="1" fontId="33" fillId="6" borderId="8" xfId="5" applyNumberFormat="1" applyFont="1" applyBorder="1"/>
    <xf numFmtId="0" fontId="33" fillId="10" borderId="1" xfId="9" applyFont="1" applyBorder="1" applyAlignment="1"/>
    <xf numFmtId="0" fontId="33" fillId="10" borderId="1" xfId="9" applyFont="1" applyBorder="1" applyAlignment="1">
      <alignment horizontal="center"/>
    </xf>
    <xf numFmtId="0" fontId="33" fillId="10" borderId="1" xfId="9" applyFont="1" applyBorder="1"/>
    <xf numFmtId="0" fontId="33" fillId="7" borderId="1" xfId="6" applyFont="1" applyBorder="1" applyAlignment="1">
      <alignment horizontal="center" vertical="center"/>
    </xf>
    <xf numFmtId="0" fontId="33" fillId="7" borderId="1" xfId="6" applyFont="1" applyBorder="1" applyAlignment="1">
      <alignment horizontal="right" vertical="center"/>
    </xf>
    <xf numFmtId="0" fontId="33" fillId="7" borderId="1" xfId="6" applyFont="1" applyBorder="1" applyAlignment="1">
      <alignment horizontal="right"/>
    </xf>
    <xf numFmtId="1" fontId="33" fillId="7" borderId="1" xfId="6" applyNumberFormat="1" applyFont="1" applyBorder="1" applyAlignment="1">
      <alignment horizontal="right"/>
    </xf>
    <xf numFmtId="0" fontId="33" fillId="2" borderId="1" xfId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16" borderId="1" xfId="0" applyFont="1" applyFill="1" applyBorder="1"/>
    <xf numFmtId="0" fontId="33" fillId="20" borderId="1" xfId="17" applyFont="1" applyBorder="1" applyAlignment="1">
      <alignment horizontal="center"/>
    </xf>
    <xf numFmtId="0" fontId="33" fillId="10" borderId="1" xfId="9" applyFont="1" applyBorder="1" applyAlignment="1">
      <alignment horizontal="center" vertical="center"/>
    </xf>
    <xf numFmtId="0" fontId="33" fillId="2" borderId="1" xfId="1" applyFont="1" applyBorder="1" applyAlignment="1">
      <alignment horizontal="center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3" fillId="0" borderId="1" xfId="5" applyFont="1" applyFill="1" applyBorder="1" applyAlignment="1">
      <alignment horizontal="center" vertical="center" wrapText="1"/>
    </xf>
    <xf numFmtId="0" fontId="17" fillId="0" borderId="0" xfId="0" applyFont="1"/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/>
    <xf numFmtId="1" fontId="0" fillId="0" borderId="1" xfId="0" applyNumberFormat="1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/>
    <xf numFmtId="1" fontId="0" fillId="0" borderId="0" xfId="0" applyNumberFormat="1" applyBorder="1" applyAlignment="1"/>
    <xf numFmtId="0" fontId="20" fillId="2" borderId="5" xfId="1" applyFont="1" applyBorder="1" applyAlignment="1">
      <alignment horizontal="center" vertical="center" wrapText="1"/>
    </xf>
    <xf numFmtId="0" fontId="20" fillId="2" borderId="26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1" fontId="22" fillId="0" borderId="20" xfId="0" applyNumberFormat="1" applyFont="1" applyBorder="1" applyAlignment="1">
      <alignment horizontal="center" wrapText="1"/>
    </xf>
    <xf numFmtId="0" fontId="22" fillId="0" borderId="49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1" fontId="22" fillId="0" borderId="4" xfId="0" applyNumberFormat="1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0" xfId="15" applyFont="1" applyFill="1" applyBorder="1" applyAlignment="1">
      <alignment horizontal="center" vertical="center" wrapText="1"/>
    </xf>
    <xf numFmtId="0" fontId="21" fillId="0" borderId="0" xfId="12" applyFont="1" applyFill="1" applyBorder="1" applyAlignment="1">
      <alignment vertical="center"/>
    </xf>
    <xf numFmtId="0" fontId="0" fillId="0" borderId="0" xfId="0" applyFont="1" applyBorder="1"/>
    <xf numFmtId="0" fontId="22" fillId="0" borderId="10" xfId="0" applyFont="1" applyBorder="1" applyAlignment="1">
      <alignment horizontal="center" wrapText="1"/>
    </xf>
    <xf numFmtId="0" fontId="22" fillId="0" borderId="1" xfId="15" applyFont="1" applyFill="1" applyBorder="1" applyAlignment="1">
      <alignment horizontal="center" vertical="center" wrapText="1"/>
    </xf>
    <xf numFmtId="1" fontId="22" fillId="0" borderId="1" xfId="15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6" applyFont="1" applyFill="1" applyBorder="1" applyAlignment="1"/>
    <xf numFmtId="0" fontId="0" fillId="22" borderId="0" xfId="6" applyFont="1" applyFill="1" applyBorder="1" applyAlignment="1"/>
    <xf numFmtId="0" fontId="0" fillId="22" borderId="0" xfId="0" applyFont="1" applyFill="1"/>
    <xf numFmtId="0" fontId="12" fillId="22" borderId="1" xfId="6" applyFont="1" applyFill="1" applyBorder="1" applyAlignment="1">
      <alignment horizontal="center" vertical="center" wrapText="1"/>
    </xf>
    <xf numFmtId="0" fontId="12" fillId="22" borderId="1" xfId="6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indent="5"/>
    </xf>
    <xf numFmtId="0" fontId="22" fillId="0" borderId="32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0" fontId="29" fillId="8" borderId="70" xfId="7" applyFont="1" applyBorder="1" applyAlignment="1">
      <alignment vertical="center"/>
    </xf>
    <xf numFmtId="0" fontId="29" fillId="8" borderId="50" xfId="7" applyFont="1" applyBorder="1" applyAlignment="1">
      <alignment vertical="center"/>
    </xf>
    <xf numFmtId="0" fontId="29" fillId="0" borderId="0" xfId="0" applyFont="1"/>
    <xf numFmtId="0" fontId="22" fillId="0" borderId="71" xfId="0" applyFont="1" applyBorder="1" applyAlignment="1">
      <alignment horizontal="center"/>
    </xf>
    <xf numFmtId="0" fontId="22" fillId="8" borderId="18" xfId="7" applyFont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22" fillId="0" borderId="18" xfId="0" applyFont="1" applyBorder="1"/>
    <xf numFmtId="0" fontId="22" fillId="0" borderId="21" xfId="0" applyFont="1" applyBorder="1"/>
    <xf numFmtId="0" fontId="22" fillId="16" borderId="17" xfId="0" applyFont="1" applyFill="1" applyBorder="1" applyAlignment="1">
      <alignment horizontal="center" wrapText="1"/>
    </xf>
    <xf numFmtId="0" fontId="22" fillId="16" borderId="1" xfId="0" applyFont="1" applyFill="1" applyBorder="1" applyAlignment="1">
      <alignment horizontal="center" wrapText="1"/>
    </xf>
    <xf numFmtId="1" fontId="22" fillId="16" borderId="1" xfId="0" applyNumberFormat="1" applyFont="1" applyFill="1" applyBorder="1" applyAlignment="1">
      <alignment horizontal="center" wrapText="1"/>
    </xf>
    <xf numFmtId="0" fontId="22" fillId="16" borderId="10" xfId="0" applyFont="1" applyFill="1" applyBorder="1" applyAlignment="1">
      <alignment horizontal="center" wrapText="1"/>
    </xf>
    <xf numFmtId="0" fontId="22" fillId="16" borderId="18" xfId="0" applyFont="1" applyFill="1" applyBorder="1"/>
    <xf numFmtId="0" fontId="22" fillId="0" borderId="18" xfId="0" applyFont="1" applyBorder="1" applyAlignment="1">
      <alignment horizontal="center" wrapText="1"/>
    </xf>
    <xf numFmtId="0" fontId="22" fillId="16" borderId="18" xfId="0" applyFont="1" applyFill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8" fillId="2" borderId="6" xfId="1" applyFont="1" applyBorder="1" applyAlignment="1">
      <alignment horizontal="center" vertical="center" wrapText="1"/>
    </xf>
    <xf numFmtId="0" fontId="8" fillId="2" borderId="7" xfId="1" applyFont="1" applyBorder="1" applyAlignment="1">
      <alignment horizontal="center" vertical="center" wrapText="1"/>
    </xf>
    <xf numFmtId="0" fontId="10" fillId="4" borderId="4" xfId="3" applyFont="1" applyBorder="1" applyAlignment="1">
      <alignment horizontal="center" vertical="center"/>
    </xf>
    <xf numFmtId="0" fontId="10" fillId="4" borderId="5" xfId="3" applyFont="1" applyBorder="1" applyAlignment="1">
      <alignment horizontal="center" vertical="center"/>
    </xf>
    <xf numFmtId="0" fontId="10" fillId="4" borderId="1" xfId="3" applyFont="1" applyBorder="1" applyAlignment="1">
      <alignment horizontal="center" wrapText="1"/>
    </xf>
    <xf numFmtId="0" fontId="10" fillId="4" borderId="4" xfId="3" applyFont="1" applyBorder="1" applyAlignment="1">
      <alignment horizontal="center" vertical="center" wrapText="1"/>
    </xf>
    <xf numFmtId="0" fontId="10" fillId="4" borderId="5" xfId="3" applyFont="1" applyBorder="1" applyAlignment="1">
      <alignment horizontal="center" vertical="center" wrapText="1"/>
    </xf>
    <xf numFmtId="0" fontId="10" fillId="4" borderId="4" xfId="3" applyFont="1" applyBorder="1" applyAlignment="1">
      <alignment horizontal="center" wrapText="1"/>
    </xf>
    <xf numFmtId="0" fontId="10" fillId="4" borderId="5" xfId="3" applyFont="1" applyBorder="1" applyAlignment="1">
      <alignment horizontal="center" wrapText="1"/>
    </xf>
    <xf numFmtId="0" fontId="11" fillId="6" borderId="8" xfId="5" applyFont="1" applyBorder="1" applyAlignment="1">
      <alignment horizontal="right"/>
    </xf>
    <xf numFmtId="0" fontId="11" fillId="6" borderId="9" xfId="5" applyFont="1" applyBorder="1" applyAlignment="1">
      <alignment horizontal="right"/>
    </xf>
    <xf numFmtId="0" fontId="8" fillId="2" borderId="1" xfId="1" applyFont="1" applyBorder="1" applyAlignment="1">
      <alignment horizontal="center" vertical="center" wrapText="1"/>
    </xf>
    <xf numFmtId="0" fontId="11" fillId="6" borderId="3" xfId="5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8" borderId="48" xfId="7" applyFont="1" applyBorder="1" applyAlignment="1">
      <alignment horizontal="center"/>
    </xf>
    <xf numFmtId="0" fontId="6" fillId="8" borderId="12" xfId="7" applyFont="1" applyBorder="1" applyAlignment="1">
      <alignment horizontal="center"/>
    </xf>
    <xf numFmtId="0" fontId="6" fillId="8" borderId="15" xfId="7" applyFont="1" applyBorder="1" applyAlignment="1">
      <alignment horizontal="center"/>
    </xf>
    <xf numFmtId="0" fontId="20" fillId="2" borderId="32" xfId="1" applyFont="1" applyBorder="1" applyAlignment="1">
      <alignment horizontal="center" vertical="center" wrapText="1"/>
    </xf>
    <xf numFmtId="0" fontId="20" fillId="2" borderId="33" xfId="1" applyFont="1" applyBorder="1" applyAlignment="1">
      <alignment horizontal="center" vertical="center" wrapText="1"/>
    </xf>
    <xf numFmtId="0" fontId="20" fillId="2" borderId="4" xfId="1" applyFont="1" applyBorder="1" applyAlignment="1">
      <alignment horizontal="center" vertical="center" wrapText="1"/>
    </xf>
    <xf numFmtId="0" fontId="20" fillId="2" borderId="16" xfId="1" applyFont="1" applyBorder="1" applyAlignment="1">
      <alignment horizontal="center" vertical="center" wrapText="1"/>
    </xf>
    <xf numFmtId="0" fontId="21" fillId="0" borderId="16" xfId="0" applyFont="1" applyBorder="1"/>
    <xf numFmtId="0" fontId="20" fillId="2" borderId="5" xfId="1" applyFont="1" applyBorder="1" applyAlignment="1">
      <alignment horizontal="center" vertical="center" wrapText="1"/>
    </xf>
    <xf numFmtId="0" fontId="20" fillId="2" borderId="10" xfId="1" applyFont="1" applyBorder="1" applyAlignment="1">
      <alignment horizontal="center" vertical="center" wrapText="1"/>
    </xf>
    <xf numFmtId="0" fontId="20" fillId="2" borderId="11" xfId="1" applyFont="1" applyBorder="1" applyAlignment="1">
      <alignment horizontal="center" vertical="center" wrapText="1"/>
    </xf>
    <xf numFmtId="0" fontId="7" fillId="7" borderId="23" xfId="6" applyBorder="1" applyAlignment="1">
      <alignment horizontal="center"/>
    </xf>
    <xf numFmtId="0" fontId="7" fillId="7" borderId="24" xfId="6" applyBorder="1" applyAlignment="1">
      <alignment horizontal="center"/>
    </xf>
    <xf numFmtId="0" fontId="7" fillId="7" borderId="25" xfId="6" applyBorder="1" applyAlignment="1">
      <alignment horizontal="center"/>
    </xf>
    <xf numFmtId="0" fontId="21" fillId="12" borderId="4" xfId="12" applyFont="1" applyBorder="1" applyAlignment="1">
      <alignment horizontal="center" vertical="center"/>
    </xf>
    <xf numFmtId="0" fontId="21" fillId="12" borderId="16" xfId="12" applyFont="1" applyBorder="1" applyAlignment="1">
      <alignment horizontal="center" vertical="center"/>
    </xf>
    <xf numFmtId="0" fontId="21" fillId="12" borderId="30" xfId="12" applyFont="1" applyBorder="1" applyAlignment="1">
      <alignment horizontal="center" vertical="center"/>
    </xf>
    <xf numFmtId="0" fontId="21" fillId="12" borderId="28" xfId="12" applyFont="1" applyBorder="1" applyAlignment="1">
      <alignment horizontal="center" vertical="center"/>
    </xf>
    <xf numFmtId="0" fontId="21" fillId="12" borderId="29" xfId="12" applyFont="1" applyBorder="1" applyAlignment="1">
      <alignment horizontal="center" vertical="center"/>
    </xf>
    <xf numFmtId="0" fontId="21" fillId="12" borderId="31" xfId="12" applyFont="1" applyBorder="1" applyAlignment="1">
      <alignment horizontal="center" vertical="center"/>
    </xf>
    <xf numFmtId="0" fontId="21" fillId="12" borderId="1" xfId="12" applyFont="1" applyBorder="1" applyAlignment="1">
      <alignment horizontal="center" vertical="center"/>
    </xf>
    <xf numFmtId="0" fontId="21" fillId="12" borderId="20" xfId="12" applyFont="1" applyBorder="1" applyAlignment="1">
      <alignment horizontal="center" vertical="center"/>
    </xf>
    <xf numFmtId="0" fontId="21" fillId="12" borderId="18" xfId="12" applyFont="1" applyBorder="1" applyAlignment="1">
      <alignment horizontal="center" vertical="center"/>
    </xf>
    <xf numFmtId="0" fontId="21" fillId="12" borderId="21" xfId="12" applyFont="1" applyBorder="1" applyAlignment="1">
      <alignment horizontal="center" vertical="center"/>
    </xf>
    <xf numFmtId="0" fontId="29" fillId="0" borderId="50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1" fontId="29" fillId="0" borderId="22" xfId="0" applyNumberFormat="1" applyFont="1" applyBorder="1" applyAlignment="1">
      <alignment horizontal="center"/>
    </xf>
    <xf numFmtId="1" fontId="29" fillId="0" borderId="54" xfId="0" applyNumberFormat="1" applyFont="1" applyBorder="1" applyAlignment="1">
      <alignment horizontal="center"/>
    </xf>
    <xf numFmtId="1" fontId="29" fillId="0" borderId="56" xfId="0" applyNumberFormat="1" applyFont="1" applyBorder="1" applyAlignment="1">
      <alignment horizontal="center"/>
    </xf>
    <xf numFmtId="1" fontId="29" fillId="14" borderId="4" xfId="14" applyNumberFormat="1" applyFont="1" applyBorder="1" applyAlignment="1">
      <alignment horizontal="right"/>
    </xf>
    <xf numFmtId="1" fontId="29" fillId="14" borderId="16" xfId="14" applyNumberFormat="1" applyFont="1" applyBorder="1" applyAlignment="1">
      <alignment horizontal="right"/>
    </xf>
    <xf numFmtId="1" fontId="29" fillId="14" borderId="5" xfId="14" applyNumberFormat="1" applyFont="1" applyBorder="1" applyAlignment="1">
      <alignment horizontal="right"/>
    </xf>
    <xf numFmtId="1" fontId="35" fillId="7" borderId="35" xfId="6" applyNumberFormat="1" applyFont="1" applyBorder="1" applyAlignment="1">
      <alignment horizontal="center" vertical="center"/>
    </xf>
    <xf numFmtId="1" fontId="35" fillId="7" borderId="0" xfId="6" applyNumberFormat="1" applyFont="1" applyBorder="1" applyAlignment="1">
      <alignment horizontal="center" vertical="center"/>
    </xf>
    <xf numFmtId="1" fontId="35" fillId="7" borderId="36" xfId="6" applyNumberFormat="1" applyFont="1" applyBorder="1" applyAlignment="1">
      <alignment horizontal="center" vertical="center"/>
    </xf>
    <xf numFmtId="1" fontId="29" fillId="3" borderId="4" xfId="2" applyNumberFormat="1" applyFont="1" applyBorder="1" applyAlignment="1">
      <alignment horizontal="right"/>
    </xf>
    <xf numFmtId="1" fontId="29" fillId="3" borderId="16" xfId="2" applyNumberFormat="1" applyFont="1" applyBorder="1" applyAlignment="1">
      <alignment horizontal="right"/>
    </xf>
    <xf numFmtId="1" fontId="29" fillId="3" borderId="5" xfId="2" applyNumberFormat="1" applyFont="1" applyBorder="1" applyAlignment="1">
      <alignment horizontal="right"/>
    </xf>
    <xf numFmtId="0" fontId="6" fillId="7" borderId="48" xfId="6" applyFont="1" applyBorder="1" applyAlignment="1">
      <alignment horizontal="center"/>
    </xf>
    <xf numFmtId="0" fontId="6" fillId="7" borderId="12" xfId="6" applyFont="1" applyBorder="1" applyAlignment="1">
      <alignment horizontal="center"/>
    </xf>
    <xf numFmtId="0" fontId="6" fillId="7" borderId="15" xfId="6" applyFont="1" applyBorder="1" applyAlignment="1">
      <alignment horizontal="center"/>
    </xf>
    <xf numFmtId="0" fontId="29" fillId="0" borderId="57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0" fillId="2" borderId="10" xfId="1" applyFont="1" applyBorder="1" applyAlignment="1">
      <alignment horizontal="center"/>
    </xf>
    <xf numFmtId="0" fontId="20" fillId="2" borderId="11" xfId="1" applyFont="1" applyBorder="1" applyAlignment="1">
      <alignment horizontal="center"/>
    </xf>
    <xf numFmtId="0" fontId="6" fillId="7" borderId="10" xfId="6" applyFont="1" applyBorder="1" applyAlignment="1">
      <alignment horizontal="center"/>
    </xf>
    <xf numFmtId="0" fontId="6" fillId="7" borderId="50" xfId="6" applyFont="1" applyBorder="1" applyAlignment="1">
      <alignment horizontal="center"/>
    </xf>
    <xf numFmtId="0" fontId="6" fillId="7" borderId="11" xfId="6" applyFont="1" applyBorder="1" applyAlignment="1">
      <alignment horizontal="center"/>
    </xf>
    <xf numFmtId="0" fontId="30" fillId="2" borderId="4" xfId="1" applyFont="1" applyBorder="1" applyAlignment="1">
      <alignment horizontal="center"/>
    </xf>
    <xf numFmtId="0" fontId="30" fillId="2" borderId="5" xfId="1" applyFont="1" applyBorder="1" applyAlignment="1">
      <alignment horizontal="center"/>
    </xf>
    <xf numFmtId="0" fontId="20" fillId="2" borderId="4" xfId="1" applyFont="1" applyBorder="1" applyAlignment="1">
      <alignment horizontal="center" wrapText="1"/>
    </xf>
    <xf numFmtId="0" fontId="20" fillId="2" borderId="5" xfId="1" applyFont="1" applyBorder="1" applyAlignment="1">
      <alignment horizontal="center" wrapText="1"/>
    </xf>
    <xf numFmtId="0" fontId="20" fillId="2" borderId="4" xfId="1" applyFont="1" applyBorder="1" applyAlignment="1">
      <alignment horizontal="center"/>
    </xf>
    <xf numFmtId="0" fontId="20" fillId="2" borderId="5" xfId="1" applyFont="1" applyBorder="1" applyAlignment="1">
      <alignment horizontal="center"/>
    </xf>
    <xf numFmtId="165" fontId="37" fillId="0" borderId="4" xfId="0" applyNumberFormat="1" applyFont="1" applyBorder="1" applyAlignment="1">
      <alignment horizontal="right" vertical="center"/>
    </xf>
    <xf numFmtId="165" fontId="37" fillId="0" borderId="16" xfId="0" applyNumberFormat="1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165" fontId="37" fillId="0" borderId="5" xfId="0" applyNumberFormat="1" applyFont="1" applyBorder="1" applyAlignment="1">
      <alignment horizontal="right" vertical="center"/>
    </xf>
    <xf numFmtId="0" fontId="34" fillId="2" borderId="10" xfId="1" applyFont="1" applyBorder="1" applyAlignment="1">
      <alignment horizontal="center"/>
    </xf>
    <xf numFmtId="0" fontId="34" fillId="2" borderId="50" xfId="1" applyFont="1" applyBorder="1" applyAlignment="1">
      <alignment horizontal="center"/>
    </xf>
    <xf numFmtId="0" fontId="34" fillId="2" borderId="11" xfId="1" applyFont="1" applyBorder="1" applyAlignment="1">
      <alignment horizontal="center"/>
    </xf>
    <xf numFmtId="0" fontId="38" fillId="0" borderId="16" xfId="0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0" fontId="6" fillId="8" borderId="50" xfId="7" applyFont="1" applyBorder="1" applyAlignment="1">
      <alignment horizontal="center" wrapText="1"/>
    </xf>
    <xf numFmtId="0" fontId="6" fillId="8" borderId="11" xfId="7" applyFont="1" applyBorder="1" applyAlignment="1">
      <alignment horizontal="center" wrapText="1"/>
    </xf>
    <xf numFmtId="0" fontId="6" fillId="18" borderId="10" xfId="7" applyFont="1" applyFill="1" applyBorder="1" applyAlignment="1">
      <alignment horizontal="center"/>
    </xf>
    <xf numFmtId="0" fontId="6" fillId="18" borderId="50" xfId="7" applyFont="1" applyFill="1" applyBorder="1" applyAlignment="1">
      <alignment horizontal="center"/>
    </xf>
    <xf numFmtId="0" fontId="6" fillId="18" borderId="11" xfId="7" applyFont="1" applyFill="1" applyBorder="1" applyAlignment="1">
      <alignment horizontal="center"/>
    </xf>
    <xf numFmtId="165" fontId="37" fillId="16" borderId="1" xfId="0" applyNumberFormat="1" applyFont="1" applyFill="1" applyBorder="1" applyAlignment="1">
      <alignment horizontal="right" vertical="center"/>
    </xf>
    <xf numFmtId="165" fontId="37" fillId="16" borderId="4" xfId="0" applyNumberFormat="1" applyFont="1" applyFill="1" applyBorder="1" applyAlignment="1">
      <alignment horizontal="right" vertical="center"/>
    </xf>
    <xf numFmtId="0" fontId="38" fillId="16" borderId="1" xfId="0" applyFont="1" applyFill="1" applyBorder="1" applyAlignment="1">
      <alignment horizontal="right" vertical="center"/>
    </xf>
    <xf numFmtId="0" fontId="38" fillId="16" borderId="4" xfId="0" applyFont="1" applyFill="1" applyBorder="1" applyAlignment="1">
      <alignment horizontal="right" vertical="center"/>
    </xf>
    <xf numFmtId="0" fontId="6" fillId="6" borderId="9" xfId="5" applyBorder="1" applyAlignment="1">
      <alignment horizontal="center"/>
    </xf>
    <xf numFmtId="0" fontId="6" fillId="7" borderId="64" xfId="6" applyFont="1" applyBorder="1" applyAlignment="1">
      <alignment horizontal="center"/>
    </xf>
    <xf numFmtId="0" fontId="6" fillId="7" borderId="62" xfId="6" applyFont="1" applyBorder="1" applyAlignment="1">
      <alignment horizontal="center"/>
    </xf>
    <xf numFmtId="0" fontId="6" fillId="7" borderId="63" xfId="6" applyFont="1" applyBorder="1" applyAlignment="1">
      <alignment horizontal="center"/>
    </xf>
    <xf numFmtId="0" fontId="34" fillId="2" borderId="48" xfId="1" applyFont="1" applyBorder="1" applyAlignment="1">
      <alignment horizontal="center"/>
    </xf>
    <xf numFmtId="0" fontId="34" fillId="2" borderId="12" xfId="1" applyFont="1" applyBorder="1" applyAlignment="1">
      <alignment horizontal="center"/>
    </xf>
    <xf numFmtId="0" fontId="34" fillId="2" borderId="15" xfId="1" applyFont="1" applyBorder="1" applyAlignment="1">
      <alignment horizontal="center"/>
    </xf>
    <xf numFmtId="1" fontId="38" fillId="0" borderId="1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0" fontId="33" fillId="8" borderId="1" xfId="7" applyFont="1" applyBorder="1" applyAlignment="1">
      <alignment horizontal="center" vertical="center" wrapText="1"/>
    </xf>
    <xf numFmtId="0" fontId="29" fillId="19" borderId="48" xfId="16" applyFont="1" applyBorder="1" applyAlignment="1">
      <alignment horizontal="center"/>
    </xf>
    <xf numFmtId="0" fontId="29" fillId="19" borderId="12" xfId="16" applyFont="1" applyBorder="1" applyAlignment="1">
      <alignment horizontal="center"/>
    </xf>
    <xf numFmtId="0" fontId="29" fillId="19" borderId="15" xfId="16" applyFont="1" applyBorder="1" applyAlignment="1">
      <alignment horizontal="center"/>
    </xf>
    <xf numFmtId="0" fontId="6" fillId="20" borderId="10" xfId="17" applyFont="1" applyBorder="1" applyAlignment="1">
      <alignment horizontal="center"/>
    </xf>
    <xf numFmtId="0" fontId="6" fillId="20" borderId="11" xfId="17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3" fillId="6" borderId="32" xfId="5" applyFont="1" applyBorder="1" applyAlignment="1">
      <alignment horizontal="center" vertical="center"/>
    </xf>
    <xf numFmtId="0" fontId="33" fillId="6" borderId="33" xfId="5" applyFont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33" fillId="20" borderId="10" xfId="17" applyFont="1" applyBorder="1" applyAlignment="1">
      <alignment horizontal="center" vertical="center"/>
    </xf>
    <xf numFmtId="0" fontId="33" fillId="20" borderId="11" xfId="17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8" borderId="48" xfId="7" applyFont="1" applyBorder="1" applyAlignment="1">
      <alignment horizontal="center" vertical="center" wrapText="1"/>
    </xf>
    <xf numFmtId="0" fontId="29" fillId="8" borderId="12" xfId="7" applyFont="1" applyBorder="1" applyAlignment="1">
      <alignment horizontal="center" vertical="center" wrapText="1"/>
    </xf>
    <xf numFmtId="0" fontId="29" fillId="8" borderId="70" xfId="7" applyFont="1" applyBorder="1" applyAlignment="1">
      <alignment horizontal="center" vertical="center" wrapText="1"/>
    </xf>
    <xf numFmtId="0" fontId="29" fillId="8" borderId="50" xfId="7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6" fillId="8" borderId="70" xfId="7" applyFont="1" applyBorder="1" applyAlignment="1">
      <alignment horizontal="center" vertical="center"/>
    </xf>
    <xf numFmtId="0" fontId="6" fillId="8" borderId="50" xfId="7" applyFont="1" applyBorder="1" applyAlignment="1">
      <alignment horizontal="center" vertical="center"/>
    </xf>
    <xf numFmtId="0" fontId="6" fillId="8" borderId="53" xfId="7" applyFont="1" applyBorder="1" applyAlignment="1">
      <alignment horizontal="center" vertical="center"/>
    </xf>
    <xf numFmtId="0" fontId="29" fillId="0" borderId="72" xfId="0" applyFont="1" applyBorder="1" applyAlignment="1">
      <alignment horizontal="center"/>
    </xf>
    <xf numFmtId="0" fontId="41" fillId="8" borderId="70" xfId="7" applyFont="1" applyBorder="1" applyAlignment="1">
      <alignment horizontal="center" vertical="center"/>
    </xf>
    <xf numFmtId="0" fontId="41" fillId="8" borderId="50" xfId="7" applyFont="1" applyBorder="1" applyAlignment="1">
      <alignment horizontal="center" vertical="center"/>
    </xf>
    <xf numFmtId="0" fontId="41" fillId="8" borderId="53" xfId="7" applyFont="1" applyBorder="1" applyAlignment="1">
      <alignment horizontal="center" vertical="center"/>
    </xf>
    <xf numFmtId="0" fontId="42" fillId="0" borderId="26" xfId="0" applyFont="1" applyBorder="1" applyAlignment="1">
      <alignment horizontal="center" wrapText="1"/>
    </xf>
    <xf numFmtId="0" fontId="42" fillId="0" borderId="5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0" fontId="42" fillId="16" borderId="17" xfId="0" applyFont="1" applyFill="1" applyBorder="1" applyAlignment="1">
      <alignment horizontal="center" wrapText="1"/>
    </xf>
    <xf numFmtId="0" fontId="42" fillId="16" borderId="1" xfId="0" applyFont="1" applyFill="1" applyBorder="1" applyAlignment="1">
      <alignment horizontal="center" wrapText="1"/>
    </xf>
    <xf numFmtId="1" fontId="42" fillId="16" borderId="1" xfId="0" applyNumberFormat="1" applyFont="1" applyFill="1" applyBorder="1" applyAlignment="1">
      <alignment horizontal="center" wrapText="1"/>
    </xf>
    <xf numFmtId="0" fontId="42" fillId="16" borderId="18" xfId="0" applyFont="1" applyFill="1" applyBorder="1" applyAlignment="1">
      <alignment horizontal="center" wrapText="1"/>
    </xf>
    <xf numFmtId="0" fontId="42" fillId="0" borderId="49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1" fontId="42" fillId="0" borderId="4" xfId="0" applyNumberFormat="1" applyFont="1" applyBorder="1" applyAlignment="1">
      <alignment horizontal="center" wrapText="1"/>
    </xf>
    <xf numFmtId="1" fontId="42" fillId="0" borderId="4" xfId="0" applyNumberFormat="1" applyFont="1" applyFill="1" applyBorder="1" applyAlignment="1">
      <alignment horizontal="center" wrapText="1"/>
    </xf>
    <xf numFmtId="0" fontId="42" fillId="0" borderId="28" xfId="0" applyFont="1" applyBorder="1" applyAlignment="1">
      <alignment horizontal="center" wrapText="1"/>
    </xf>
    <xf numFmtId="0" fontId="42" fillId="0" borderId="27" xfId="0" applyFont="1" applyBorder="1" applyAlignment="1">
      <alignment horizontal="center" wrapText="1"/>
    </xf>
    <xf numFmtId="0" fontId="42" fillId="0" borderId="19" xfId="0" applyFont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1" fontId="42" fillId="0" borderId="20" xfId="0" applyNumberFormat="1" applyFont="1" applyBorder="1" applyAlignment="1">
      <alignment horizontal="center" wrapText="1"/>
    </xf>
    <xf numFmtId="1" fontId="42" fillId="0" borderId="20" xfId="0" applyNumberFormat="1" applyFont="1" applyFill="1" applyBorder="1" applyAlignment="1">
      <alignment horizontal="center" wrapText="1"/>
    </xf>
    <xf numFmtId="0" fontId="42" fillId="0" borderId="21" xfId="0" applyFont="1" applyBorder="1" applyAlignment="1">
      <alignment horizontal="center" wrapText="1"/>
    </xf>
    <xf numFmtId="0" fontId="7" fillId="7" borderId="23" xfId="6" applyFont="1" applyBorder="1" applyAlignment="1">
      <alignment horizontal="center"/>
    </xf>
    <xf numFmtId="0" fontId="7" fillId="7" borderId="24" xfId="6" applyFont="1" applyBorder="1" applyAlignment="1">
      <alignment horizontal="center"/>
    </xf>
    <xf numFmtId="0" fontId="7" fillId="7" borderId="25" xfId="6" applyFont="1" applyBorder="1" applyAlignment="1">
      <alignment horizontal="center"/>
    </xf>
    <xf numFmtId="0" fontId="19" fillId="12" borderId="17" xfId="11" applyFont="1" applyFill="1" applyBorder="1" applyAlignment="1">
      <alignment horizontal="center"/>
    </xf>
    <xf numFmtId="0" fontId="1" fillId="12" borderId="1" xfId="12" applyFont="1" applyBorder="1"/>
    <xf numFmtId="0" fontId="1" fillId="12" borderId="1" xfId="12" applyFont="1" applyBorder="1" applyAlignment="1">
      <alignment horizontal="center" vertical="center"/>
    </xf>
    <xf numFmtId="0" fontId="1" fillId="12" borderId="18" xfId="12" applyFont="1" applyBorder="1" applyAlignment="1">
      <alignment horizontal="center" vertical="center"/>
    </xf>
    <xf numFmtId="0" fontId="19" fillId="12" borderId="19" xfId="11" applyFont="1" applyFill="1" applyBorder="1" applyAlignment="1">
      <alignment horizontal="center"/>
    </xf>
    <xf numFmtId="0" fontId="1" fillId="12" borderId="20" xfId="12" applyFont="1" applyBorder="1"/>
    <xf numFmtId="0" fontId="1" fillId="12" borderId="20" xfId="12" applyFont="1" applyBorder="1" applyAlignment="1">
      <alignment horizontal="center" vertical="center"/>
    </xf>
    <xf numFmtId="0" fontId="1" fillId="12" borderId="21" xfId="12" applyFont="1" applyBorder="1" applyAlignment="1">
      <alignment horizontal="center" vertical="center"/>
    </xf>
    <xf numFmtId="0" fontId="12" fillId="15" borderId="17" xfId="15" applyFont="1" applyBorder="1" applyAlignment="1">
      <alignment horizontal="center" vertical="center" wrapText="1"/>
    </xf>
    <xf numFmtId="0" fontId="12" fillId="15" borderId="1" xfId="15" applyFont="1" applyBorder="1" applyAlignment="1">
      <alignment vertical="center" wrapText="1"/>
    </xf>
    <xf numFmtId="0" fontId="12" fillId="15" borderId="1" xfId="15" applyFont="1" applyBorder="1" applyAlignment="1">
      <alignment horizontal="center" vertical="center" wrapText="1"/>
    </xf>
    <xf numFmtId="0" fontId="12" fillId="15" borderId="18" xfId="15" applyFont="1" applyBorder="1" applyAlignment="1">
      <alignment horizontal="center" vertical="center" wrapText="1"/>
    </xf>
    <xf numFmtId="0" fontId="43" fillId="12" borderId="1" xfId="12" applyFont="1" applyBorder="1" applyAlignment="1">
      <alignment wrapText="1"/>
    </xf>
    <xf numFmtId="0" fontId="43" fillId="12" borderId="20" xfId="12" applyFont="1" applyBorder="1" applyAlignment="1">
      <alignment wrapText="1"/>
    </xf>
  </cellXfs>
  <cellStyles count="19">
    <cellStyle name="20% - Accent1" xfId="16" builtinId="30"/>
    <cellStyle name="40% - Accent1" xfId="12" builtinId="31"/>
    <cellStyle name="40% - Accent2" xfId="14" builtinId="35"/>
    <cellStyle name="40% - Accent3" xfId="15" builtinId="39"/>
    <cellStyle name="40% - Accent6" xfId="10" builtinId="51"/>
    <cellStyle name="60% - Accent1" xfId="13" builtinId="32"/>
    <cellStyle name="60% - Accent5" xfId="8" builtinId="48"/>
    <cellStyle name="Accent1" xfId="6" builtinId="29"/>
    <cellStyle name="Accent2" xfId="7" builtinId="33"/>
    <cellStyle name="Accent4" xfId="17" builtinId="41"/>
    <cellStyle name="Accent5" xfId="18" builtinId="45"/>
    <cellStyle name="Accent6" xfId="9" builtinId="49"/>
    <cellStyle name="Bad" xfId="2" builtinId="27"/>
    <cellStyle name="Check Cell" xfId="5" builtinId="23"/>
    <cellStyle name="Good" xfId="1" builtinId="26"/>
    <cellStyle name="Heading 4" xfId="11" builtinId="19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opLeftCell="K1" zoomScale="150" zoomScaleNormal="150" workbookViewId="0">
      <selection activeCell="I23" sqref="I23"/>
    </sheetView>
  </sheetViews>
  <sheetFormatPr defaultRowHeight="15"/>
  <cols>
    <col min="1" max="1" width="19.42578125" customWidth="1"/>
    <col min="2" max="2" width="18.28515625" customWidth="1"/>
    <col min="3" max="3" width="17.85546875" customWidth="1"/>
    <col min="4" max="4" width="19.5703125" customWidth="1"/>
    <col min="5" max="5" width="19.140625" customWidth="1"/>
    <col min="6" max="6" width="18.7109375" customWidth="1"/>
    <col min="7" max="7" width="18.85546875" customWidth="1"/>
    <col min="8" max="8" width="18.7109375" customWidth="1"/>
    <col min="9" max="9" width="18.5703125" customWidth="1"/>
    <col min="13" max="13" width="10.140625" customWidth="1"/>
    <col min="14" max="14" width="11.42578125" customWidth="1"/>
    <col min="15" max="15" width="13.140625" customWidth="1"/>
    <col min="16" max="16" width="10.28515625" customWidth="1"/>
  </cols>
  <sheetData>
    <row r="1" spans="1:24">
      <c r="A1" s="359" t="s">
        <v>0</v>
      </c>
      <c r="B1" s="359" t="s">
        <v>36</v>
      </c>
      <c r="C1" s="359" t="s">
        <v>4</v>
      </c>
      <c r="D1" s="359" t="s">
        <v>22</v>
      </c>
      <c r="E1" s="359" t="s">
        <v>23</v>
      </c>
      <c r="F1" s="348" t="s">
        <v>44</v>
      </c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</row>
    <row r="2" spans="1:24" ht="24.75" thickBot="1">
      <c r="A2" s="359"/>
      <c r="B2" s="359"/>
      <c r="C2" s="359"/>
      <c r="D2" s="359"/>
      <c r="E2" s="359"/>
      <c r="F2" s="2" t="s">
        <v>11</v>
      </c>
      <c r="G2" s="3" t="s">
        <v>12</v>
      </c>
      <c r="H2" s="2" t="s">
        <v>45</v>
      </c>
      <c r="I2" s="2" t="s">
        <v>14</v>
      </c>
      <c r="J2" s="2" t="s">
        <v>24</v>
      </c>
      <c r="K2" s="350" t="s">
        <v>2</v>
      </c>
      <c r="L2" s="350" t="s">
        <v>3</v>
      </c>
      <c r="M2" s="353" t="s">
        <v>26</v>
      </c>
      <c r="N2" s="353" t="s">
        <v>37</v>
      </c>
      <c r="O2" s="353" t="s">
        <v>38</v>
      </c>
      <c r="P2" s="353" t="s">
        <v>39</v>
      </c>
      <c r="Q2" s="353" t="s">
        <v>40</v>
      </c>
      <c r="R2" s="353" t="s">
        <v>41</v>
      </c>
      <c r="S2" s="353" t="s">
        <v>42</v>
      </c>
      <c r="T2" s="353" t="s">
        <v>5</v>
      </c>
      <c r="U2" s="353" t="s">
        <v>6</v>
      </c>
      <c r="V2" s="353" t="s">
        <v>7</v>
      </c>
      <c r="W2" s="355" t="s">
        <v>8</v>
      </c>
      <c r="X2" s="352" t="s">
        <v>9</v>
      </c>
    </row>
    <row r="3" spans="1:24" ht="21" customHeight="1" thickTop="1" thickBot="1">
      <c r="A3" s="360">
        <v>800</v>
      </c>
      <c r="B3" s="360">
        <f>50*A3</f>
        <v>40000</v>
      </c>
      <c r="C3" s="360">
        <f>A3*285</f>
        <v>228000</v>
      </c>
      <c r="D3" s="360">
        <f>A3*25</f>
        <v>20000</v>
      </c>
      <c r="E3" s="357">
        <f>D3*12</f>
        <v>240000</v>
      </c>
      <c r="F3" s="18" t="s">
        <v>10</v>
      </c>
      <c r="G3" s="20">
        <f>70%*B3</f>
        <v>28000</v>
      </c>
      <c r="H3" s="15">
        <f>25%*B3</f>
        <v>10000</v>
      </c>
      <c r="I3" s="15">
        <f>5%*B3</f>
        <v>2000</v>
      </c>
      <c r="J3" s="15">
        <v>800</v>
      </c>
      <c r="K3" s="351"/>
      <c r="L3" s="351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6"/>
      <c r="X3" s="352"/>
    </row>
    <row r="4" spans="1:24" ht="16.5" thickTop="1" thickBot="1">
      <c r="A4" s="360"/>
      <c r="B4" s="360"/>
      <c r="C4" s="360"/>
      <c r="D4" s="360"/>
      <c r="E4" s="358"/>
      <c r="F4" s="19" t="s">
        <v>15</v>
      </c>
      <c r="G4" s="21">
        <f>G3*2415/1000</f>
        <v>67620</v>
      </c>
      <c r="H4" s="16">
        <f>1100*H3/1000</f>
        <v>11000</v>
      </c>
      <c r="I4" s="16">
        <f>750*I3/1000</f>
        <v>1500</v>
      </c>
      <c r="J4" s="16">
        <f>23*J3</f>
        <v>18400</v>
      </c>
      <c r="K4" s="16">
        <v>10000</v>
      </c>
      <c r="L4" s="16">
        <v>4000</v>
      </c>
      <c r="M4" s="16">
        <v>23000</v>
      </c>
      <c r="N4" s="17">
        <f>SUM(G4:M4)</f>
        <v>135520</v>
      </c>
      <c r="O4" s="14">
        <f>N4*25</f>
        <v>3388000</v>
      </c>
      <c r="P4" s="10">
        <f>O4*12</f>
        <v>40656000</v>
      </c>
      <c r="Q4" s="10">
        <f>A3*285</f>
        <v>228000</v>
      </c>
      <c r="R4" s="10">
        <f>Q4*25</f>
        <v>5700000</v>
      </c>
      <c r="S4" s="10">
        <f>R4*12</f>
        <v>68400000</v>
      </c>
      <c r="T4" s="11">
        <f>C3-N4</f>
        <v>92480</v>
      </c>
      <c r="U4" s="11">
        <f>T4*25</f>
        <v>2312000</v>
      </c>
      <c r="V4" s="11">
        <f>U4*12</f>
        <v>27744000</v>
      </c>
      <c r="W4" s="12">
        <f>C3*25*12</f>
        <v>68400000</v>
      </c>
      <c r="X4" s="13">
        <f>V4/W4*100</f>
        <v>40.561403508771932</v>
      </c>
    </row>
    <row r="5" spans="1:24" ht="15.75" thickTop="1"/>
  </sheetData>
  <mergeCells count="25">
    <mergeCell ref="E3:E4"/>
    <mergeCell ref="B1:B2"/>
    <mergeCell ref="C1:C2"/>
    <mergeCell ref="D1:D2"/>
    <mergeCell ref="A1:A2"/>
    <mergeCell ref="A3:A4"/>
    <mergeCell ref="B3:B4"/>
    <mergeCell ref="C3:C4"/>
    <mergeCell ref="D3:D4"/>
    <mergeCell ref="E1:E2"/>
    <mergeCell ref="F1:X1"/>
    <mergeCell ref="K2:K3"/>
    <mergeCell ref="L2:L3"/>
    <mergeCell ref="X2:X3"/>
    <mergeCell ref="O2:O3"/>
    <mergeCell ref="P2:P3"/>
    <mergeCell ref="Q2:Q3"/>
    <mergeCell ref="M2:M3"/>
    <mergeCell ref="N2:N3"/>
    <mergeCell ref="U2:U3"/>
    <mergeCell ref="V2:V3"/>
    <mergeCell ref="W2:W3"/>
    <mergeCell ref="R2:R3"/>
    <mergeCell ref="S2:S3"/>
    <mergeCell ref="T2:T3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topLeftCell="C10" workbookViewId="0">
      <selection activeCell="E30" sqref="E30"/>
    </sheetView>
  </sheetViews>
  <sheetFormatPr defaultRowHeight="15"/>
  <cols>
    <col min="1" max="1" width="11.140625" customWidth="1"/>
    <col min="2" max="2" width="11.42578125" customWidth="1"/>
    <col min="4" max="4" width="12.7109375" customWidth="1"/>
    <col min="5" max="5" width="12.5703125" customWidth="1"/>
    <col min="6" max="6" width="12.85546875" customWidth="1"/>
    <col min="8" max="8" width="11" customWidth="1"/>
    <col min="9" max="9" width="12.5703125" customWidth="1"/>
    <col min="10" max="10" width="12.7109375" customWidth="1"/>
    <col min="11" max="11" width="15.42578125" customWidth="1"/>
    <col min="12" max="12" width="12.140625" customWidth="1"/>
    <col min="13" max="13" width="14.140625" customWidth="1"/>
    <col min="14" max="14" width="13.7109375" customWidth="1"/>
    <col min="15" max="15" width="13.85546875" customWidth="1"/>
  </cols>
  <sheetData>
    <row r="1" spans="1:18" ht="45">
      <c r="A1" s="273" t="s">
        <v>263</v>
      </c>
      <c r="B1" s="272" t="s">
        <v>256</v>
      </c>
      <c r="C1" s="287" t="s">
        <v>255</v>
      </c>
      <c r="D1" s="287" t="s">
        <v>257</v>
      </c>
      <c r="F1" s="470" t="s">
        <v>123</v>
      </c>
      <c r="G1" s="471"/>
      <c r="H1" s="289" t="s">
        <v>259</v>
      </c>
      <c r="I1" s="289" t="s">
        <v>260</v>
      </c>
      <c r="J1" s="289" t="s">
        <v>261</v>
      </c>
      <c r="K1" s="289" t="s">
        <v>262</v>
      </c>
    </row>
    <row r="2" spans="1:18">
      <c r="A2" s="273" t="s">
        <v>264</v>
      </c>
      <c r="B2" s="22">
        <v>100000000</v>
      </c>
      <c r="C2" s="22">
        <f>B2*12%</f>
        <v>12000000</v>
      </c>
      <c r="D2" s="22">
        <f>C2/12</f>
        <v>1000000</v>
      </c>
      <c r="F2" s="469" t="s">
        <v>258</v>
      </c>
      <c r="G2" s="469"/>
      <c r="H2" s="288">
        <v>1750</v>
      </c>
      <c r="I2" s="288">
        <f>H2*6</f>
        <v>10500</v>
      </c>
      <c r="J2" s="288">
        <f>H2*25</f>
        <v>43750</v>
      </c>
      <c r="K2" s="288">
        <f>J2*12</f>
        <v>525000</v>
      </c>
    </row>
    <row r="3" spans="1:18" ht="45">
      <c r="A3" s="287" t="s">
        <v>265</v>
      </c>
      <c r="B3" s="22">
        <v>30000000</v>
      </c>
      <c r="C3" s="22">
        <f t="shared" ref="C3:C6" si="0">B3*12%</f>
        <v>3600000</v>
      </c>
      <c r="D3" s="22">
        <f t="shared" ref="D3:D6" si="1">C3/12</f>
        <v>300000</v>
      </c>
      <c r="F3" s="290" t="s">
        <v>234</v>
      </c>
      <c r="G3" s="279">
        <v>285</v>
      </c>
      <c r="H3" s="281">
        <f>G3*H2</f>
        <v>498750</v>
      </c>
      <c r="I3" s="281">
        <f>H3*6</f>
        <v>2992500</v>
      </c>
      <c r="J3" s="281">
        <f>H3*25</f>
        <v>12468750</v>
      </c>
      <c r="K3" s="281">
        <f>J3*12</f>
        <v>149625000</v>
      </c>
    </row>
    <row r="4" spans="1:18" ht="45">
      <c r="A4" s="287" t="s">
        <v>265</v>
      </c>
      <c r="B4" s="22">
        <v>9000000</v>
      </c>
      <c r="C4" s="22">
        <f t="shared" si="0"/>
        <v>1080000</v>
      </c>
      <c r="D4" s="22">
        <f t="shared" si="1"/>
        <v>90000</v>
      </c>
      <c r="F4" s="282" t="s">
        <v>169</v>
      </c>
      <c r="G4" s="283">
        <v>214</v>
      </c>
      <c r="H4" s="284">
        <f>G4*H2</f>
        <v>374500</v>
      </c>
      <c r="I4" s="285">
        <f>G4*I2</f>
        <v>2247000</v>
      </c>
      <c r="J4" s="284">
        <f>G4*J2</f>
        <v>9362500</v>
      </c>
      <c r="K4" s="285">
        <f>G4*K2</f>
        <v>112350000</v>
      </c>
      <c r="N4" s="125"/>
    </row>
    <row r="5" spans="1:18" ht="45">
      <c r="A5" s="287" t="s">
        <v>265</v>
      </c>
      <c r="B5" s="22">
        <v>6000000</v>
      </c>
      <c r="C5" s="22">
        <f t="shared" si="0"/>
        <v>720000</v>
      </c>
      <c r="D5" s="22">
        <f t="shared" si="1"/>
        <v>60000</v>
      </c>
      <c r="F5" s="291" t="s">
        <v>142</v>
      </c>
      <c r="G5" s="211">
        <f>G3-G4</f>
        <v>71</v>
      </c>
      <c r="H5" s="211">
        <f t="shared" ref="H5:K5" si="2">H3-H4</f>
        <v>124250</v>
      </c>
      <c r="I5" s="211">
        <f t="shared" si="2"/>
        <v>745500</v>
      </c>
      <c r="J5" s="211">
        <f t="shared" si="2"/>
        <v>3106250</v>
      </c>
      <c r="K5" s="211">
        <f t="shared" si="2"/>
        <v>37275000</v>
      </c>
    </row>
    <row r="6" spans="1:18" ht="45">
      <c r="A6" s="287" t="s">
        <v>265</v>
      </c>
      <c r="B6" s="22">
        <v>2500000</v>
      </c>
      <c r="C6" s="22">
        <f t="shared" si="0"/>
        <v>300000</v>
      </c>
      <c r="D6" s="22">
        <f t="shared" si="1"/>
        <v>25000</v>
      </c>
    </row>
    <row r="7" spans="1:18">
      <c r="A7" s="273" t="s">
        <v>77</v>
      </c>
      <c r="B7" s="292">
        <f>SUM(B2:B6)</f>
        <v>147500000</v>
      </c>
      <c r="C7" s="292">
        <f>SUM(C2:C6)</f>
        <v>17700000</v>
      </c>
      <c r="D7" s="292">
        <f>SUM(D2:D6)</f>
        <v>1475000</v>
      </c>
    </row>
    <row r="10" spans="1:18" ht="39" customHeight="1" thickBot="1">
      <c r="A10" s="449" t="s">
        <v>229</v>
      </c>
      <c r="B10" s="449"/>
      <c r="C10" s="449"/>
      <c r="D10" s="449"/>
      <c r="E10" s="449"/>
      <c r="F10" s="449"/>
    </row>
    <row r="11" spans="1:18" ht="84" customHeight="1" thickTop="1" thickBot="1">
      <c r="A11" s="241" t="s">
        <v>69</v>
      </c>
      <c r="B11" s="242" t="s">
        <v>167</v>
      </c>
      <c r="C11" s="241" t="s">
        <v>145</v>
      </c>
      <c r="D11" s="242" t="s">
        <v>230</v>
      </c>
      <c r="E11" s="242" t="s">
        <v>231</v>
      </c>
      <c r="F11" s="242" t="s">
        <v>232</v>
      </c>
    </row>
    <row r="12" spans="1:18" ht="16.5" thickTop="1" thickBot="1">
      <c r="A12" s="241" t="s">
        <v>87</v>
      </c>
      <c r="B12" s="243">
        <v>35</v>
      </c>
      <c r="C12" s="244">
        <v>5100</v>
      </c>
      <c r="D12" s="243">
        <f>C12*B12</f>
        <v>178500</v>
      </c>
      <c r="E12" s="244">
        <f>D12*6</f>
        <v>1071000</v>
      </c>
      <c r="F12" s="243">
        <f>D12*25</f>
        <v>4462500</v>
      </c>
      <c r="H12" s="472" t="s">
        <v>285</v>
      </c>
      <c r="I12" s="391"/>
      <c r="J12" s="391"/>
      <c r="K12" s="391"/>
      <c r="L12" s="391"/>
      <c r="M12" s="391"/>
      <c r="N12" s="391"/>
      <c r="O12" s="391"/>
      <c r="P12" s="473"/>
      <c r="Q12" s="237"/>
      <c r="R12" s="237"/>
    </row>
    <row r="13" spans="1:18" ht="46.5" thickTop="1" thickBot="1">
      <c r="A13" s="241" t="s">
        <v>144</v>
      </c>
      <c r="B13" s="243">
        <v>12.5</v>
      </c>
      <c r="C13" s="244">
        <v>1000</v>
      </c>
      <c r="D13" s="243">
        <f t="shared" ref="D13:D14" si="3">C13*B13</f>
        <v>12500</v>
      </c>
      <c r="E13" s="244">
        <f t="shared" ref="E13:E19" si="4">D13*6</f>
        <v>75000</v>
      </c>
      <c r="F13" s="243">
        <f t="shared" ref="F13:F19" si="5">D13*25</f>
        <v>312500</v>
      </c>
      <c r="H13" s="293" t="s">
        <v>266</v>
      </c>
      <c r="I13" s="295" t="s">
        <v>270</v>
      </c>
      <c r="J13" s="293" t="s">
        <v>284</v>
      </c>
      <c r="K13" s="293" t="s">
        <v>267</v>
      </c>
      <c r="L13" s="294" t="s">
        <v>268</v>
      </c>
      <c r="M13" s="293" t="s">
        <v>267</v>
      </c>
      <c r="N13" s="294" t="s">
        <v>269</v>
      </c>
      <c r="O13" s="293" t="s">
        <v>267</v>
      </c>
      <c r="P13" s="293"/>
      <c r="Q13" s="237"/>
      <c r="R13" s="237"/>
    </row>
    <row r="14" spans="1:18" ht="16.5" thickTop="1" thickBot="1">
      <c r="A14" s="241" t="s">
        <v>89</v>
      </c>
      <c r="B14" s="244">
        <v>2.5</v>
      </c>
      <c r="C14" s="244">
        <v>1750</v>
      </c>
      <c r="D14" s="244">
        <f t="shared" si="3"/>
        <v>4375</v>
      </c>
      <c r="E14" s="244">
        <f t="shared" si="4"/>
        <v>26250</v>
      </c>
      <c r="F14" s="243">
        <f t="shared" si="5"/>
        <v>109375</v>
      </c>
      <c r="H14" s="22">
        <v>1475000</v>
      </c>
      <c r="I14" s="22">
        <v>71</v>
      </c>
      <c r="J14" s="22">
        <v>3106250</v>
      </c>
      <c r="K14" s="22">
        <f>J14-H14</f>
        <v>1631250</v>
      </c>
      <c r="L14" s="27">
        <v>833333.33333333337</v>
      </c>
      <c r="M14" s="27">
        <f>K14-L14</f>
        <v>797916.66666666663</v>
      </c>
      <c r="N14" s="27">
        <v>791666.66666666663</v>
      </c>
      <c r="O14" s="27">
        <f>M14-N14</f>
        <v>6250</v>
      </c>
      <c r="P14" s="22"/>
    </row>
    <row r="15" spans="1:18" ht="16.5" thickTop="1" thickBot="1">
      <c r="A15" s="241" t="s">
        <v>2</v>
      </c>
      <c r="B15" s="243">
        <v>0</v>
      </c>
      <c r="C15" s="244">
        <v>4</v>
      </c>
      <c r="D15" s="243">
        <f>C15*50</f>
        <v>200</v>
      </c>
      <c r="E15" s="243">
        <f t="shared" si="4"/>
        <v>1200</v>
      </c>
      <c r="F15" s="243">
        <f t="shared" si="5"/>
        <v>5000</v>
      </c>
    </row>
    <row r="16" spans="1:18" ht="16.5" thickTop="1" thickBot="1">
      <c r="A16" s="241" t="s">
        <v>3</v>
      </c>
      <c r="B16" s="243">
        <v>0</v>
      </c>
      <c r="C16" s="243">
        <f>D16/50</f>
        <v>80</v>
      </c>
      <c r="D16" s="243">
        <v>4000</v>
      </c>
      <c r="E16" s="243">
        <f t="shared" si="4"/>
        <v>24000</v>
      </c>
      <c r="F16" s="243">
        <f t="shared" si="5"/>
        <v>100000</v>
      </c>
      <c r="H16" s="472" t="s">
        <v>357</v>
      </c>
      <c r="I16" s="391"/>
      <c r="J16" s="391"/>
      <c r="K16" s="391"/>
      <c r="L16" s="391"/>
      <c r="M16" s="391"/>
      <c r="N16" s="391"/>
      <c r="O16" s="391"/>
      <c r="P16" s="391"/>
      <c r="Q16" s="391"/>
      <c r="R16" s="473"/>
    </row>
    <row r="17" spans="1:18" ht="91.5" thickTop="1" thickBot="1">
      <c r="A17" s="241" t="s">
        <v>143</v>
      </c>
      <c r="B17" s="243">
        <v>1000</v>
      </c>
      <c r="C17" s="244">
        <f>23*20</f>
        <v>460</v>
      </c>
      <c r="D17" s="243">
        <f>B17*23</f>
        <v>23000</v>
      </c>
      <c r="E17" s="244">
        <f t="shared" si="4"/>
        <v>138000</v>
      </c>
      <c r="F17" s="243">
        <f t="shared" si="5"/>
        <v>575000</v>
      </c>
      <c r="H17" s="293" t="s">
        <v>282</v>
      </c>
      <c r="I17" s="293" t="s">
        <v>275</v>
      </c>
      <c r="J17" s="293" t="s">
        <v>283</v>
      </c>
      <c r="K17" s="293" t="s">
        <v>272</v>
      </c>
      <c r="L17" s="297" t="s">
        <v>279</v>
      </c>
      <c r="M17" s="293" t="s">
        <v>280</v>
      </c>
      <c r="N17" s="293" t="s">
        <v>277</v>
      </c>
      <c r="O17" s="293" t="s">
        <v>271</v>
      </c>
      <c r="P17" s="293" t="s">
        <v>281</v>
      </c>
      <c r="Q17" s="293" t="s">
        <v>276</v>
      </c>
      <c r="R17" s="293" t="s">
        <v>278</v>
      </c>
    </row>
    <row r="18" spans="1:18" ht="16.5" thickTop="1" thickBot="1">
      <c r="A18" s="241" t="s">
        <v>146</v>
      </c>
      <c r="B18" s="244">
        <v>0</v>
      </c>
      <c r="C18" s="244">
        <v>5</v>
      </c>
      <c r="D18" s="244">
        <v>250</v>
      </c>
      <c r="E18" s="244">
        <f t="shared" si="4"/>
        <v>1500</v>
      </c>
      <c r="F18" s="243">
        <f t="shared" si="5"/>
        <v>6250</v>
      </c>
      <c r="H18" s="22">
        <v>225825</v>
      </c>
      <c r="I18" s="22">
        <v>12</v>
      </c>
      <c r="J18" s="298">
        <f>I18*H18</f>
        <v>2709900</v>
      </c>
      <c r="K18" s="298">
        <v>375</v>
      </c>
      <c r="L18" s="298">
        <v>225</v>
      </c>
      <c r="M18" s="298">
        <f>L18*K18</f>
        <v>84375</v>
      </c>
      <c r="N18" s="298">
        <f>12000*L18</f>
        <v>2700000</v>
      </c>
      <c r="O18" s="299">
        <f>J18/M18</f>
        <v>32.117333333333335</v>
      </c>
      <c r="P18" s="298">
        <f>J18/8.03</f>
        <v>337471.98007471982</v>
      </c>
      <c r="Q18" s="298">
        <f>P18*8.03</f>
        <v>2709900</v>
      </c>
      <c r="R18" s="298">
        <f>N18-Q18</f>
        <v>-9900</v>
      </c>
    </row>
    <row r="19" spans="1:18" ht="16.5" thickTop="1" thickBot="1">
      <c r="A19" s="274" t="s">
        <v>154</v>
      </c>
      <c r="B19" s="275">
        <v>0</v>
      </c>
      <c r="C19" s="275">
        <f>D19/1000</f>
        <v>3</v>
      </c>
      <c r="D19" s="276">
        <v>3000</v>
      </c>
      <c r="E19" s="275">
        <f t="shared" si="4"/>
        <v>18000</v>
      </c>
      <c r="F19" s="276">
        <f t="shared" si="5"/>
        <v>75000</v>
      </c>
      <c r="H19" s="300"/>
      <c r="I19" s="300"/>
      <c r="J19" s="301"/>
      <c r="K19" s="301"/>
      <c r="L19" s="301"/>
      <c r="M19" s="301"/>
      <c r="N19" s="301"/>
      <c r="O19" s="302"/>
      <c r="P19" s="301"/>
      <c r="Q19" s="301"/>
      <c r="R19" s="301"/>
    </row>
    <row r="20" spans="1:18" ht="45.75" thickTop="1">
      <c r="A20" s="467" t="s">
        <v>254</v>
      </c>
      <c r="B20" s="468"/>
      <c r="C20" s="277">
        <f>SUM(C12:C19)</f>
        <v>8402</v>
      </c>
      <c r="D20" s="278">
        <f>SUM(D12:D19)</f>
        <v>225825</v>
      </c>
      <c r="E20" s="277">
        <f>SUM(E12:E19)</f>
        <v>1354950</v>
      </c>
      <c r="F20" s="278">
        <f>SUM(F12:F19)</f>
        <v>5645625</v>
      </c>
      <c r="H20" s="293" t="s">
        <v>290</v>
      </c>
      <c r="I20" s="297" t="s">
        <v>141</v>
      </c>
      <c r="J20" s="297" t="s">
        <v>286</v>
      </c>
      <c r="K20" s="297" t="s">
        <v>169</v>
      </c>
      <c r="L20" s="293" t="s">
        <v>287</v>
      </c>
      <c r="M20" s="293" t="s">
        <v>266</v>
      </c>
      <c r="N20" s="297" t="s">
        <v>254</v>
      </c>
      <c r="O20" s="293" t="s">
        <v>288</v>
      </c>
      <c r="P20" s="293" t="s">
        <v>289</v>
      </c>
      <c r="Q20" s="297"/>
      <c r="R20" s="297"/>
    </row>
    <row r="21" spans="1:18">
      <c r="A21" s="280" t="s">
        <v>234</v>
      </c>
      <c r="B21" s="279">
        <v>285</v>
      </c>
      <c r="C21" s="281">
        <f>B21*20</f>
        <v>5700</v>
      </c>
      <c r="D21" s="281">
        <f>B21*1000</f>
        <v>285000</v>
      </c>
      <c r="E21" s="281">
        <f>B21*6000</f>
        <v>1710000</v>
      </c>
      <c r="F21" s="281">
        <f>B21*25000</f>
        <v>7125000</v>
      </c>
      <c r="H21" s="22">
        <v>43750</v>
      </c>
      <c r="I21" s="22">
        <v>285</v>
      </c>
      <c r="J21" s="22">
        <f>I21*H21</f>
        <v>12468750</v>
      </c>
      <c r="K21" s="27">
        <f>H18/1000</f>
        <v>225.82499999999999</v>
      </c>
      <c r="L21" s="27">
        <f>K21*H21</f>
        <v>9879843.75</v>
      </c>
      <c r="M21" s="22">
        <v>1475000</v>
      </c>
      <c r="N21" s="27">
        <f>M21+L21</f>
        <v>11354843.75</v>
      </c>
      <c r="O21" s="27">
        <f>J21-N21</f>
        <v>1113906.25</v>
      </c>
      <c r="P21" s="27">
        <f>O21/J21%</f>
        <v>8.9335839598997495</v>
      </c>
      <c r="Q21" s="22"/>
      <c r="R21" s="22"/>
    </row>
    <row r="22" spans="1:18">
      <c r="A22" s="282" t="s">
        <v>169</v>
      </c>
      <c r="B22" s="283">
        <v>214</v>
      </c>
      <c r="C22" s="284">
        <f>B22*20</f>
        <v>4280</v>
      </c>
      <c r="D22" s="285">
        <f>B22*1000</f>
        <v>214000</v>
      </c>
      <c r="E22" s="284">
        <f>B22*6000</f>
        <v>1284000</v>
      </c>
      <c r="F22" s="285">
        <f>B22*25000</f>
        <v>5350000</v>
      </c>
      <c r="H22" s="22">
        <v>43750</v>
      </c>
      <c r="I22" s="22">
        <f>I21</f>
        <v>285</v>
      </c>
      <c r="J22" s="22">
        <f>J21</f>
        <v>12468750</v>
      </c>
      <c r="K22" s="22">
        <v>138</v>
      </c>
      <c r="L22" s="22">
        <f>K22*H22</f>
        <v>6037500</v>
      </c>
      <c r="M22" s="22">
        <f>M21</f>
        <v>1475000</v>
      </c>
      <c r="N22" s="22">
        <f>L22+M22</f>
        <v>7512500</v>
      </c>
      <c r="O22" s="22">
        <f>J22-N22</f>
        <v>4956250</v>
      </c>
      <c r="P22" s="27">
        <f>O22/J22%</f>
        <v>39.749373433583962</v>
      </c>
      <c r="Q22" s="22"/>
      <c r="R22" s="22"/>
    </row>
    <row r="23" spans="1:18">
      <c r="A23" s="286" t="s">
        <v>142</v>
      </c>
      <c r="B23" s="211">
        <f>B21-B22</f>
        <v>71</v>
      </c>
      <c r="C23" s="281">
        <f>B23*20</f>
        <v>1420</v>
      </c>
      <c r="D23" s="281">
        <f>B23*1000</f>
        <v>71000</v>
      </c>
      <c r="E23" s="281">
        <f>B23*6000</f>
        <v>426000</v>
      </c>
      <c r="F23" s="281">
        <f>B23*25000</f>
        <v>1775000</v>
      </c>
    </row>
    <row r="26" spans="1:18">
      <c r="H26" s="1"/>
      <c r="K26" s="1"/>
    </row>
  </sheetData>
  <mergeCells count="6">
    <mergeCell ref="A10:F10"/>
    <mergeCell ref="A20:B20"/>
    <mergeCell ref="F2:G2"/>
    <mergeCell ref="F1:G1"/>
    <mergeCell ref="H16:R16"/>
    <mergeCell ref="H12:P12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53"/>
  <sheetViews>
    <sheetView topLeftCell="B1" workbookViewId="0">
      <selection activeCell="K4" sqref="K4"/>
    </sheetView>
  </sheetViews>
  <sheetFormatPr defaultRowHeight="14.25" customHeight="1"/>
  <cols>
    <col min="1" max="1" width="3.28515625" customWidth="1"/>
    <col min="2" max="2" width="5.7109375" customWidth="1"/>
    <col min="3" max="3" width="15.28515625" customWidth="1"/>
    <col min="4" max="4" width="9.42578125" customWidth="1"/>
    <col min="5" max="5" width="9" customWidth="1"/>
    <col min="6" max="6" width="7" customWidth="1"/>
    <col min="7" max="7" width="8.7109375" customWidth="1"/>
    <col min="8" max="8" width="9.5703125" customWidth="1"/>
    <col min="9" max="9" width="9.7109375" customWidth="1"/>
    <col min="10" max="10" width="8.42578125" customWidth="1"/>
    <col min="11" max="11" width="9.42578125" customWidth="1"/>
    <col min="12" max="12" width="7.140625" customWidth="1"/>
    <col min="13" max="13" width="8.140625" customWidth="1"/>
    <col min="14" max="14" width="10.5703125" customWidth="1"/>
    <col min="15" max="15" width="8.42578125" customWidth="1"/>
    <col min="16" max="16" width="9.42578125" customWidth="1"/>
    <col min="17" max="17" width="9.85546875" style="333" customWidth="1"/>
  </cols>
  <sheetData>
    <row r="1" spans="2:17" ht="14.25" customHeight="1">
      <c r="B1" s="478" t="s">
        <v>305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334" t="s">
        <v>346</v>
      </c>
    </row>
    <row r="2" spans="2:17" ht="14.25" customHeight="1">
      <c r="B2" s="331" t="s">
        <v>292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5">
        <v>100000000</v>
      </c>
    </row>
    <row r="3" spans="2:17" ht="14.25" customHeight="1">
      <c r="B3" s="307" t="s">
        <v>68</v>
      </c>
      <c r="C3" s="305" t="s">
        <v>69</v>
      </c>
      <c r="D3" s="305" t="s">
        <v>309</v>
      </c>
      <c r="E3" s="305" t="s">
        <v>308</v>
      </c>
      <c r="F3" s="305" t="s">
        <v>315</v>
      </c>
      <c r="G3" s="305" t="s">
        <v>311</v>
      </c>
      <c r="H3" s="305" t="s">
        <v>310</v>
      </c>
      <c r="I3" s="305" t="s">
        <v>314</v>
      </c>
      <c r="J3" s="305" t="s">
        <v>317</v>
      </c>
      <c r="K3" s="305" t="s">
        <v>323</v>
      </c>
      <c r="L3" s="305" t="s">
        <v>319</v>
      </c>
      <c r="M3" s="305" t="s">
        <v>320</v>
      </c>
      <c r="N3" s="305" t="s">
        <v>321</v>
      </c>
      <c r="O3" s="305" t="s">
        <v>322</v>
      </c>
      <c r="P3" s="319" t="s">
        <v>318</v>
      </c>
      <c r="Q3" s="336" t="s">
        <v>152</v>
      </c>
    </row>
    <row r="4" spans="2:17" ht="14.25" customHeight="1">
      <c r="B4" s="339">
        <v>1</v>
      </c>
      <c r="C4" s="340" t="s">
        <v>306</v>
      </c>
      <c r="D4" s="340">
        <v>4000</v>
      </c>
      <c r="E4" s="340">
        <v>200000</v>
      </c>
      <c r="F4" s="341">
        <v>124.65</v>
      </c>
      <c r="G4" s="340">
        <v>498600</v>
      </c>
      <c r="H4" s="340">
        <v>12465000</v>
      </c>
      <c r="I4" s="340">
        <v>149580000</v>
      </c>
      <c r="J4" s="340">
        <v>285</v>
      </c>
      <c r="K4" s="340">
        <v>1140000</v>
      </c>
      <c r="L4" s="341">
        <v>160.35</v>
      </c>
      <c r="M4" s="341">
        <v>56.263157894736835</v>
      </c>
      <c r="N4" s="340">
        <v>641399.99999999988</v>
      </c>
      <c r="O4" s="340">
        <v>16034999.999999996</v>
      </c>
      <c r="P4" s="342">
        <v>342000000</v>
      </c>
      <c r="Q4" s="343">
        <f>O4*40%</f>
        <v>6413999.9999999991</v>
      </c>
    </row>
    <row r="5" spans="2:17" ht="14.25" customHeight="1" thickBot="1">
      <c r="B5" s="311">
        <v>2</v>
      </c>
      <c r="C5" s="312" t="s">
        <v>307</v>
      </c>
      <c r="D5" s="312">
        <v>4000</v>
      </c>
      <c r="E5" s="312">
        <v>200000</v>
      </c>
      <c r="F5" s="313">
        <v>227.6</v>
      </c>
      <c r="G5" s="312">
        <v>910400</v>
      </c>
      <c r="H5" s="312">
        <v>22760000</v>
      </c>
      <c r="I5" s="312">
        <v>273120000</v>
      </c>
      <c r="J5" s="312">
        <v>285</v>
      </c>
      <c r="K5" s="312">
        <v>1140000</v>
      </c>
      <c r="L5" s="313">
        <v>57.400000000000006</v>
      </c>
      <c r="M5" s="313">
        <v>20.140350877192983</v>
      </c>
      <c r="N5" s="312">
        <v>229600</v>
      </c>
      <c r="O5" s="312">
        <v>5740000</v>
      </c>
      <c r="P5" s="329">
        <v>342000000</v>
      </c>
      <c r="Q5" s="337">
        <f t="shared" ref="Q5:Q41" si="0">O5*40%</f>
        <v>2296000</v>
      </c>
    </row>
    <row r="6" spans="2:17" ht="14.25" customHeight="1" thickBot="1">
      <c r="B6" s="474" t="s">
        <v>295</v>
      </c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335">
        <v>100000000</v>
      </c>
    </row>
    <row r="7" spans="2:17" ht="14.25" customHeight="1">
      <c r="B7" s="314" t="s">
        <v>68</v>
      </c>
      <c r="C7" s="315" t="s">
        <v>69</v>
      </c>
      <c r="D7" s="315" t="s">
        <v>309</v>
      </c>
      <c r="E7" s="315" t="s">
        <v>308</v>
      </c>
      <c r="F7" s="315" t="s">
        <v>316</v>
      </c>
      <c r="G7" s="315" t="s">
        <v>311</v>
      </c>
      <c r="H7" s="315" t="s">
        <v>310</v>
      </c>
      <c r="I7" s="305" t="s">
        <v>314</v>
      </c>
      <c r="J7" s="305" t="s">
        <v>317</v>
      </c>
      <c r="K7" s="305" t="s">
        <v>323</v>
      </c>
      <c r="L7" s="305" t="s">
        <v>319</v>
      </c>
      <c r="M7" s="305" t="s">
        <v>320</v>
      </c>
      <c r="N7" s="305" t="s">
        <v>321</v>
      </c>
      <c r="O7" s="305" t="s">
        <v>322</v>
      </c>
      <c r="P7" s="319" t="s">
        <v>318</v>
      </c>
      <c r="Q7" s="336" t="s">
        <v>152</v>
      </c>
    </row>
    <row r="8" spans="2:17" ht="14.25" customHeight="1">
      <c r="B8" s="339">
        <v>1</v>
      </c>
      <c r="C8" s="340" t="s">
        <v>306</v>
      </c>
      <c r="D8" s="340">
        <v>3600</v>
      </c>
      <c r="E8" s="340">
        <v>180000</v>
      </c>
      <c r="F8" s="341">
        <v>124.65</v>
      </c>
      <c r="G8" s="340">
        <v>448740</v>
      </c>
      <c r="H8" s="340">
        <v>11218500</v>
      </c>
      <c r="I8" s="340">
        <v>134622000</v>
      </c>
      <c r="J8" s="340">
        <v>285</v>
      </c>
      <c r="K8" s="340">
        <v>1026000</v>
      </c>
      <c r="L8" s="341">
        <v>160.35</v>
      </c>
      <c r="M8" s="341">
        <v>56.263157894736835</v>
      </c>
      <c r="N8" s="340">
        <v>577259.99999999988</v>
      </c>
      <c r="O8" s="340">
        <v>14431499.999999996</v>
      </c>
      <c r="P8" s="342">
        <v>307800000</v>
      </c>
      <c r="Q8" s="343">
        <f t="shared" si="0"/>
        <v>5772599.9999999991</v>
      </c>
    </row>
    <row r="9" spans="2:17" ht="14.25" customHeight="1" thickBot="1">
      <c r="B9" s="311">
        <v>2</v>
      </c>
      <c r="C9" s="312" t="s">
        <v>307</v>
      </c>
      <c r="D9" s="312">
        <v>3600</v>
      </c>
      <c r="E9" s="312">
        <v>180000</v>
      </c>
      <c r="F9" s="313">
        <v>227.6</v>
      </c>
      <c r="G9" s="312">
        <v>819360</v>
      </c>
      <c r="H9" s="312">
        <v>20484000</v>
      </c>
      <c r="I9" s="312">
        <v>245808000</v>
      </c>
      <c r="J9" s="312">
        <v>285</v>
      </c>
      <c r="K9" s="312">
        <v>1026000</v>
      </c>
      <c r="L9" s="313">
        <v>57.400000000000006</v>
      </c>
      <c r="M9" s="313">
        <v>20.140350877192983</v>
      </c>
      <c r="N9" s="312">
        <v>206640</v>
      </c>
      <c r="O9" s="312">
        <v>5166000</v>
      </c>
      <c r="P9" s="329">
        <v>307800000</v>
      </c>
      <c r="Q9" s="337">
        <f t="shared" si="0"/>
        <v>2066400</v>
      </c>
    </row>
    <row r="10" spans="2:17" ht="14.25" customHeight="1" thickBot="1">
      <c r="B10" s="474" t="s">
        <v>293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335">
        <v>100000000</v>
      </c>
    </row>
    <row r="11" spans="2:17" ht="14.25" customHeight="1">
      <c r="B11" s="314" t="s">
        <v>68</v>
      </c>
      <c r="C11" s="315" t="s">
        <v>69</v>
      </c>
      <c r="D11" s="315" t="s">
        <v>309</v>
      </c>
      <c r="E11" s="315" t="s">
        <v>308</v>
      </c>
      <c r="F11" s="305" t="s">
        <v>315</v>
      </c>
      <c r="G11" s="315" t="s">
        <v>311</v>
      </c>
      <c r="H11" s="315" t="s">
        <v>310</v>
      </c>
      <c r="I11" s="305" t="s">
        <v>314</v>
      </c>
      <c r="J11" s="305" t="s">
        <v>317</v>
      </c>
      <c r="K11" s="305" t="s">
        <v>323</v>
      </c>
      <c r="L11" s="305" t="s">
        <v>319</v>
      </c>
      <c r="M11" s="305" t="s">
        <v>320</v>
      </c>
      <c r="N11" s="305" t="s">
        <v>321</v>
      </c>
      <c r="O11" s="305" t="s">
        <v>322</v>
      </c>
      <c r="P11" s="319" t="s">
        <v>318</v>
      </c>
      <c r="Q11" s="336" t="s">
        <v>152</v>
      </c>
    </row>
    <row r="12" spans="2:17" ht="14.25" customHeight="1">
      <c r="B12" s="339">
        <v>1</v>
      </c>
      <c r="C12" s="340" t="s">
        <v>306</v>
      </c>
      <c r="D12" s="340">
        <v>3200</v>
      </c>
      <c r="E12" s="340">
        <v>160000</v>
      </c>
      <c r="F12" s="341">
        <v>124.65</v>
      </c>
      <c r="G12" s="340">
        <v>398880</v>
      </c>
      <c r="H12" s="340">
        <v>9972000</v>
      </c>
      <c r="I12" s="340">
        <v>119664000</v>
      </c>
      <c r="J12" s="340">
        <v>285</v>
      </c>
      <c r="K12" s="340">
        <v>912000</v>
      </c>
      <c r="L12" s="341">
        <v>160.35</v>
      </c>
      <c r="M12" s="341">
        <v>56.263157894736835</v>
      </c>
      <c r="N12" s="340">
        <v>513119.99999999994</v>
      </c>
      <c r="O12" s="340">
        <v>12827999.999999998</v>
      </c>
      <c r="P12" s="342">
        <v>273600000</v>
      </c>
      <c r="Q12" s="343">
        <f t="shared" si="0"/>
        <v>5131200</v>
      </c>
    </row>
    <row r="13" spans="2:17" ht="14.25" customHeight="1" thickBot="1">
      <c r="B13" s="311">
        <v>2</v>
      </c>
      <c r="C13" s="312" t="s">
        <v>307</v>
      </c>
      <c r="D13" s="312">
        <v>3200</v>
      </c>
      <c r="E13" s="312">
        <v>160000</v>
      </c>
      <c r="F13" s="313">
        <v>227.6</v>
      </c>
      <c r="G13" s="312">
        <v>728320</v>
      </c>
      <c r="H13" s="312">
        <v>18208000</v>
      </c>
      <c r="I13" s="312">
        <v>218496000</v>
      </c>
      <c r="J13" s="312">
        <v>285</v>
      </c>
      <c r="K13" s="312">
        <v>912000</v>
      </c>
      <c r="L13" s="313">
        <v>57.400000000000006</v>
      </c>
      <c r="M13" s="313">
        <v>20.140350877192983</v>
      </c>
      <c r="N13" s="312">
        <v>183680</v>
      </c>
      <c r="O13" s="312">
        <v>4592000</v>
      </c>
      <c r="P13" s="329">
        <v>273600000</v>
      </c>
      <c r="Q13" s="337">
        <f t="shared" si="0"/>
        <v>1836800</v>
      </c>
    </row>
    <row r="14" spans="2:17" ht="14.25" customHeight="1" thickBot="1">
      <c r="B14" s="474" t="s">
        <v>296</v>
      </c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335">
        <v>100000000</v>
      </c>
    </row>
    <row r="15" spans="2:17" ht="14.25" customHeight="1">
      <c r="B15" s="314" t="s">
        <v>68</v>
      </c>
      <c r="C15" s="315" t="s">
        <v>69</v>
      </c>
      <c r="D15" s="315" t="s">
        <v>309</v>
      </c>
      <c r="E15" s="315" t="s">
        <v>308</v>
      </c>
      <c r="F15" s="305" t="s">
        <v>315</v>
      </c>
      <c r="G15" s="315" t="s">
        <v>312</v>
      </c>
      <c r="H15" s="315" t="s">
        <v>310</v>
      </c>
      <c r="I15" s="305" t="s">
        <v>314</v>
      </c>
      <c r="J15" s="305" t="s">
        <v>317</v>
      </c>
      <c r="K15" s="305" t="s">
        <v>323</v>
      </c>
      <c r="L15" s="305" t="s">
        <v>319</v>
      </c>
      <c r="M15" s="305" t="s">
        <v>320</v>
      </c>
      <c r="N15" s="305" t="s">
        <v>321</v>
      </c>
      <c r="O15" s="305" t="s">
        <v>322</v>
      </c>
      <c r="P15" s="319" t="s">
        <v>318</v>
      </c>
      <c r="Q15" s="336" t="s">
        <v>152</v>
      </c>
    </row>
    <row r="16" spans="2:17" ht="14.25" customHeight="1">
      <c r="B16" s="339">
        <v>1</v>
      </c>
      <c r="C16" s="340" t="s">
        <v>306</v>
      </c>
      <c r="D16" s="340">
        <v>2800</v>
      </c>
      <c r="E16" s="340">
        <v>140000</v>
      </c>
      <c r="F16" s="341">
        <v>124.65</v>
      </c>
      <c r="G16" s="340">
        <v>349020</v>
      </c>
      <c r="H16" s="340">
        <v>8725500</v>
      </c>
      <c r="I16" s="340">
        <v>104706000</v>
      </c>
      <c r="J16" s="340">
        <v>285</v>
      </c>
      <c r="K16" s="340">
        <v>798000</v>
      </c>
      <c r="L16" s="341">
        <v>160.35</v>
      </c>
      <c r="M16" s="341">
        <v>56.263157894736835</v>
      </c>
      <c r="N16" s="340">
        <v>448979.99999999994</v>
      </c>
      <c r="O16" s="340">
        <v>11224499.999999998</v>
      </c>
      <c r="P16" s="342">
        <v>239400000</v>
      </c>
      <c r="Q16" s="343">
        <f t="shared" si="0"/>
        <v>4489799.9999999991</v>
      </c>
    </row>
    <row r="17" spans="2:17" ht="14.25" customHeight="1" thickBot="1">
      <c r="B17" s="311">
        <v>2</v>
      </c>
      <c r="C17" s="312" t="s">
        <v>307</v>
      </c>
      <c r="D17" s="312">
        <v>2800</v>
      </c>
      <c r="E17" s="312">
        <v>140000</v>
      </c>
      <c r="F17" s="313">
        <v>227.6</v>
      </c>
      <c r="G17" s="312">
        <v>637280</v>
      </c>
      <c r="H17" s="312">
        <v>15932000</v>
      </c>
      <c r="I17" s="312">
        <v>191184000</v>
      </c>
      <c r="J17" s="312">
        <v>285</v>
      </c>
      <c r="K17" s="312">
        <v>798000</v>
      </c>
      <c r="L17" s="313">
        <v>57.400000000000006</v>
      </c>
      <c r="M17" s="313">
        <v>20.140350877192983</v>
      </c>
      <c r="N17" s="312">
        <v>160720</v>
      </c>
      <c r="O17" s="312">
        <v>4018000</v>
      </c>
      <c r="P17" s="329">
        <v>239400000</v>
      </c>
      <c r="Q17" s="337">
        <f t="shared" si="0"/>
        <v>1607200</v>
      </c>
    </row>
    <row r="18" spans="2:17" ht="14.25" customHeight="1" thickBot="1">
      <c r="B18" s="474" t="s">
        <v>297</v>
      </c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335">
        <v>100000000</v>
      </c>
    </row>
    <row r="19" spans="2:17" ht="14.25" customHeight="1">
      <c r="B19" s="314" t="s">
        <v>68</v>
      </c>
      <c r="C19" s="315" t="s">
        <v>69</v>
      </c>
      <c r="D19" s="315" t="s">
        <v>309</v>
      </c>
      <c r="E19" s="315" t="s">
        <v>308</v>
      </c>
      <c r="F19" s="305" t="s">
        <v>315</v>
      </c>
      <c r="G19" s="315" t="s">
        <v>311</v>
      </c>
      <c r="H19" s="315" t="s">
        <v>310</v>
      </c>
      <c r="I19" s="305" t="s">
        <v>314</v>
      </c>
      <c r="J19" s="305" t="s">
        <v>317</v>
      </c>
      <c r="K19" s="305" t="s">
        <v>323</v>
      </c>
      <c r="L19" s="305" t="s">
        <v>319</v>
      </c>
      <c r="M19" s="305" t="s">
        <v>320</v>
      </c>
      <c r="N19" s="305" t="s">
        <v>321</v>
      </c>
      <c r="O19" s="305" t="s">
        <v>322</v>
      </c>
      <c r="P19" s="319" t="s">
        <v>318</v>
      </c>
      <c r="Q19" s="336" t="s">
        <v>152</v>
      </c>
    </row>
    <row r="20" spans="2:17" ht="14.25" customHeight="1">
      <c r="B20" s="339">
        <v>1</v>
      </c>
      <c r="C20" s="340" t="s">
        <v>306</v>
      </c>
      <c r="D20" s="340">
        <v>2400</v>
      </c>
      <c r="E20" s="340">
        <v>120000</v>
      </c>
      <c r="F20" s="341">
        <v>124.65</v>
      </c>
      <c r="G20" s="340">
        <v>299160</v>
      </c>
      <c r="H20" s="340">
        <v>7479000</v>
      </c>
      <c r="I20" s="340">
        <v>89748000</v>
      </c>
      <c r="J20" s="340">
        <v>285</v>
      </c>
      <c r="K20" s="340">
        <v>684000</v>
      </c>
      <c r="L20" s="341">
        <v>160.35</v>
      </c>
      <c r="M20" s="341">
        <v>56.263157894736835</v>
      </c>
      <c r="N20" s="340">
        <v>384839.99999999994</v>
      </c>
      <c r="O20" s="340">
        <v>9620999.9999999981</v>
      </c>
      <c r="P20" s="342">
        <v>205200000</v>
      </c>
      <c r="Q20" s="343">
        <f t="shared" si="0"/>
        <v>3848399.9999999995</v>
      </c>
    </row>
    <row r="21" spans="2:17" ht="14.25" customHeight="1" thickBot="1">
      <c r="B21" s="311">
        <v>2</v>
      </c>
      <c r="C21" s="312" t="s">
        <v>307</v>
      </c>
      <c r="D21" s="312">
        <v>2400</v>
      </c>
      <c r="E21" s="312">
        <v>120000</v>
      </c>
      <c r="F21" s="313">
        <v>227.6</v>
      </c>
      <c r="G21" s="312">
        <v>546240</v>
      </c>
      <c r="H21" s="312">
        <v>13656000</v>
      </c>
      <c r="I21" s="312">
        <v>163872000</v>
      </c>
      <c r="J21" s="312">
        <v>285</v>
      </c>
      <c r="K21" s="312">
        <v>684000</v>
      </c>
      <c r="L21" s="313">
        <v>57.400000000000006</v>
      </c>
      <c r="M21" s="313">
        <v>20.140350877192983</v>
      </c>
      <c r="N21" s="312">
        <v>137760</v>
      </c>
      <c r="O21" s="312">
        <v>3444000</v>
      </c>
      <c r="P21" s="329">
        <v>205200000</v>
      </c>
      <c r="Q21" s="337">
        <f t="shared" si="0"/>
        <v>1377600</v>
      </c>
    </row>
    <row r="22" spans="2:17" ht="14.25" customHeight="1" thickBot="1">
      <c r="B22" s="474" t="s">
        <v>298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335">
        <v>100000000</v>
      </c>
    </row>
    <row r="23" spans="2:17" ht="14.25" customHeight="1">
      <c r="B23" s="314" t="s">
        <v>68</v>
      </c>
      <c r="C23" s="315" t="s">
        <v>69</v>
      </c>
      <c r="D23" s="315" t="s">
        <v>309</v>
      </c>
      <c r="E23" s="315" t="s">
        <v>308</v>
      </c>
      <c r="F23" s="305" t="s">
        <v>315</v>
      </c>
      <c r="G23" s="315" t="s">
        <v>311</v>
      </c>
      <c r="H23" s="315" t="s">
        <v>310</v>
      </c>
      <c r="I23" s="305" t="s">
        <v>314</v>
      </c>
      <c r="J23" s="305" t="s">
        <v>317</v>
      </c>
      <c r="K23" s="305" t="s">
        <v>323</v>
      </c>
      <c r="L23" s="305" t="s">
        <v>319</v>
      </c>
      <c r="M23" s="305" t="s">
        <v>320</v>
      </c>
      <c r="N23" s="305" t="s">
        <v>321</v>
      </c>
      <c r="O23" s="305" t="s">
        <v>322</v>
      </c>
      <c r="P23" s="319" t="s">
        <v>318</v>
      </c>
      <c r="Q23" s="336" t="s">
        <v>152</v>
      </c>
    </row>
    <row r="24" spans="2:17" ht="14.25" customHeight="1">
      <c r="B24" s="339">
        <v>1</v>
      </c>
      <c r="C24" s="340" t="s">
        <v>306</v>
      </c>
      <c r="D24" s="340">
        <v>2000</v>
      </c>
      <c r="E24" s="340">
        <v>100000</v>
      </c>
      <c r="F24" s="341">
        <v>124.65</v>
      </c>
      <c r="G24" s="340">
        <v>249300</v>
      </c>
      <c r="H24" s="340">
        <v>6232500</v>
      </c>
      <c r="I24" s="340">
        <v>74790000</v>
      </c>
      <c r="J24" s="340">
        <v>285</v>
      </c>
      <c r="K24" s="340">
        <v>570000</v>
      </c>
      <c r="L24" s="341">
        <v>160.35</v>
      </c>
      <c r="M24" s="341">
        <v>56.263157894736835</v>
      </c>
      <c r="N24" s="340">
        <v>320699.99999999994</v>
      </c>
      <c r="O24" s="340">
        <v>8017499.9999999981</v>
      </c>
      <c r="P24" s="342">
        <v>171000000</v>
      </c>
      <c r="Q24" s="343">
        <f t="shared" si="0"/>
        <v>3206999.9999999995</v>
      </c>
    </row>
    <row r="25" spans="2:17" ht="14.25" customHeight="1" thickBot="1">
      <c r="B25" s="311">
        <v>2</v>
      </c>
      <c r="C25" s="312" t="s">
        <v>307</v>
      </c>
      <c r="D25" s="312">
        <v>2000</v>
      </c>
      <c r="E25" s="312">
        <v>100000</v>
      </c>
      <c r="F25" s="313">
        <v>227.6</v>
      </c>
      <c r="G25" s="312">
        <v>455200</v>
      </c>
      <c r="H25" s="312">
        <v>11380000</v>
      </c>
      <c r="I25" s="312">
        <v>136560000</v>
      </c>
      <c r="J25" s="312">
        <v>285</v>
      </c>
      <c r="K25" s="312">
        <v>570000</v>
      </c>
      <c r="L25" s="313">
        <v>57.400000000000006</v>
      </c>
      <c r="M25" s="313">
        <v>20.140350877192983</v>
      </c>
      <c r="N25" s="312">
        <v>114800</v>
      </c>
      <c r="O25" s="312">
        <v>2870000</v>
      </c>
      <c r="P25" s="329">
        <v>171000000</v>
      </c>
      <c r="Q25" s="337">
        <f t="shared" si="0"/>
        <v>1148000</v>
      </c>
    </row>
    <row r="26" spans="2:17" ht="14.25" customHeight="1" thickBot="1">
      <c r="B26" s="474" t="s">
        <v>299</v>
      </c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335">
        <v>100000000</v>
      </c>
    </row>
    <row r="27" spans="2:17" ht="14.25" customHeight="1">
      <c r="B27" s="314" t="s">
        <v>68</v>
      </c>
      <c r="C27" s="315" t="s">
        <v>69</v>
      </c>
      <c r="D27" s="315" t="s">
        <v>309</v>
      </c>
      <c r="E27" s="315" t="s">
        <v>308</v>
      </c>
      <c r="F27" s="305" t="s">
        <v>315</v>
      </c>
      <c r="G27" s="315" t="s">
        <v>311</v>
      </c>
      <c r="H27" s="315" t="s">
        <v>310</v>
      </c>
      <c r="I27" s="305" t="s">
        <v>314</v>
      </c>
      <c r="J27" s="305" t="s">
        <v>317</v>
      </c>
      <c r="K27" s="305" t="s">
        <v>323</v>
      </c>
      <c r="L27" s="305" t="s">
        <v>319</v>
      </c>
      <c r="M27" s="305" t="s">
        <v>320</v>
      </c>
      <c r="N27" s="305" t="s">
        <v>321</v>
      </c>
      <c r="O27" s="305" t="s">
        <v>322</v>
      </c>
      <c r="P27" s="319" t="s">
        <v>318</v>
      </c>
      <c r="Q27" s="336" t="s">
        <v>152</v>
      </c>
    </row>
    <row r="28" spans="2:17" ht="14.25" customHeight="1">
      <c r="B28" s="339">
        <v>1</v>
      </c>
      <c r="C28" s="340" t="s">
        <v>306</v>
      </c>
      <c r="D28" s="340">
        <v>1600</v>
      </c>
      <c r="E28" s="340">
        <v>80000</v>
      </c>
      <c r="F28" s="341">
        <v>124.65</v>
      </c>
      <c r="G28" s="340">
        <v>199440</v>
      </c>
      <c r="H28" s="340">
        <v>4986000</v>
      </c>
      <c r="I28" s="340">
        <v>59832000</v>
      </c>
      <c r="J28" s="340">
        <v>285</v>
      </c>
      <c r="K28" s="340">
        <v>456000</v>
      </c>
      <c r="L28" s="341">
        <v>160.35</v>
      </c>
      <c r="M28" s="341">
        <v>56.263157894736835</v>
      </c>
      <c r="N28" s="340">
        <v>256559.99999999997</v>
      </c>
      <c r="O28" s="340">
        <v>6413999.9999999991</v>
      </c>
      <c r="P28" s="342">
        <v>136800000</v>
      </c>
      <c r="Q28" s="343">
        <f t="shared" si="0"/>
        <v>2565600</v>
      </c>
    </row>
    <row r="29" spans="2:17" ht="14.25" customHeight="1" thickBot="1">
      <c r="B29" s="311">
        <v>2</v>
      </c>
      <c r="C29" s="312" t="s">
        <v>307</v>
      </c>
      <c r="D29" s="312">
        <v>1600</v>
      </c>
      <c r="E29" s="312">
        <v>80000</v>
      </c>
      <c r="F29" s="313">
        <v>227.6</v>
      </c>
      <c r="G29" s="312">
        <v>364160</v>
      </c>
      <c r="H29" s="312">
        <v>9104000</v>
      </c>
      <c r="I29" s="312">
        <v>109248000</v>
      </c>
      <c r="J29" s="312">
        <v>285</v>
      </c>
      <c r="K29" s="312">
        <v>456000</v>
      </c>
      <c r="L29" s="313">
        <v>57.400000000000006</v>
      </c>
      <c r="M29" s="313">
        <v>20.140350877192983</v>
      </c>
      <c r="N29" s="312">
        <v>91840</v>
      </c>
      <c r="O29" s="312">
        <v>2296000</v>
      </c>
      <c r="P29" s="329">
        <v>136800000</v>
      </c>
      <c r="Q29" s="337">
        <f t="shared" si="0"/>
        <v>918400</v>
      </c>
    </row>
    <row r="30" spans="2:17" ht="14.25" customHeight="1" thickBot="1">
      <c r="B30" s="474" t="s">
        <v>300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335">
        <v>100000000</v>
      </c>
    </row>
    <row r="31" spans="2:17" ht="14.25" customHeight="1">
      <c r="B31" s="314" t="s">
        <v>68</v>
      </c>
      <c r="C31" s="315" t="s">
        <v>69</v>
      </c>
      <c r="D31" s="315" t="s">
        <v>309</v>
      </c>
      <c r="E31" s="315" t="s">
        <v>308</v>
      </c>
      <c r="F31" s="305" t="s">
        <v>315</v>
      </c>
      <c r="G31" s="315" t="s">
        <v>311</v>
      </c>
      <c r="H31" s="315" t="s">
        <v>310</v>
      </c>
      <c r="I31" s="305" t="s">
        <v>314</v>
      </c>
      <c r="J31" s="305" t="s">
        <v>317</v>
      </c>
      <c r="K31" s="305" t="s">
        <v>323</v>
      </c>
      <c r="L31" s="305" t="s">
        <v>319</v>
      </c>
      <c r="M31" s="305" t="s">
        <v>320</v>
      </c>
      <c r="N31" s="305" t="s">
        <v>321</v>
      </c>
      <c r="O31" s="305" t="s">
        <v>322</v>
      </c>
      <c r="P31" s="319" t="s">
        <v>318</v>
      </c>
      <c r="Q31" s="336" t="s">
        <v>152</v>
      </c>
    </row>
    <row r="32" spans="2:17" ht="14.25" customHeight="1">
      <c r="B32" s="339">
        <v>1</v>
      </c>
      <c r="C32" s="340" t="s">
        <v>306</v>
      </c>
      <c r="D32" s="340">
        <v>1200</v>
      </c>
      <c r="E32" s="340">
        <v>60000</v>
      </c>
      <c r="F32" s="341">
        <v>124.65</v>
      </c>
      <c r="G32" s="340">
        <v>149580</v>
      </c>
      <c r="H32" s="340">
        <v>3739500</v>
      </c>
      <c r="I32" s="340">
        <v>44874000</v>
      </c>
      <c r="J32" s="340">
        <v>285</v>
      </c>
      <c r="K32" s="340">
        <v>342000</v>
      </c>
      <c r="L32" s="341">
        <v>160.35</v>
      </c>
      <c r="M32" s="341">
        <v>56.263157894736835</v>
      </c>
      <c r="N32" s="340">
        <v>192419.99999999997</v>
      </c>
      <c r="O32" s="340">
        <v>4810499.9999999991</v>
      </c>
      <c r="P32" s="342">
        <v>102600000</v>
      </c>
      <c r="Q32" s="343">
        <f t="shared" si="0"/>
        <v>1924199.9999999998</v>
      </c>
    </row>
    <row r="33" spans="1:17" ht="14.25" customHeight="1" thickBot="1">
      <c r="B33" s="311">
        <v>2</v>
      </c>
      <c r="C33" s="312" t="s">
        <v>307</v>
      </c>
      <c r="D33" s="312">
        <v>1200</v>
      </c>
      <c r="E33" s="312">
        <v>60000</v>
      </c>
      <c r="F33" s="313">
        <v>227.6</v>
      </c>
      <c r="G33" s="312">
        <v>273120</v>
      </c>
      <c r="H33" s="312">
        <v>6828000</v>
      </c>
      <c r="I33" s="312">
        <v>81936000</v>
      </c>
      <c r="J33" s="312">
        <v>285</v>
      </c>
      <c r="K33" s="312">
        <v>342000</v>
      </c>
      <c r="L33" s="313">
        <v>57.400000000000006</v>
      </c>
      <c r="M33" s="313">
        <v>20.140350877192983</v>
      </c>
      <c r="N33" s="312">
        <v>68880</v>
      </c>
      <c r="O33" s="312">
        <v>1722000</v>
      </c>
      <c r="P33" s="329">
        <v>102600000</v>
      </c>
      <c r="Q33" s="337">
        <f t="shared" si="0"/>
        <v>688800</v>
      </c>
    </row>
    <row r="34" spans="1:17" ht="14.25" customHeight="1" thickBot="1">
      <c r="B34" s="474" t="s">
        <v>301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335">
        <v>100000000</v>
      </c>
    </row>
    <row r="35" spans="1:17" ht="14.25" customHeight="1">
      <c r="B35" s="314" t="s">
        <v>68</v>
      </c>
      <c r="C35" s="315" t="s">
        <v>69</v>
      </c>
      <c r="D35" s="315" t="s">
        <v>309</v>
      </c>
      <c r="E35" s="315" t="s">
        <v>308</v>
      </c>
      <c r="F35" s="305" t="s">
        <v>315</v>
      </c>
      <c r="G35" s="315" t="s">
        <v>313</v>
      </c>
      <c r="H35" s="315" t="s">
        <v>310</v>
      </c>
      <c r="I35" s="305" t="s">
        <v>314</v>
      </c>
      <c r="J35" s="305" t="s">
        <v>317</v>
      </c>
      <c r="K35" s="305" t="s">
        <v>323</v>
      </c>
      <c r="L35" s="305" t="s">
        <v>319</v>
      </c>
      <c r="M35" s="305" t="s">
        <v>320</v>
      </c>
      <c r="N35" s="305" t="s">
        <v>321</v>
      </c>
      <c r="O35" s="305" t="s">
        <v>322</v>
      </c>
      <c r="P35" s="319" t="s">
        <v>318</v>
      </c>
      <c r="Q35" s="336" t="s">
        <v>152</v>
      </c>
    </row>
    <row r="36" spans="1:17" ht="14.25" customHeight="1">
      <c r="B36" s="339">
        <v>1</v>
      </c>
      <c r="C36" s="340" t="s">
        <v>306</v>
      </c>
      <c r="D36" s="340">
        <v>800</v>
      </c>
      <c r="E36" s="340">
        <v>40000</v>
      </c>
      <c r="F36" s="341">
        <v>124.65</v>
      </c>
      <c r="G36" s="340">
        <v>99720</v>
      </c>
      <c r="H36" s="340">
        <v>2493000</v>
      </c>
      <c r="I36" s="340">
        <v>29916000</v>
      </c>
      <c r="J36" s="340">
        <v>285</v>
      </c>
      <c r="K36" s="340">
        <v>228000</v>
      </c>
      <c r="L36" s="341">
        <v>160.35</v>
      </c>
      <c r="M36" s="341">
        <v>56.263157894736835</v>
      </c>
      <c r="N36" s="340">
        <v>128279.99999999999</v>
      </c>
      <c r="O36" s="340">
        <v>3206999.9999999995</v>
      </c>
      <c r="P36" s="342">
        <v>68400000</v>
      </c>
      <c r="Q36" s="343">
        <f t="shared" si="0"/>
        <v>1282800</v>
      </c>
    </row>
    <row r="37" spans="1:17" ht="14.25" customHeight="1">
      <c r="B37" s="307">
        <v>2</v>
      </c>
      <c r="C37" s="305" t="s">
        <v>307</v>
      </c>
      <c r="D37" s="305">
        <v>800</v>
      </c>
      <c r="E37" s="305">
        <v>40000</v>
      </c>
      <c r="F37" s="306">
        <v>227.6</v>
      </c>
      <c r="G37" s="305">
        <v>182080</v>
      </c>
      <c r="H37" s="305">
        <v>4552000</v>
      </c>
      <c r="I37" s="305">
        <v>54624000</v>
      </c>
      <c r="J37" s="305">
        <v>285</v>
      </c>
      <c r="K37" s="305">
        <v>228000</v>
      </c>
      <c r="L37" s="306">
        <v>57.400000000000006</v>
      </c>
      <c r="M37" s="306">
        <v>20.140350877192983</v>
      </c>
      <c r="N37" s="305">
        <v>45920</v>
      </c>
      <c r="O37" s="305">
        <v>1148000</v>
      </c>
      <c r="P37" s="319">
        <v>68400000</v>
      </c>
      <c r="Q37" s="337">
        <f t="shared" si="0"/>
        <v>459200</v>
      </c>
    </row>
    <row r="38" spans="1:17" ht="14.25" customHeight="1">
      <c r="B38" s="476" t="s">
        <v>294</v>
      </c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335">
        <v>100000000</v>
      </c>
    </row>
    <row r="39" spans="1:17" ht="14.25" customHeight="1">
      <c r="B39" s="307" t="s">
        <v>68</v>
      </c>
      <c r="C39" s="305" t="s">
        <v>69</v>
      </c>
      <c r="D39" s="305" t="s">
        <v>309</v>
      </c>
      <c r="E39" s="305" t="s">
        <v>308</v>
      </c>
      <c r="F39" s="305" t="s">
        <v>315</v>
      </c>
      <c r="G39" s="305" t="s">
        <v>311</v>
      </c>
      <c r="H39" s="305" t="s">
        <v>310</v>
      </c>
      <c r="I39" s="305" t="s">
        <v>314</v>
      </c>
      <c r="J39" s="305" t="s">
        <v>317</v>
      </c>
      <c r="K39" s="305" t="s">
        <v>323</v>
      </c>
      <c r="L39" s="305" t="s">
        <v>319</v>
      </c>
      <c r="M39" s="305" t="s">
        <v>320</v>
      </c>
      <c r="N39" s="305" t="s">
        <v>321</v>
      </c>
      <c r="O39" s="305" t="s">
        <v>322</v>
      </c>
      <c r="P39" s="319" t="s">
        <v>318</v>
      </c>
      <c r="Q39" s="336" t="s">
        <v>152</v>
      </c>
    </row>
    <row r="40" spans="1:17" ht="14.25" customHeight="1">
      <c r="B40" s="339">
        <v>1</v>
      </c>
      <c r="C40" s="340" t="s">
        <v>306</v>
      </c>
      <c r="D40" s="340">
        <v>400</v>
      </c>
      <c r="E40" s="340">
        <v>20000</v>
      </c>
      <c r="F40" s="341">
        <v>124.65</v>
      </c>
      <c r="G40" s="340">
        <v>49860</v>
      </c>
      <c r="H40" s="340">
        <v>1246500</v>
      </c>
      <c r="I40" s="340">
        <v>14958000</v>
      </c>
      <c r="J40" s="340">
        <v>285</v>
      </c>
      <c r="K40" s="340">
        <v>114000</v>
      </c>
      <c r="L40" s="341">
        <v>160.35</v>
      </c>
      <c r="M40" s="341">
        <v>56.263157894736835</v>
      </c>
      <c r="N40" s="340">
        <v>64139.999999999993</v>
      </c>
      <c r="O40" s="340">
        <v>1603499.9999999998</v>
      </c>
      <c r="P40" s="342">
        <v>34200000</v>
      </c>
      <c r="Q40" s="343">
        <f t="shared" si="0"/>
        <v>641400</v>
      </c>
    </row>
    <row r="41" spans="1:17" ht="14.25" customHeight="1" thickBot="1">
      <c r="B41" s="308">
        <v>2</v>
      </c>
      <c r="C41" s="309" t="s">
        <v>307</v>
      </c>
      <c r="D41" s="309">
        <v>400</v>
      </c>
      <c r="E41" s="309">
        <v>20000</v>
      </c>
      <c r="F41" s="310">
        <v>227.6</v>
      </c>
      <c r="G41" s="309">
        <v>91040</v>
      </c>
      <c r="H41" s="309">
        <v>2276000</v>
      </c>
      <c r="I41" s="309">
        <v>27312000</v>
      </c>
      <c r="J41" s="309">
        <v>285</v>
      </c>
      <c r="K41" s="309">
        <v>114000</v>
      </c>
      <c r="L41" s="310">
        <v>57.400000000000006</v>
      </c>
      <c r="M41" s="310">
        <v>20.140350877192983</v>
      </c>
      <c r="N41" s="309">
        <v>22960</v>
      </c>
      <c r="O41" s="309">
        <v>574000</v>
      </c>
      <c r="P41" s="330">
        <v>34200000</v>
      </c>
      <c r="Q41" s="338">
        <f t="shared" si="0"/>
        <v>229600</v>
      </c>
    </row>
    <row r="43" spans="1:17" ht="37.5" customHeight="1">
      <c r="A43" s="322"/>
      <c r="B43" s="322"/>
      <c r="C43" s="323"/>
      <c r="D43" s="326" t="s">
        <v>324</v>
      </c>
      <c r="E43" s="326" t="s">
        <v>329</v>
      </c>
      <c r="F43" s="327" t="s">
        <v>325</v>
      </c>
      <c r="G43" s="327" t="s">
        <v>326</v>
      </c>
      <c r="H43" s="326" t="s">
        <v>327</v>
      </c>
      <c r="I43" s="326" t="s">
        <v>328</v>
      </c>
      <c r="J43" s="326" t="s">
        <v>330</v>
      </c>
      <c r="K43" s="327" t="s">
        <v>331</v>
      </c>
      <c r="L43" s="324"/>
      <c r="M43" s="325"/>
      <c r="N43" s="325"/>
      <c r="O43" s="325"/>
      <c r="P43" s="325"/>
    </row>
    <row r="44" spans="1:17" ht="14.25" customHeight="1">
      <c r="C44" s="316"/>
      <c r="D44" s="319">
        <v>4000</v>
      </c>
      <c r="E44" s="320">
        <v>200</v>
      </c>
      <c r="F44" s="320">
        <f>E44/D44%</f>
        <v>5</v>
      </c>
      <c r="G44" s="320">
        <v>285</v>
      </c>
      <c r="H44" s="320">
        <v>25</v>
      </c>
      <c r="I44" s="320">
        <f>H44*G44*E44</f>
        <v>1425000</v>
      </c>
      <c r="J44" s="320">
        <f>I44*12</f>
        <v>17100000</v>
      </c>
      <c r="K44" s="321">
        <f>100000000/J44</f>
        <v>5.8479532163742691</v>
      </c>
      <c r="L44" s="316"/>
    </row>
    <row r="45" spans="1:17" ht="14.25" customHeight="1">
      <c r="C45" s="56"/>
      <c r="D45" s="319">
        <v>3600</v>
      </c>
      <c r="E45" s="320">
        <v>200</v>
      </c>
      <c r="F45" s="321">
        <f t="shared" ref="F45:F53" si="1">E45/D45%</f>
        <v>5.5555555555555554</v>
      </c>
      <c r="G45" s="320">
        <v>285</v>
      </c>
      <c r="H45" s="320">
        <v>25</v>
      </c>
      <c r="I45" s="320">
        <f t="shared" ref="I45:I53" si="2">H45*G45*E45</f>
        <v>1425000</v>
      </c>
      <c r="J45" s="320">
        <f t="shared" ref="J45:J53" si="3">I45*12</f>
        <v>17100000</v>
      </c>
      <c r="K45" s="321">
        <f t="shared" ref="K45:K53" si="4">100000000/J45</f>
        <v>5.8479532163742691</v>
      </c>
      <c r="L45" s="317"/>
      <c r="M45" s="318"/>
      <c r="N45" s="318"/>
      <c r="O45" s="318"/>
      <c r="P45" s="318"/>
    </row>
    <row r="46" spans="1:17" ht="14.25" customHeight="1">
      <c r="C46" s="56"/>
      <c r="D46" s="319">
        <v>3200</v>
      </c>
      <c r="E46" s="320">
        <v>200</v>
      </c>
      <c r="F46" s="321">
        <f t="shared" si="1"/>
        <v>6.25</v>
      </c>
      <c r="G46" s="320">
        <v>285</v>
      </c>
      <c r="H46" s="320">
        <v>25</v>
      </c>
      <c r="I46" s="320">
        <f t="shared" si="2"/>
        <v>1425000</v>
      </c>
      <c r="J46" s="320">
        <f t="shared" si="3"/>
        <v>17100000</v>
      </c>
      <c r="K46" s="321">
        <f t="shared" si="4"/>
        <v>5.8479532163742691</v>
      </c>
      <c r="L46" s="317"/>
    </row>
    <row r="47" spans="1:17" ht="14.25" customHeight="1">
      <c r="C47" s="56"/>
      <c r="D47" s="319">
        <v>2800</v>
      </c>
      <c r="E47" s="320">
        <v>200</v>
      </c>
      <c r="F47" s="321">
        <f t="shared" si="1"/>
        <v>7.1428571428571432</v>
      </c>
      <c r="G47" s="320">
        <v>285</v>
      </c>
      <c r="H47" s="320">
        <v>25</v>
      </c>
      <c r="I47" s="320">
        <f t="shared" si="2"/>
        <v>1425000</v>
      </c>
      <c r="J47" s="320">
        <f t="shared" si="3"/>
        <v>17100000</v>
      </c>
      <c r="K47" s="321">
        <f t="shared" si="4"/>
        <v>5.8479532163742691</v>
      </c>
      <c r="L47" s="317"/>
    </row>
    <row r="48" spans="1:17" ht="14.25" customHeight="1">
      <c r="C48" s="56"/>
      <c r="D48" s="319">
        <v>2400</v>
      </c>
      <c r="E48" s="320">
        <v>200</v>
      </c>
      <c r="F48" s="321">
        <f t="shared" si="1"/>
        <v>8.3333333333333339</v>
      </c>
      <c r="G48" s="320">
        <v>285</v>
      </c>
      <c r="H48" s="320">
        <v>25</v>
      </c>
      <c r="I48" s="320">
        <f t="shared" si="2"/>
        <v>1425000</v>
      </c>
      <c r="J48" s="320">
        <f t="shared" si="3"/>
        <v>17100000</v>
      </c>
      <c r="K48" s="321">
        <f t="shared" si="4"/>
        <v>5.8479532163742691</v>
      </c>
      <c r="L48" s="317"/>
    </row>
    <row r="49" spans="3:12" ht="14.25" customHeight="1">
      <c r="C49" s="56"/>
      <c r="D49" s="319">
        <v>2000</v>
      </c>
      <c r="E49" s="320">
        <v>200</v>
      </c>
      <c r="F49" s="321">
        <f t="shared" si="1"/>
        <v>10</v>
      </c>
      <c r="G49" s="320">
        <v>285</v>
      </c>
      <c r="H49" s="320">
        <v>25</v>
      </c>
      <c r="I49" s="320">
        <f t="shared" si="2"/>
        <v>1425000</v>
      </c>
      <c r="J49" s="320">
        <f t="shared" si="3"/>
        <v>17100000</v>
      </c>
      <c r="K49" s="321">
        <f t="shared" si="4"/>
        <v>5.8479532163742691</v>
      </c>
      <c r="L49" s="317"/>
    </row>
    <row r="50" spans="3:12" ht="14.25" customHeight="1">
      <c r="C50" s="56"/>
      <c r="D50" s="319">
        <v>1600</v>
      </c>
      <c r="E50" s="320">
        <v>200</v>
      </c>
      <c r="F50" s="321">
        <f t="shared" si="1"/>
        <v>12.5</v>
      </c>
      <c r="G50" s="320">
        <v>285</v>
      </c>
      <c r="H50" s="320">
        <v>25</v>
      </c>
      <c r="I50" s="320">
        <f t="shared" si="2"/>
        <v>1425000</v>
      </c>
      <c r="J50" s="320">
        <f t="shared" si="3"/>
        <v>17100000</v>
      </c>
      <c r="K50" s="321">
        <f t="shared" si="4"/>
        <v>5.8479532163742691</v>
      </c>
      <c r="L50" s="317"/>
    </row>
    <row r="51" spans="3:12" ht="14.25" customHeight="1">
      <c r="C51" s="56"/>
      <c r="D51" s="319">
        <v>1200</v>
      </c>
      <c r="E51" s="320">
        <v>200</v>
      </c>
      <c r="F51" s="321">
        <f t="shared" si="1"/>
        <v>16.666666666666668</v>
      </c>
      <c r="G51" s="320">
        <v>285</v>
      </c>
      <c r="H51" s="320">
        <v>25</v>
      </c>
      <c r="I51" s="320">
        <f t="shared" si="2"/>
        <v>1425000</v>
      </c>
      <c r="J51" s="320">
        <f t="shared" si="3"/>
        <v>17100000</v>
      </c>
      <c r="K51" s="321">
        <f t="shared" si="4"/>
        <v>5.8479532163742691</v>
      </c>
      <c r="L51" s="317"/>
    </row>
    <row r="52" spans="3:12" ht="14.25" customHeight="1">
      <c r="D52" s="319">
        <v>800</v>
      </c>
      <c r="E52" s="320">
        <v>200</v>
      </c>
      <c r="F52" s="321">
        <f t="shared" si="1"/>
        <v>25</v>
      </c>
      <c r="G52" s="320">
        <v>285</v>
      </c>
      <c r="H52" s="320">
        <v>25</v>
      </c>
      <c r="I52" s="320">
        <f t="shared" si="2"/>
        <v>1425000</v>
      </c>
      <c r="J52" s="320">
        <f t="shared" si="3"/>
        <v>17100000</v>
      </c>
      <c r="K52" s="321">
        <f t="shared" si="4"/>
        <v>5.8479532163742691</v>
      </c>
    </row>
    <row r="53" spans="3:12" ht="14.25" customHeight="1">
      <c r="D53" s="319">
        <v>400</v>
      </c>
      <c r="E53" s="320">
        <v>200</v>
      </c>
      <c r="F53" s="321">
        <f t="shared" si="1"/>
        <v>50</v>
      </c>
      <c r="G53" s="320">
        <v>285</v>
      </c>
      <c r="H53" s="320">
        <v>25</v>
      </c>
      <c r="I53" s="320">
        <f t="shared" si="2"/>
        <v>1425000</v>
      </c>
      <c r="J53" s="320">
        <f t="shared" si="3"/>
        <v>17100000</v>
      </c>
      <c r="K53" s="321">
        <f t="shared" si="4"/>
        <v>5.8479532163742691</v>
      </c>
    </row>
  </sheetData>
  <mergeCells count="10">
    <mergeCell ref="B26:P26"/>
    <mergeCell ref="B30:P30"/>
    <mergeCell ref="B38:P38"/>
    <mergeCell ref="B34:P34"/>
    <mergeCell ref="B1:P1"/>
    <mergeCell ref="B6:P6"/>
    <mergeCell ref="B10:P10"/>
    <mergeCell ref="B14:P14"/>
    <mergeCell ref="B18:P18"/>
    <mergeCell ref="B22:P22"/>
  </mergeCells>
  <pageMargins left="0.33" right="0.25" top="0.33" bottom="0.28999999999999998" header="0.24" footer="0.23"/>
  <pageSetup paperSize="9" scale="95" orientation="landscape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K11"/>
  <sheetViews>
    <sheetView workbookViewId="0">
      <selection activeCell="B4" sqref="B3:K11"/>
    </sheetView>
  </sheetViews>
  <sheetFormatPr defaultRowHeight="15"/>
  <sheetData>
    <row r="2" spans="2:11" ht="15.75" thickBot="1"/>
    <row r="3" spans="2:11" ht="15.75" thickBot="1">
      <c r="B3" s="378" t="s">
        <v>105</v>
      </c>
      <c r="C3" s="379"/>
      <c r="D3" s="379"/>
      <c r="E3" s="379"/>
      <c r="F3" s="379"/>
      <c r="G3" s="379"/>
      <c r="H3" s="379"/>
      <c r="I3" s="379"/>
      <c r="J3" s="379"/>
      <c r="K3" s="380"/>
    </row>
    <row r="4" spans="2:11" ht="68.25" thickTop="1">
      <c r="B4" s="68" t="s">
        <v>68</v>
      </c>
      <c r="C4" s="69" t="s">
        <v>92</v>
      </c>
      <c r="D4" s="70" t="s">
        <v>291</v>
      </c>
      <c r="E4" s="70" t="s">
        <v>78</v>
      </c>
      <c r="F4" s="70" t="s">
        <v>75</v>
      </c>
      <c r="G4" s="70" t="s">
        <v>97</v>
      </c>
      <c r="H4" s="70" t="s">
        <v>79</v>
      </c>
      <c r="I4" s="70" t="s">
        <v>303</v>
      </c>
      <c r="J4" s="70" t="s">
        <v>80</v>
      </c>
      <c r="K4" s="71" t="s">
        <v>304</v>
      </c>
    </row>
    <row r="5" spans="2:11">
      <c r="B5" s="53">
        <v>1</v>
      </c>
      <c r="C5" s="41" t="s">
        <v>71</v>
      </c>
      <c r="D5" s="41">
        <v>1200</v>
      </c>
      <c r="E5" s="41">
        <v>1440</v>
      </c>
      <c r="F5" s="387">
        <v>50</v>
      </c>
      <c r="G5" s="387">
        <f>F5*E11</f>
        <v>129600</v>
      </c>
      <c r="H5" s="387">
        <f>25*F5</f>
        <v>1250</v>
      </c>
      <c r="I5" s="387">
        <f>H5*E11</f>
        <v>3240000</v>
      </c>
      <c r="J5" s="387">
        <f>H5*12</f>
        <v>15000</v>
      </c>
      <c r="K5" s="389">
        <f>J5*E11</f>
        <v>38880000</v>
      </c>
    </row>
    <row r="6" spans="2:11">
      <c r="B6" s="53">
        <v>2</v>
      </c>
      <c r="C6" s="41" t="s">
        <v>72</v>
      </c>
      <c r="D6" s="41">
        <v>150</v>
      </c>
      <c r="E6" s="41">
        <v>625</v>
      </c>
      <c r="F6" s="387"/>
      <c r="G6" s="387"/>
      <c r="H6" s="387"/>
      <c r="I6" s="387"/>
      <c r="J6" s="387"/>
      <c r="K6" s="389"/>
    </row>
    <row r="7" spans="2:11">
      <c r="B7" s="53">
        <v>3</v>
      </c>
      <c r="C7" s="41" t="s">
        <v>73</v>
      </c>
      <c r="D7" s="41">
        <v>25</v>
      </c>
      <c r="E7" s="41">
        <v>150</v>
      </c>
      <c r="F7" s="387"/>
      <c r="G7" s="387"/>
      <c r="H7" s="387"/>
      <c r="I7" s="387"/>
      <c r="J7" s="387"/>
      <c r="K7" s="389"/>
    </row>
    <row r="8" spans="2:11">
      <c r="B8" s="53">
        <v>4</v>
      </c>
      <c r="C8" s="41" t="s">
        <v>74</v>
      </c>
      <c r="D8" s="41">
        <v>25</v>
      </c>
      <c r="E8" s="41">
        <v>100</v>
      </c>
      <c r="F8" s="387"/>
      <c r="G8" s="387"/>
      <c r="H8" s="387"/>
      <c r="I8" s="387"/>
      <c r="J8" s="387"/>
      <c r="K8" s="389"/>
    </row>
    <row r="9" spans="2:11">
      <c r="B9" s="53">
        <v>5</v>
      </c>
      <c r="C9" s="41" t="s">
        <v>2</v>
      </c>
      <c r="D9" s="41">
        <v>0</v>
      </c>
      <c r="E9" s="41">
        <v>197</v>
      </c>
      <c r="F9" s="387"/>
      <c r="G9" s="387"/>
      <c r="H9" s="387"/>
      <c r="I9" s="387"/>
      <c r="J9" s="387"/>
      <c r="K9" s="389"/>
    </row>
    <row r="10" spans="2:11">
      <c r="B10" s="53">
        <v>6</v>
      </c>
      <c r="C10" s="41" t="s">
        <v>3</v>
      </c>
      <c r="D10" s="41">
        <v>0</v>
      </c>
      <c r="E10" s="41">
        <v>80</v>
      </c>
      <c r="F10" s="387"/>
      <c r="G10" s="387"/>
      <c r="H10" s="387"/>
      <c r="I10" s="387"/>
      <c r="J10" s="387"/>
      <c r="K10" s="389"/>
    </row>
    <row r="11" spans="2:11" ht="15.75" thickBot="1">
      <c r="B11" s="54">
        <v>7</v>
      </c>
      <c r="C11" s="46" t="s">
        <v>77</v>
      </c>
      <c r="D11" s="46">
        <v>1400</v>
      </c>
      <c r="E11" s="46">
        <v>2592</v>
      </c>
      <c r="F11" s="388"/>
      <c r="G11" s="388"/>
      <c r="H11" s="388"/>
      <c r="I11" s="388"/>
      <c r="J11" s="388"/>
      <c r="K11" s="390"/>
    </row>
  </sheetData>
  <mergeCells count="7">
    <mergeCell ref="B3:K3"/>
    <mergeCell ref="F5:F11"/>
    <mergeCell ref="G5:G11"/>
    <mergeCell ref="H5:H11"/>
    <mergeCell ref="I5:I11"/>
    <mergeCell ref="J5:J11"/>
    <mergeCell ref="K5:K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F19" sqref="F19"/>
    </sheetView>
  </sheetViews>
  <sheetFormatPr defaultRowHeight="15"/>
  <cols>
    <col min="1" max="1" width="14.5703125" customWidth="1"/>
    <col min="2" max="2" width="13.28515625" customWidth="1"/>
    <col min="3" max="3" width="13.5703125" customWidth="1"/>
    <col min="4" max="5" width="16.7109375" customWidth="1"/>
    <col min="6" max="6" width="22.28515625" customWidth="1"/>
    <col min="7" max="7" width="16.7109375" customWidth="1"/>
    <col min="8" max="8" width="21.7109375" customWidth="1"/>
    <col min="9" max="9" width="17.42578125" customWidth="1"/>
    <col min="10" max="10" width="15.28515625" customWidth="1"/>
    <col min="11" max="12" width="18.140625" customWidth="1"/>
    <col min="13" max="13" width="20.140625" customWidth="1"/>
    <col min="14" max="14" width="18.28515625" customWidth="1"/>
    <col min="15" max="15" width="19.28515625" customWidth="1"/>
    <col min="16" max="16" width="21.140625" customWidth="1"/>
  </cols>
  <sheetData>
    <row r="1" spans="1:16" ht="45">
      <c r="A1" s="293" t="s">
        <v>332</v>
      </c>
      <c r="B1" s="293" t="s">
        <v>333</v>
      </c>
      <c r="C1" s="293" t="s">
        <v>334</v>
      </c>
      <c r="D1" s="293" t="s">
        <v>335</v>
      </c>
      <c r="E1" s="293" t="s">
        <v>336</v>
      </c>
      <c r="F1" s="293" t="s">
        <v>337</v>
      </c>
      <c r="G1" s="293" t="s">
        <v>338</v>
      </c>
      <c r="H1" s="293" t="s">
        <v>339</v>
      </c>
      <c r="I1" s="293" t="s">
        <v>340</v>
      </c>
      <c r="J1" s="293" t="s">
        <v>341</v>
      </c>
      <c r="K1" s="293" t="s">
        <v>342</v>
      </c>
      <c r="L1" s="293" t="s">
        <v>343</v>
      </c>
      <c r="M1" s="293" t="s">
        <v>344</v>
      </c>
      <c r="N1" s="293" t="s">
        <v>345</v>
      </c>
      <c r="O1" s="293" t="s">
        <v>344</v>
      </c>
      <c r="P1" s="293" t="s">
        <v>345</v>
      </c>
    </row>
    <row r="2" spans="1:16">
      <c r="A2" s="22">
        <v>100000000</v>
      </c>
      <c r="B2" s="22">
        <v>40</v>
      </c>
      <c r="C2" s="22">
        <v>60</v>
      </c>
      <c r="D2" s="22">
        <v>30</v>
      </c>
      <c r="E2" s="22">
        <v>4000</v>
      </c>
      <c r="F2" s="22">
        <v>400</v>
      </c>
      <c r="G2" s="22">
        <v>125</v>
      </c>
      <c r="H2" s="22">
        <f>G2*E2</f>
        <v>500000</v>
      </c>
      <c r="I2" s="22">
        <f>G2*F2</f>
        <v>50000</v>
      </c>
      <c r="J2" s="22">
        <v>285</v>
      </c>
      <c r="K2" s="328">
        <f>G2/J2*100</f>
        <v>43.859649122807014</v>
      </c>
      <c r="L2" s="328">
        <f>K2*40%</f>
        <v>17.543859649122805</v>
      </c>
      <c r="M2" s="27">
        <f>L2*I2/100</f>
        <v>8771.9298245614027</v>
      </c>
      <c r="N2" s="27"/>
      <c r="O2" s="27"/>
      <c r="P2" s="2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4:R29"/>
  <sheetViews>
    <sheetView topLeftCell="A13" workbookViewId="0">
      <selection activeCell="E8" sqref="E8"/>
    </sheetView>
  </sheetViews>
  <sheetFormatPr defaultRowHeight="15"/>
  <cols>
    <col min="2" max="2" width="9.28515625" bestFit="1" customWidth="1"/>
    <col min="3" max="3" width="10.85546875" customWidth="1"/>
    <col min="4" max="8" width="9.28515625" bestFit="1" customWidth="1"/>
    <col min="9" max="9" width="10.140625" bestFit="1" customWidth="1"/>
    <col min="10" max="15" width="9.28515625" bestFit="1" customWidth="1"/>
    <col min="16" max="16" width="10.140625" bestFit="1" customWidth="1"/>
  </cols>
  <sheetData>
    <row r="4" spans="2:18" ht="15.75" thickBot="1"/>
    <row r="5" spans="2:18">
      <c r="B5" s="478" t="s">
        <v>305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83"/>
    </row>
    <row r="6" spans="2:18">
      <c r="B6" s="480" t="s">
        <v>347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2"/>
    </row>
    <row r="7" spans="2:18" ht="23.25">
      <c r="B7" s="307" t="s">
        <v>68</v>
      </c>
      <c r="C7" s="305" t="s">
        <v>69</v>
      </c>
      <c r="D7" s="305" t="s">
        <v>309</v>
      </c>
      <c r="E7" s="305" t="s">
        <v>308</v>
      </c>
      <c r="F7" s="305" t="s">
        <v>315</v>
      </c>
      <c r="G7" s="305" t="s">
        <v>311</v>
      </c>
      <c r="H7" s="305" t="s">
        <v>310</v>
      </c>
      <c r="I7" s="305" t="s">
        <v>314</v>
      </c>
      <c r="J7" s="305" t="s">
        <v>317</v>
      </c>
      <c r="K7" s="305" t="s">
        <v>323</v>
      </c>
      <c r="L7" s="305" t="s">
        <v>319</v>
      </c>
      <c r="M7" s="305" t="s">
        <v>320</v>
      </c>
      <c r="N7" s="305" t="s">
        <v>321</v>
      </c>
      <c r="O7" s="305" t="s">
        <v>322</v>
      </c>
      <c r="P7" s="344" t="s">
        <v>318</v>
      </c>
    </row>
    <row r="8" spans="2:18" ht="24" customHeight="1">
      <c r="B8" s="339">
        <v>1</v>
      </c>
      <c r="C8" s="340" t="s">
        <v>306</v>
      </c>
      <c r="D8" s="340">
        <v>4000</v>
      </c>
      <c r="E8" s="340">
        <v>200000</v>
      </c>
      <c r="F8" s="341">
        <v>124.65</v>
      </c>
      <c r="G8" s="340">
        <v>498600</v>
      </c>
      <c r="H8" s="340">
        <v>12465000</v>
      </c>
      <c r="I8" s="340">
        <v>149580000</v>
      </c>
      <c r="J8" s="340">
        <v>285</v>
      </c>
      <c r="K8" s="340">
        <v>1140000</v>
      </c>
      <c r="L8" s="341">
        <v>160.35</v>
      </c>
      <c r="M8" s="341">
        <v>56.263157894736835</v>
      </c>
      <c r="N8" s="340">
        <v>641399.99999999988</v>
      </c>
      <c r="O8" s="340">
        <v>16034999.999999996</v>
      </c>
      <c r="P8" s="345">
        <v>342000000</v>
      </c>
    </row>
    <row r="9" spans="2:18" ht="24" customHeight="1">
      <c r="B9" s="311">
        <v>2</v>
      </c>
      <c r="C9" s="312" t="s">
        <v>307</v>
      </c>
      <c r="D9" s="312">
        <v>4000</v>
      </c>
      <c r="E9" s="312">
        <v>200000</v>
      </c>
      <c r="F9" s="313">
        <v>227.6</v>
      </c>
      <c r="G9" s="312">
        <v>910400</v>
      </c>
      <c r="H9" s="312">
        <v>22760000</v>
      </c>
      <c r="I9" s="312">
        <v>273120000</v>
      </c>
      <c r="J9" s="312">
        <v>285</v>
      </c>
      <c r="K9" s="312">
        <v>1140000</v>
      </c>
      <c r="L9" s="313">
        <v>57.400000000000006</v>
      </c>
      <c r="M9" s="313">
        <v>20.140350877192983</v>
      </c>
      <c r="N9" s="312">
        <v>229600</v>
      </c>
      <c r="O9" s="312">
        <v>5740000</v>
      </c>
      <c r="P9" s="346">
        <v>342000000</v>
      </c>
    </row>
    <row r="10" spans="2:18" ht="15.75" customHeight="1">
      <c r="B10" s="480" t="s">
        <v>348</v>
      </c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2"/>
    </row>
    <row r="11" spans="2:18" ht="24" customHeight="1">
      <c r="B11" s="314" t="s">
        <v>68</v>
      </c>
      <c r="C11" s="315" t="s">
        <v>69</v>
      </c>
      <c r="D11" s="315" t="s">
        <v>309</v>
      </c>
      <c r="E11" s="315" t="s">
        <v>308</v>
      </c>
      <c r="F11" s="315" t="s">
        <v>316</v>
      </c>
      <c r="G11" s="315" t="s">
        <v>311</v>
      </c>
      <c r="H11" s="315" t="s">
        <v>310</v>
      </c>
      <c r="I11" s="305" t="s">
        <v>314</v>
      </c>
      <c r="J11" s="305" t="s">
        <v>317</v>
      </c>
      <c r="K11" s="305" t="s">
        <v>323</v>
      </c>
      <c r="L11" s="305" t="s">
        <v>319</v>
      </c>
      <c r="M11" s="305" t="s">
        <v>320</v>
      </c>
      <c r="N11" s="305" t="s">
        <v>321</v>
      </c>
      <c r="O11" s="305" t="s">
        <v>322</v>
      </c>
      <c r="P11" s="344" t="s">
        <v>318</v>
      </c>
    </row>
    <row r="12" spans="2:18" ht="24" customHeight="1">
      <c r="B12" s="339">
        <v>1</v>
      </c>
      <c r="C12" s="340" t="s">
        <v>306</v>
      </c>
      <c r="D12" s="340">
        <v>3600</v>
      </c>
      <c r="E12" s="340">
        <v>180000</v>
      </c>
      <c r="F12" s="341">
        <v>124.65</v>
      </c>
      <c r="G12" s="340">
        <v>448740</v>
      </c>
      <c r="H12" s="340">
        <v>11218500</v>
      </c>
      <c r="I12" s="340">
        <v>134622000</v>
      </c>
      <c r="J12" s="340">
        <v>285</v>
      </c>
      <c r="K12" s="340">
        <v>1026000</v>
      </c>
      <c r="L12" s="341">
        <v>160.35</v>
      </c>
      <c r="M12" s="341">
        <v>56.263157894736835</v>
      </c>
      <c r="N12" s="340">
        <v>577259.99999999988</v>
      </c>
      <c r="O12" s="340">
        <v>14431499.999999996</v>
      </c>
      <c r="P12" s="345">
        <v>307800000</v>
      </c>
    </row>
    <row r="13" spans="2:18" ht="24" customHeight="1">
      <c r="B13" s="311">
        <v>2</v>
      </c>
      <c r="C13" s="312" t="s">
        <v>307</v>
      </c>
      <c r="D13" s="312">
        <v>3600</v>
      </c>
      <c r="E13" s="312">
        <v>180000</v>
      </c>
      <c r="F13" s="313">
        <v>227.6</v>
      </c>
      <c r="G13" s="312">
        <v>819360</v>
      </c>
      <c r="H13" s="312">
        <v>20484000</v>
      </c>
      <c r="I13" s="312">
        <v>245808000</v>
      </c>
      <c r="J13" s="312">
        <v>285</v>
      </c>
      <c r="K13" s="312">
        <v>1026000</v>
      </c>
      <c r="L13" s="313">
        <v>57.400000000000006</v>
      </c>
      <c r="M13" s="313">
        <v>20.140350877192983</v>
      </c>
      <c r="N13" s="312">
        <v>206640</v>
      </c>
      <c r="O13" s="312">
        <v>5166000</v>
      </c>
      <c r="P13" s="346">
        <v>307800000</v>
      </c>
      <c r="R13" t="s">
        <v>25</v>
      </c>
    </row>
    <row r="14" spans="2:18" ht="15.75" customHeight="1">
      <c r="B14" s="480" t="s">
        <v>349</v>
      </c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2"/>
    </row>
    <row r="15" spans="2:18" ht="24" customHeight="1">
      <c r="B15" s="314" t="s">
        <v>68</v>
      </c>
      <c r="C15" s="315" t="s">
        <v>69</v>
      </c>
      <c r="D15" s="315" t="s">
        <v>309</v>
      </c>
      <c r="E15" s="315" t="s">
        <v>308</v>
      </c>
      <c r="F15" s="305" t="s">
        <v>315</v>
      </c>
      <c r="G15" s="315" t="s">
        <v>311</v>
      </c>
      <c r="H15" s="315" t="s">
        <v>310</v>
      </c>
      <c r="I15" s="305" t="s">
        <v>314</v>
      </c>
      <c r="J15" s="305" t="s">
        <v>317</v>
      </c>
      <c r="K15" s="305" t="s">
        <v>323</v>
      </c>
      <c r="L15" s="305" t="s">
        <v>319</v>
      </c>
      <c r="M15" s="305" t="s">
        <v>320</v>
      </c>
      <c r="N15" s="305" t="s">
        <v>321</v>
      </c>
      <c r="O15" s="305" t="s">
        <v>322</v>
      </c>
      <c r="P15" s="344" t="s">
        <v>318</v>
      </c>
    </row>
    <row r="16" spans="2:18" ht="24" customHeight="1">
      <c r="B16" s="339">
        <v>1</v>
      </c>
      <c r="C16" s="340" t="s">
        <v>306</v>
      </c>
      <c r="D16" s="340">
        <v>3200</v>
      </c>
      <c r="E16" s="340">
        <v>160000</v>
      </c>
      <c r="F16" s="341">
        <v>124.65</v>
      </c>
      <c r="G16" s="340">
        <v>398880</v>
      </c>
      <c r="H16" s="340">
        <v>9972000</v>
      </c>
      <c r="I16" s="340">
        <v>119664000</v>
      </c>
      <c r="J16" s="340">
        <v>285</v>
      </c>
      <c r="K16" s="340">
        <v>912000</v>
      </c>
      <c r="L16" s="341">
        <v>160.35</v>
      </c>
      <c r="M16" s="341">
        <v>56.263157894736835</v>
      </c>
      <c r="N16" s="340">
        <v>513119.99999999994</v>
      </c>
      <c r="O16" s="340">
        <v>12827999.999999998</v>
      </c>
      <c r="P16" s="345">
        <v>273600000</v>
      </c>
    </row>
    <row r="17" spans="2:16" ht="24" customHeight="1">
      <c r="B17" s="311">
        <v>2</v>
      </c>
      <c r="C17" s="312" t="s">
        <v>307</v>
      </c>
      <c r="D17" s="312">
        <v>3200</v>
      </c>
      <c r="E17" s="312">
        <v>160000</v>
      </c>
      <c r="F17" s="313">
        <v>227.6</v>
      </c>
      <c r="G17" s="312">
        <v>728320</v>
      </c>
      <c r="H17" s="312">
        <v>18208000</v>
      </c>
      <c r="I17" s="312">
        <v>218496000</v>
      </c>
      <c r="J17" s="312">
        <v>285</v>
      </c>
      <c r="K17" s="312">
        <v>912000</v>
      </c>
      <c r="L17" s="313">
        <v>57.400000000000006</v>
      </c>
      <c r="M17" s="313">
        <v>20.140350877192983</v>
      </c>
      <c r="N17" s="312">
        <v>183680</v>
      </c>
      <c r="O17" s="312">
        <v>4592000</v>
      </c>
      <c r="P17" s="346">
        <v>273600000</v>
      </c>
    </row>
    <row r="18" spans="2:16" ht="15.75" customHeight="1">
      <c r="B18" s="480" t="s">
        <v>350</v>
      </c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2"/>
    </row>
    <row r="19" spans="2:16" ht="24" customHeight="1">
      <c r="B19" s="314" t="s">
        <v>68</v>
      </c>
      <c r="C19" s="315" t="s">
        <v>69</v>
      </c>
      <c r="D19" s="315" t="s">
        <v>309</v>
      </c>
      <c r="E19" s="315" t="s">
        <v>308</v>
      </c>
      <c r="F19" s="305" t="s">
        <v>315</v>
      </c>
      <c r="G19" s="315" t="s">
        <v>312</v>
      </c>
      <c r="H19" s="315" t="s">
        <v>310</v>
      </c>
      <c r="I19" s="305" t="s">
        <v>314</v>
      </c>
      <c r="J19" s="305" t="s">
        <v>317</v>
      </c>
      <c r="K19" s="305" t="s">
        <v>323</v>
      </c>
      <c r="L19" s="305" t="s">
        <v>319</v>
      </c>
      <c r="M19" s="305" t="s">
        <v>320</v>
      </c>
      <c r="N19" s="305" t="s">
        <v>321</v>
      </c>
      <c r="O19" s="305" t="s">
        <v>322</v>
      </c>
      <c r="P19" s="344" t="s">
        <v>318</v>
      </c>
    </row>
    <row r="20" spans="2:16" ht="24" customHeight="1">
      <c r="B20" s="339">
        <v>1</v>
      </c>
      <c r="C20" s="340" t="s">
        <v>306</v>
      </c>
      <c r="D20" s="340">
        <v>2800</v>
      </c>
      <c r="E20" s="340">
        <v>140000</v>
      </c>
      <c r="F20" s="341">
        <v>124.65</v>
      </c>
      <c r="G20" s="340">
        <v>349020</v>
      </c>
      <c r="H20" s="340">
        <v>8725500</v>
      </c>
      <c r="I20" s="340">
        <v>104706000</v>
      </c>
      <c r="J20" s="340">
        <v>285</v>
      </c>
      <c r="K20" s="340">
        <v>798000</v>
      </c>
      <c r="L20" s="341">
        <v>160.35</v>
      </c>
      <c r="M20" s="341">
        <v>56.263157894736835</v>
      </c>
      <c r="N20" s="340">
        <v>448979.99999999994</v>
      </c>
      <c r="O20" s="340">
        <v>11224499.999999998</v>
      </c>
      <c r="P20" s="345">
        <v>239400000</v>
      </c>
    </row>
    <row r="21" spans="2:16" ht="24" customHeight="1">
      <c r="B21" s="311">
        <v>2</v>
      </c>
      <c r="C21" s="312" t="s">
        <v>307</v>
      </c>
      <c r="D21" s="312">
        <v>2800</v>
      </c>
      <c r="E21" s="312">
        <v>140000</v>
      </c>
      <c r="F21" s="313">
        <v>227.6</v>
      </c>
      <c r="G21" s="312">
        <v>637280</v>
      </c>
      <c r="H21" s="312">
        <v>15932000</v>
      </c>
      <c r="I21" s="312">
        <v>191184000</v>
      </c>
      <c r="J21" s="312">
        <v>285</v>
      </c>
      <c r="K21" s="312">
        <v>798000</v>
      </c>
      <c r="L21" s="313">
        <v>57.400000000000006</v>
      </c>
      <c r="M21" s="313">
        <v>20.140350877192983</v>
      </c>
      <c r="N21" s="312">
        <v>160720</v>
      </c>
      <c r="O21" s="312">
        <v>4018000</v>
      </c>
      <c r="P21" s="346">
        <v>239400000</v>
      </c>
    </row>
    <row r="22" spans="2:16" ht="15.75" customHeight="1">
      <c r="B22" s="480" t="s">
        <v>351</v>
      </c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2"/>
    </row>
    <row r="23" spans="2:16" ht="24" customHeight="1">
      <c r="B23" s="314" t="s">
        <v>68</v>
      </c>
      <c r="C23" s="315" t="s">
        <v>69</v>
      </c>
      <c r="D23" s="315" t="s">
        <v>309</v>
      </c>
      <c r="E23" s="315" t="s">
        <v>308</v>
      </c>
      <c r="F23" s="305" t="s">
        <v>315</v>
      </c>
      <c r="G23" s="315" t="s">
        <v>311</v>
      </c>
      <c r="H23" s="315" t="s">
        <v>310</v>
      </c>
      <c r="I23" s="305" t="s">
        <v>314</v>
      </c>
      <c r="J23" s="305" t="s">
        <v>317</v>
      </c>
      <c r="K23" s="305" t="s">
        <v>323</v>
      </c>
      <c r="L23" s="305" t="s">
        <v>319</v>
      </c>
      <c r="M23" s="305" t="s">
        <v>320</v>
      </c>
      <c r="N23" s="305" t="s">
        <v>321</v>
      </c>
      <c r="O23" s="305" t="s">
        <v>322</v>
      </c>
      <c r="P23" s="344" t="s">
        <v>318</v>
      </c>
    </row>
    <row r="24" spans="2:16" ht="24" customHeight="1">
      <c r="B24" s="339">
        <v>1</v>
      </c>
      <c r="C24" s="340" t="s">
        <v>306</v>
      </c>
      <c r="D24" s="340">
        <v>2400</v>
      </c>
      <c r="E24" s="340">
        <v>120000</v>
      </c>
      <c r="F24" s="341">
        <v>124.65</v>
      </c>
      <c r="G24" s="340">
        <v>299160</v>
      </c>
      <c r="H24" s="340">
        <v>7479000</v>
      </c>
      <c r="I24" s="340">
        <v>89748000</v>
      </c>
      <c r="J24" s="340">
        <v>285</v>
      </c>
      <c r="K24" s="340">
        <v>684000</v>
      </c>
      <c r="L24" s="341">
        <v>160.35</v>
      </c>
      <c r="M24" s="341">
        <v>56.263157894736835</v>
      </c>
      <c r="N24" s="340">
        <v>384839.99999999994</v>
      </c>
      <c r="O24" s="340">
        <v>9620999.9999999981</v>
      </c>
      <c r="P24" s="345">
        <v>205200000</v>
      </c>
    </row>
    <row r="25" spans="2:16" ht="24" customHeight="1">
      <c r="B25" s="311">
        <v>2</v>
      </c>
      <c r="C25" s="312" t="s">
        <v>307</v>
      </c>
      <c r="D25" s="312">
        <v>2400</v>
      </c>
      <c r="E25" s="312">
        <v>120000</v>
      </c>
      <c r="F25" s="313">
        <v>227.6</v>
      </c>
      <c r="G25" s="312">
        <v>546240</v>
      </c>
      <c r="H25" s="312">
        <v>13656000</v>
      </c>
      <c r="I25" s="312">
        <v>163872000</v>
      </c>
      <c r="J25" s="312">
        <v>285</v>
      </c>
      <c r="K25" s="312">
        <v>684000</v>
      </c>
      <c r="L25" s="313">
        <v>57.400000000000006</v>
      </c>
      <c r="M25" s="313">
        <v>20.140350877192983</v>
      </c>
      <c r="N25" s="312">
        <v>137760</v>
      </c>
      <c r="O25" s="312">
        <v>3444000</v>
      </c>
      <c r="P25" s="346">
        <v>205200000</v>
      </c>
    </row>
    <row r="26" spans="2:16" ht="15.75" customHeight="1">
      <c r="B26" s="480" t="s">
        <v>352</v>
      </c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2"/>
    </row>
    <row r="27" spans="2:16" ht="24" customHeight="1">
      <c r="B27" s="314" t="s">
        <v>68</v>
      </c>
      <c r="C27" s="315" t="s">
        <v>69</v>
      </c>
      <c r="D27" s="315" t="s">
        <v>309</v>
      </c>
      <c r="E27" s="315" t="s">
        <v>308</v>
      </c>
      <c r="F27" s="305" t="s">
        <v>315</v>
      </c>
      <c r="G27" s="315" t="s">
        <v>311</v>
      </c>
      <c r="H27" s="315" t="s">
        <v>310</v>
      </c>
      <c r="I27" s="305" t="s">
        <v>314</v>
      </c>
      <c r="J27" s="305" t="s">
        <v>317</v>
      </c>
      <c r="K27" s="305" t="s">
        <v>323</v>
      </c>
      <c r="L27" s="305" t="s">
        <v>319</v>
      </c>
      <c r="M27" s="305" t="s">
        <v>320</v>
      </c>
      <c r="N27" s="305" t="s">
        <v>321</v>
      </c>
      <c r="O27" s="305" t="s">
        <v>322</v>
      </c>
      <c r="P27" s="344" t="s">
        <v>318</v>
      </c>
    </row>
    <row r="28" spans="2:16" ht="24" customHeight="1">
      <c r="B28" s="339">
        <v>1</v>
      </c>
      <c r="C28" s="340" t="s">
        <v>306</v>
      </c>
      <c r="D28" s="340">
        <v>2000</v>
      </c>
      <c r="E28" s="340">
        <v>100000</v>
      </c>
      <c r="F28" s="341">
        <v>124.65</v>
      </c>
      <c r="G28" s="340">
        <v>249300</v>
      </c>
      <c r="H28" s="340">
        <v>6232500</v>
      </c>
      <c r="I28" s="340">
        <v>74790000</v>
      </c>
      <c r="J28" s="340">
        <v>285</v>
      </c>
      <c r="K28" s="340">
        <v>570000</v>
      </c>
      <c r="L28" s="341">
        <v>160.35</v>
      </c>
      <c r="M28" s="341">
        <v>56.263157894736835</v>
      </c>
      <c r="N28" s="340">
        <v>320699.99999999994</v>
      </c>
      <c r="O28" s="340">
        <v>8017499.9999999981</v>
      </c>
      <c r="P28" s="345">
        <v>171000000</v>
      </c>
    </row>
    <row r="29" spans="2:16" ht="24" customHeight="1" thickBot="1">
      <c r="B29" s="308">
        <v>2</v>
      </c>
      <c r="C29" s="309" t="s">
        <v>307</v>
      </c>
      <c r="D29" s="309">
        <v>2000</v>
      </c>
      <c r="E29" s="309">
        <v>100000</v>
      </c>
      <c r="F29" s="310">
        <v>227.6</v>
      </c>
      <c r="G29" s="309">
        <v>455200</v>
      </c>
      <c r="H29" s="309">
        <v>11380000</v>
      </c>
      <c r="I29" s="309">
        <v>136560000</v>
      </c>
      <c r="J29" s="309">
        <v>285</v>
      </c>
      <c r="K29" s="309">
        <v>570000</v>
      </c>
      <c r="L29" s="310">
        <v>57.400000000000006</v>
      </c>
      <c r="M29" s="310">
        <v>20.140350877192983</v>
      </c>
      <c r="N29" s="309">
        <v>114800</v>
      </c>
      <c r="O29" s="309">
        <v>2870000</v>
      </c>
      <c r="P29" s="347">
        <v>171000000</v>
      </c>
    </row>
  </sheetData>
  <mergeCells count="7">
    <mergeCell ref="B26:P26"/>
    <mergeCell ref="B6:P6"/>
    <mergeCell ref="B5:P5"/>
    <mergeCell ref="B10:P10"/>
    <mergeCell ref="B14:P14"/>
    <mergeCell ref="B18:P18"/>
    <mergeCell ref="B22:P22"/>
  </mergeCells>
  <pageMargins left="0.7" right="0.7" top="0.75" bottom="0.75" header="0.3" footer="0.3"/>
  <pageSetup scale="8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O27"/>
  <sheetViews>
    <sheetView tabSelected="1" workbookViewId="0">
      <selection activeCell="L26" sqref="L26"/>
    </sheetView>
  </sheetViews>
  <sheetFormatPr defaultRowHeight="15"/>
  <cols>
    <col min="1" max="1" width="7.85546875" customWidth="1"/>
    <col min="2" max="2" width="10.42578125" customWidth="1"/>
    <col min="3" max="3" width="11.140625" customWidth="1"/>
    <col min="4" max="7" width="9.28515625" bestFit="1" customWidth="1"/>
    <col min="8" max="8" width="10.140625" bestFit="1" customWidth="1"/>
    <col min="9" max="12" width="9.28515625" bestFit="1" customWidth="1"/>
    <col min="13" max="13" width="10.140625" bestFit="1" customWidth="1"/>
    <col min="14" max="14" width="9.28515625" bestFit="1" customWidth="1"/>
    <col min="15" max="15" width="11.85546875" customWidth="1"/>
  </cols>
  <sheetData>
    <row r="2" spans="1:15" ht="15.75" customHeight="1">
      <c r="A2" s="484" t="s">
        <v>353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6"/>
    </row>
    <row r="3" spans="1:15" ht="24" customHeight="1">
      <c r="A3" s="487" t="s">
        <v>68</v>
      </c>
      <c r="B3" s="488" t="s">
        <v>69</v>
      </c>
      <c r="C3" s="488" t="s">
        <v>309</v>
      </c>
      <c r="D3" s="488" t="s">
        <v>308</v>
      </c>
      <c r="E3" s="489" t="s">
        <v>315</v>
      </c>
      <c r="F3" s="488" t="s">
        <v>311</v>
      </c>
      <c r="G3" s="488" t="s">
        <v>310</v>
      </c>
      <c r="H3" s="489" t="s">
        <v>314</v>
      </c>
      <c r="I3" s="489" t="s">
        <v>317</v>
      </c>
      <c r="J3" s="489" t="s">
        <v>323</v>
      </c>
      <c r="K3" s="489" t="s">
        <v>319</v>
      </c>
      <c r="L3" s="489" t="s">
        <v>320</v>
      </c>
      <c r="M3" s="489" t="s">
        <v>321</v>
      </c>
      <c r="N3" s="489" t="s">
        <v>322</v>
      </c>
      <c r="O3" s="490" t="s">
        <v>318</v>
      </c>
    </row>
    <row r="4" spans="1:15" ht="24" customHeight="1">
      <c r="A4" s="491">
        <v>1</v>
      </c>
      <c r="B4" s="492" t="s">
        <v>306</v>
      </c>
      <c r="C4" s="492">
        <v>1600</v>
      </c>
      <c r="D4" s="492">
        <v>80000</v>
      </c>
      <c r="E4" s="493">
        <v>124.65</v>
      </c>
      <c r="F4" s="492">
        <v>199440</v>
      </c>
      <c r="G4" s="492">
        <v>4986000</v>
      </c>
      <c r="H4" s="492">
        <v>59832000</v>
      </c>
      <c r="I4" s="492">
        <v>285</v>
      </c>
      <c r="J4" s="492">
        <v>456000</v>
      </c>
      <c r="K4" s="493">
        <v>160.35</v>
      </c>
      <c r="L4" s="493">
        <v>56.263157894736835</v>
      </c>
      <c r="M4" s="493">
        <f>K4*C4</f>
        <v>256560</v>
      </c>
      <c r="N4" s="492">
        <v>6413999.9999999991</v>
      </c>
      <c r="O4" s="494">
        <v>136800000</v>
      </c>
    </row>
    <row r="5" spans="1:15" ht="24" customHeight="1">
      <c r="A5" s="495">
        <v>2</v>
      </c>
      <c r="B5" s="496" t="s">
        <v>307</v>
      </c>
      <c r="C5" s="496">
        <v>1600</v>
      </c>
      <c r="D5" s="496">
        <v>80000</v>
      </c>
      <c r="E5" s="497">
        <v>227.6</v>
      </c>
      <c r="F5" s="496">
        <v>364160</v>
      </c>
      <c r="G5" s="496">
        <v>9104000</v>
      </c>
      <c r="H5" s="496">
        <v>109248000</v>
      </c>
      <c r="I5" s="496">
        <v>285</v>
      </c>
      <c r="J5" s="496">
        <v>456000</v>
      </c>
      <c r="K5" s="497">
        <v>57.400000000000006</v>
      </c>
      <c r="L5" s="497">
        <v>20.140350877192983</v>
      </c>
      <c r="M5" s="498">
        <f t="shared" ref="M5:M17" si="0">K5*C5</f>
        <v>91840.000000000015</v>
      </c>
      <c r="N5" s="496">
        <v>2296000</v>
      </c>
      <c r="O5" s="499">
        <v>136800000</v>
      </c>
    </row>
    <row r="6" spans="1:15" ht="15.75" customHeight="1">
      <c r="A6" s="484" t="s">
        <v>354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6"/>
    </row>
    <row r="7" spans="1:15" ht="24" customHeight="1">
      <c r="A7" s="487" t="s">
        <v>68</v>
      </c>
      <c r="B7" s="488" t="s">
        <v>69</v>
      </c>
      <c r="C7" s="488" t="s">
        <v>309</v>
      </c>
      <c r="D7" s="488" t="s">
        <v>308</v>
      </c>
      <c r="E7" s="488" t="s">
        <v>315</v>
      </c>
      <c r="F7" s="488" t="s">
        <v>311</v>
      </c>
      <c r="G7" s="488" t="s">
        <v>310</v>
      </c>
      <c r="H7" s="488" t="s">
        <v>314</v>
      </c>
      <c r="I7" s="488" t="s">
        <v>317</v>
      </c>
      <c r="J7" s="488" t="s">
        <v>323</v>
      </c>
      <c r="K7" s="488" t="s">
        <v>319</v>
      </c>
      <c r="L7" s="488" t="s">
        <v>320</v>
      </c>
      <c r="M7" s="488" t="s">
        <v>321</v>
      </c>
      <c r="N7" s="488" t="s">
        <v>322</v>
      </c>
      <c r="O7" s="500" t="s">
        <v>318</v>
      </c>
    </row>
    <row r="8" spans="1:15" ht="24" customHeight="1">
      <c r="A8" s="491">
        <v>1</v>
      </c>
      <c r="B8" s="492" t="s">
        <v>306</v>
      </c>
      <c r="C8" s="492">
        <v>1200</v>
      </c>
      <c r="D8" s="492">
        <v>60000</v>
      </c>
      <c r="E8" s="493">
        <v>124.65</v>
      </c>
      <c r="F8" s="492">
        <v>149580</v>
      </c>
      <c r="G8" s="492">
        <v>3739500</v>
      </c>
      <c r="H8" s="492">
        <v>44874000</v>
      </c>
      <c r="I8" s="492">
        <v>285</v>
      </c>
      <c r="J8" s="492">
        <v>342000</v>
      </c>
      <c r="K8" s="493">
        <v>160.35</v>
      </c>
      <c r="L8" s="493">
        <v>56.263157894736835</v>
      </c>
      <c r="M8" s="493">
        <f t="shared" si="0"/>
        <v>192420</v>
      </c>
      <c r="N8" s="492">
        <v>4810499.9999999991</v>
      </c>
      <c r="O8" s="494">
        <v>102600000</v>
      </c>
    </row>
    <row r="9" spans="1:15" ht="24" customHeight="1">
      <c r="A9" s="495">
        <v>2</v>
      </c>
      <c r="B9" s="496" t="s">
        <v>307</v>
      </c>
      <c r="C9" s="496">
        <v>1200</v>
      </c>
      <c r="D9" s="496">
        <v>60000</v>
      </c>
      <c r="E9" s="497">
        <v>227.6</v>
      </c>
      <c r="F9" s="496">
        <v>273120</v>
      </c>
      <c r="G9" s="496">
        <v>6828000</v>
      </c>
      <c r="H9" s="496">
        <v>81936000</v>
      </c>
      <c r="I9" s="496">
        <v>285</v>
      </c>
      <c r="J9" s="496">
        <v>342000</v>
      </c>
      <c r="K9" s="497">
        <v>57.400000000000006</v>
      </c>
      <c r="L9" s="497">
        <v>20.140350877192983</v>
      </c>
      <c r="M9" s="498">
        <f t="shared" si="0"/>
        <v>68880</v>
      </c>
      <c r="N9" s="496">
        <v>1722000</v>
      </c>
      <c r="O9" s="499">
        <v>102600000</v>
      </c>
    </row>
    <row r="10" spans="1:15" ht="15.75" customHeight="1">
      <c r="A10" s="484" t="s">
        <v>356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6"/>
    </row>
    <row r="11" spans="1:15" ht="24" customHeight="1">
      <c r="A11" s="487" t="s">
        <v>68</v>
      </c>
      <c r="B11" s="488" t="s">
        <v>69</v>
      </c>
      <c r="C11" s="488" t="s">
        <v>309</v>
      </c>
      <c r="D11" s="488" t="s">
        <v>308</v>
      </c>
      <c r="E11" s="488" t="s">
        <v>315</v>
      </c>
      <c r="F11" s="488" t="s">
        <v>313</v>
      </c>
      <c r="G11" s="488" t="s">
        <v>310</v>
      </c>
      <c r="H11" s="488" t="s">
        <v>314</v>
      </c>
      <c r="I11" s="488" t="s">
        <v>317</v>
      </c>
      <c r="J11" s="488" t="s">
        <v>323</v>
      </c>
      <c r="K11" s="488" t="s">
        <v>319</v>
      </c>
      <c r="L11" s="488" t="s">
        <v>320</v>
      </c>
      <c r="M11" s="488" t="s">
        <v>321</v>
      </c>
      <c r="N11" s="488" t="s">
        <v>322</v>
      </c>
      <c r="O11" s="500" t="s">
        <v>318</v>
      </c>
    </row>
    <row r="12" spans="1:15" ht="24" customHeight="1">
      <c r="A12" s="491">
        <v>1</v>
      </c>
      <c r="B12" s="492" t="s">
        <v>306</v>
      </c>
      <c r="C12" s="492">
        <v>800</v>
      </c>
      <c r="D12" s="492">
        <v>40000</v>
      </c>
      <c r="E12" s="493">
        <v>124.65</v>
      </c>
      <c r="F12" s="492">
        <v>99720</v>
      </c>
      <c r="G12" s="492">
        <v>2493000</v>
      </c>
      <c r="H12" s="492">
        <v>29916000</v>
      </c>
      <c r="I12" s="492">
        <v>285</v>
      </c>
      <c r="J12" s="492">
        <v>228000</v>
      </c>
      <c r="K12" s="493">
        <v>160.35</v>
      </c>
      <c r="L12" s="493">
        <v>56.263157894736835</v>
      </c>
      <c r="M12" s="493">
        <f t="shared" si="0"/>
        <v>128280</v>
      </c>
      <c r="N12" s="492">
        <v>3206999.9999999995</v>
      </c>
      <c r="O12" s="494">
        <v>68400000</v>
      </c>
    </row>
    <row r="13" spans="1:15" ht="24" customHeight="1">
      <c r="A13" s="495">
        <v>2</v>
      </c>
      <c r="B13" s="496" t="s">
        <v>307</v>
      </c>
      <c r="C13" s="496">
        <v>800</v>
      </c>
      <c r="D13" s="496">
        <v>40000</v>
      </c>
      <c r="E13" s="497">
        <v>227.6</v>
      </c>
      <c r="F13" s="496">
        <v>182080</v>
      </c>
      <c r="G13" s="496">
        <v>4552000</v>
      </c>
      <c r="H13" s="496">
        <v>54624000</v>
      </c>
      <c r="I13" s="496">
        <v>285</v>
      </c>
      <c r="J13" s="496">
        <v>228000</v>
      </c>
      <c r="K13" s="497">
        <v>57.400000000000006</v>
      </c>
      <c r="L13" s="497">
        <v>20.140350877192983</v>
      </c>
      <c r="M13" s="498">
        <f t="shared" si="0"/>
        <v>45920.000000000007</v>
      </c>
      <c r="N13" s="496">
        <v>1148000</v>
      </c>
      <c r="O13" s="499">
        <v>68400000</v>
      </c>
    </row>
    <row r="14" spans="1:15" ht="15" customHeight="1">
      <c r="A14" s="484" t="s">
        <v>355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6"/>
    </row>
    <row r="15" spans="1:15" ht="24" customHeight="1">
      <c r="A15" s="487" t="s">
        <v>68</v>
      </c>
      <c r="B15" s="488" t="s">
        <v>69</v>
      </c>
      <c r="C15" s="488" t="s">
        <v>309</v>
      </c>
      <c r="D15" s="488" t="s">
        <v>308</v>
      </c>
      <c r="E15" s="488" t="s">
        <v>315</v>
      </c>
      <c r="F15" s="488" t="s">
        <v>311</v>
      </c>
      <c r="G15" s="488" t="s">
        <v>310</v>
      </c>
      <c r="H15" s="488" t="s">
        <v>314</v>
      </c>
      <c r="I15" s="488" t="s">
        <v>317</v>
      </c>
      <c r="J15" s="488" t="s">
        <v>323</v>
      </c>
      <c r="K15" s="488" t="s">
        <v>319</v>
      </c>
      <c r="L15" s="488" t="s">
        <v>320</v>
      </c>
      <c r="M15" s="488" t="s">
        <v>321</v>
      </c>
      <c r="N15" s="488" t="s">
        <v>322</v>
      </c>
      <c r="O15" s="500" t="s">
        <v>318</v>
      </c>
    </row>
    <row r="16" spans="1:15" ht="24" customHeight="1">
      <c r="A16" s="491">
        <v>1</v>
      </c>
      <c r="B16" s="492" t="s">
        <v>306</v>
      </c>
      <c r="C16" s="492">
        <v>400</v>
      </c>
      <c r="D16" s="492">
        <v>20000</v>
      </c>
      <c r="E16" s="493">
        <v>124.65</v>
      </c>
      <c r="F16" s="492">
        <v>49860</v>
      </c>
      <c r="G16" s="492">
        <v>1246500</v>
      </c>
      <c r="H16" s="492">
        <v>14958000</v>
      </c>
      <c r="I16" s="492">
        <v>285</v>
      </c>
      <c r="J16" s="492">
        <v>114000</v>
      </c>
      <c r="K16" s="493">
        <v>160.35</v>
      </c>
      <c r="L16" s="493">
        <v>56.263157894736835</v>
      </c>
      <c r="M16" s="493">
        <f t="shared" si="0"/>
        <v>64140</v>
      </c>
      <c r="N16" s="492">
        <v>1603499.9999999998</v>
      </c>
      <c r="O16" s="494">
        <v>34200000</v>
      </c>
    </row>
    <row r="17" spans="1:15" ht="24" customHeight="1" thickBot="1">
      <c r="A17" s="501">
        <v>2</v>
      </c>
      <c r="B17" s="502" t="s">
        <v>307</v>
      </c>
      <c r="C17" s="502">
        <v>400</v>
      </c>
      <c r="D17" s="502">
        <v>20000</v>
      </c>
      <c r="E17" s="503">
        <v>227.6</v>
      </c>
      <c r="F17" s="502">
        <v>91040</v>
      </c>
      <c r="G17" s="502">
        <v>2276000</v>
      </c>
      <c r="H17" s="502">
        <v>27312000</v>
      </c>
      <c r="I17" s="502">
        <v>285</v>
      </c>
      <c r="J17" s="502">
        <v>114000</v>
      </c>
      <c r="K17" s="503">
        <v>57.400000000000006</v>
      </c>
      <c r="L17" s="503">
        <v>20.140350877192983</v>
      </c>
      <c r="M17" s="504">
        <f t="shared" si="0"/>
        <v>22960.000000000004</v>
      </c>
      <c r="N17" s="502">
        <v>574000</v>
      </c>
      <c r="O17" s="505">
        <v>34200000</v>
      </c>
    </row>
    <row r="18" spans="1:15" ht="15.75" thickBot="1"/>
    <row r="19" spans="1:15" ht="15.75" thickBot="1">
      <c r="A19" s="506" t="s">
        <v>358</v>
      </c>
      <c r="B19" s="507"/>
      <c r="C19" s="507"/>
      <c r="D19" s="507"/>
      <c r="E19" s="507"/>
      <c r="F19" s="507"/>
      <c r="G19" s="507"/>
      <c r="H19" s="507"/>
      <c r="I19" s="507"/>
      <c r="J19" s="508"/>
    </row>
    <row r="20" spans="1:15" ht="68.25" customHeight="1" thickTop="1">
      <c r="A20" s="517" t="s">
        <v>68</v>
      </c>
      <c r="B20" s="518" t="s">
        <v>92</v>
      </c>
      <c r="C20" s="519" t="s">
        <v>291</v>
      </c>
      <c r="D20" s="519" t="s">
        <v>78</v>
      </c>
      <c r="E20" s="519" t="s">
        <v>75</v>
      </c>
      <c r="F20" s="519" t="s">
        <v>97</v>
      </c>
      <c r="G20" s="519" t="s">
        <v>79</v>
      </c>
      <c r="H20" s="519" t="s">
        <v>303</v>
      </c>
      <c r="I20" s="519" t="s">
        <v>80</v>
      </c>
      <c r="J20" s="520" t="s">
        <v>304</v>
      </c>
    </row>
    <row r="21" spans="1:15" ht="16.5" customHeight="1">
      <c r="A21" s="509">
        <v>1</v>
      </c>
      <c r="B21" s="521" t="s">
        <v>71</v>
      </c>
      <c r="C21" s="510">
        <v>1200</v>
      </c>
      <c r="D21" s="510">
        <v>1440</v>
      </c>
      <c r="E21" s="511">
        <v>50</v>
      </c>
      <c r="F21" s="511">
        <f>E21*D27</f>
        <v>129600</v>
      </c>
      <c r="G21" s="511">
        <f>25*E21</f>
        <v>1250</v>
      </c>
      <c r="H21" s="511">
        <f>G21*D27</f>
        <v>3240000</v>
      </c>
      <c r="I21" s="511">
        <f>G21*12</f>
        <v>15000</v>
      </c>
      <c r="J21" s="512">
        <f>I21*D27</f>
        <v>38880000</v>
      </c>
    </row>
    <row r="22" spans="1:15">
      <c r="A22" s="509">
        <v>2</v>
      </c>
      <c r="B22" s="521" t="s">
        <v>72</v>
      </c>
      <c r="C22" s="510">
        <v>150</v>
      </c>
      <c r="D22" s="510">
        <v>625</v>
      </c>
      <c r="E22" s="511"/>
      <c r="F22" s="511"/>
      <c r="G22" s="511"/>
      <c r="H22" s="511"/>
      <c r="I22" s="511"/>
      <c r="J22" s="512"/>
    </row>
    <row r="23" spans="1:15" ht="17.25" customHeight="1">
      <c r="A23" s="509">
        <v>3</v>
      </c>
      <c r="B23" s="521" t="s">
        <v>73</v>
      </c>
      <c r="C23" s="510">
        <v>25</v>
      </c>
      <c r="D23" s="510">
        <v>150</v>
      </c>
      <c r="E23" s="511"/>
      <c r="F23" s="511"/>
      <c r="G23" s="511"/>
      <c r="H23" s="511"/>
      <c r="I23" s="511"/>
      <c r="J23" s="512"/>
    </row>
    <row r="24" spans="1:15">
      <c r="A24" s="509">
        <v>4</v>
      </c>
      <c r="B24" s="521" t="s">
        <v>74</v>
      </c>
      <c r="C24" s="510">
        <v>25</v>
      </c>
      <c r="D24" s="510">
        <v>100</v>
      </c>
      <c r="E24" s="511"/>
      <c r="F24" s="511"/>
      <c r="G24" s="511"/>
      <c r="H24" s="511"/>
      <c r="I24" s="511"/>
      <c r="J24" s="512"/>
    </row>
    <row r="25" spans="1:15">
      <c r="A25" s="509">
        <v>5</v>
      </c>
      <c r="B25" s="521" t="s">
        <v>2</v>
      </c>
      <c r="C25" s="510">
        <v>0</v>
      </c>
      <c r="D25" s="510">
        <v>197</v>
      </c>
      <c r="E25" s="511"/>
      <c r="F25" s="511"/>
      <c r="G25" s="511"/>
      <c r="H25" s="511"/>
      <c r="I25" s="511"/>
      <c r="J25" s="512"/>
    </row>
    <row r="26" spans="1:15">
      <c r="A26" s="509">
        <v>6</v>
      </c>
      <c r="B26" s="521" t="s">
        <v>3</v>
      </c>
      <c r="C26" s="510">
        <v>0</v>
      </c>
      <c r="D26" s="510">
        <v>80</v>
      </c>
      <c r="E26" s="511"/>
      <c r="F26" s="511"/>
      <c r="G26" s="511"/>
      <c r="H26" s="511"/>
      <c r="I26" s="511"/>
      <c r="J26" s="512"/>
    </row>
    <row r="27" spans="1:15" ht="15.75" thickBot="1">
      <c r="A27" s="513">
        <v>7</v>
      </c>
      <c r="B27" s="522" t="s">
        <v>77</v>
      </c>
      <c r="C27" s="514">
        <v>1400</v>
      </c>
      <c r="D27" s="514">
        <v>2592</v>
      </c>
      <c r="E27" s="515"/>
      <c r="F27" s="515"/>
      <c r="G27" s="515"/>
      <c r="H27" s="515"/>
      <c r="I27" s="515"/>
      <c r="J27" s="516"/>
    </row>
  </sheetData>
  <mergeCells count="11">
    <mergeCell ref="J21:J27"/>
    <mergeCell ref="E21:E27"/>
    <mergeCell ref="F21:F27"/>
    <mergeCell ref="G21:G27"/>
    <mergeCell ref="H21:H27"/>
    <mergeCell ref="I21:I27"/>
    <mergeCell ref="A2:O2"/>
    <mergeCell ref="A6:O6"/>
    <mergeCell ref="A10:O10"/>
    <mergeCell ref="A14:O14"/>
    <mergeCell ref="A19:J19"/>
  </mergeCells>
  <pageMargins left="0.31496062992125984" right="0.31496062992125984" top="0.47244094488188981" bottom="0.43307086614173229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3"/>
  <sheetViews>
    <sheetView topLeftCell="B1" zoomScale="175" zoomScaleNormal="175" workbookViewId="0">
      <selection activeCell="I23" sqref="I23"/>
    </sheetView>
  </sheetViews>
  <sheetFormatPr defaultRowHeight="15"/>
  <cols>
    <col min="1" max="1" width="8.42578125" customWidth="1"/>
    <col min="2" max="3" width="8.5703125" customWidth="1"/>
    <col min="4" max="4" width="13.42578125" customWidth="1"/>
    <col min="5" max="5" width="11.85546875" customWidth="1"/>
    <col min="6" max="6" width="13.5703125" customWidth="1"/>
    <col min="7" max="7" width="13.28515625" customWidth="1"/>
    <col min="8" max="9" width="9.28515625" bestFit="1" customWidth="1"/>
    <col min="10" max="10" width="13" customWidth="1"/>
    <col min="11" max="11" width="8.140625" customWidth="1"/>
    <col min="12" max="12" width="8.85546875" customWidth="1"/>
    <col min="13" max="13" width="9.85546875" customWidth="1"/>
    <col min="14" max="14" width="12.140625" customWidth="1"/>
    <col min="15" max="19" width="11.140625" customWidth="1"/>
    <col min="20" max="21" width="9.28515625" bestFit="1" customWidth="1"/>
    <col min="22" max="22" width="9.5703125" bestFit="1" customWidth="1"/>
    <col min="23" max="23" width="11.42578125" customWidth="1"/>
    <col min="24" max="24" width="8.85546875" customWidth="1"/>
  </cols>
  <sheetData>
    <row r="1" spans="1:24" ht="30" customHeight="1">
      <c r="A1" s="359" t="s">
        <v>0</v>
      </c>
      <c r="B1" s="359" t="s">
        <v>1</v>
      </c>
      <c r="C1" s="359" t="s">
        <v>4</v>
      </c>
      <c r="D1" s="359" t="s">
        <v>22</v>
      </c>
      <c r="E1" s="359" t="s">
        <v>23</v>
      </c>
      <c r="F1" s="348" t="s">
        <v>43</v>
      </c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</row>
    <row r="2" spans="1:24" ht="36" customHeight="1" thickBot="1">
      <c r="A2" s="359"/>
      <c r="B2" s="359"/>
      <c r="C2" s="359"/>
      <c r="D2" s="359"/>
      <c r="E2" s="359"/>
      <c r="F2" s="2" t="s">
        <v>11</v>
      </c>
      <c r="G2" s="3" t="s">
        <v>12</v>
      </c>
      <c r="H2" s="2" t="s">
        <v>13</v>
      </c>
      <c r="I2" s="2" t="s">
        <v>14</v>
      </c>
      <c r="J2" s="2" t="s">
        <v>24</v>
      </c>
      <c r="K2" s="350" t="s">
        <v>2</v>
      </c>
      <c r="L2" s="350" t="s">
        <v>3</v>
      </c>
      <c r="M2" s="353" t="s">
        <v>26</v>
      </c>
      <c r="N2" s="353" t="s">
        <v>16</v>
      </c>
      <c r="O2" s="353" t="s">
        <v>17</v>
      </c>
      <c r="P2" s="353" t="s">
        <v>18</v>
      </c>
      <c r="Q2" s="353" t="s">
        <v>19</v>
      </c>
      <c r="R2" s="353" t="s">
        <v>20</v>
      </c>
      <c r="S2" s="353" t="s">
        <v>21</v>
      </c>
      <c r="T2" s="353" t="s">
        <v>5</v>
      </c>
      <c r="U2" s="353" t="s">
        <v>6</v>
      </c>
      <c r="V2" s="353" t="s">
        <v>7</v>
      </c>
      <c r="W2" s="355" t="s">
        <v>8</v>
      </c>
      <c r="X2" s="352" t="s">
        <v>9</v>
      </c>
    </row>
    <row r="3" spans="1:24" ht="21" customHeight="1" thickTop="1" thickBot="1">
      <c r="A3" s="360">
        <v>800</v>
      </c>
      <c r="B3" s="360">
        <f>50*A3</f>
        <v>40000</v>
      </c>
      <c r="C3" s="360">
        <f>A3*285</f>
        <v>228000</v>
      </c>
      <c r="D3" s="360">
        <f>A3*25</f>
        <v>20000</v>
      </c>
      <c r="E3" s="357">
        <f>D3*12</f>
        <v>240000</v>
      </c>
      <c r="F3" s="4" t="s">
        <v>10</v>
      </c>
      <c r="G3" s="5">
        <f>70%*B3</f>
        <v>28000</v>
      </c>
      <c r="H3" s="5">
        <f>30%*B3</f>
        <v>12000</v>
      </c>
      <c r="I3" s="5">
        <f>5%*B3</f>
        <v>2000</v>
      </c>
      <c r="J3" s="5">
        <v>800</v>
      </c>
      <c r="K3" s="351"/>
      <c r="L3" s="351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6"/>
      <c r="X3" s="352"/>
    </row>
    <row r="4" spans="1:24" ht="16.5" thickTop="1" thickBot="1">
      <c r="A4" s="360"/>
      <c r="B4" s="360"/>
      <c r="C4" s="360"/>
      <c r="D4" s="360"/>
      <c r="E4" s="358"/>
      <c r="F4" s="6" t="s">
        <v>15</v>
      </c>
      <c r="G4" s="7">
        <f>5100*G3/1000</f>
        <v>142800</v>
      </c>
      <c r="H4" s="7">
        <f>1100*H3/1000</f>
        <v>13200</v>
      </c>
      <c r="I4" s="7">
        <f>750*I3/1000</f>
        <v>1500</v>
      </c>
      <c r="J4" s="7">
        <f>23*J3</f>
        <v>18400</v>
      </c>
      <c r="K4" s="7">
        <v>10000</v>
      </c>
      <c r="L4" s="7">
        <v>4000</v>
      </c>
      <c r="M4" s="7">
        <v>23000</v>
      </c>
      <c r="N4" s="8">
        <f>SUM(G4:M4)</f>
        <v>212900</v>
      </c>
      <c r="O4" s="9">
        <f>N4*25</f>
        <v>5322500</v>
      </c>
      <c r="P4" s="10">
        <f>O4*12</f>
        <v>63870000</v>
      </c>
      <c r="Q4" s="10">
        <f>A3*285</f>
        <v>228000</v>
      </c>
      <c r="R4" s="10">
        <f>Q4*25</f>
        <v>5700000</v>
      </c>
      <c r="S4" s="10">
        <f>R4*12</f>
        <v>68400000</v>
      </c>
      <c r="T4" s="11">
        <f>C3-N4</f>
        <v>15100</v>
      </c>
      <c r="U4" s="11">
        <f>T4*25</f>
        <v>377500</v>
      </c>
      <c r="V4" s="11">
        <f>U4*12</f>
        <v>4530000</v>
      </c>
      <c r="W4" s="12">
        <f>C3*25*12</f>
        <v>68400000</v>
      </c>
      <c r="X4" s="13">
        <f>V4/W4*100</f>
        <v>6.6228070175438596</v>
      </c>
    </row>
    <row r="5" spans="1:24" ht="15.75" thickTop="1"/>
    <row r="6" spans="1:24">
      <c r="T6" s="1"/>
      <c r="V6" s="1"/>
    </row>
    <row r="13" spans="1:24">
      <c r="O13" t="s">
        <v>25</v>
      </c>
    </row>
  </sheetData>
  <mergeCells count="25">
    <mergeCell ref="D1:D2"/>
    <mergeCell ref="D3:D4"/>
    <mergeCell ref="A1:A2"/>
    <mergeCell ref="B1:B2"/>
    <mergeCell ref="C1:C2"/>
    <mergeCell ref="A3:A4"/>
    <mergeCell ref="B3:B4"/>
    <mergeCell ref="C3:C4"/>
    <mergeCell ref="X2:X3"/>
    <mergeCell ref="F1:X1"/>
    <mergeCell ref="O2:O3"/>
    <mergeCell ref="P2:P3"/>
    <mergeCell ref="Q2:Q3"/>
    <mergeCell ref="R2:R3"/>
    <mergeCell ref="S2:S3"/>
    <mergeCell ref="N2:N3"/>
    <mergeCell ref="K2:K3"/>
    <mergeCell ref="L2:L3"/>
    <mergeCell ref="M2:M3"/>
    <mergeCell ref="T2:T3"/>
    <mergeCell ref="E1:E2"/>
    <mergeCell ref="E3:E4"/>
    <mergeCell ref="U2:U3"/>
    <mergeCell ref="V2:V3"/>
    <mergeCell ref="W2:W3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"/>
  <sheetViews>
    <sheetView zoomScale="150" zoomScaleNormal="150" workbookViewId="0">
      <selection activeCell="E15" sqref="E15"/>
    </sheetView>
  </sheetViews>
  <sheetFormatPr defaultRowHeight="15"/>
  <cols>
    <col min="12" max="12" width="9.85546875" customWidth="1"/>
  </cols>
  <sheetData>
    <row r="1" spans="1:15" ht="15" customHeight="1">
      <c r="A1" s="348" t="s">
        <v>27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ht="39.75" customHeight="1">
      <c r="A2" s="2" t="s">
        <v>11</v>
      </c>
      <c r="B2" s="2" t="s">
        <v>28</v>
      </c>
      <c r="C2" s="2" t="s">
        <v>29</v>
      </c>
      <c r="D2" s="2" t="s">
        <v>30</v>
      </c>
      <c r="E2" s="2" t="s">
        <v>31</v>
      </c>
      <c r="F2" s="350" t="s">
        <v>2</v>
      </c>
      <c r="G2" s="350" t="s">
        <v>3</v>
      </c>
      <c r="H2" s="353" t="s">
        <v>35</v>
      </c>
      <c r="I2" s="353" t="s">
        <v>32</v>
      </c>
      <c r="J2" s="353" t="s">
        <v>34</v>
      </c>
      <c r="K2" s="353" t="s">
        <v>33</v>
      </c>
      <c r="L2" s="353" t="s">
        <v>26</v>
      </c>
      <c r="M2" s="353" t="s">
        <v>16</v>
      </c>
      <c r="N2" s="353" t="s">
        <v>17</v>
      </c>
      <c r="O2" s="353" t="s">
        <v>18</v>
      </c>
    </row>
    <row r="3" spans="1:15">
      <c r="A3" s="4" t="s">
        <v>10</v>
      </c>
      <c r="B3" s="5">
        <v>1200</v>
      </c>
      <c r="C3" s="5">
        <v>150</v>
      </c>
      <c r="D3" s="5">
        <v>25</v>
      </c>
      <c r="E3" s="5">
        <v>25</v>
      </c>
      <c r="F3" s="351"/>
      <c r="G3" s="351"/>
      <c r="H3" s="354"/>
      <c r="I3" s="354"/>
      <c r="J3" s="354"/>
      <c r="K3" s="354"/>
      <c r="L3" s="354"/>
      <c r="M3" s="354"/>
      <c r="N3" s="354"/>
      <c r="O3" s="354"/>
    </row>
    <row r="4" spans="1:15">
      <c r="A4" s="6" t="s">
        <v>15</v>
      </c>
      <c r="B4" s="7">
        <f>1200*B3/1000</f>
        <v>1440</v>
      </c>
      <c r="C4" s="7">
        <f>C3*4167/1000</f>
        <v>625.04999999999995</v>
      </c>
      <c r="D4" s="7">
        <f>6000*D3/1000</f>
        <v>150</v>
      </c>
      <c r="E4" s="7">
        <f>4000*E3/1000</f>
        <v>100</v>
      </c>
      <c r="F4" s="7">
        <v>20</v>
      </c>
      <c r="G4" s="7">
        <v>80</v>
      </c>
      <c r="H4" s="7">
        <f>SUM(B4:G4)</f>
        <v>2415.0500000000002</v>
      </c>
      <c r="I4" s="7">
        <v>50</v>
      </c>
      <c r="J4" s="7">
        <f>I4*25</f>
        <v>1250</v>
      </c>
      <c r="K4" s="7">
        <f>J4*12</f>
        <v>15000</v>
      </c>
      <c r="L4" s="7">
        <v>23000</v>
      </c>
      <c r="M4" s="8">
        <f>H4*I4</f>
        <v>120752.50000000001</v>
      </c>
      <c r="N4" s="9">
        <f>M4*25</f>
        <v>3018812.5000000005</v>
      </c>
      <c r="O4" s="10">
        <f>N4*12</f>
        <v>36225750.000000007</v>
      </c>
    </row>
  </sheetData>
  <mergeCells count="11">
    <mergeCell ref="A1:O1"/>
    <mergeCell ref="F2:F3"/>
    <mergeCell ref="G2:G3"/>
    <mergeCell ref="L2:L3"/>
    <mergeCell ref="M2:M3"/>
    <mergeCell ref="I2:I3"/>
    <mergeCell ref="J2:J3"/>
    <mergeCell ref="K2:K3"/>
    <mergeCell ref="H2:H3"/>
    <mergeCell ref="N2:N3"/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zoomScale="150" zoomScaleNormal="150" workbookViewId="0">
      <pane xSplit="1" topLeftCell="B1" activePane="topRight" state="frozen"/>
      <selection activeCell="I23" sqref="I23"/>
      <selection pane="topRight" activeCell="I23" sqref="I23"/>
    </sheetView>
  </sheetViews>
  <sheetFormatPr defaultRowHeight="15"/>
  <cols>
    <col min="2" max="9" width="14.7109375" customWidth="1"/>
    <col min="10" max="10" width="15.42578125" customWidth="1"/>
  </cols>
  <sheetData>
    <row r="1" spans="1:10" ht="36" customHeight="1" thickBot="1">
      <c r="A1" s="22"/>
      <c r="B1" s="361" t="s">
        <v>46</v>
      </c>
      <c r="C1" s="361"/>
      <c r="D1" s="362"/>
      <c r="E1" s="363" t="s">
        <v>47</v>
      </c>
      <c r="F1" s="364"/>
      <c r="G1" s="365"/>
      <c r="H1" s="363" t="s">
        <v>48</v>
      </c>
      <c r="I1" s="364"/>
      <c r="J1" s="366"/>
    </row>
    <row r="2" spans="1:10" ht="24">
      <c r="A2" s="22"/>
      <c r="B2" s="34" t="s">
        <v>52</v>
      </c>
      <c r="C2" s="2" t="s">
        <v>53</v>
      </c>
      <c r="D2" s="2" t="s">
        <v>54</v>
      </c>
      <c r="E2" s="2" t="s">
        <v>52</v>
      </c>
      <c r="F2" s="2" t="s">
        <v>53</v>
      </c>
      <c r="G2" s="2" t="s">
        <v>54</v>
      </c>
      <c r="H2" s="2" t="s">
        <v>52</v>
      </c>
      <c r="I2" s="2" t="s">
        <v>53</v>
      </c>
      <c r="J2" s="2" t="s">
        <v>54</v>
      </c>
    </row>
    <row r="3" spans="1:10">
      <c r="A3" s="22"/>
      <c r="B3" s="28">
        <v>120752.50000000001</v>
      </c>
      <c r="C3" s="24">
        <v>3018812.5000000005</v>
      </c>
      <c r="D3" s="24">
        <v>36225750.000000007</v>
      </c>
      <c r="E3" s="24">
        <v>212900</v>
      </c>
      <c r="F3" s="24">
        <v>5322500</v>
      </c>
      <c r="G3" s="25">
        <v>63870000</v>
      </c>
      <c r="H3" s="24">
        <v>135520</v>
      </c>
      <c r="I3" s="24">
        <v>3388000</v>
      </c>
      <c r="J3" s="24">
        <v>40656000</v>
      </c>
    </row>
    <row r="4" spans="1:10" ht="24.75">
      <c r="A4" s="22"/>
      <c r="B4" s="35" t="s">
        <v>32</v>
      </c>
      <c r="C4" s="32" t="s">
        <v>34</v>
      </c>
      <c r="D4" s="32" t="s">
        <v>33</v>
      </c>
      <c r="E4" s="2" t="s">
        <v>58</v>
      </c>
      <c r="F4" s="2" t="s">
        <v>59</v>
      </c>
      <c r="G4" s="2" t="s">
        <v>60</v>
      </c>
      <c r="H4" s="2" t="s">
        <v>49</v>
      </c>
      <c r="I4" s="2" t="s">
        <v>50</v>
      </c>
      <c r="J4" s="2" t="s">
        <v>51</v>
      </c>
    </row>
    <row r="5" spans="1:10">
      <c r="A5" s="22"/>
      <c r="B5" s="29">
        <v>50</v>
      </c>
      <c r="C5" s="23">
        <v>1250</v>
      </c>
      <c r="D5" s="23">
        <v>15000</v>
      </c>
      <c r="E5" s="24">
        <v>40000</v>
      </c>
      <c r="F5" s="24">
        <f>E5*25</f>
        <v>1000000</v>
      </c>
      <c r="G5" s="24">
        <f>F5*12</f>
        <v>12000000</v>
      </c>
      <c r="H5" s="24">
        <v>40000</v>
      </c>
      <c r="I5" s="24">
        <f>H5*25</f>
        <v>1000000</v>
      </c>
      <c r="J5" s="24">
        <f>I5*12</f>
        <v>12000000</v>
      </c>
    </row>
    <row r="6" spans="1:10" ht="24.75">
      <c r="A6" s="22"/>
      <c r="B6" s="34" t="s">
        <v>65</v>
      </c>
      <c r="C6" s="2" t="s">
        <v>65</v>
      </c>
      <c r="D6" s="2" t="s">
        <v>65</v>
      </c>
      <c r="E6" s="32" t="s">
        <v>55</v>
      </c>
      <c r="F6" s="32" t="s">
        <v>56</v>
      </c>
      <c r="G6" s="32" t="s">
        <v>57</v>
      </c>
      <c r="H6" s="32" t="s">
        <v>55</v>
      </c>
      <c r="I6" s="32" t="s">
        <v>56</v>
      </c>
      <c r="J6" s="32" t="s">
        <v>57</v>
      </c>
    </row>
    <row r="7" spans="1:10">
      <c r="A7" s="22"/>
      <c r="B7" s="30">
        <f>B3/B5</f>
        <v>2415.0500000000002</v>
      </c>
      <c r="C7" s="26">
        <f>C3/C5</f>
        <v>2415.0500000000002</v>
      </c>
      <c r="D7" s="26">
        <f>D3/D5</f>
        <v>2415.0500000000006</v>
      </c>
      <c r="E7" s="24">
        <f t="shared" ref="E7:J7" si="0">E5/50</f>
        <v>800</v>
      </c>
      <c r="F7" s="24">
        <f t="shared" si="0"/>
        <v>20000</v>
      </c>
      <c r="G7" s="24">
        <f t="shared" si="0"/>
        <v>240000</v>
      </c>
      <c r="H7" s="24">
        <f t="shared" si="0"/>
        <v>800</v>
      </c>
      <c r="I7" s="24">
        <f t="shared" si="0"/>
        <v>20000</v>
      </c>
      <c r="J7" s="24">
        <f t="shared" si="0"/>
        <v>240000</v>
      </c>
    </row>
    <row r="8" spans="1:10">
      <c r="A8" s="22"/>
      <c r="B8" s="30">
        <v>0</v>
      </c>
      <c r="C8" s="26">
        <v>0</v>
      </c>
      <c r="D8" s="26">
        <v>0</v>
      </c>
      <c r="E8" s="32" t="s">
        <v>66</v>
      </c>
      <c r="F8" s="32" t="s">
        <v>66</v>
      </c>
      <c r="G8" s="32" t="s">
        <v>66</v>
      </c>
      <c r="H8" s="32" t="s">
        <v>66</v>
      </c>
      <c r="I8" s="32" t="s">
        <v>66</v>
      </c>
      <c r="J8" s="32" t="s">
        <v>66</v>
      </c>
    </row>
    <row r="9" spans="1:10">
      <c r="A9" s="22"/>
      <c r="B9" s="30">
        <v>0</v>
      </c>
      <c r="C9" s="26">
        <v>0</v>
      </c>
      <c r="D9" s="26">
        <v>0</v>
      </c>
      <c r="E9" s="24">
        <f>E3/E7</f>
        <v>266.125</v>
      </c>
      <c r="F9" s="24">
        <f>F7*E9</f>
        <v>5322500</v>
      </c>
      <c r="G9" s="24">
        <f>G7*E9</f>
        <v>63870000</v>
      </c>
      <c r="H9" s="24">
        <f>H3/H7</f>
        <v>169.4</v>
      </c>
      <c r="I9" s="24">
        <f>I7*H9</f>
        <v>3388000</v>
      </c>
      <c r="J9" s="24">
        <f>J7*H9</f>
        <v>40656000</v>
      </c>
    </row>
    <row r="10" spans="1:10">
      <c r="A10" s="22"/>
      <c r="B10" s="30"/>
      <c r="C10" s="26"/>
      <c r="D10" s="26"/>
      <c r="E10" s="36" t="s">
        <v>67</v>
      </c>
      <c r="F10" s="36" t="s">
        <v>67</v>
      </c>
      <c r="G10" s="36" t="s">
        <v>67</v>
      </c>
      <c r="H10" s="36" t="s">
        <v>67</v>
      </c>
      <c r="I10" s="36" t="s">
        <v>67</v>
      </c>
      <c r="J10" s="36" t="s">
        <v>67</v>
      </c>
    </row>
    <row r="11" spans="1:10">
      <c r="A11" s="22"/>
      <c r="B11" s="30"/>
      <c r="C11" s="26"/>
      <c r="D11" s="26"/>
      <c r="E11" s="37">
        <f t="shared" ref="E11:J11" si="1">E7*285</f>
        <v>228000</v>
      </c>
      <c r="F11" s="37">
        <f t="shared" si="1"/>
        <v>5700000</v>
      </c>
      <c r="G11" s="37">
        <f t="shared" si="1"/>
        <v>68400000</v>
      </c>
      <c r="H11" s="37">
        <f t="shared" si="1"/>
        <v>228000</v>
      </c>
      <c r="I11" s="37">
        <f t="shared" si="1"/>
        <v>5700000</v>
      </c>
      <c r="J11" s="37">
        <f t="shared" si="1"/>
        <v>68400000</v>
      </c>
    </row>
    <row r="12" spans="1:10">
      <c r="A12" s="22"/>
      <c r="B12" s="30"/>
      <c r="C12" s="26"/>
      <c r="D12" s="26"/>
      <c r="E12" s="33" t="s">
        <v>61</v>
      </c>
      <c r="F12" s="33" t="s">
        <v>6</v>
      </c>
      <c r="G12" s="33" t="s">
        <v>7</v>
      </c>
      <c r="H12" s="33" t="s">
        <v>61</v>
      </c>
      <c r="I12" s="33" t="s">
        <v>6</v>
      </c>
      <c r="J12" s="33" t="s">
        <v>7</v>
      </c>
    </row>
    <row r="13" spans="1:10">
      <c r="A13" s="22"/>
      <c r="B13" s="30"/>
      <c r="C13" s="26"/>
      <c r="D13" s="26"/>
      <c r="E13" s="22">
        <f t="shared" ref="E13:J13" si="2">E11-E3</f>
        <v>15100</v>
      </c>
      <c r="F13" s="22">
        <f t="shared" si="2"/>
        <v>377500</v>
      </c>
      <c r="G13" s="22">
        <f t="shared" si="2"/>
        <v>4530000</v>
      </c>
      <c r="H13" s="22">
        <f t="shared" si="2"/>
        <v>92480</v>
      </c>
      <c r="I13" s="22">
        <f t="shared" si="2"/>
        <v>2312000</v>
      </c>
      <c r="J13" s="22">
        <f t="shared" si="2"/>
        <v>27744000</v>
      </c>
    </row>
    <row r="14" spans="1:10">
      <c r="A14" s="22"/>
      <c r="B14" s="30">
        <v>0</v>
      </c>
      <c r="C14" s="26">
        <v>0</v>
      </c>
      <c r="D14" s="26">
        <v>0</v>
      </c>
      <c r="E14" s="33" t="s">
        <v>62</v>
      </c>
      <c r="F14" s="33" t="s">
        <v>63</v>
      </c>
      <c r="G14" s="33" t="s">
        <v>64</v>
      </c>
      <c r="H14" s="33" t="s">
        <v>62</v>
      </c>
      <c r="I14" s="33" t="s">
        <v>63</v>
      </c>
      <c r="J14" s="33" t="s">
        <v>63</v>
      </c>
    </row>
    <row r="15" spans="1:10">
      <c r="A15" s="22"/>
      <c r="B15" s="30">
        <v>0</v>
      </c>
      <c r="C15" s="26">
        <v>0</v>
      </c>
      <c r="D15" s="26">
        <v>0</v>
      </c>
      <c r="E15" s="38">
        <f t="shared" ref="E15:J15" si="3">E13/E3*100</f>
        <v>7.0925317050258343</v>
      </c>
      <c r="F15" s="38">
        <f t="shared" si="3"/>
        <v>7.0925317050258343</v>
      </c>
      <c r="G15" s="38">
        <f t="shared" si="3"/>
        <v>7.0925317050258343</v>
      </c>
      <c r="H15" s="38">
        <f t="shared" si="3"/>
        <v>68.240850059031871</v>
      </c>
      <c r="I15" s="38">
        <f t="shared" si="3"/>
        <v>68.240850059031871</v>
      </c>
      <c r="J15" s="38">
        <f t="shared" si="3"/>
        <v>68.240850059031871</v>
      </c>
    </row>
    <row r="16" spans="1:10">
      <c r="A16" s="22"/>
      <c r="B16" s="31">
        <v>0</v>
      </c>
      <c r="C16" s="22">
        <v>0</v>
      </c>
      <c r="D16" s="22">
        <v>0</v>
      </c>
      <c r="E16" s="27"/>
      <c r="F16" s="27"/>
      <c r="G16" s="27"/>
      <c r="H16" s="27"/>
      <c r="I16" s="27"/>
      <c r="J16" s="27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18"/>
  <sheetViews>
    <sheetView topLeftCell="A43" workbookViewId="0">
      <selection activeCell="B1" sqref="B1:K9"/>
    </sheetView>
  </sheetViews>
  <sheetFormatPr defaultRowHeight="11.25"/>
  <cols>
    <col min="1" max="1" width="9.140625" style="49"/>
    <col min="2" max="2" width="6.7109375" style="49" customWidth="1"/>
    <col min="3" max="3" width="16.5703125" style="49" customWidth="1"/>
    <col min="4" max="4" width="10" style="49" customWidth="1"/>
    <col min="5" max="5" width="9.42578125" style="49" customWidth="1"/>
    <col min="6" max="6" width="10.28515625" style="49" customWidth="1"/>
    <col min="7" max="7" width="9.85546875" style="49" customWidth="1"/>
    <col min="8" max="8" width="10" style="49" customWidth="1"/>
    <col min="9" max="9" width="11.7109375" style="49" customWidth="1"/>
    <col min="10" max="10" width="10.28515625" style="49" customWidth="1"/>
    <col min="11" max="11" width="8.140625" style="49" customWidth="1"/>
    <col min="12" max="12" width="8.42578125" style="49" customWidth="1"/>
    <col min="13" max="13" width="10.140625" style="49" customWidth="1"/>
    <col min="14" max="14" width="10.42578125" style="49" customWidth="1"/>
    <col min="15" max="15" width="10.85546875" style="49" bestFit="1" customWidth="1"/>
    <col min="16" max="16" width="12" style="49" bestFit="1" customWidth="1"/>
    <col min="17" max="16384" width="9.140625" style="49"/>
  </cols>
  <sheetData>
    <row r="1" spans="2:11" ht="15.75" thickBot="1">
      <c r="B1" s="378" t="s">
        <v>105</v>
      </c>
      <c r="C1" s="379"/>
      <c r="D1" s="379"/>
      <c r="E1" s="379"/>
      <c r="F1" s="379"/>
      <c r="G1" s="379"/>
      <c r="H1" s="379"/>
      <c r="I1" s="379"/>
      <c r="J1" s="379"/>
      <c r="K1" s="380"/>
    </row>
    <row r="2" spans="2:11" ht="58.5" customHeight="1" thickTop="1">
      <c r="B2" s="68" t="s">
        <v>68</v>
      </c>
      <c r="C2" s="69" t="s">
        <v>92</v>
      </c>
      <c r="D2" s="70" t="s">
        <v>291</v>
      </c>
      <c r="E2" s="70" t="s">
        <v>78</v>
      </c>
      <c r="F2" s="70" t="s">
        <v>75</v>
      </c>
      <c r="G2" s="70" t="s">
        <v>97</v>
      </c>
      <c r="H2" s="70" t="s">
        <v>79</v>
      </c>
      <c r="I2" s="70" t="s">
        <v>303</v>
      </c>
      <c r="J2" s="70" t="s">
        <v>80</v>
      </c>
      <c r="K2" s="71" t="s">
        <v>304</v>
      </c>
    </row>
    <row r="3" spans="2:11">
      <c r="B3" s="53">
        <v>1</v>
      </c>
      <c r="C3" s="41" t="s">
        <v>71</v>
      </c>
      <c r="D3" s="41">
        <v>1200</v>
      </c>
      <c r="E3" s="41">
        <v>1440</v>
      </c>
      <c r="F3" s="387">
        <v>50</v>
      </c>
      <c r="G3" s="387">
        <f>F3*E9</f>
        <v>129600</v>
      </c>
      <c r="H3" s="387">
        <f>25*F3</f>
        <v>1250</v>
      </c>
      <c r="I3" s="387">
        <f>H3*E9</f>
        <v>3240000</v>
      </c>
      <c r="J3" s="387">
        <f>H3*12</f>
        <v>15000</v>
      </c>
      <c r="K3" s="389">
        <f>J3*E9</f>
        <v>38880000</v>
      </c>
    </row>
    <row r="4" spans="2:11">
      <c r="B4" s="53">
        <v>2</v>
      </c>
      <c r="C4" s="41" t="s">
        <v>72</v>
      </c>
      <c r="D4" s="41">
        <v>150</v>
      </c>
      <c r="E4" s="41">
        <v>625</v>
      </c>
      <c r="F4" s="387"/>
      <c r="G4" s="387"/>
      <c r="H4" s="387"/>
      <c r="I4" s="387"/>
      <c r="J4" s="387"/>
      <c r="K4" s="389"/>
    </row>
    <row r="5" spans="2:11">
      <c r="B5" s="53">
        <v>3</v>
      </c>
      <c r="C5" s="41" t="s">
        <v>73</v>
      </c>
      <c r="D5" s="41">
        <v>25</v>
      </c>
      <c r="E5" s="41">
        <v>150</v>
      </c>
      <c r="F5" s="387"/>
      <c r="G5" s="387"/>
      <c r="H5" s="387"/>
      <c r="I5" s="387"/>
      <c r="J5" s="387"/>
      <c r="K5" s="389"/>
    </row>
    <row r="6" spans="2:11">
      <c r="B6" s="53">
        <v>4</v>
      </c>
      <c r="C6" s="41" t="s">
        <v>74</v>
      </c>
      <c r="D6" s="41">
        <v>25</v>
      </c>
      <c r="E6" s="41">
        <v>100</v>
      </c>
      <c r="F6" s="387"/>
      <c r="G6" s="387"/>
      <c r="H6" s="387"/>
      <c r="I6" s="387"/>
      <c r="J6" s="387"/>
      <c r="K6" s="389"/>
    </row>
    <row r="7" spans="2:11">
      <c r="B7" s="53">
        <v>5</v>
      </c>
      <c r="C7" s="41" t="s">
        <v>2</v>
      </c>
      <c r="D7" s="41">
        <v>0</v>
      </c>
      <c r="E7" s="41">
        <v>197</v>
      </c>
      <c r="F7" s="387"/>
      <c r="G7" s="387"/>
      <c r="H7" s="387"/>
      <c r="I7" s="387"/>
      <c r="J7" s="387"/>
      <c r="K7" s="389"/>
    </row>
    <row r="8" spans="2:11">
      <c r="B8" s="53">
        <v>6</v>
      </c>
      <c r="C8" s="41" t="s">
        <v>3</v>
      </c>
      <c r="D8" s="41">
        <v>0</v>
      </c>
      <c r="E8" s="41">
        <v>80</v>
      </c>
      <c r="F8" s="387"/>
      <c r="G8" s="387"/>
      <c r="H8" s="387"/>
      <c r="I8" s="387"/>
      <c r="J8" s="387"/>
      <c r="K8" s="389"/>
    </row>
    <row r="9" spans="2:11" ht="12" thickBot="1">
      <c r="B9" s="54">
        <v>7</v>
      </c>
      <c r="C9" s="46" t="s">
        <v>77</v>
      </c>
      <c r="D9" s="46">
        <v>1400</v>
      </c>
      <c r="E9" s="46">
        <v>2592</v>
      </c>
      <c r="F9" s="388"/>
      <c r="G9" s="388"/>
      <c r="H9" s="388"/>
      <c r="I9" s="388"/>
      <c r="J9" s="388"/>
      <c r="K9" s="390"/>
    </row>
    <row r="10" spans="2:11">
      <c r="B10" s="56"/>
      <c r="C10" s="57"/>
      <c r="D10" s="57"/>
      <c r="E10" s="57"/>
      <c r="F10" s="86"/>
      <c r="G10" s="86"/>
      <c r="H10" s="86"/>
      <c r="I10" s="86"/>
      <c r="J10" s="86"/>
      <c r="K10" s="86"/>
    </row>
    <row r="11" spans="2:11" ht="12" thickBot="1">
      <c r="B11" s="56"/>
      <c r="C11" s="57"/>
      <c r="D11" s="57"/>
      <c r="E11" s="57"/>
      <c r="F11" s="86"/>
      <c r="G11" s="86"/>
      <c r="H11" s="86"/>
      <c r="I11" s="86"/>
      <c r="J11" s="86"/>
      <c r="K11" s="86"/>
    </row>
    <row r="12" spans="2:11" ht="15.75" thickBot="1">
      <c r="B12" s="378" t="s">
        <v>302</v>
      </c>
      <c r="C12" s="379"/>
      <c r="D12" s="379"/>
      <c r="E12" s="379"/>
      <c r="F12" s="379"/>
      <c r="G12" s="379"/>
      <c r="H12" s="379"/>
      <c r="I12" s="379"/>
      <c r="J12" s="379"/>
      <c r="K12" s="380"/>
    </row>
    <row r="13" spans="2:11" ht="64.5" customHeight="1" thickTop="1">
      <c r="B13" s="50" t="s">
        <v>68</v>
      </c>
      <c r="C13" s="51" t="s">
        <v>91</v>
      </c>
      <c r="D13" s="51" t="s">
        <v>82</v>
      </c>
      <c r="E13" s="51" t="s">
        <v>83</v>
      </c>
      <c r="F13" s="51" t="s">
        <v>84</v>
      </c>
      <c r="G13" s="51" t="s">
        <v>76</v>
      </c>
      <c r="H13" s="51" t="s">
        <v>85</v>
      </c>
      <c r="I13" s="51" t="s">
        <v>76</v>
      </c>
      <c r="J13" s="51" t="s">
        <v>86</v>
      </c>
      <c r="K13" s="52" t="s">
        <v>76</v>
      </c>
    </row>
    <row r="14" spans="2:11">
      <c r="B14" s="53">
        <v>1</v>
      </c>
      <c r="C14" s="41" t="s">
        <v>87</v>
      </c>
      <c r="D14" s="41">
        <v>700</v>
      </c>
      <c r="E14" s="41">
        <f>D14*E9/1000</f>
        <v>1814.4</v>
      </c>
      <c r="F14" s="381">
        <v>40</v>
      </c>
      <c r="G14" s="381">
        <f>F14*E20</f>
        <v>99720</v>
      </c>
      <c r="H14" s="381">
        <f>F14*25</f>
        <v>1000</v>
      </c>
      <c r="I14" s="381">
        <f>H14*E20</f>
        <v>2493000</v>
      </c>
      <c r="J14" s="381">
        <f>H14*12</f>
        <v>12000</v>
      </c>
      <c r="K14" s="384">
        <f>J14*E20</f>
        <v>29916000</v>
      </c>
    </row>
    <row r="15" spans="2:11">
      <c r="B15" s="53">
        <v>2</v>
      </c>
      <c r="C15" s="41" t="s">
        <v>88</v>
      </c>
      <c r="D15" s="41">
        <v>250</v>
      </c>
      <c r="E15" s="41">
        <f>D15*110/1000</f>
        <v>27.5</v>
      </c>
      <c r="F15" s="382"/>
      <c r="G15" s="382"/>
      <c r="H15" s="382"/>
      <c r="I15" s="382"/>
      <c r="J15" s="382"/>
      <c r="K15" s="385"/>
    </row>
    <row r="16" spans="2:11">
      <c r="B16" s="53">
        <v>3</v>
      </c>
      <c r="C16" s="41" t="s">
        <v>89</v>
      </c>
      <c r="D16" s="41">
        <v>50</v>
      </c>
      <c r="E16" s="41">
        <f>D16*750/1000</f>
        <v>37.5</v>
      </c>
      <c r="F16" s="382"/>
      <c r="G16" s="382"/>
      <c r="H16" s="382"/>
      <c r="I16" s="382"/>
      <c r="J16" s="382"/>
      <c r="K16" s="385"/>
    </row>
    <row r="17" spans="2:11">
      <c r="B17" s="53">
        <v>4</v>
      </c>
      <c r="C17" s="41" t="s">
        <v>90</v>
      </c>
      <c r="D17" s="41">
        <v>20</v>
      </c>
      <c r="E17" s="41">
        <v>460</v>
      </c>
      <c r="F17" s="382"/>
      <c r="G17" s="382"/>
      <c r="H17" s="382"/>
      <c r="I17" s="382"/>
      <c r="J17" s="382"/>
      <c r="K17" s="385"/>
    </row>
    <row r="18" spans="2:11">
      <c r="B18" s="53">
        <v>5</v>
      </c>
      <c r="C18" s="41" t="s">
        <v>2</v>
      </c>
      <c r="D18" s="41">
        <v>0</v>
      </c>
      <c r="E18" s="41">
        <v>197</v>
      </c>
      <c r="F18" s="382"/>
      <c r="G18" s="382"/>
      <c r="H18" s="382"/>
      <c r="I18" s="382"/>
      <c r="J18" s="382"/>
      <c r="K18" s="385"/>
    </row>
    <row r="19" spans="2:11">
      <c r="B19" s="53">
        <v>6</v>
      </c>
      <c r="C19" s="41" t="s">
        <v>3</v>
      </c>
      <c r="D19" s="41">
        <v>0</v>
      </c>
      <c r="E19" s="41">
        <v>80</v>
      </c>
      <c r="F19" s="382"/>
      <c r="G19" s="382"/>
      <c r="H19" s="382"/>
      <c r="I19" s="382"/>
      <c r="J19" s="382"/>
      <c r="K19" s="385"/>
    </row>
    <row r="20" spans="2:11" ht="12" thickBot="1">
      <c r="B20" s="54">
        <v>7</v>
      </c>
      <c r="C20" s="46"/>
      <c r="D20" s="55" t="s">
        <v>77</v>
      </c>
      <c r="E20" s="55">
        <v>2493</v>
      </c>
      <c r="F20" s="383"/>
      <c r="G20" s="383"/>
      <c r="H20" s="383"/>
      <c r="I20" s="383"/>
      <c r="J20" s="383"/>
      <c r="K20" s="386"/>
    </row>
    <row r="22" spans="2:11" ht="12" thickBot="1"/>
    <row r="23" spans="2:11" ht="15.75" thickBot="1">
      <c r="B23" s="378" t="s">
        <v>108</v>
      </c>
      <c r="C23" s="379"/>
      <c r="D23" s="379"/>
      <c r="E23" s="379"/>
      <c r="F23" s="379"/>
      <c r="G23" s="379"/>
      <c r="H23" s="379"/>
      <c r="I23" s="379"/>
      <c r="J23" s="379"/>
      <c r="K23" s="380"/>
    </row>
    <row r="24" spans="2:11" ht="59.25" customHeight="1" thickTop="1">
      <c r="B24" s="50" t="s">
        <v>68</v>
      </c>
      <c r="C24" s="51" t="s">
        <v>91</v>
      </c>
      <c r="D24" s="51" t="s">
        <v>82</v>
      </c>
      <c r="E24" s="51" t="s">
        <v>83</v>
      </c>
      <c r="F24" s="51" t="s">
        <v>84</v>
      </c>
      <c r="G24" s="51" t="s">
        <v>76</v>
      </c>
      <c r="H24" s="51" t="s">
        <v>85</v>
      </c>
      <c r="I24" s="51" t="s">
        <v>76</v>
      </c>
      <c r="J24" s="51" t="s">
        <v>86</v>
      </c>
      <c r="K24" s="52" t="s">
        <v>76</v>
      </c>
    </row>
    <row r="25" spans="2:11">
      <c r="B25" s="53">
        <v>1</v>
      </c>
      <c r="C25" s="41" t="s">
        <v>87</v>
      </c>
      <c r="D25" s="41">
        <v>700</v>
      </c>
      <c r="E25" s="41">
        <v>3750</v>
      </c>
      <c r="F25" s="381">
        <v>40</v>
      </c>
      <c r="G25" s="381">
        <f>F25*E31</f>
        <v>182080</v>
      </c>
      <c r="H25" s="381">
        <f>F25*25</f>
        <v>1000</v>
      </c>
      <c r="I25" s="381">
        <f>H25*E31</f>
        <v>4552000</v>
      </c>
      <c r="J25" s="381">
        <f>H25*12</f>
        <v>12000</v>
      </c>
      <c r="K25" s="384">
        <f>J25*E31</f>
        <v>54624000</v>
      </c>
    </row>
    <row r="26" spans="2:11">
      <c r="B26" s="53">
        <v>2</v>
      </c>
      <c r="C26" s="41" t="s">
        <v>88</v>
      </c>
      <c r="D26" s="41">
        <v>250</v>
      </c>
      <c r="E26" s="41">
        <f>D26*110/1000</f>
        <v>27.5</v>
      </c>
      <c r="F26" s="382"/>
      <c r="G26" s="382"/>
      <c r="H26" s="382"/>
      <c r="I26" s="382"/>
      <c r="J26" s="382"/>
      <c r="K26" s="385"/>
    </row>
    <row r="27" spans="2:11">
      <c r="B27" s="53">
        <v>3</v>
      </c>
      <c r="C27" s="41" t="s">
        <v>89</v>
      </c>
      <c r="D27" s="41">
        <v>50</v>
      </c>
      <c r="E27" s="41">
        <f>D27*750/1000</f>
        <v>37.5</v>
      </c>
      <c r="F27" s="382"/>
      <c r="G27" s="382"/>
      <c r="H27" s="382"/>
      <c r="I27" s="382"/>
      <c r="J27" s="382"/>
      <c r="K27" s="385"/>
    </row>
    <row r="28" spans="2:11">
      <c r="B28" s="53">
        <v>4</v>
      </c>
      <c r="C28" s="41" t="s">
        <v>90</v>
      </c>
      <c r="D28" s="41">
        <v>20</v>
      </c>
      <c r="E28" s="41">
        <v>460</v>
      </c>
      <c r="F28" s="382"/>
      <c r="G28" s="382"/>
      <c r="H28" s="382"/>
      <c r="I28" s="382"/>
      <c r="J28" s="382"/>
      <c r="K28" s="385"/>
    </row>
    <row r="29" spans="2:11">
      <c r="B29" s="53">
        <v>5</v>
      </c>
      <c r="C29" s="41" t="s">
        <v>2</v>
      </c>
      <c r="D29" s="41">
        <v>0</v>
      </c>
      <c r="E29" s="41">
        <v>197</v>
      </c>
      <c r="F29" s="382"/>
      <c r="G29" s="382"/>
      <c r="H29" s="382"/>
      <c r="I29" s="382"/>
      <c r="J29" s="382"/>
      <c r="K29" s="385"/>
    </row>
    <row r="30" spans="2:11">
      <c r="B30" s="53">
        <v>6</v>
      </c>
      <c r="C30" s="41" t="s">
        <v>3</v>
      </c>
      <c r="D30" s="41">
        <v>0</v>
      </c>
      <c r="E30" s="41">
        <v>80</v>
      </c>
      <c r="F30" s="382"/>
      <c r="G30" s="382"/>
      <c r="H30" s="382"/>
      <c r="I30" s="382"/>
      <c r="J30" s="382"/>
      <c r="K30" s="385"/>
    </row>
    <row r="31" spans="2:11" ht="12" thickBot="1">
      <c r="B31" s="54">
        <v>7</v>
      </c>
      <c r="C31" s="46"/>
      <c r="D31" s="55" t="s">
        <v>77</v>
      </c>
      <c r="E31" s="55">
        <v>4552</v>
      </c>
      <c r="F31" s="383"/>
      <c r="G31" s="383"/>
      <c r="H31" s="383"/>
      <c r="I31" s="383"/>
      <c r="J31" s="383"/>
      <c r="K31" s="386"/>
    </row>
    <row r="32" spans="2:11">
      <c r="B32" s="56"/>
      <c r="C32" s="57"/>
      <c r="D32" s="57"/>
      <c r="E32" s="57"/>
      <c r="F32" s="57"/>
      <c r="G32" s="57"/>
      <c r="H32" s="57"/>
      <c r="I32" s="57"/>
      <c r="J32" s="57"/>
      <c r="K32" s="57"/>
    </row>
    <row r="33" spans="2:18">
      <c r="B33" s="56"/>
      <c r="C33" s="57"/>
      <c r="D33" s="57"/>
      <c r="E33" s="57"/>
      <c r="F33" s="57"/>
      <c r="G33" s="57"/>
      <c r="H33" s="57"/>
      <c r="I33" s="57"/>
      <c r="J33" s="57"/>
      <c r="K33" s="57"/>
    </row>
    <row r="34" spans="2:18">
      <c r="B34" s="56"/>
      <c r="C34" s="57"/>
      <c r="D34" s="57"/>
      <c r="E34" s="57"/>
      <c r="F34" s="57"/>
      <c r="G34" s="57"/>
      <c r="H34" s="57"/>
      <c r="I34" s="57"/>
      <c r="J34" s="57"/>
      <c r="K34" s="57"/>
    </row>
    <row r="35" spans="2:18">
      <c r="B35" s="56"/>
      <c r="C35" s="57"/>
      <c r="D35" s="57"/>
      <c r="E35" s="57"/>
      <c r="F35" s="57"/>
      <c r="G35" s="57"/>
      <c r="H35" s="57"/>
      <c r="I35" s="57"/>
      <c r="J35" s="57"/>
      <c r="K35" s="57"/>
    </row>
    <row r="36" spans="2:18" ht="12" thickBot="1">
      <c r="B36" s="56"/>
      <c r="C36" s="57"/>
      <c r="D36" s="57"/>
      <c r="E36" s="57"/>
      <c r="F36" s="57"/>
      <c r="G36" s="57"/>
      <c r="H36" s="57"/>
      <c r="I36" s="57"/>
      <c r="J36" s="57"/>
      <c r="K36" s="57"/>
    </row>
    <row r="37" spans="2:18" ht="15.75" thickBot="1">
      <c r="B37" s="367" t="s">
        <v>292</v>
      </c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9"/>
    </row>
    <row r="38" spans="2:18" ht="65.25" customHeight="1">
      <c r="B38" s="304" t="s">
        <v>68</v>
      </c>
      <c r="C38" s="72" t="s">
        <v>69</v>
      </c>
      <c r="D38" s="303" t="s">
        <v>94</v>
      </c>
      <c r="E38" s="303" t="s">
        <v>95</v>
      </c>
      <c r="F38" s="303" t="s">
        <v>96</v>
      </c>
      <c r="G38" s="303" t="s">
        <v>97</v>
      </c>
      <c r="H38" s="303" t="s">
        <v>98</v>
      </c>
      <c r="I38" s="303" t="s">
        <v>114</v>
      </c>
      <c r="J38" s="72" t="s">
        <v>99</v>
      </c>
      <c r="K38" s="303" t="s">
        <v>103</v>
      </c>
      <c r="L38" s="303" t="s">
        <v>100</v>
      </c>
      <c r="M38" s="303" t="s">
        <v>101</v>
      </c>
      <c r="N38" s="74" t="s">
        <v>102</v>
      </c>
      <c r="O38" s="75" t="s">
        <v>104</v>
      </c>
      <c r="P38" s="303" t="s">
        <v>113</v>
      </c>
    </row>
    <row r="39" spans="2:18" ht="22.5">
      <c r="B39" s="39">
        <v>1</v>
      </c>
      <c r="C39" s="40" t="s">
        <v>93</v>
      </c>
      <c r="D39" s="41">
        <v>4000</v>
      </c>
      <c r="E39" s="41">
        <f>D39*50</f>
        <v>200000</v>
      </c>
      <c r="F39" s="41">
        <f>E20/20</f>
        <v>124.65</v>
      </c>
      <c r="G39" s="41">
        <f>F39*D39</f>
        <v>498600</v>
      </c>
      <c r="H39" s="41">
        <f>G39*25</f>
        <v>12465000</v>
      </c>
      <c r="I39" s="41">
        <f>H39*12</f>
        <v>149580000</v>
      </c>
      <c r="J39" s="41">
        <v>285</v>
      </c>
      <c r="K39" s="41">
        <f>J39*D39</f>
        <v>1140000</v>
      </c>
      <c r="L39" s="42">
        <f>J39-F39</f>
        <v>160.35</v>
      </c>
      <c r="M39" s="42">
        <f>L39/J39*100</f>
        <v>56.263157894736835</v>
      </c>
      <c r="N39" s="43">
        <f>M39*K39/100</f>
        <v>641399.99999999988</v>
      </c>
      <c r="O39" s="58">
        <f>N39*25</f>
        <v>16034999.999999996</v>
      </c>
      <c r="P39" s="84">
        <f>J39*D39*25*12</f>
        <v>342000000</v>
      </c>
    </row>
    <row r="40" spans="2:18" ht="23.25" thickBot="1">
      <c r="B40" s="44">
        <v>2</v>
      </c>
      <c r="C40" s="45" t="s">
        <v>109</v>
      </c>
      <c r="D40" s="41">
        <v>4000</v>
      </c>
      <c r="E40" s="46">
        <f>D40*50</f>
        <v>200000</v>
      </c>
      <c r="F40" s="46">
        <f>E31/20</f>
        <v>227.6</v>
      </c>
      <c r="G40" s="46">
        <f>F40*D40</f>
        <v>910400</v>
      </c>
      <c r="H40" s="46">
        <f>G40*25</f>
        <v>22760000</v>
      </c>
      <c r="I40" s="46">
        <f>H40*12</f>
        <v>273120000</v>
      </c>
      <c r="J40" s="46">
        <v>285</v>
      </c>
      <c r="K40" s="46">
        <f>J40*D40</f>
        <v>1140000</v>
      </c>
      <c r="L40" s="47">
        <f>J40-F40</f>
        <v>57.400000000000006</v>
      </c>
      <c r="M40" s="47">
        <f>L40/J40*100</f>
        <v>20.140350877192983</v>
      </c>
      <c r="N40" s="48">
        <f>M40*K40/100</f>
        <v>229600</v>
      </c>
      <c r="O40" s="59">
        <f>N40*25</f>
        <v>5740000</v>
      </c>
      <c r="P40" s="84">
        <f>J40*D40*25*12</f>
        <v>342000000</v>
      </c>
    </row>
    <row r="42" spans="2:18" ht="12" thickBot="1">
      <c r="R42" s="49" t="s">
        <v>25</v>
      </c>
    </row>
    <row r="43" spans="2:18" ht="15.75" thickBot="1">
      <c r="B43" s="367" t="s">
        <v>295</v>
      </c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9"/>
    </row>
    <row r="44" spans="2:18" ht="58.5" customHeight="1">
      <c r="B44" s="304" t="s">
        <v>68</v>
      </c>
      <c r="C44" s="72" t="s">
        <v>69</v>
      </c>
      <c r="D44" s="303" t="s">
        <v>94</v>
      </c>
      <c r="E44" s="303" t="s">
        <v>95</v>
      </c>
      <c r="F44" s="303" t="s">
        <v>96</v>
      </c>
      <c r="G44" s="303" t="s">
        <v>97</v>
      </c>
      <c r="H44" s="303" t="s">
        <v>98</v>
      </c>
      <c r="I44" s="303" t="s">
        <v>114</v>
      </c>
      <c r="J44" s="72" t="s">
        <v>99</v>
      </c>
      <c r="K44" s="303" t="s">
        <v>103</v>
      </c>
      <c r="L44" s="303" t="s">
        <v>100</v>
      </c>
      <c r="M44" s="303" t="s">
        <v>101</v>
      </c>
      <c r="N44" s="75" t="s">
        <v>102</v>
      </c>
      <c r="O44" s="75" t="s">
        <v>104</v>
      </c>
      <c r="P44" s="303" t="s">
        <v>113</v>
      </c>
    </row>
    <row r="45" spans="2:18" ht="22.5">
      <c r="B45" s="39">
        <v>1</v>
      </c>
      <c r="C45" s="40" t="s">
        <v>93</v>
      </c>
      <c r="D45" s="41">
        <v>3600</v>
      </c>
      <c r="E45" s="41">
        <f>D45*50</f>
        <v>180000</v>
      </c>
      <c r="F45" s="41">
        <v>124.65</v>
      </c>
      <c r="G45" s="41">
        <f>F45*D45</f>
        <v>448740</v>
      </c>
      <c r="H45" s="41">
        <f>G45*25</f>
        <v>11218500</v>
      </c>
      <c r="I45" s="41">
        <f>H45*12</f>
        <v>134622000</v>
      </c>
      <c r="J45" s="41">
        <v>285</v>
      </c>
      <c r="K45" s="41">
        <f>J45*D45</f>
        <v>1026000</v>
      </c>
      <c r="L45" s="42">
        <f>J45-F45</f>
        <v>160.35</v>
      </c>
      <c r="M45" s="42">
        <f>L45/J45*100</f>
        <v>56.263157894736835</v>
      </c>
      <c r="N45" s="58">
        <f>M45*K45/100</f>
        <v>577259.99999999988</v>
      </c>
      <c r="O45" s="58">
        <f>N45*25</f>
        <v>14431499.999999996</v>
      </c>
      <c r="P45" s="84">
        <f>J45*D45*25*12</f>
        <v>307800000</v>
      </c>
    </row>
    <row r="46" spans="2:18" ht="23.25" thickBot="1">
      <c r="B46" s="44">
        <v>2</v>
      </c>
      <c r="C46" s="45" t="s">
        <v>109</v>
      </c>
      <c r="D46" s="41">
        <v>3600</v>
      </c>
      <c r="E46" s="46">
        <f>D46*50</f>
        <v>180000</v>
      </c>
      <c r="F46" s="46">
        <v>227.6</v>
      </c>
      <c r="G46" s="46">
        <f>F46*D46</f>
        <v>819360</v>
      </c>
      <c r="H46" s="46">
        <f>G46*25</f>
        <v>20484000</v>
      </c>
      <c r="I46" s="46">
        <f>H46*12</f>
        <v>245808000</v>
      </c>
      <c r="J46" s="46">
        <v>285</v>
      </c>
      <c r="K46" s="46">
        <f>J46*D46</f>
        <v>1026000</v>
      </c>
      <c r="L46" s="47">
        <f>J46-F46</f>
        <v>57.400000000000006</v>
      </c>
      <c r="M46" s="47">
        <f>L46/J46*100</f>
        <v>20.140350877192983</v>
      </c>
      <c r="N46" s="59">
        <f>M46*K46/100</f>
        <v>206640</v>
      </c>
      <c r="O46" s="59">
        <f>N46*25</f>
        <v>5166000</v>
      </c>
      <c r="P46" s="84">
        <f>J46*D46*25*12</f>
        <v>307800000</v>
      </c>
    </row>
    <row r="48" spans="2:18" ht="12" thickBot="1"/>
    <row r="49" spans="2:16" ht="15.75" thickBot="1">
      <c r="B49" s="367" t="s">
        <v>293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9"/>
    </row>
    <row r="50" spans="2:16" ht="59.25" customHeight="1">
      <c r="B50" s="76" t="s">
        <v>68</v>
      </c>
      <c r="C50" s="72" t="s">
        <v>69</v>
      </c>
      <c r="D50" s="73" t="s">
        <v>94</v>
      </c>
      <c r="E50" s="73" t="s">
        <v>95</v>
      </c>
      <c r="F50" s="73" t="s">
        <v>96</v>
      </c>
      <c r="G50" s="73" t="s">
        <v>97</v>
      </c>
      <c r="H50" s="73" t="s">
        <v>98</v>
      </c>
      <c r="I50" s="303" t="s">
        <v>114</v>
      </c>
      <c r="J50" s="72" t="s">
        <v>99</v>
      </c>
      <c r="K50" s="73" t="s">
        <v>103</v>
      </c>
      <c r="L50" s="73" t="s">
        <v>100</v>
      </c>
      <c r="M50" s="73" t="s">
        <v>101</v>
      </c>
      <c r="N50" s="74" t="s">
        <v>102</v>
      </c>
      <c r="O50" s="75" t="s">
        <v>104</v>
      </c>
      <c r="P50" s="85" t="s">
        <v>113</v>
      </c>
    </row>
    <row r="51" spans="2:16" ht="22.5">
      <c r="B51" s="77">
        <v>1</v>
      </c>
      <c r="C51" s="40" t="s">
        <v>93</v>
      </c>
      <c r="D51" s="41">
        <v>3200</v>
      </c>
      <c r="E51" s="41">
        <f>D51*50</f>
        <v>160000</v>
      </c>
      <c r="F51" s="41">
        <v>124.65</v>
      </c>
      <c r="G51" s="41">
        <f>F51*D51</f>
        <v>398880</v>
      </c>
      <c r="H51" s="41">
        <f>G51*25</f>
        <v>9972000</v>
      </c>
      <c r="I51" s="41">
        <f>H51*12</f>
        <v>119664000</v>
      </c>
      <c r="J51" s="41">
        <v>285</v>
      </c>
      <c r="K51" s="41">
        <f>J51*D51</f>
        <v>912000</v>
      </c>
      <c r="L51" s="42">
        <f>J51-F51</f>
        <v>160.35</v>
      </c>
      <c r="M51" s="42">
        <f>L51/J51*100</f>
        <v>56.263157894736835</v>
      </c>
      <c r="N51" s="43">
        <f>M51*K51/100</f>
        <v>513119.99999999994</v>
      </c>
      <c r="O51" s="58">
        <f>N51*25</f>
        <v>12827999.999999998</v>
      </c>
      <c r="P51" s="84">
        <f>J51*D51*25*12</f>
        <v>273600000</v>
      </c>
    </row>
    <row r="52" spans="2:16" ht="23.25" thickBot="1">
      <c r="B52" s="78">
        <v>2</v>
      </c>
      <c r="C52" s="79" t="s">
        <v>109</v>
      </c>
      <c r="D52" s="41">
        <v>3200</v>
      </c>
      <c r="E52" s="80">
        <f>D52*50</f>
        <v>160000</v>
      </c>
      <c r="F52" s="80">
        <v>227.6</v>
      </c>
      <c r="G52" s="80">
        <f>F52*D52</f>
        <v>728320</v>
      </c>
      <c r="H52" s="80">
        <f>G52*25</f>
        <v>18208000</v>
      </c>
      <c r="I52" s="80">
        <f>H52*12</f>
        <v>218496000</v>
      </c>
      <c r="J52" s="80">
        <v>285</v>
      </c>
      <c r="K52" s="80">
        <f>J52*D52</f>
        <v>912000</v>
      </c>
      <c r="L52" s="81">
        <f>J52-F52</f>
        <v>57.400000000000006</v>
      </c>
      <c r="M52" s="81">
        <f>L52/J52*100</f>
        <v>20.140350877192983</v>
      </c>
      <c r="N52" s="82">
        <f>M52*K52/100</f>
        <v>183680</v>
      </c>
      <c r="O52" s="83">
        <f>N52*25</f>
        <v>4592000</v>
      </c>
      <c r="P52" s="84">
        <f>J52*D52*25*12</f>
        <v>273600000</v>
      </c>
    </row>
    <row r="54" spans="2:16" ht="12" thickBot="1"/>
    <row r="55" spans="2:16" ht="15.75" thickBot="1">
      <c r="B55" s="367" t="s">
        <v>296</v>
      </c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9"/>
    </row>
    <row r="56" spans="2:16" ht="60" customHeight="1">
      <c r="B56" s="304" t="s">
        <v>68</v>
      </c>
      <c r="C56" s="72" t="s">
        <v>69</v>
      </c>
      <c r="D56" s="303" t="s">
        <v>94</v>
      </c>
      <c r="E56" s="303" t="s">
        <v>95</v>
      </c>
      <c r="F56" s="303" t="s">
        <v>96</v>
      </c>
      <c r="G56" s="303" t="s">
        <v>97</v>
      </c>
      <c r="H56" s="303" t="s">
        <v>98</v>
      </c>
      <c r="I56" s="303" t="s">
        <v>114</v>
      </c>
      <c r="J56" s="72" t="s">
        <v>99</v>
      </c>
      <c r="K56" s="303" t="s">
        <v>103</v>
      </c>
      <c r="L56" s="303" t="s">
        <v>100</v>
      </c>
      <c r="M56" s="303" t="s">
        <v>101</v>
      </c>
      <c r="N56" s="75" t="s">
        <v>102</v>
      </c>
      <c r="O56" s="75" t="s">
        <v>104</v>
      </c>
      <c r="P56" s="303" t="s">
        <v>113</v>
      </c>
    </row>
    <row r="57" spans="2:16" ht="23.25" customHeight="1">
      <c r="B57" s="39">
        <v>1</v>
      </c>
      <c r="C57" s="40" t="s">
        <v>93</v>
      </c>
      <c r="D57" s="41">
        <v>2800</v>
      </c>
      <c r="E57" s="41">
        <f>D57*50</f>
        <v>140000</v>
      </c>
      <c r="F57" s="41">
        <v>124.65</v>
      </c>
      <c r="G57" s="41">
        <f>F57*D57</f>
        <v>349020</v>
      </c>
      <c r="H57" s="41">
        <f>G57*25</f>
        <v>8725500</v>
      </c>
      <c r="I57" s="41">
        <f>H57*12</f>
        <v>104706000</v>
      </c>
      <c r="J57" s="41">
        <v>285</v>
      </c>
      <c r="K57" s="41">
        <f>J57*D57</f>
        <v>798000</v>
      </c>
      <c r="L57" s="42">
        <f>J57-F57</f>
        <v>160.35</v>
      </c>
      <c r="M57" s="42">
        <f>L57/J57*100</f>
        <v>56.263157894736835</v>
      </c>
      <c r="N57" s="58">
        <f>M57*K57/100</f>
        <v>448979.99999999994</v>
      </c>
      <c r="O57" s="58">
        <f>N57*25</f>
        <v>11224499.999999998</v>
      </c>
      <c r="P57" s="84">
        <f>J57*D57*25*12</f>
        <v>239400000</v>
      </c>
    </row>
    <row r="58" spans="2:16" ht="23.25" thickBot="1">
      <c r="B58" s="44">
        <v>2</v>
      </c>
      <c r="C58" s="45" t="s">
        <v>109</v>
      </c>
      <c r="D58" s="41">
        <v>2800</v>
      </c>
      <c r="E58" s="46">
        <f>D58*50</f>
        <v>140000</v>
      </c>
      <c r="F58" s="46">
        <v>227.6</v>
      </c>
      <c r="G58" s="46">
        <f>F58*D58</f>
        <v>637280</v>
      </c>
      <c r="H58" s="46">
        <f>G58*25</f>
        <v>15932000</v>
      </c>
      <c r="I58" s="46">
        <f>H58*12</f>
        <v>191184000</v>
      </c>
      <c r="J58" s="46">
        <v>285</v>
      </c>
      <c r="K58" s="46">
        <f>J58*D58</f>
        <v>798000</v>
      </c>
      <c r="L58" s="47">
        <f>J58-F58</f>
        <v>57.400000000000006</v>
      </c>
      <c r="M58" s="47">
        <f>L58/J58*100</f>
        <v>20.140350877192983</v>
      </c>
      <c r="N58" s="59">
        <f>M58*K58/100</f>
        <v>160720</v>
      </c>
      <c r="O58" s="59">
        <f>N58*25</f>
        <v>4018000</v>
      </c>
      <c r="P58" s="84">
        <f>J58*D58*25*12</f>
        <v>239400000</v>
      </c>
    </row>
    <row r="59" spans="2:16">
      <c r="C59" s="60"/>
    </row>
    <row r="60" spans="2:16" ht="12" thickBot="1"/>
    <row r="61" spans="2:16" ht="15.75" thickBot="1">
      <c r="B61" s="367" t="s">
        <v>297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9"/>
    </row>
    <row r="62" spans="2:16" ht="66.75" customHeight="1">
      <c r="B62" s="304" t="s">
        <v>68</v>
      </c>
      <c r="C62" s="72" t="s">
        <v>69</v>
      </c>
      <c r="D62" s="303" t="s">
        <v>94</v>
      </c>
      <c r="E62" s="303" t="s">
        <v>95</v>
      </c>
      <c r="F62" s="303" t="s">
        <v>96</v>
      </c>
      <c r="G62" s="303" t="s">
        <v>97</v>
      </c>
      <c r="H62" s="303" t="s">
        <v>98</v>
      </c>
      <c r="I62" s="303" t="s">
        <v>114</v>
      </c>
      <c r="J62" s="72" t="s">
        <v>99</v>
      </c>
      <c r="K62" s="303" t="s">
        <v>103</v>
      </c>
      <c r="L62" s="303" t="s">
        <v>100</v>
      </c>
      <c r="M62" s="303" t="s">
        <v>101</v>
      </c>
      <c r="N62" s="75" t="s">
        <v>102</v>
      </c>
      <c r="O62" s="75" t="s">
        <v>104</v>
      </c>
      <c r="P62" s="303" t="s">
        <v>113</v>
      </c>
    </row>
    <row r="63" spans="2:16" ht="22.5">
      <c r="B63" s="39">
        <v>1</v>
      </c>
      <c r="C63" s="40" t="s">
        <v>93</v>
      </c>
      <c r="D63" s="41">
        <v>2400</v>
      </c>
      <c r="E63" s="41">
        <f>D63*50</f>
        <v>120000</v>
      </c>
      <c r="F63" s="41">
        <v>124.65</v>
      </c>
      <c r="G63" s="41">
        <f>F63*D63</f>
        <v>299160</v>
      </c>
      <c r="H63" s="41">
        <f>G63*25</f>
        <v>7479000</v>
      </c>
      <c r="I63" s="41">
        <f>H63*12</f>
        <v>89748000</v>
      </c>
      <c r="J63" s="41">
        <v>285</v>
      </c>
      <c r="K63" s="41">
        <f>J63*D63</f>
        <v>684000</v>
      </c>
      <c r="L63" s="42">
        <f>J63-F63</f>
        <v>160.35</v>
      </c>
      <c r="M63" s="42">
        <f>L63/J63*100</f>
        <v>56.263157894736835</v>
      </c>
      <c r="N63" s="58">
        <f>M63*K63/100</f>
        <v>384839.99999999994</v>
      </c>
      <c r="O63" s="58">
        <f>N63*25</f>
        <v>9620999.9999999981</v>
      </c>
      <c r="P63" s="84">
        <f>J63*D63*25*12</f>
        <v>205200000</v>
      </c>
    </row>
    <row r="64" spans="2:16" ht="23.25" thickBot="1">
      <c r="B64" s="44">
        <v>2</v>
      </c>
      <c r="C64" s="45" t="s">
        <v>109</v>
      </c>
      <c r="D64" s="41">
        <v>2400</v>
      </c>
      <c r="E64" s="46">
        <f>D64*50</f>
        <v>120000</v>
      </c>
      <c r="F64" s="46">
        <v>227.6</v>
      </c>
      <c r="G64" s="46">
        <f>F64*D64</f>
        <v>546240</v>
      </c>
      <c r="H64" s="46">
        <f>G64*25</f>
        <v>13656000</v>
      </c>
      <c r="I64" s="46">
        <f>H64*12</f>
        <v>163872000</v>
      </c>
      <c r="J64" s="46">
        <v>285</v>
      </c>
      <c r="K64" s="46">
        <f>J64*D64</f>
        <v>684000</v>
      </c>
      <c r="L64" s="47">
        <f>J64-F64</f>
        <v>57.400000000000006</v>
      </c>
      <c r="M64" s="47">
        <f>L64/J64*100</f>
        <v>20.140350877192983</v>
      </c>
      <c r="N64" s="59">
        <f>M64*K64/100</f>
        <v>137760</v>
      </c>
      <c r="O64" s="59">
        <f>N64*25</f>
        <v>3444000</v>
      </c>
      <c r="P64" s="84">
        <f>J64*D64*25*12</f>
        <v>205200000</v>
      </c>
    </row>
    <row r="66" spans="2:16" ht="12" thickBot="1"/>
    <row r="67" spans="2:16" ht="15.75" thickBot="1">
      <c r="B67" s="367" t="s">
        <v>298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9"/>
    </row>
    <row r="68" spans="2:16" ht="56.25">
      <c r="B68" s="304" t="s">
        <v>68</v>
      </c>
      <c r="C68" s="72" t="s">
        <v>69</v>
      </c>
      <c r="D68" s="303" t="s">
        <v>94</v>
      </c>
      <c r="E68" s="303" t="s">
        <v>95</v>
      </c>
      <c r="F68" s="303" t="s">
        <v>96</v>
      </c>
      <c r="G68" s="303" t="s">
        <v>97</v>
      </c>
      <c r="H68" s="303" t="s">
        <v>98</v>
      </c>
      <c r="I68" s="303" t="s">
        <v>114</v>
      </c>
      <c r="J68" s="72" t="s">
        <v>99</v>
      </c>
      <c r="K68" s="303" t="s">
        <v>103</v>
      </c>
      <c r="L68" s="303" t="s">
        <v>100</v>
      </c>
      <c r="M68" s="303" t="s">
        <v>101</v>
      </c>
      <c r="N68" s="75" t="s">
        <v>102</v>
      </c>
      <c r="O68" s="75" t="s">
        <v>104</v>
      </c>
      <c r="P68" s="303" t="s">
        <v>113</v>
      </c>
    </row>
    <row r="69" spans="2:16" ht="22.5">
      <c r="B69" s="39">
        <v>1</v>
      </c>
      <c r="C69" s="40" t="s">
        <v>93</v>
      </c>
      <c r="D69" s="41">
        <v>2000</v>
      </c>
      <c r="E69" s="41">
        <f>D69*50</f>
        <v>100000</v>
      </c>
      <c r="F69" s="41">
        <v>124.65</v>
      </c>
      <c r="G69" s="41">
        <f>F69*D69</f>
        <v>249300</v>
      </c>
      <c r="H69" s="41">
        <f>G69*25</f>
        <v>6232500</v>
      </c>
      <c r="I69" s="41">
        <f>H69*12</f>
        <v>74790000</v>
      </c>
      <c r="J69" s="41">
        <v>285</v>
      </c>
      <c r="K69" s="41">
        <f>J69*D69</f>
        <v>570000</v>
      </c>
      <c r="L69" s="42">
        <f>J69-F69</f>
        <v>160.35</v>
      </c>
      <c r="M69" s="42">
        <f>L69/J69*100</f>
        <v>56.263157894736835</v>
      </c>
      <c r="N69" s="58">
        <f>M69*K69/100</f>
        <v>320699.99999999994</v>
      </c>
      <c r="O69" s="58">
        <f>N69*25</f>
        <v>8017499.9999999981</v>
      </c>
      <c r="P69" s="84">
        <f>J69*D69*25*12</f>
        <v>171000000</v>
      </c>
    </row>
    <row r="70" spans="2:16" ht="23.25" thickBot="1">
      <c r="B70" s="44">
        <v>2</v>
      </c>
      <c r="C70" s="45" t="s">
        <v>109</v>
      </c>
      <c r="D70" s="41">
        <v>2000</v>
      </c>
      <c r="E70" s="46">
        <f>D70*50</f>
        <v>100000</v>
      </c>
      <c r="F70" s="46">
        <v>227.6</v>
      </c>
      <c r="G70" s="46">
        <f>F70*D70</f>
        <v>455200</v>
      </c>
      <c r="H70" s="46">
        <f>G70*25</f>
        <v>11380000</v>
      </c>
      <c r="I70" s="46">
        <f>H70*12</f>
        <v>136560000</v>
      </c>
      <c r="J70" s="46">
        <v>285</v>
      </c>
      <c r="K70" s="46">
        <f>J70*D70</f>
        <v>570000</v>
      </c>
      <c r="L70" s="47">
        <f>J70-F70</f>
        <v>57.400000000000006</v>
      </c>
      <c r="M70" s="47">
        <f>L70/J70*100</f>
        <v>20.140350877192983</v>
      </c>
      <c r="N70" s="59">
        <f>M70*K70/100</f>
        <v>114800</v>
      </c>
      <c r="O70" s="59">
        <f>N70*25</f>
        <v>2870000</v>
      </c>
      <c r="P70" s="84">
        <f>J70*D70*25*12</f>
        <v>171000000</v>
      </c>
    </row>
    <row r="72" spans="2:16" ht="12" thickBot="1"/>
    <row r="73" spans="2:16" ht="15.75" thickBot="1">
      <c r="B73" s="367" t="s">
        <v>299</v>
      </c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9"/>
    </row>
    <row r="74" spans="2:16" ht="60" customHeight="1">
      <c r="B74" s="304" t="s">
        <v>68</v>
      </c>
      <c r="C74" s="72" t="s">
        <v>69</v>
      </c>
      <c r="D74" s="303" t="s">
        <v>94</v>
      </c>
      <c r="E74" s="303" t="s">
        <v>95</v>
      </c>
      <c r="F74" s="303" t="s">
        <v>96</v>
      </c>
      <c r="G74" s="303" t="s">
        <v>97</v>
      </c>
      <c r="H74" s="303" t="s">
        <v>98</v>
      </c>
      <c r="I74" s="303" t="s">
        <v>114</v>
      </c>
      <c r="J74" s="72" t="s">
        <v>99</v>
      </c>
      <c r="K74" s="303" t="s">
        <v>103</v>
      </c>
      <c r="L74" s="303" t="s">
        <v>100</v>
      </c>
      <c r="M74" s="303" t="s">
        <v>101</v>
      </c>
      <c r="N74" s="75" t="s">
        <v>102</v>
      </c>
      <c r="O74" s="75" t="s">
        <v>104</v>
      </c>
      <c r="P74" s="303" t="s">
        <v>113</v>
      </c>
    </row>
    <row r="75" spans="2:16" ht="22.5">
      <c r="B75" s="39">
        <v>1</v>
      </c>
      <c r="C75" s="40" t="s">
        <v>93</v>
      </c>
      <c r="D75" s="41">
        <v>1600</v>
      </c>
      <c r="E75" s="41">
        <f>D75*50</f>
        <v>80000</v>
      </c>
      <c r="F75" s="41">
        <v>124.65</v>
      </c>
      <c r="G75" s="41">
        <f>F75*D75</f>
        <v>199440</v>
      </c>
      <c r="H75" s="41">
        <f>G75*25</f>
        <v>4986000</v>
      </c>
      <c r="I75" s="41">
        <f>H75*12</f>
        <v>59832000</v>
      </c>
      <c r="J75" s="41">
        <v>285</v>
      </c>
      <c r="K75" s="41">
        <f>J75*D75</f>
        <v>456000</v>
      </c>
      <c r="L75" s="42">
        <f>J75-F75</f>
        <v>160.35</v>
      </c>
      <c r="M75" s="42">
        <f>L75/J75*100</f>
        <v>56.263157894736835</v>
      </c>
      <c r="N75" s="58">
        <f>M75*K75/100</f>
        <v>256559.99999999997</v>
      </c>
      <c r="O75" s="58">
        <f>N75*25</f>
        <v>6413999.9999999991</v>
      </c>
      <c r="P75" s="84">
        <f>J75*D75*25*12</f>
        <v>136800000</v>
      </c>
    </row>
    <row r="76" spans="2:16" ht="23.25" thickBot="1">
      <c r="B76" s="44">
        <v>2</v>
      </c>
      <c r="C76" s="45" t="s">
        <v>109</v>
      </c>
      <c r="D76" s="41">
        <v>1600</v>
      </c>
      <c r="E76" s="46">
        <f>D76*50</f>
        <v>80000</v>
      </c>
      <c r="F76" s="46">
        <v>227.6</v>
      </c>
      <c r="G76" s="46">
        <f>F76*D76</f>
        <v>364160</v>
      </c>
      <c r="H76" s="46">
        <f>G76*25</f>
        <v>9104000</v>
      </c>
      <c r="I76" s="46">
        <f>H76*12</f>
        <v>109248000</v>
      </c>
      <c r="J76" s="46">
        <v>285</v>
      </c>
      <c r="K76" s="46">
        <f>J76*D76</f>
        <v>456000</v>
      </c>
      <c r="L76" s="47">
        <f>J76-F76</f>
        <v>57.400000000000006</v>
      </c>
      <c r="M76" s="47">
        <f>L76/J76*100</f>
        <v>20.140350877192983</v>
      </c>
      <c r="N76" s="59">
        <f>M76*K76/100</f>
        <v>91840</v>
      </c>
      <c r="O76" s="59">
        <f>N76*25</f>
        <v>2296000</v>
      </c>
      <c r="P76" s="84">
        <f>J76*D76*25*12</f>
        <v>136800000</v>
      </c>
    </row>
    <row r="78" spans="2:16" ht="12" thickBot="1"/>
    <row r="79" spans="2:16" ht="15.75" thickBot="1">
      <c r="B79" s="367" t="s">
        <v>300</v>
      </c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368"/>
      <c r="N79" s="368"/>
      <c r="O79" s="368"/>
      <c r="P79" s="369"/>
    </row>
    <row r="80" spans="2:16" ht="61.5" customHeight="1">
      <c r="B80" s="304" t="s">
        <v>68</v>
      </c>
      <c r="C80" s="72" t="s">
        <v>69</v>
      </c>
      <c r="D80" s="303" t="s">
        <v>94</v>
      </c>
      <c r="E80" s="303" t="s">
        <v>95</v>
      </c>
      <c r="F80" s="303" t="s">
        <v>96</v>
      </c>
      <c r="G80" s="303" t="s">
        <v>97</v>
      </c>
      <c r="H80" s="303" t="s">
        <v>98</v>
      </c>
      <c r="I80" s="303" t="s">
        <v>114</v>
      </c>
      <c r="J80" s="72" t="s">
        <v>99</v>
      </c>
      <c r="K80" s="303" t="s">
        <v>103</v>
      </c>
      <c r="L80" s="303" t="s">
        <v>100</v>
      </c>
      <c r="M80" s="303" t="s">
        <v>101</v>
      </c>
      <c r="N80" s="75" t="s">
        <v>102</v>
      </c>
      <c r="O80" s="75" t="s">
        <v>104</v>
      </c>
      <c r="P80" s="303" t="s">
        <v>113</v>
      </c>
    </row>
    <row r="81" spans="2:18" ht="24" customHeight="1">
      <c r="B81" s="39">
        <v>1</v>
      </c>
      <c r="C81" s="40" t="s">
        <v>93</v>
      </c>
      <c r="D81" s="41">
        <v>1200</v>
      </c>
      <c r="E81" s="41">
        <f>D81*50</f>
        <v>60000</v>
      </c>
      <c r="F81" s="41">
        <v>124.65</v>
      </c>
      <c r="G81" s="41">
        <f>F81*D81</f>
        <v>149580</v>
      </c>
      <c r="H81" s="41">
        <f>G81*25</f>
        <v>3739500</v>
      </c>
      <c r="I81" s="41">
        <f>H81*12</f>
        <v>44874000</v>
      </c>
      <c r="J81" s="41">
        <v>285</v>
      </c>
      <c r="K81" s="41">
        <f>J81*D81</f>
        <v>342000</v>
      </c>
      <c r="L81" s="42">
        <f>J81-F81</f>
        <v>160.35</v>
      </c>
      <c r="M81" s="42">
        <f>L81/J81*100</f>
        <v>56.263157894736835</v>
      </c>
      <c r="N81" s="58">
        <f>M81*K81/100</f>
        <v>192419.99999999997</v>
      </c>
      <c r="O81" s="58">
        <f>N81*25</f>
        <v>4810499.9999999991</v>
      </c>
      <c r="P81" s="84">
        <f>J81*D81*25*12</f>
        <v>102600000</v>
      </c>
    </row>
    <row r="82" spans="2:18" ht="23.25" thickBot="1">
      <c r="B82" s="44">
        <v>2</v>
      </c>
      <c r="C82" s="45" t="s">
        <v>109</v>
      </c>
      <c r="D82" s="41">
        <v>1200</v>
      </c>
      <c r="E82" s="46">
        <f>D82*50</f>
        <v>60000</v>
      </c>
      <c r="F82" s="46">
        <v>227.6</v>
      </c>
      <c r="G82" s="46">
        <f>F82*D82</f>
        <v>273120</v>
      </c>
      <c r="H82" s="46">
        <f>G82*25</f>
        <v>6828000</v>
      </c>
      <c r="I82" s="46">
        <f>H82*12</f>
        <v>81936000</v>
      </c>
      <c r="J82" s="46">
        <v>285</v>
      </c>
      <c r="K82" s="46">
        <f>J82*D82</f>
        <v>342000</v>
      </c>
      <c r="L82" s="47">
        <f>J82-F82</f>
        <v>57.400000000000006</v>
      </c>
      <c r="M82" s="47">
        <f>L82/J82*100</f>
        <v>20.140350877192983</v>
      </c>
      <c r="N82" s="59">
        <f>M82*K82/100</f>
        <v>68880</v>
      </c>
      <c r="O82" s="59">
        <f>N82*25</f>
        <v>1722000</v>
      </c>
      <c r="P82" s="84">
        <f>J82*D82*25*12</f>
        <v>102600000</v>
      </c>
    </row>
    <row r="83" spans="2:18" s="87" customFormat="1">
      <c r="B83" s="57"/>
      <c r="C83" s="61"/>
      <c r="D83" s="57"/>
      <c r="E83" s="57"/>
      <c r="F83" s="57"/>
      <c r="G83" s="57"/>
      <c r="H83" s="57"/>
      <c r="I83" s="57"/>
      <c r="J83" s="57"/>
      <c r="K83" s="57"/>
      <c r="L83" s="62"/>
      <c r="M83" s="62"/>
      <c r="N83" s="63"/>
      <c r="O83" s="63"/>
    </row>
    <row r="84" spans="2:18" ht="12" thickBot="1"/>
    <row r="85" spans="2:18" ht="15.75" thickBot="1">
      <c r="B85" s="367" t="s">
        <v>301</v>
      </c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9"/>
    </row>
    <row r="86" spans="2:18" ht="68.25" customHeight="1">
      <c r="B86" s="304" t="s">
        <v>68</v>
      </c>
      <c r="C86" s="72" t="s">
        <v>69</v>
      </c>
      <c r="D86" s="303" t="s">
        <v>94</v>
      </c>
      <c r="E86" s="303" t="s">
        <v>95</v>
      </c>
      <c r="F86" s="303" t="s">
        <v>96</v>
      </c>
      <c r="G86" s="303" t="s">
        <v>97</v>
      </c>
      <c r="H86" s="303" t="s">
        <v>98</v>
      </c>
      <c r="I86" s="303" t="s">
        <v>114</v>
      </c>
      <c r="J86" s="72" t="s">
        <v>99</v>
      </c>
      <c r="K86" s="303" t="s">
        <v>103</v>
      </c>
      <c r="L86" s="303" t="s">
        <v>100</v>
      </c>
      <c r="M86" s="303" t="s">
        <v>101</v>
      </c>
      <c r="N86" s="75" t="s">
        <v>102</v>
      </c>
      <c r="O86" s="75" t="s">
        <v>104</v>
      </c>
      <c r="P86" s="303" t="s">
        <v>113</v>
      </c>
    </row>
    <row r="87" spans="2:18" ht="22.5">
      <c r="B87" s="39">
        <v>1</v>
      </c>
      <c r="C87" s="40" t="s">
        <v>93</v>
      </c>
      <c r="D87" s="41">
        <v>800</v>
      </c>
      <c r="E87" s="41">
        <f>D87*50</f>
        <v>40000</v>
      </c>
      <c r="F87" s="41">
        <v>124.65</v>
      </c>
      <c r="G87" s="41">
        <f>F87*D87</f>
        <v>99720</v>
      </c>
      <c r="H87" s="41">
        <f>G87*25</f>
        <v>2493000</v>
      </c>
      <c r="I87" s="41">
        <f>H87*12</f>
        <v>29916000</v>
      </c>
      <c r="J87" s="41">
        <v>285</v>
      </c>
      <c r="K87" s="41">
        <f>J87*D87</f>
        <v>228000</v>
      </c>
      <c r="L87" s="42">
        <f>J87-F87</f>
        <v>160.35</v>
      </c>
      <c r="M87" s="42">
        <f>L87/J87*100</f>
        <v>56.263157894736835</v>
      </c>
      <c r="N87" s="58">
        <f>M87*K87/100</f>
        <v>128279.99999999999</v>
      </c>
      <c r="O87" s="58">
        <f>N87*25</f>
        <v>3206999.9999999995</v>
      </c>
      <c r="P87" s="84">
        <f>J87*D87*25*12</f>
        <v>68400000</v>
      </c>
    </row>
    <row r="88" spans="2:18" ht="23.25" thickBot="1">
      <c r="B88" s="44">
        <v>2</v>
      </c>
      <c r="C88" s="45" t="s">
        <v>109</v>
      </c>
      <c r="D88" s="41">
        <v>800</v>
      </c>
      <c r="E88" s="46">
        <f>D88*50</f>
        <v>40000</v>
      </c>
      <c r="F88" s="46">
        <v>227.6</v>
      </c>
      <c r="G88" s="46">
        <f>F88*D88</f>
        <v>182080</v>
      </c>
      <c r="H88" s="46">
        <f>G88*25</f>
        <v>4552000</v>
      </c>
      <c r="I88" s="46">
        <f>H88*12</f>
        <v>54624000</v>
      </c>
      <c r="J88" s="46">
        <v>285</v>
      </c>
      <c r="K88" s="46">
        <f>J88*D88</f>
        <v>228000</v>
      </c>
      <c r="L88" s="47">
        <f>J88-F88</f>
        <v>57.400000000000006</v>
      </c>
      <c r="M88" s="47">
        <f>L88/J88*100</f>
        <v>20.140350877192983</v>
      </c>
      <c r="N88" s="59">
        <f>M88*K88/100</f>
        <v>45920</v>
      </c>
      <c r="O88" s="59">
        <f>N88*25</f>
        <v>1148000</v>
      </c>
      <c r="P88" s="84">
        <f>J88*D88*25*12</f>
        <v>68400000</v>
      </c>
    </row>
    <row r="90" spans="2:18" ht="12" thickBot="1"/>
    <row r="91" spans="2:18" ht="15.75" thickBot="1">
      <c r="B91" s="367" t="s">
        <v>294</v>
      </c>
      <c r="C91" s="368"/>
      <c r="D91" s="368"/>
      <c r="E91" s="368"/>
      <c r="F91" s="368"/>
      <c r="G91" s="368"/>
      <c r="H91" s="368"/>
      <c r="I91" s="368"/>
      <c r="J91" s="368"/>
      <c r="K91" s="368"/>
      <c r="L91" s="368"/>
      <c r="M91" s="368"/>
      <c r="N91" s="368"/>
      <c r="O91" s="368"/>
      <c r="P91" s="369"/>
    </row>
    <row r="92" spans="2:18" ht="60.75" customHeight="1">
      <c r="B92" s="304" t="s">
        <v>68</v>
      </c>
      <c r="C92" s="72" t="s">
        <v>69</v>
      </c>
      <c r="D92" s="303" t="s">
        <v>94</v>
      </c>
      <c r="E92" s="303" t="s">
        <v>95</v>
      </c>
      <c r="F92" s="303" t="s">
        <v>96</v>
      </c>
      <c r="G92" s="303" t="s">
        <v>97</v>
      </c>
      <c r="H92" s="303" t="s">
        <v>98</v>
      </c>
      <c r="I92" s="303" t="s">
        <v>114</v>
      </c>
      <c r="J92" s="72" t="s">
        <v>99</v>
      </c>
      <c r="K92" s="303" t="s">
        <v>103</v>
      </c>
      <c r="L92" s="303" t="s">
        <v>100</v>
      </c>
      <c r="M92" s="303" t="s">
        <v>101</v>
      </c>
      <c r="N92" s="75" t="s">
        <v>102</v>
      </c>
      <c r="O92" s="75" t="s">
        <v>104</v>
      </c>
      <c r="P92" s="303" t="s">
        <v>113</v>
      </c>
      <c r="R92" s="49" t="s">
        <v>25</v>
      </c>
    </row>
    <row r="93" spans="2:18" ht="22.5">
      <c r="B93" s="39">
        <v>1</v>
      </c>
      <c r="C93" s="40" t="s">
        <v>93</v>
      </c>
      <c r="D93" s="41">
        <v>400</v>
      </c>
      <c r="E93" s="41">
        <f>D93*50</f>
        <v>20000</v>
      </c>
      <c r="F93" s="41">
        <v>124.65</v>
      </c>
      <c r="G93" s="41">
        <f>F93*D93</f>
        <v>49860</v>
      </c>
      <c r="H93" s="41">
        <f>G93*25</f>
        <v>1246500</v>
      </c>
      <c r="I93" s="41">
        <f>H93*12</f>
        <v>14958000</v>
      </c>
      <c r="J93" s="41">
        <v>285</v>
      </c>
      <c r="K93" s="41">
        <f>J93*D93</f>
        <v>114000</v>
      </c>
      <c r="L93" s="42">
        <f>J93-F93</f>
        <v>160.35</v>
      </c>
      <c r="M93" s="42">
        <f>L93/J93*100</f>
        <v>56.263157894736835</v>
      </c>
      <c r="N93" s="58">
        <f>M93*K93/100</f>
        <v>64139.999999999993</v>
      </c>
      <c r="O93" s="58">
        <f>N93*25</f>
        <v>1603499.9999999998</v>
      </c>
      <c r="P93" s="84">
        <f>J93*D93*25*12</f>
        <v>34200000</v>
      </c>
    </row>
    <row r="94" spans="2:18" ht="23.25" thickBot="1">
      <c r="B94" s="44">
        <v>2</v>
      </c>
      <c r="C94" s="45" t="s">
        <v>109</v>
      </c>
      <c r="D94" s="41">
        <v>400</v>
      </c>
      <c r="E94" s="46">
        <f>D94*50</f>
        <v>20000</v>
      </c>
      <c r="F94" s="46">
        <v>227.6</v>
      </c>
      <c r="G94" s="46">
        <f>F94*D94</f>
        <v>91040</v>
      </c>
      <c r="H94" s="46">
        <f>G94*25</f>
        <v>2276000</v>
      </c>
      <c r="I94" s="46">
        <f>H94*12</f>
        <v>27312000</v>
      </c>
      <c r="J94" s="41">
        <v>285</v>
      </c>
      <c r="K94" s="46">
        <f>J94*D94</f>
        <v>114000</v>
      </c>
      <c r="L94" s="47">
        <f>J94-F94</f>
        <v>57.400000000000006</v>
      </c>
      <c r="M94" s="47">
        <f>L94/J94*100</f>
        <v>20.140350877192983</v>
      </c>
      <c r="N94" s="59">
        <f>M94*K94/100</f>
        <v>22960</v>
      </c>
      <c r="O94" s="59">
        <f>N94*25</f>
        <v>574000</v>
      </c>
      <c r="P94" s="84">
        <f>J94*D94*25*12</f>
        <v>34200000</v>
      </c>
    </row>
    <row r="98" spans="2:13" ht="36.75" customHeight="1">
      <c r="B98" s="372" t="s">
        <v>106</v>
      </c>
      <c r="C98" s="372" t="s">
        <v>107</v>
      </c>
      <c r="D98" s="376" t="s">
        <v>102</v>
      </c>
      <c r="E98" s="377"/>
      <c r="F98" s="376" t="s">
        <v>104</v>
      </c>
      <c r="G98" s="377"/>
      <c r="H98" s="372" t="s">
        <v>110</v>
      </c>
      <c r="I98" s="372" t="s">
        <v>111</v>
      </c>
      <c r="J98" s="372" t="s">
        <v>112</v>
      </c>
      <c r="K98" s="370" t="s">
        <v>115</v>
      </c>
      <c r="L98" s="371"/>
      <c r="M98" s="372" t="s">
        <v>70</v>
      </c>
    </row>
    <row r="99" spans="2:13" ht="45">
      <c r="B99" s="375"/>
      <c r="C99" s="375"/>
      <c r="D99" s="64" t="s">
        <v>93</v>
      </c>
      <c r="E99" s="64" t="s">
        <v>109</v>
      </c>
      <c r="F99" s="64" t="s">
        <v>93</v>
      </c>
      <c r="G99" s="64" t="s">
        <v>109</v>
      </c>
      <c r="H99" s="373"/>
      <c r="I99" s="374"/>
      <c r="J99" s="373"/>
      <c r="K99" s="90" t="s">
        <v>93</v>
      </c>
      <c r="L99" s="90" t="s">
        <v>109</v>
      </c>
      <c r="M99" s="373"/>
    </row>
    <row r="100" spans="2:13">
      <c r="B100" s="65">
        <v>1</v>
      </c>
      <c r="C100" s="65">
        <v>1600</v>
      </c>
      <c r="D100" s="66">
        <f>N75</f>
        <v>256559.99999999997</v>
      </c>
      <c r="E100" s="66">
        <v>5740</v>
      </c>
      <c r="F100" s="66">
        <f>O75</f>
        <v>6413999.9999999991</v>
      </c>
      <c r="G100" s="88">
        <f>O76</f>
        <v>2296000</v>
      </c>
      <c r="H100" s="94">
        <v>962500</v>
      </c>
      <c r="I100" s="94">
        <v>100000</v>
      </c>
      <c r="J100" s="94">
        <f>I100+H100</f>
        <v>1062500</v>
      </c>
      <c r="K100" s="91">
        <f>F100-J100</f>
        <v>5351499.9999999991</v>
      </c>
      <c r="L100" s="91">
        <f>G100-J100</f>
        <v>1233500</v>
      </c>
      <c r="M100" s="92"/>
    </row>
    <row r="101" spans="2:13">
      <c r="B101" s="65">
        <v>2</v>
      </c>
      <c r="C101" s="65">
        <v>2800</v>
      </c>
      <c r="D101" s="65">
        <f>N57</f>
        <v>448979.99999999994</v>
      </c>
      <c r="E101" s="65">
        <f>N58</f>
        <v>160720</v>
      </c>
      <c r="F101" s="65">
        <f>O57</f>
        <v>11224499.999999998</v>
      </c>
      <c r="G101" s="58">
        <f>O58</f>
        <v>4018000</v>
      </c>
      <c r="H101" s="94">
        <v>962500</v>
      </c>
      <c r="I101" s="94">
        <v>100000</v>
      </c>
      <c r="J101" s="94">
        <f t="shared" ref="J101:J109" si="0">I101+H101</f>
        <v>1062500</v>
      </c>
      <c r="K101" s="91">
        <f t="shared" ref="K101:K109" si="1">F101-J101</f>
        <v>10161999.999999998</v>
      </c>
      <c r="L101" s="91">
        <f t="shared" ref="L101:L109" si="2">G101-J101</f>
        <v>2955500</v>
      </c>
      <c r="M101" s="92"/>
    </row>
    <row r="102" spans="2:13" ht="33.75">
      <c r="B102" s="103">
        <v>3</v>
      </c>
      <c r="C102" s="103">
        <v>2000</v>
      </c>
      <c r="D102" s="103">
        <f>N69</f>
        <v>320699.99999999994</v>
      </c>
      <c r="E102" s="103">
        <f>N70</f>
        <v>114800</v>
      </c>
      <c r="F102" s="103">
        <f>O69</f>
        <v>8017499.9999999981</v>
      </c>
      <c r="G102" s="104">
        <f>O70</f>
        <v>2870000</v>
      </c>
      <c r="H102" s="105">
        <v>962500</v>
      </c>
      <c r="I102" s="105">
        <v>100000</v>
      </c>
      <c r="J102" s="105">
        <f t="shared" si="0"/>
        <v>1062500</v>
      </c>
      <c r="K102" s="105">
        <f t="shared" si="1"/>
        <v>6954999.9999999981</v>
      </c>
      <c r="L102" s="91">
        <f t="shared" si="2"/>
        <v>1807500</v>
      </c>
      <c r="M102" s="106" t="s">
        <v>116</v>
      </c>
    </row>
    <row r="103" spans="2:13">
      <c r="B103" s="65">
        <v>4</v>
      </c>
      <c r="C103" s="65">
        <v>3600</v>
      </c>
      <c r="D103" s="65">
        <f>N45</f>
        <v>577259.99999999988</v>
      </c>
      <c r="E103" s="65">
        <f>N46</f>
        <v>206640</v>
      </c>
      <c r="F103" s="65">
        <f>O45</f>
        <v>14431499.999999996</v>
      </c>
      <c r="G103" s="58">
        <f>O46</f>
        <v>5166000</v>
      </c>
      <c r="H103" s="95">
        <v>962500</v>
      </c>
      <c r="I103" s="94">
        <v>100000</v>
      </c>
      <c r="J103" s="94">
        <f t="shared" si="0"/>
        <v>1062500</v>
      </c>
      <c r="K103" s="91">
        <f t="shared" si="1"/>
        <v>13368999.999999996</v>
      </c>
      <c r="L103" s="91">
        <f t="shared" si="2"/>
        <v>4103500</v>
      </c>
      <c r="M103" s="92"/>
    </row>
    <row r="104" spans="2:13">
      <c r="B104" s="65">
        <v>5</v>
      </c>
      <c r="C104" s="65">
        <v>1200</v>
      </c>
      <c r="D104" s="65">
        <f>N81</f>
        <v>192419.99999999997</v>
      </c>
      <c r="E104" s="65">
        <f>N82</f>
        <v>68880</v>
      </c>
      <c r="F104" s="65">
        <f>O81</f>
        <v>4810499.9999999991</v>
      </c>
      <c r="G104" s="58">
        <f>O82</f>
        <v>1722000</v>
      </c>
      <c r="H104" s="96">
        <v>962500</v>
      </c>
      <c r="I104" s="97">
        <v>100000</v>
      </c>
      <c r="J104" s="94">
        <f t="shared" si="0"/>
        <v>1062500</v>
      </c>
      <c r="K104" s="91">
        <f t="shared" si="1"/>
        <v>3747999.9999999991</v>
      </c>
      <c r="L104" s="91">
        <f t="shared" si="2"/>
        <v>659500</v>
      </c>
      <c r="M104" s="92"/>
    </row>
    <row r="105" spans="2:13">
      <c r="B105" s="65">
        <v>6</v>
      </c>
      <c r="C105" s="65">
        <v>2400</v>
      </c>
      <c r="D105" s="65">
        <f>N63</f>
        <v>384839.99999999994</v>
      </c>
      <c r="E105" s="65">
        <f>N64</f>
        <v>137760</v>
      </c>
      <c r="F105" s="65">
        <f>O63</f>
        <v>9620999.9999999981</v>
      </c>
      <c r="G105" s="58">
        <f>O64</f>
        <v>3444000</v>
      </c>
      <c r="H105" s="98">
        <v>962500</v>
      </c>
      <c r="I105" s="94">
        <v>100000</v>
      </c>
      <c r="J105" s="94">
        <f t="shared" si="0"/>
        <v>1062500</v>
      </c>
      <c r="K105" s="91">
        <f t="shared" si="1"/>
        <v>8558499.9999999981</v>
      </c>
      <c r="L105" s="91">
        <f t="shared" si="2"/>
        <v>2381500</v>
      </c>
      <c r="M105" s="92"/>
    </row>
    <row r="106" spans="2:13">
      <c r="B106" s="67">
        <v>7</v>
      </c>
      <c r="C106" s="67">
        <v>800</v>
      </c>
      <c r="D106" s="67">
        <f>N87</f>
        <v>128279.99999999999</v>
      </c>
      <c r="E106" s="67">
        <f>N88</f>
        <v>45920</v>
      </c>
      <c r="F106" s="67">
        <f>O87</f>
        <v>3206999.9999999995</v>
      </c>
      <c r="G106" s="89">
        <f>O88</f>
        <v>1148000</v>
      </c>
      <c r="H106" s="94">
        <v>962500</v>
      </c>
      <c r="I106" s="94">
        <v>100000</v>
      </c>
      <c r="J106" s="94">
        <f t="shared" si="0"/>
        <v>1062500</v>
      </c>
      <c r="K106" s="91">
        <f t="shared" si="1"/>
        <v>2144499.9999999995</v>
      </c>
      <c r="L106" s="91">
        <f t="shared" si="2"/>
        <v>85500</v>
      </c>
      <c r="M106" s="92"/>
    </row>
    <row r="107" spans="2:13" ht="45">
      <c r="B107" s="99">
        <v>8</v>
      </c>
      <c r="C107" s="99">
        <v>4000</v>
      </c>
      <c r="D107" s="99">
        <f>N39</f>
        <v>641399.99999999988</v>
      </c>
      <c r="E107" s="100">
        <f>N40</f>
        <v>229600</v>
      </c>
      <c r="F107" s="99">
        <f>O39</f>
        <v>16034999.999999996</v>
      </c>
      <c r="G107" s="101">
        <f>O40</f>
        <v>5740000</v>
      </c>
      <c r="H107" s="102">
        <v>962500</v>
      </c>
      <c r="I107" s="102">
        <v>100000</v>
      </c>
      <c r="J107" s="102">
        <f t="shared" si="0"/>
        <v>1062500</v>
      </c>
      <c r="K107" s="102">
        <f t="shared" si="1"/>
        <v>14972499.999999996</v>
      </c>
      <c r="L107" s="102">
        <f t="shared" si="2"/>
        <v>4677500</v>
      </c>
      <c r="M107" s="106" t="s">
        <v>117</v>
      </c>
    </row>
    <row r="108" spans="2:13">
      <c r="B108" s="65">
        <v>9</v>
      </c>
      <c r="C108" s="65">
        <v>400</v>
      </c>
      <c r="D108" s="65">
        <f>N93</f>
        <v>64139.999999999993</v>
      </c>
      <c r="E108" s="65">
        <f>N94</f>
        <v>22960</v>
      </c>
      <c r="F108" s="65">
        <f>O93</f>
        <v>1603499.9999999998</v>
      </c>
      <c r="G108" s="58">
        <f>O94</f>
        <v>574000</v>
      </c>
      <c r="H108" s="94">
        <v>962500</v>
      </c>
      <c r="I108" s="94">
        <v>100000</v>
      </c>
      <c r="J108" s="94">
        <f t="shared" si="0"/>
        <v>1062500</v>
      </c>
      <c r="K108" s="91">
        <f t="shared" si="1"/>
        <v>540999.99999999977</v>
      </c>
      <c r="L108" s="91">
        <f t="shared" si="2"/>
        <v>-488500</v>
      </c>
      <c r="M108" s="92"/>
    </row>
    <row r="109" spans="2:13">
      <c r="B109" s="65">
        <v>10</v>
      </c>
      <c r="C109" s="65">
        <v>3200</v>
      </c>
      <c r="D109" s="65">
        <f>N51</f>
        <v>513119.99999999994</v>
      </c>
      <c r="E109" s="65">
        <f>N52</f>
        <v>183680</v>
      </c>
      <c r="F109" s="65">
        <f>O51</f>
        <v>12827999.999999998</v>
      </c>
      <c r="G109" s="58">
        <f>O52</f>
        <v>4592000</v>
      </c>
      <c r="H109" s="94">
        <v>962500</v>
      </c>
      <c r="I109" s="94">
        <v>100000</v>
      </c>
      <c r="J109" s="94">
        <f t="shared" si="0"/>
        <v>1062500</v>
      </c>
      <c r="K109" s="91">
        <f t="shared" si="1"/>
        <v>11765499.999999998</v>
      </c>
      <c r="L109" s="91">
        <f t="shared" si="2"/>
        <v>3529500</v>
      </c>
      <c r="M109" s="92"/>
    </row>
    <row r="117" spans="10:10">
      <c r="J117" s="93"/>
    </row>
    <row r="118" spans="10:10">
      <c r="J118" s="93"/>
    </row>
  </sheetData>
  <mergeCells count="40">
    <mergeCell ref="B49:P49"/>
    <mergeCell ref="B55:P55"/>
    <mergeCell ref="B61:P61"/>
    <mergeCell ref="B67:P67"/>
    <mergeCell ref="B73:P73"/>
    <mergeCell ref="B37:P37"/>
    <mergeCell ref="B43:P43"/>
    <mergeCell ref="G14:G20"/>
    <mergeCell ref="F14:F20"/>
    <mergeCell ref="G3:G9"/>
    <mergeCell ref="H3:H9"/>
    <mergeCell ref="I3:I9"/>
    <mergeCell ref="B1:K1"/>
    <mergeCell ref="B12:K12"/>
    <mergeCell ref="B23:K23"/>
    <mergeCell ref="F25:F31"/>
    <mergeCell ref="G25:G31"/>
    <mergeCell ref="H25:H31"/>
    <mergeCell ref="I25:I31"/>
    <mergeCell ref="J25:J31"/>
    <mergeCell ref="K25:K31"/>
    <mergeCell ref="K14:K20"/>
    <mergeCell ref="J14:J20"/>
    <mergeCell ref="I14:I20"/>
    <mergeCell ref="H14:H20"/>
    <mergeCell ref="J3:J9"/>
    <mergeCell ref="K3:K9"/>
    <mergeCell ref="F3:F9"/>
    <mergeCell ref="B79:P79"/>
    <mergeCell ref="B85:P85"/>
    <mergeCell ref="B91:P91"/>
    <mergeCell ref="K98:L98"/>
    <mergeCell ref="H98:H99"/>
    <mergeCell ref="I98:I99"/>
    <mergeCell ref="M98:M99"/>
    <mergeCell ref="B98:B99"/>
    <mergeCell ref="C98:C99"/>
    <mergeCell ref="J98:J99"/>
    <mergeCell ref="D98:E98"/>
    <mergeCell ref="F98:G98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O90"/>
  <sheetViews>
    <sheetView topLeftCell="A61" workbookViewId="0">
      <selection activeCell="D56" sqref="D56"/>
    </sheetView>
  </sheetViews>
  <sheetFormatPr defaultRowHeight="15"/>
  <cols>
    <col min="2" max="2" width="12.5703125" customWidth="1"/>
    <col min="3" max="3" width="16.85546875" customWidth="1"/>
    <col min="4" max="4" width="16.5703125" customWidth="1"/>
    <col min="5" max="5" width="15.85546875" customWidth="1"/>
    <col min="6" max="6" width="18.42578125" customWidth="1"/>
    <col min="7" max="8" width="15.140625" customWidth="1"/>
    <col min="9" max="9" width="18.140625" customWidth="1"/>
    <col min="10" max="10" width="13.7109375" customWidth="1"/>
  </cols>
  <sheetData>
    <row r="1" spans="2:12" ht="15.75" thickBot="1">
      <c r="B1" s="411" t="s">
        <v>120</v>
      </c>
      <c r="C1" s="412"/>
      <c r="D1" s="412"/>
      <c r="E1" s="412"/>
      <c r="F1" s="412"/>
      <c r="G1" s="412"/>
      <c r="H1" s="412"/>
      <c r="I1" s="412"/>
      <c r="J1" s="413"/>
    </row>
    <row r="2" spans="2:12" ht="32.25" customHeight="1">
      <c r="B2" s="50" t="s">
        <v>92</v>
      </c>
      <c r="C2" s="51" t="s">
        <v>192</v>
      </c>
      <c r="D2" s="107" t="s">
        <v>158</v>
      </c>
      <c r="E2" s="51" t="s">
        <v>159</v>
      </c>
      <c r="F2" s="51" t="s">
        <v>160</v>
      </c>
      <c r="G2" s="110" t="s">
        <v>161</v>
      </c>
      <c r="H2" s="51" t="s">
        <v>118</v>
      </c>
      <c r="I2" s="51" t="s">
        <v>162</v>
      </c>
      <c r="J2" s="52" t="s">
        <v>119</v>
      </c>
    </row>
    <row r="3" spans="2:12">
      <c r="B3" s="111" t="s">
        <v>71</v>
      </c>
      <c r="C3" s="41">
        <f>F3*100</f>
        <v>120</v>
      </c>
      <c r="D3" s="41">
        <f>C3*15</f>
        <v>1800</v>
      </c>
      <c r="E3" s="41">
        <f>C3*25</f>
        <v>3000</v>
      </c>
      <c r="F3" s="41">
        <v>1.2</v>
      </c>
      <c r="G3" s="41">
        <v>1200</v>
      </c>
      <c r="H3" s="41">
        <f>G3*C3/100000</f>
        <v>1.44</v>
      </c>
      <c r="I3" s="41">
        <f>H3*15</f>
        <v>21.599999999999998</v>
      </c>
      <c r="J3" s="112">
        <f t="shared" ref="J3:J8" si="0">H3*25</f>
        <v>36</v>
      </c>
    </row>
    <row r="4" spans="2:12">
      <c r="B4" s="111" t="s">
        <v>72</v>
      </c>
      <c r="C4" s="41">
        <f t="shared" ref="C4:C6" si="1">F4*100</f>
        <v>15</v>
      </c>
      <c r="D4" s="41">
        <f t="shared" ref="D4:D6" si="2">C4*15</f>
        <v>225</v>
      </c>
      <c r="E4" s="41">
        <f t="shared" ref="E4:E6" si="3">C4*25</f>
        <v>375</v>
      </c>
      <c r="F4" s="41">
        <v>0.15</v>
      </c>
      <c r="G4" s="41">
        <v>4170</v>
      </c>
      <c r="H4" s="41">
        <f t="shared" ref="H4:H6" si="4">G4*C4/100000</f>
        <v>0.62549999999999994</v>
      </c>
      <c r="I4" s="41">
        <f t="shared" ref="I4:I8" si="5">H4*15</f>
        <v>9.3824999999999985</v>
      </c>
      <c r="J4" s="112">
        <f t="shared" si="0"/>
        <v>15.637499999999999</v>
      </c>
    </row>
    <row r="5" spans="2:12">
      <c r="B5" s="111" t="s">
        <v>73</v>
      </c>
      <c r="C5" s="41">
        <f t="shared" si="1"/>
        <v>2.5</v>
      </c>
      <c r="D5" s="41">
        <f t="shared" si="2"/>
        <v>37.5</v>
      </c>
      <c r="E5" s="41">
        <f t="shared" si="3"/>
        <v>62.5</v>
      </c>
      <c r="F5" s="41">
        <v>2.5000000000000001E-2</v>
      </c>
      <c r="G5" s="41">
        <v>6000</v>
      </c>
      <c r="H5" s="41">
        <f t="shared" si="4"/>
        <v>0.15</v>
      </c>
      <c r="I5" s="41">
        <f t="shared" si="5"/>
        <v>2.25</v>
      </c>
      <c r="J5" s="112">
        <f t="shared" si="0"/>
        <v>3.75</v>
      </c>
    </row>
    <row r="6" spans="2:12">
      <c r="B6" s="111" t="s">
        <v>74</v>
      </c>
      <c r="C6" s="41">
        <f t="shared" si="1"/>
        <v>2.5</v>
      </c>
      <c r="D6" s="41">
        <f t="shared" si="2"/>
        <v>37.5</v>
      </c>
      <c r="E6" s="41">
        <f t="shared" si="3"/>
        <v>62.5</v>
      </c>
      <c r="F6" s="41">
        <v>2.5000000000000001E-2</v>
      </c>
      <c r="G6" s="41">
        <v>4000</v>
      </c>
      <c r="H6" s="41">
        <f t="shared" si="4"/>
        <v>0.1</v>
      </c>
      <c r="I6" s="41">
        <f t="shared" si="5"/>
        <v>1.5</v>
      </c>
      <c r="J6" s="112">
        <f t="shared" si="0"/>
        <v>2.5</v>
      </c>
    </row>
    <row r="7" spans="2:12">
      <c r="B7" s="111" t="s">
        <v>2</v>
      </c>
      <c r="C7" s="41">
        <v>0</v>
      </c>
      <c r="D7" s="41">
        <v>0</v>
      </c>
      <c r="E7" s="41">
        <v>0</v>
      </c>
      <c r="F7" s="41">
        <v>0</v>
      </c>
      <c r="G7" s="41">
        <v>200</v>
      </c>
      <c r="H7" s="41">
        <f>G7*100/100000</f>
        <v>0.2</v>
      </c>
      <c r="I7" s="41">
        <f t="shared" si="5"/>
        <v>3</v>
      </c>
      <c r="J7" s="112">
        <f t="shared" si="0"/>
        <v>5</v>
      </c>
    </row>
    <row r="8" spans="2:12">
      <c r="B8" s="111" t="s">
        <v>3</v>
      </c>
      <c r="C8" s="41">
        <v>0</v>
      </c>
      <c r="D8" s="41">
        <v>0</v>
      </c>
      <c r="E8" s="41">
        <v>0</v>
      </c>
      <c r="F8" s="41">
        <v>0</v>
      </c>
      <c r="G8" s="41">
        <v>100</v>
      </c>
      <c r="H8" s="41">
        <f>G8*100/100000</f>
        <v>0.1</v>
      </c>
      <c r="I8" s="41">
        <f t="shared" si="5"/>
        <v>1.5</v>
      </c>
      <c r="J8" s="112">
        <f t="shared" si="0"/>
        <v>2.5</v>
      </c>
    </row>
    <row r="9" spans="2:12" ht="15.75" thickBot="1">
      <c r="B9" s="113" t="s">
        <v>77</v>
      </c>
      <c r="C9" s="55">
        <v>140</v>
      </c>
      <c r="D9" s="55"/>
      <c r="E9" s="55"/>
      <c r="F9" s="55">
        <f>SUM(F3:F6)</f>
        <v>1.3999999999999997</v>
      </c>
      <c r="G9" s="55"/>
      <c r="H9" s="55">
        <f>SUM(H3:H8)</f>
        <v>2.6155000000000004</v>
      </c>
      <c r="I9" s="55">
        <f>SUM(I3:I8)</f>
        <v>39.232499999999995</v>
      </c>
      <c r="J9" s="114">
        <f>SUM(J3:J8)</f>
        <v>65.387500000000003</v>
      </c>
    </row>
    <row r="10" spans="2:12">
      <c r="B10" s="108"/>
      <c r="C10" s="57"/>
      <c r="D10" s="57"/>
      <c r="E10" s="57"/>
      <c r="F10" s="57"/>
      <c r="G10" s="57"/>
      <c r="H10" s="57"/>
      <c r="I10" s="109"/>
      <c r="J10" s="109"/>
      <c r="L10" t="s">
        <v>25</v>
      </c>
    </row>
    <row r="11" spans="2:12" ht="15.75" thickBot="1">
      <c r="B11" s="108"/>
      <c r="C11" s="57"/>
      <c r="D11" s="57"/>
      <c r="E11" s="57"/>
      <c r="F11" s="57"/>
      <c r="G11" s="57"/>
      <c r="H11" s="57"/>
      <c r="I11" s="109"/>
      <c r="J11" s="109"/>
    </row>
    <row r="12" spans="2:12" ht="15.75" thickBot="1">
      <c r="B12" s="411" t="s">
        <v>121</v>
      </c>
      <c r="C12" s="412"/>
      <c r="D12" s="412"/>
      <c r="E12" s="412"/>
      <c r="F12" s="412"/>
      <c r="G12" s="412"/>
      <c r="H12" s="412"/>
      <c r="I12" s="412"/>
      <c r="J12" s="413"/>
    </row>
    <row r="13" spans="2:12" ht="32.25" customHeight="1">
      <c r="B13" s="50" t="s">
        <v>91</v>
      </c>
      <c r="C13" s="51" t="s">
        <v>192</v>
      </c>
      <c r="D13" s="51" t="s">
        <v>158</v>
      </c>
      <c r="E13" s="51" t="s">
        <v>159</v>
      </c>
      <c r="F13" s="51" t="s">
        <v>163</v>
      </c>
      <c r="G13" s="110" t="s">
        <v>161</v>
      </c>
      <c r="H13" s="51" t="s">
        <v>118</v>
      </c>
      <c r="I13" s="51" t="s">
        <v>162</v>
      </c>
      <c r="J13" s="52" t="s">
        <v>119</v>
      </c>
    </row>
    <row r="14" spans="2:12">
      <c r="B14" s="111" t="s">
        <v>87</v>
      </c>
      <c r="C14" s="41">
        <f>F14*40</f>
        <v>28</v>
      </c>
      <c r="D14" s="41">
        <f>C14*15</f>
        <v>420</v>
      </c>
      <c r="E14" s="41">
        <f>C14*25</f>
        <v>700</v>
      </c>
      <c r="F14" s="41">
        <v>0.7</v>
      </c>
      <c r="G14" s="41">
        <v>2600</v>
      </c>
      <c r="H14" s="41">
        <f>G14*C14/100000</f>
        <v>0.72799999999999998</v>
      </c>
      <c r="I14" s="41">
        <f>G14*D14/100000</f>
        <v>10.92</v>
      </c>
      <c r="J14" s="112">
        <f>G14*E14/100000</f>
        <v>18.2</v>
      </c>
    </row>
    <row r="15" spans="2:12">
      <c r="B15" s="111" t="s">
        <v>88</v>
      </c>
      <c r="C15" s="41">
        <f t="shared" ref="C15:C16" si="6">F15*40</f>
        <v>10</v>
      </c>
      <c r="D15" s="41">
        <f t="shared" ref="D15:D16" si="7">C15*15</f>
        <v>150</v>
      </c>
      <c r="E15" s="41">
        <f t="shared" ref="E15:E16" si="8">C15*25</f>
        <v>250</v>
      </c>
      <c r="F15" s="41">
        <v>0.25</v>
      </c>
      <c r="G15" s="41">
        <v>1100</v>
      </c>
      <c r="H15" s="41">
        <f t="shared" ref="H15:H16" si="9">G15*C15/100000</f>
        <v>0.11</v>
      </c>
      <c r="I15" s="41">
        <f t="shared" ref="I15:I16" si="10">G15*D15/100000</f>
        <v>1.65</v>
      </c>
      <c r="J15" s="112">
        <f t="shared" ref="J15:J16" si="11">G15*E15/100000</f>
        <v>2.75</v>
      </c>
    </row>
    <row r="16" spans="2:12">
      <c r="B16" s="111" t="s">
        <v>89</v>
      </c>
      <c r="C16" s="41">
        <f t="shared" si="6"/>
        <v>2</v>
      </c>
      <c r="D16" s="41">
        <f t="shared" si="7"/>
        <v>30</v>
      </c>
      <c r="E16" s="41">
        <f t="shared" si="8"/>
        <v>50</v>
      </c>
      <c r="F16" s="41">
        <v>0.05</v>
      </c>
      <c r="G16" s="41">
        <v>750</v>
      </c>
      <c r="H16" s="41">
        <f t="shared" si="9"/>
        <v>1.4999999999999999E-2</v>
      </c>
      <c r="I16" s="41">
        <f t="shared" si="10"/>
        <v>0.22500000000000001</v>
      </c>
      <c r="J16" s="112">
        <f t="shared" si="11"/>
        <v>0.375</v>
      </c>
    </row>
    <row r="17" spans="2:13">
      <c r="B17" s="111" t="s">
        <v>2</v>
      </c>
      <c r="C17" s="41">
        <v>0</v>
      </c>
      <c r="D17" s="41">
        <v>0</v>
      </c>
      <c r="E17" s="41">
        <v>0</v>
      </c>
      <c r="F17" s="41">
        <v>0</v>
      </c>
      <c r="G17" s="41">
        <v>200</v>
      </c>
      <c r="H17" s="41">
        <f>G17*40/100000</f>
        <v>0.08</v>
      </c>
      <c r="I17" s="41">
        <f>H17*15</f>
        <v>1.2</v>
      </c>
      <c r="J17" s="112">
        <f>H17*25</f>
        <v>2</v>
      </c>
    </row>
    <row r="18" spans="2:13">
      <c r="B18" s="111" t="s">
        <v>3</v>
      </c>
      <c r="C18" s="41">
        <v>0</v>
      </c>
      <c r="D18" s="41">
        <v>0</v>
      </c>
      <c r="E18" s="41">
        <v>0</v>
      </c>
      <c r="F18" s="41">
        <v>0</v>
      </c>
      <c r="G18" s="41">
        <v>100</v>
      </c>
      <c r="H18" s="41">
        <f>G18*40/100000</f>
        <v>0.04</v>
      </c>
      <c r="I18" s="41">
        <f>H18*15</f>
        <v>0.6</v>
      </c>
      <c r="J18" s="112">
        <f>H18*25</f>
        <v>1</v>
      </c>
    </row>
    <row r="19" spans="2:13">
      <c r="B19" s="111" t="s">
        <v>90</v>
      </c>
      <c r="C19" s="41">
        <v>800</v>
      </c>
      <c r="D19" s="41">
        <f>C19*15</f>
        <v>12000</v>
      </c>
      <c r="E19" s="41">
        <f>C19*25</f>
        <v>20000</v>
      </c>
      <c r="F19" s="41">
        <v>0.02</v>
      </c>
      <c r="G19" s="41">
        <v>23</v>
      </c>
      <c r="H19" s="41">
        <f>G19*C19/100000</f>
        <v>0.184</v>
      </c>
      <c r="I19" s="41">
        <f>H19*15</f>
        <v>2.76</v>
      </c>
      <c r="J19" s="112">
        <f>H19*25</f>
        <v>4.5999999999999996</v>
      </c>
      <c r="M19" t="s">
        <v>25</v>
      </c>
    </row>
    <row r="20" spans="2:13" ht="15.75" thickBot="1">
      <c r="B20" s="113" t="s">
        <v>77</v>
      </c>
      <c r="C20" s="46"/>
      <c r="D20" s="46"/>
      <c r="E20" s="46"/>
      <c r="F20" s="46"/>
      <c r="G20" s="46"/>
      <c r="H20" s="55">
        <f>SUM(H14:H19)</f>
        <v>1.157</v>
      </c>
      <c r="I20" s="55">
        <f>SUM(I14:I19)</f>
        <v>17.354999999999997</v>
      </c>
      <c r="J20" s="114">
        <f>SUM(J14:J19)</f>
        <v>28.924999999999997</v>
      </c>
    </row>
    <row r="22" spans="2:13" ht="15.75" thickBot="1"/>
    <row r="23" spans="2:13" ht="15.75" thickBot="1">
      <c r="B23" s="411" t="s">
        <v>122</v>
      </c>
      <c r="C23" s="412"/>
      <c r="D23" s="412"/>
      <c r="E23" s="412"/>
      <c r="F23" s="412"/>
      <c r="G23" s="412"/>
      <c r="H23" s="412"/>
      <c r="I23" s="412"/>
      <c r="J23" s="413"/>
    </row>
    <row r="24" spans="2:13" ht="33.75">
      <c r="B24" s="50" t="s">
        <v>91</v>
      </c>
      <c r="C24" s="51" t="s">
        <v>157</v>
      </c>
      <c r="D24" s="51" t="s">
        <v>158</v>
      </c>
      <c r="E24" s="51" t="s">
        <v>159</v>
      </c>
      <c r="F24" s="51" t="s">
        <v>163</v>
      </c>
      <c r="G24" s="110" t="s">
        <v>161</v>
      </c>
      <c r="H24" s="51" t="s">
        <v>118</v>
      </c>
      <c r="I24" s="51" t="s">
        <v>162</v>
      </c>
      <c r="J24" s="52" t="s">
        <v>119</v>
      </c>
    </row>
    <row r="25" spans="2:13">
      <c r="B25" s="111" t="s">
        <v>87</v>
      </c>
      <c r="C25" s="41">
        <f>F25*40</f>
        <v>28</v>
      </c>
      <c r="D25" s="41">
        <f>C25*15</f>
        <v>420</v>
      </c>
      <c r="E25" s="41">
        <f>C25*25</f>
        <v>700</v>
      </c>
      <c r="F25" s="41">
        <v>0.7</v>
      </c>
      <c r="G25" s="41">
        <v>5100</v>
      </c>
      <c r="H25" s="41">
        <f>G25*C25/100000</f>
        <v>1.4279999999999999</v>
      </c>
      <c r="I25" s="41">
        <f>G25*D25/100000</f>
        <v>21.42</v>
      </c>
      <c r="J25" s="112">
        <f>G25*E25/100000</f>
        <v>35.700000000000003</v>
      </c>
    </row>
    <row r="26" spans="2:13">
      <c r="B26" s="111" t="s">
        <v>88</v>
      </c>
      <c r="C26" s="41">
        <f t="shared" ref="C26:C27" si="12">F26*40</f>
        <v>10</v>
      </c>
      <c r="D26" s="41">
        <f t="shared" ref="D26:D27" si="13">C26*15</f>
        <v>150</v>
      </c>
      <c r="E26" s="41">
        <f t="shared" ref="E26:E27" si="14">C26*25</f>
        <v>250</v>
      </c>
      <c r="F26" s="41">
        <v>0.25</v>
      </c>
      <c r="G26" s="41">
        <v>1100</v>
      </c>
      <c r="H26" s="41">
        <f t="shared" ref="H26:H27" si="15">G26*C26/100000</f>
        <v>0.11</v>
      </c>
      <c r="I26" s="41">
        <f t="shared" ref="I26:I27" si="16">G26*D26/100000</f>
        <v>1.65</v>
      </c>
      <c r="J26" s="112">
        <f t="shared" ref="J26:J27" si="17">G26*E26/100000</f>
        <v>2.75</v>
      </c>
    </row>
    <row r="27" spans="2:13">
      <c r="B27" s="111" t="s">
        <v>89</v>
      </c>
      <c r="C27" s="41">
        <f t="shared" si="12"/>
        <v>2</v>
      </c>
      <c r="D27" s="41">
        <f t="shared" si="13"/>
        <v>30</v>
      </c>
      <c r="E27" s="41">
        <f t="shared" si="14"/>
        <v>50</v>
      </c>
      <c r="F27" s="41">
        <v>0.05</v>
      </c>
      <c r="G27" s="41">
        <v>750</v>
      </c>
      <c r="H27" s="41">
        <f t="shared" si="15"/>
        <v>1.4999999999999999E-2</v>
      </c>
      <c r="I27" s="41">
        <f t="shared" si="16"/>
        <v>0.22500000000000001</v>
      </c>
      <c r="J27" s="112">
        <f t="shared" si="17"/>
        <v>0.375</v>
      </c>
    </row>
    <row r="28" spans="2:13">
      <c r="B28" s="111" t="s">
        <v>2</v>
      </c>
      <c r="C28" s="41">
        <v>0</v>
      </c>
      <c r="D28" s="41">
        <v>0</v>
      </c>
      <c r="E28" s="41">
        <v>0</v>
      </c>
      <c r="F28" s="41">
        <v>0</v>
      </c>
      <c r="G28" s="41">
        <v>200</v>
      </c>
      <c r="H28" s="41">
        <f>G28*40/100000</f>
        <v>0.08</v>
      </c>
      <c r="I28" s="41">
        <f>H28*15</f>
        <v>1.2</v>
      </c>
      <c r="J28" s="112">
        <f>H28*25</f>
        <v>2</v>
      </c>
    </row>
    <row r="29" spans="2:13">
      <c r="B29" s="111" t="s">
        <v>3</v>
      </c>
      <c r="C29" s="41">
        <v>0</v>
      </c>
      <c r="D29" s="41">
        <v>0</v>
      </c>
      <c r="E29" s="41">
        <v>0</v>
      </c>
      <c r="F29" s="41">
        <v>0</v>
      </c>
      <c r="G29" s="41">
        <v>100</v>
      </c>
      <c r="H29" s="41">
        <f>G29*40/100000</f>
        <v>0.04</v>
      </c>
      <c r="I29" s="41">
        <f>H29*15</f>
        <v>0.6</v>
      </c>
      <c r="J29" s="112">
        <f>H29*25</f>
        <v>1</v>
      </c>
    </row>
    <row r="30" spans="2:13">
      <c r="B30" s="111" t="s">
        <v>90</v>
      </c>
      <c r="C30" s="41">
        <v>800</v>
      </c>
      <c r="D30" s="41">
        <f>C30*15</f>
        <v>12000</v>
      </c>
      <c r="E30" s="41">
        <f>C30*25</f>
        <v>20000</v>
      </c>
      <c r="F30" s="41">
        <v>0.02</v>
      </c>
      <c r="G30" s="41">
        <v>23</v>
      </c>
      <c r="H30" s="41">
        <f>G30*C30/100000</f>
        <v>0.184</v>
      </c>
      <c r="I30" s="41">
        <f>H30*15</f>
        <v>2.76</v>
      </c>
      <c r="J30" s="112">
        <f>H30*25</f>
        <v>4.5999999999999996</v>
      </c>
    </row>
    <row r="31" spans="2:13" ht="15.75" thickBot="1">
      <c r="B31" s="113" t="s">
        <v>77</v>
      </c>
      <c r="C31" s="46"/>
      <c r="D31" s="46"/>
      <c r="E31" s="46"/>
      <c r="F31" s="46"/>
      <c r="G31" s="46"/>
      <c r="H31" s="55">
        <f>SUM(H25:H30)</f>
        <v>1.857</v>
      </c>
      <c r="I31" s="55">
        <f>SUM(I25:I30)</f>
        <v>27.855000000000004</v>
      </c>
      <c r="J31" s="114">
        <f>SUM(J25:J30)</f>
        <v>46.425000000000004</v>
      </c>
    </row>
    <row r="32" spans="2:13" ht="15.75" thickBot="1"/>
    <row r="33" spans="2:10" ht="15.75" thickBot="1">
      <c r="B33" s="411" t="s">
        <v>137</v>
      </c>
      <c r="C33" s="412"/>
      <c r="D33" s="412"/>
      <c r="E33" s="412"/>
      <c r="F33" s="412"/>
      <c r="G33" s="412"/>
      <c r="H33" s="412"/>
      <c r="I33" s="412"/>
      <c r="J33" s="413"/>
    </row>
    <row r="34" spans="2:10" ht="67.5">
      <c r="B34" s="139" t="s">
        <v>68</v>
      </c>
      <c r="C34" s="140" t="s">
        <v>69</v>
      </c>
      <c r="D34" s="141" t="s">
        <v>123</v>
      </c>
      <c r="E34" s="141" t="s">
        <v>130</v>
      </c>
      <c r="F34" s="141" t="s">
        <v>124</v>
      </c>
      <c r="G34" s="141" t="s">
        <v>126</v>
      </c>
      <c r="H34" s="141" t="s">
        <v>164</v>
      </c>
      <c r="I34" s="141" t="s">
        <v>125</v>
      </c>
      <c r="J34" s="141" t="s">
        <v>165</v>
      </c>
    </row>
    <row r="35" spans="2:10">
      <c r="B35" s="115">
        <v>1</v>
      </c>
      <c r="C35" s="116" t="s">
        <v>87</v>
      </c>
      <c r="D35" s="118">
        <v>100</v>
      </c>
      <c r="E35" s="118">
        <v>0</v>
      </c>
      <c r="F35" s="41">
        <f>H9</f>
        <v>2.6155000000000004</v>
      </c>
      <c r="G35" s="41">
        <f>F35*6</f>
        <v>15.693000000000001</v>
      </c>
      <c r="H35" s="41">
        <f>I9</f>
        <v>39.232499999999995</v>
      </c>
      <c r="I35" s="41">
        <f>J9</f>
        <v>65.387500000000003</v>
      </c>
      <c r="J35" s="41">
        <f>H35</f>
        <v>39.232499999999995</v>
      </c>
    </row>
    <row r="36" spans="2:10" ht="22.5">
      <c r="B36" s="115">
        <v>2</v>
      </c>
      <c r="C36" s="40" t="s">
        <v>93</v>
      </c>
      <c r="D36" s="118">
        <v>800</v>
      </c>
      <c r="E36" s="118">
        <v>285</v>
      </c>
      <c r="F36" s="41">
        <f>H20</f>
        <v>1.157</v>
      </c>
      <c r="G36" s="41">
        <f t="shared" ref="G36:G37" si="18">F36*6</f>
        <v>6.9420000000000002</v>
      </c>
      <c r="H36" s="41">
        <f>I20</f>
        <v>17.354999999999997</v>
      </c>
      <c r="I36" s="41">
        <f>J20</f>
        <v>28.924999999999997</v>
      </c>
      <c r="J36" s="41">
        <v>0</v>
      </c>
    </row>
    <row r="37" spans="2:10" ht="22.5">
      <c r="B37" s="119">
        <v>3</v>
      </c>
      <c r="C37" s="120" t="s">
        <v>109</v>
      </c>
      <c r="D37" s="121">
        <v>800</v>
      </c>
      <c r="E37" s="121">
        <v>285</v>
      </c>
      <c r="F37" s="122">
        <f>H31</f>
        <v>1.857</v>
      </c>
      <c r="G37" s="122">
        <f t="shared" si="18"/>
        <v>11.141999999999999</v>
      </c>
      <c r="H37" s="122">
        <f>I31</f>
        <v>27.855000000000004</v>
      </c>
      <c r="I37" s="122">
        <f>J31</f>
        <v>46.425000000000004</v>
      </c>
      <c r="J37" s="122">
        <f>G37</f>
        <v>11.141999999999999</v>
      </c>
    </row>
    <row r="38" spans="2:10">
      <c r="B38" s="117"/>
      <c r="C38" s="124" t="s">
        <v>77</v>
      </c>
      <c r="D38" s="117"/>
      <c r="E38" s="117"/>
      <c r="F38" s="117"/>
      <c r="G38" s="117"/>
      <c r="H38" s="117"/>
      <c r="I38" s="117"/>
      <c r="J38" s="123">
        <f>SUM(J35:J37)</f>
        <v>50.374499999999998</v>
      </c>
    </row>
    <row r="41" spans="2:10">
      <c r="B41" s="421" t="s">
        <v>139</v>
      </c>
      <c r="C41" s="422"/>
      <c r="D41" s="422"/>
      <c r="E41" s="422"/>
      <c r="F41" s="422"/>
      <c r="G41" s="422"/>
      <c r="H41" s="422"/>
      <c r="I41" s="423"/>
      <c r="J41" s="125"/>
    </row>
    <row r="42" spans="2:10">
      <c r="B42" s="424" t="s">
        <v>68</v>
      </c>
      <c r="C42" s="419" t="s">
        <v>140</v>
      </c>
      <c r="D42" s="420"/>
      <c r="E42" s="426" t="s">
        <v>133</v>
      </c>
      <c r="F42" s="428" t="s">
        <v>127</v>
      </c>
      <c r="G42" s="428" t="s">
        <v>128</v>
      </c>
      <c r="H42" s="426" t="s">
        <v>129</v>
      </c>
      <c r="I42" s="426" t="s">
        <v>70</v>
      </c>
      <c r="J42" s="125"/>
    </row>
    <row r="43" spans="2:10">
      <c r="B43" s="425"/>
      <c r="C43" s="126" t="s">
        <v>131</v>
      </c>
      <c r="D43" s="126" t="s">
        <v>132</v>
      </c>
      <c r="E43" s="427"/>
      <c r="F43" s="429"/>
      <c r="G43" s="429"/>
      <c r="H43" s="427"/>
      <c r="I43" s="427"/>
      <c r="J43" s="125"/>
    </row>
    <row r="44" spans="2:10" ht="34.5">
      <c r="B44" s="127">
        <v>1</v>
      </c>
      <c r="C44" s="128">
        <v>251</v>
      </c>
      <c r="D44" s="128">
        <v>274</v>
      </c>
      <c r="E44" s="128">
        <v>500</v>
      </c>
      <c r="F44" s="41">
        <v>5</v>
      </c>
      <c r="G44" s="41">
        <v>2</v>
      </c>
      <c r="H44" s="41">
        <v>2500</v>
      </c>
      <c r="I44" s="129" t="s">
        <v>138</v>
      </c>
      <c r="J44" s="125"/>
    </row>
    <row r="45" spans="2:10" ht="45.75">
      <c r="B45" s="127">
        <v>2</v>
      </c>
      <c r="C45" s="128">
        <v>275</v>
      </c>
      <c r="D45" s="128">
        <v>280</v>
      </c>
      <c r="E45" s="128">
        <v>500</v>
      </c>
      <c r="F45" s="41">
        <v>5.5</v>
      </c>
      <c r="G45" s="41">
        <v>2</v>
      </c>
      <c r="H45" s="41">
        <v>2750</v>
      </c>
      <c r="I45" s="129" t="s">
        <v>134</v>
      </c>
      <c r="J45" s="125"/>
    </row>
    <row r="46" spans="2:10" ht="34.5">
      <c r="B46" s="127">
        <v>3</v>
      </c>
      <c r="C46" s="128">
        <v>281</v>
      </c>
      <c r="D46" s="128">
        <v>285</v>
      </c>
      <c r="E46" s="128">
        <v>500</v>
      </c>
      <c r="F46" s="41">
        <v>6</v>
      </c>
      <c r="G46" s="41">
        <v>2</v>
      </c>
      <c r="H46" s="41">
        <v>3000</v>
      </c>
      <c r="I46" s="129" t="s">
        <v>135</v>
      </c>
      <c r="J46" s="125"/>
    </row>
    <row r="47" spans="2:10">
      <c r="B47" s="127">
        <v>4</v>
      </c>
      <c r="C47" s="128">
        <v>286</v>
      </c>
      <c r="D47" s="128">
        <v>300</v>
      </c>
      <c r="E47" s="128">
        <v>500</v>
      </c>
      <c r="F47" s="41">
        <v>10</v>
      </c>
      <c r="G47" s="41">
        <v>3</v>
      </c>
      <c r="H47" s="41">
        <v>5000</v>
      </c>
      <c r="I47" s="129" t="s">
        <v>136</v>
      </c>
      <c r="J47" s="125"/>
    </row>
    <row r="48" spans="2:10">
      <c r="B48" s="125"/>
      <c r="C48" s="125"/>
      <c r="D48" s="125"/>
      <c r="E48" s="125"/>
      <c r="F48" s="125"/>
      <c r="G48" s="125"/>
      <c r="H48" s="125"/>
      <c r="I48" s="125"/>
      <c r="J48" s="125"/>
    </row>
    <row r="49" spans="2:14" ht="15.75" thickBot="1">
      <c r="B49" s="130"/>
      <c r="C49" s="131"/>
      <c r="D49" s="132"/>
      <c r="E49" s="132"/>
      <c r="F49" s="133"/>
      <c r="G49" s="131"/>
      <c r="H49" s="131"/>
    </row>
    <row r="50" spans="2:14" ht="15.75" thickBot="1">
      <c r="B50" s="411" t="s">
        <v>166</v>
      </c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3"/>
    </row>
    <row r="51" spans="2:14" ht="60.75" thickBot="1">
      <c r="B51" s="174" t="s">
        <v>69</v>
      </c>
      <c r="C51" s="175" t="s">
        <v>167</v>
      </c>
      <c r="D51" s="152" t="s">
        <v>145</v>
      </c>
      <c r="E51" s="175" t="s">
        <v>228</v>
      </c>
      <c r="F51" s="175" t="s">
        <v>155</v>
      </c>
      <c r="G51" s="176" t="s">
        <v>156</v>
      </c>
      <c r="H51" s="177"/>
      <c r="I51" s="414" t="s">
        <v>227</v>
      </c>
      <c r="J51" s="415"/>
      <c r="K51" s="415"/>
      <c r="L51" s="415"/>
      <c r="M51" s="416"/>
      <c r="N51">
        <v>4750</v>
      </c>
    </row>
    <row r="52" spans="2:14" ht="15.75" thickBot="1">
      <c r="B52" s="155" t="s">
        <v>87</v>
      </c>
      <c r="C52" s="27">
        <v>35</v>
      </c>
      <c r="D52" s="22">
        <v>4750</v>
      </c>
      <c r="E52" s="27">
        <f>D52*C52</f>
        <v>166250</v>
      </c>
      <c r="F52" s="22">
        <f>E52*6</f>
        <v>997500</v>
      </c>
      <c r="G52" s="166">
        <f>E52*25</f>
        <v>4156250</v>
      </c>
      <c r="H52" s="178"/>
      <c r="I52" s="170" t="s">
        <v>152</v>
      </c>
      <c r="J52" s="146" t="s">
        <v>147</v>
      </c>
      <c r="K52" s="146" t="s">
        <v>148</v>
      </c>
      <c r="L52" s="146" t="s">
        <v>149</v>
      </c>
      <c r="M52" s="147" t="s">
        <v>150</v>
      </c>
      <c r="N52">
        <v>1000</v>
      </c>
    </row>
    <row r="53" spans="2:14">
      <c r="B53" s="155" t="s">
        <v>144</v>
      </c>
      <c r="C53" s="27">
        <v>12.5</v>
      </c>
      <c r="D53" s="22">
        <v>1000</v>
      </c>
      <c r="E53" s="27">
        <f t="shared" ref="E53:E54" si="19">D53*C53</f>
        <v>12500</v>
      </c>
      <c r="F53" s="22">
        <f t="shared" ref="F53:F59" si="20">E53*6</f>
        <v>75000</v>
      </c>
      <c r="G53" s="166">
        <f t="shared" ref="G53:G60" si="21">E53*25</f>
        <v>312500</v>
      </c>
      <c r="H53" s="178"/>
      <c r="I53" s="171">
        <v>5475000</v>
      </c>
      <c r="J53" s="145">
        <f>I53/4</f>
        <v>1368750</v>
      </c>
      <c r="K53" s="145">
        <f>J53</f>
        <v>1368750</v>
      </c>
      <c r="L53" s="145">
        <f>K53</f>
        <v>1368750</v>
      </c>
      <c r="M53" s="148">
        <f>L53</f>
        <v>1368750</v>
      </c>
      <c r="N53">
        <v>1750</v>
      </c>
    </row>
    <row r="54" spans="2:14">
      <c r="B54" s="155" t="s">
        <v>89</v>
      </c>
      <c r="C54" s="22">
        <v>2.5</v>
      </c>
      <c r="D54" s="22">
        <v>1750</v>
      </c>
      <c r="E54" s="22">
        <f t="shared" si="19"/>
        <v>4375</v>
      </c>
      <c r="F54" s="22">
        <f t="shared" si="20"/>
        <v>26250</v>
      </c>
      <c r="G54" s="166">
        <f t="shared" si="21"/>
        <v>109375</v>
      </c>
      <c r="H54" s="178"/>
      <c r="I54" s="172" t="s">
        <v>153</v>
      </c>
      <c r="J54" s="417">
        <f>I53/25</f>
        <v>219000</v>
      </c>
      <c r="K54" s="417"/>
      <c r="L54" s="417"/>
      <c r="M54" s="418"/>
      <c r="N54">
        <v>4</v>
      </c>
    </row>
    <row r="55" spans="2:14" ht="15.75" thickBot="1">
      <c r="B55" s="155" t="s">
        <v>2</v>
      </c>
      <c r="C55" s="27">
        <v>0</v>
      </c>
      <c r="D55" s="22">
        <v>4</v>
      </c>
      <c r="E55" s="27">
        <v>9264.8571428571431</v>
      </c>
      <c r="F55" s="27">
        <f t="shared" si="20"/>
        <v>55589.142857142855</v>
      </c>
      <c r="G55" s="166">
        <f t="shared" si="21"/>
        <v>231621.42857142858</v>
      </c>
      <c r="H55" s="178"/>
      <c r="I55" s="391" t="s">
        <v>151</v>
      </c>
      <c r="J55" s="391"/>
      <c r="K55" s="391"/>
      <c r="L55" s="391"/>
      <c r="M55" s="392"/>
      <c r="N55">
        <v>20</v>
      </c>
    </row>
    <row r="56" spans="2:14" ht="15.75" thickBot="1">
      <c r="B56" s="155" t="s">
        <v>3</v>
      </c>
      <c r="C56" s="27">
        <v>0</v>
      </c>
      <c r="D56" s="27">
        <f>E56/50</f>
        <v>80</v>
      </c>
      <c r="E56" s="27">
        <v>4000</v>
      </c>
      <c r="F56" s="27">
        <f t="shared" si="20"/>
        <v>24000</v>
      </c>
      <c r="G56" s="166">
        <f t="shared" si="21"/>
        <v>100000</v>
      </c>
      <c r="H56" s="178"/>
      <c r="I56" s="170" t="s">
        <v>152</v>
      </c>
      <c r="J56" s="146" t="s">
        <v>147</v>
      </c>
      <c r="K56" s="146" t="s">
        <v>148</v>
      </c>
      <c r="L56" s="146" t="s">
        <v>149</v>
      </c>
      <c r="M56" s="147" t="s">
        <v>150</v>
      </c>
      <c r="N56">
        <v>460</v>
      </c>
    </row>
    <row r="57" spans="2:14">
      <c r="B57" s="155" t="s">
        <v>143</v>
      </c>
      <c r="C57" s="27">
        <v>1000</v>
      </c>
      <c r="D57" s="22">
        <f>23*20</f>
        <v>460</v>
      </c>
      <c r="E57" s="27">
        <f>C57*23</f>
        <v>23000</v>
      </c>
      <c r="F57" s="22">
        <f t="shared" si="20"/>
        <v>138000</v>
      </c>
      <c r="G57" s="166">
        <f t="shared" si="21"/>
        <v>575000</v>
      </c>
      <c r="H57" s="178"/>
      <c r="I57" s="31">
        <v>25000</v>
      </c>
      <c r="J57" s="22">
        <f>I57/4</f>
        <v>6250</v>
      </c>
      <c r="K57" s="22">
        <f t="shared" ref="K57:M58" si="22">J57</f>
        <v>6250</v>
      </c>
      <c r="L57" s="22">
        <f t="shared" si="22"/>
        <v>6250</v>
      </c>
      <c r="M57" s="149">
        <f t="shared" si="22"/>
        <v>6250</v>
      </c>
      <c r="N57">
        <v>5</v>
      </c>
    </row>
    <row r="58" spans="2:14">
      <c r="B58" s="155" t="s">
        <v>146</v>
      </c>
      <c r="C58" s="22">
        <v>0</v>
      </c>
      <c r="D58" s="22">
        <f>E58/50</f>
        <v>20</v>
      </c>
      <c r="E58" s="22">
        <v>1000</v>
      </c>
      <c r="F58" s="22">
        <f t="shared" si="20"/>
        <v>6000</v>
      </c>
      <c r="G58" s="166">
        <f t="shared" si="21"/>
        <v>25000</v>
      </c>
      <c r="H58" s="178"/>
      <c r="I58" s="173">
        <v>7125000</v>
      </c>
      <c r="J58" s="150">
        <f>I58/4</f>
        <v>1781250</v>
      </c>
      <c r="K58" s="150">
        <f t="shared" si="22"/>
        <v>1781250</v>
      </c>
      <c r="L58" s="150">
        <f t="shared" si="22"/>
        <v>1781250</v>
      </c>
      <c r="M58" s="151">
        <f t="shared" si="22"/>
        <v>1781250</v>
      </c>
      <c r="N58">
        <v>60</v>
      </c>
    </row>
    <row r="59" spans="2:14" ht="15.75" thickBot="1">
      <c r="B59" s="155" t="s">
        <v>154</v>
      </c>
      <c r="C59" s="22">
        <v>0</v>
      </c>
      <c r="D59" s="22">
        <f>E59/1000</f>
        <v>3</v>
      </c>
      <c r="E59" s="27">
        <v>3000</v>
      </c>
      <c r="F59" s="22">
        <f t="shared" si="20"/>
        <v>18000</v>
      </c>
      <c r="G59" s="166">
        <f t="shared" si="21"/>
        <v>75000</v>
      </c>
      <c r="H59" s="178"/>
      <c r="I59" s="154" t="s">
        <v>153</v>
      </c>
      <c r="J59" s="393">
        <f>I58/25</f>
        <v>285000</v>
      </c>
      <c r="K59" s="394"/>
      <c r="L59" s="394"/>
      <c r="M59" s="395"/>
    </row>
    <row r="60" spans="2:14" ht="15.75" thickBot="1">
      <c r="B60" s="164" t="s">
        <v>77</v>
      </c>
      <c r="C60" s="161"/>
      <c r="D60" s="162"/>
      <c r="E60" s="163">
        <f>SUM(E52:E59)</f>
        <v>223389.85714285713</v>
      </c>
      <c r="F60" s="165">
        <f>SUM(F52:F59)</f>
        <v>1340339.142857143</v>
      </c>
      <c r="G60" s="167">
        <f t="shared" si="21"/>
        <v>5584746.4285714282</v>
      </c>
      <c r="H60" s="178"/>
      <c r="I60" s="396" t="s">
        <v>142</v>
      </c>
      <c r="J60" s="397"/>
      <c r="K60" s="397"/>
      <c r="L60" s="397"/>
      <c r="M60" s="398"/>
    </row>
    <row r="61" spans="2:14" ht="15.75" thickBot="1">
      <c r="B61" s="159"/>
      <c r="C61" s="142"/>
      <c r="D61" s="143"/>
      <c r="E61" s="143"/>
      <c r="F61" s="144"/>
      <c r="G61" s="168"/>
      <c r="H61" s="178"/>
      <c r="I61" s="170" t="s">
        <v>152</v>
      </c>
      <c r="J61" s="146" t="s">
        <v>147</v>
      </c>
      <c r="K61" s="146" t="s">
        <v>148</v>
      </c>
      <c r="L61" s="153" t="s">
        <v>149</v>
      </c>
      <c r="M61" s="147" t="s">
        <v>150</v>
      </c>
    </row>
    <row r="62" spans="2:14">
      <c r="B62" s="159"/>
      <c r="C62" s="142"/>
      <c r="D62" s="143"/>
      <c r="E62" s="143"/>
      <c r="F62" s="144"/>
      <c r="G62" s="168"/>
      <c r="H62" s="178"/>
      <c r="I62" s="171">
        <f>I58-I53</f>
        <v>1650000</v>
      </c>
      <c r="J62" s="145">
        <f>J58-J53</f>
        <v>412500</v>
      </c>
      <c r="K62" s="145">
        <f t="shared" ref="K62:M62" si="23">J62</f>
        <v>412500</v>
      </c>
      <c r="L62" s="145">
        <f t="shared" si="23"/>
        <v>412500</v>
      </c>
      <c r="M62" s="148">
        <f t="shared" si="23"/>
        <v>412500</v>
      </c>
    </row>
    <row r="63" spans="2:14" ht="15.75" thickBot="1">
      <c r="B63" s="156"/>
      <c r="C63" s="160"/>
      <c r="D63" s="157"/>
      <c r="E63" s="157"/>
      <c r="F63" s="158"/>
      <c r="G63" s="169"/>
      <c r="H63" s="179"/>
      <c r="I63" s="154" t="s">
        <v>153</v>
      </c>
      <c r="J63" s="399">
        <f>I62/25</f>
        <v>66000</v>
      </c>
      <c r="K63" s="400"/>
      <c r="L63" s="400"/>
      <c r="M63" s="401"/>
    </row>
    <row r="64" spans="2:14">
      <c r="B64" s="130"/>
      <c r="C64" s="131"/>
      <c r="D64" s="132"/>
      <c r="E64" s="132"/>
      <c r="F64" s="133"/>
      <c r="G64" s="131"/>
      <c r="H64" s="131"/>
    </row>
    <row r="65" spans="2:15">
      <c r="B65" s="405" t="s">
        <v>193</v>
      </c>
      <c r="C65" s="406"/>
      <c r="D65" s="406"/>
      <c r="E65" s="406"/>
      <c r="F65" s="406"/>
      <c r="G65" s="406"/>
      <c r="H65" s="406"/>
      <c r="I65" s="406"/>
      <c r="J65" s="406"/>
      <c r="K65" s="406"/>
      <c r="L65" s="407"/>
    </row>
    <row r="66" spans="2:15" ht="60" customHeight="1">
      <c r="B66" s="197" t="s">
        <v>173</v>
      </c>
      <c r="C66" s="198" t="s">
        <v>169</v>
      </c>
      <c r="D66" s="199" t="s">
        <v>141</v>
      </c>
      <c r="E66" s="199" t="s">
        <v>172</v>
      </c>
      <c r="F66" s="199" t="s">
        <v>196</v>
      </c>
      <c r="G66" s="199" t="s">
        <v>197</v>
      </c>
      <c r="H66" s="200" t="s">
        <v>198</v>
      </c>
      <c r="I66" s="199" t="s">
        <v>168</v>
      </c>
      <c r="J66" s="199" t="s">
        <v>170</v>
      </c>
      <c r="K66" s="201" t="s">
        <v>171</v>
      </c>
      <c r="L66" s="201" t="s">
        <v>195</v>
      </c>
    </row>
    <row r="67" spans="2:15">
      <c r="B67" s="185">
        <v>5000000</v>
      </c>
      <c r="C67" s="186">
        <v>212</v>
      </c>
      <c r="D67" s="187">
        <v>285</v>
      </c>
      <c r="E67" s="187">
        <f>B67/C67</f>
        <v>23584.905660377357</v>
      </c>
      <c r="F67" s="187">
        <f>E67/25</f>
        <v>943.39622641509425</v>
      </c>
      <c r="G67" s="186">
        <f>E67/F67</f>
        <v>25</v>
      </c>
      <c r="H67" s="187">
        <f>F67*C67</f>
        <v>199999.99999999997</v>
      </c>
      <c r="I67" s="187">
        <f>F67*D67</f>
        <v>268867.92452830187</v>
      </c>
      <c r="J67" s="187">
        <f>(D67-C67)*F67</f>
        <v>68867.924528301883</v>
      </c>
      <c r="K67" s="195">
        <f>J67*25</f>
        <v>1721698.113207547</v>
      </c>
      <c r="L67" s="408">
        <f>K67/B67*100</f>
        <v>34.433962264150942</v>
      </c>
    </row>
    <row r="68" spans="2:15">
      <c r="B68" s="181">
        <f t="shared" ref="B68:B74" si="24">B67/2</f>
        <v>2500000</v>
      </c>
      <c r="C68" s="182">
        <f>C67</f>
        <v>212</v>
      </c>
      <c r="D68" s="183">
        <v>285</v>
      </c>
      <c r="E68" s="183">
        <f t="shared" ref="E68:E74" si="25">B68/C68</f>
        <v>11792.452830188678</v>
      </c>
      <c r="F68" s="183">
        <f t="shared" ref="F68:F74" si="26">E68/25</f>
        <v>471.69811320754712</v>
      </c>
      <c r="G68" s="182">
        <f t="shared" ref="G68:G73" si="27">E68/F68</f>
        <v>25</v>
      </c>
      <c r="H68" s="183">
        <f t="shared" ref="H68:H74" si="28">F68*C68</f>
        <v>99999.999999999985</v>
      </c>
      <c r="I68" s="183">
        <f t="shared" ref="I68:I74" si="29">F68*D68</f>
        <v>134433.96226415093</v>
      </c>
      <c r="J68" s="183">
        <f t="shared" ref="J68:J74" si="30">(D68-C68)*F68</f>
        <v>34433.962264150941</v>
      </c>
      <c r="K68" s="196">
        <f t="shared" ref="K68:K74" si="31">J68*25</f>
        <v>860849.0566037735</v>
      </c>
      <c r="L68" s="409"/>
    </row>
    <row r="69" spans="2:15">
      <c r="B69" s="181">
        <f t="shared" si="24"/>
        <v>1250000</v>
      </c>
      <c r="C69" s="182">
        <f t="shared" ref="C69:C74" si="32">C68</f>
        <v>212</v>
      </c>
      <c r="D69" s="183">
        <v>285</v>
      </c>
      <c r="E69" s="183">
        <f t="shared" si="25"/>
        <v>5896.2264150943392</v>
      </c>
      <c r="F69" s="183">
        <f t="shared" si="26"/>
        <v>235.84905660377356</v>
      </c>
      <c r="G69" s="182">
        <f t="shared" si="27"/>
        <v>25</v>
      </c>
      <c r="H69" s="183">
        <f t="shared" si="28"/>
        <v>49999.999999999993</v>
      </c>
      <c r="I69" s="183">
        <f t="shared" si="29"/>
        <v>67216.981132075467</v>
      </c>
      <c r="J69" s="183">
        <f t="shared" si="30"/>
        <v>17216.981132075471</v>
      </c>
      <c r="K69" s="196">
        <f t="shared" si="31"/>
        <v>430424.52830188675</v>
      </c>
      <c r="L69" s="409"/>
    </row>
    <row r="70" spans="2:15">
      <c r="B70" s="181">
        <f t="shared" si="24"/>
        <v>625000</v>
      </c>
      <c r="C70" s="182">
        <f t="shared" si="32"/>
        <v>212</v>
      </c>
      <c r="D70" s="183">
        <v>285</v>
      </c>
      <c r="E70" s="183">
        <f t="shared" si="25"/>
        <v>2948.1132075471696</v>
      </c>
      <c r="F70" s="183">
        <f t="shared" si="26"/>
        <v>117.92452830188678</v>
      </c>
      <c r="G70" s="182">
        <f t="shared" si="27"/>
        <v>25</v>
      </c>
      <c r="H70" s="183">
        <f t="shared" si="28"/>
        <v>24999.999999999996</v>
      </c>
      <c r="I70" s="183">
        <f t="shared" si="29"/>
        <v>33608.490566037734</v>
      </c>
      <c r="J70" s="183">
        <f t="shared" si="30"/>
        <v>8608.4905660377353</v>
      </c>
      <c r="K70" s="196">
        <f t="shared" si="31"/>
        <v>215212.26415094337</v>
      </c>
      <c r="L70" s="409"/>
    </row>
    <row r="71" spans="2:15">
      <c r="B71" s="184">
        <f t="shared" si="24"/>
        <v>312500</v>
      </c>
      <c r="C71" s="182">
        <f t="shared" si="32"/>
        <v>212</v>
      </c>
      <c r="D71" s="183">
        <v>285</v>
      </c>
      <c r="E71" s="183">
        <f t="shared" si="25"/>
        <v>1474.0566037735848</v>
      </c>
      <c r="F71" s="183">
        <f t="shared" si="26"/>
        <v>58.96226415094339</v>
      </c>
      <c r="G71" s="182">
        <f t="shared" si="27"/>
        <v>25</v>
      </c>
      <c r="H71" s="183">
        <f t="shared" si="28"/>
        <v>12499.999999999998</v>
      </c>
      <c r="I71" s="183">
        <f t="shared" si="29"/>
        <v>16804.245283018867</v>
      </c>
      <c r="J71" s="183">
        <f t="shared" si="30"/>
        <v>4304.2452830188677</v>
      </c>
      <c r="K71" s="196">
        <f t="shared" si="31"/>
        <v>107606.13207547169</v>
      </c>
      <c r="L71" s="409"/>
    </row>
    <row r="72" spans="2:15">
      <c r="B72" s="182">
        <f t="shared" si="24"/>
        <v>156250</v>
      </c>
      <c r="C72" s="182">
        <f t="shared" si="32"/>
        <v>212</v>
      </c>
      <c r="D72" s="183">
        <v>285</v>
      </c>
      <c r="E72" s="183">
        <f t="shared" si="25"/>
        <v>737.02830188679241</v>
      </c>
      <c r="F72" s="183">
        <f t="shared" si="26"/>
        <v>29.481132075471695</v>
      </c>
      <c r="G72" s="182">
        <f t="shared" si="27"/>
        <v>25</v>
      </c>
      <c r="H72" s="183">
        <f t="shared" si="28"/>
        <v>6249.9999999999991</v>
      </c>
      <c r="I72" s="183">
        <f t="shared" si="29"/>
        <v>8402.1226415094334</v>
      </c>
      <c r="J72" s="183">
        <f t="shared" si="30"/>
        <v>2152.1226415094338</v>
      </c>
      <c r="K72" s="196">
        <f t="shared" si="31"/>
        <v>53803.066037735844</v>
      </c>
      <c r="L72" s="409"/>
    </row>
    <row r="73" spans="2:15">
      <c r="B73" s="182">
        <f t="shared" si="24"/>
        <v>78125</v>
      </c>
      <c r="C73" s="182">
        <f t="shared" si="32"/>
        <v>212</v>
      </c>
      <c r="D73" s="183">
        <v>285</v>
      </c>
      <c r="E73" s="183">
        <f t="shared" si="25"/>
        <v>368.5141509433962</v>
      </c>
      <c r="F73" s="183">
        <f t="shared" si="26"/>
        <v>14.740566037735848</v>
      </c>
      <c r="G73" s="182">
        <f t="shared" si="27"/>
        <v>25</v>
      </c>
      <c r="H73" s="183">
        <f t="shared" si="28"/>
        <v>3124.9999999999995</v>
      </c>
      <c r="I73" s="183">
        <f t="shared" si="29"/>
        <v>4201.0613207547167</v>
      </c>
      <c r="J73" s="183">
        <f t="shared" si="30"/>
        <v>1076.0613207547169</v>
      </c>
      <c r="K73" s="196">
        <f t="shared" si="31"/>
        <v>26901.533018867922</v>
      </c>
      <c r="L73" s="409"/>
    </row>
    <row r="74" spans="2:15">
      <c r="B74" s="183">
        <f t="shared" si="24"/>
        <v>39062.5</v>
      </c>
      <c r="C74" s="182">
        <f t="shared" si="32"/>
        <v>212</v>
      </c>
      <c r="D74" s="183">
        <v>285</v>
      </c>
      <c r="E74" s="183">
        <f t="shared" si="25"/>
        <v>184.2570754716981</v>
      </c>
      <c r="F74" s="183">
        <f t="shared" si="26"/>
        <v>7.3702830188679238</v>
      </c>
      <c r="G74" s="182">
        <f>E74/F74</f>
        <v>25</v>
      </c>
      <c r="H74" s="183">
        <f t="shared" si="28"/>
        <v>1562.4999999999998</v>
      </c>
      <c r="I74" s="183">
        <f t="shared" si="29"/>
        <v>2100.5306603773583</v>
      </c>
      <c r="J74" s="183">
        <f t="shared" si="30"/>
        <v>538.03066037735846</v>
      </c>
      <c r="K74" s="196">
        <f t="shared" si="31"/>
        <v>13450.766509433961</v>
      </c>
      <c r="L74" s="410"/>
    </row>
    <row r="75" spans="2:15">
      <c r="B75" s="130"/>
      <c r="C75" s="134"/>
      <c r="D75" s="135"/>
      <c r="E75" s="135"/>
      <c r="F75" s="125"/>
      <c r="G75" s="125"/>
      <c r="H75" s="125"/>
      <c r="I75" s="125"/>
      <c r="J75" s="180"/>
      <c r="K75" s="125"/>
      <c r="L75" s="125"/>
      <c r="M75" s="125"/>
      <c r="N75" s="125"/>
      <c r="O75" s="125"/>
    </row>
    <row r="76" spans="2:15">
      <c r="B76" s="405" t="s">
        <v>194</v>
      </c>
      <c r="C76" s="406"/>
      <c r="D76" s="406"/>
      <c r="E76" s="406"/>
      <c r="F76" s="406"/>
      <c r="G76" s="406"/>
      <c r="H76" s="406"/>
      <c r="I76" s="406"/>
      <c r="J76" s="406"/>
      <c r="K76" s="406"/>
      <c r="L76" s="407"/>
      <c r="M76" s="125"/>
      <c r="N76" s="125"/>
      <c r="O76" s="125"/>
    </row>
    <row r="77" spans="2:15" ht="60">
      <c r="B77" s="197" t="s">
        <v>173</v>
      </c>
      <c r="C77" s="198" t="s">
        <v>169</v>
      </c>
      <c r="D77" s="199" t="s">
        <v>141</v>
      </c>
      <c r="E77" s="199" t="s">
        <v>172</v>
      </c>
      <c r="F77" s="199" t="s">
        <v>196</v>
      </c>
      <c r="G77" s="199" t="s">
        <v>197</v>
      </c>
      <c r="H77" s="200" t="s">
        <v>198</v>
      </c>
      <c r="I77" s="199" t="s">
        <v>168</v>
      </c>
      <c r="J77" s="199" t="s">
        <v>170</v>
      </c>
      <c r="K77" s="201" t="s">
        <v>171</v>
      </c>
      <c r="L77" s="201" t="s">
        <v>195</v>
      </c>
      <c r="M77" s="125"/>
      <c r="N77" s="125"/>
      <c r="O77" s="125"/>
    </row>
    <row r="78" spans="2:15">
      <c r="B78" s="185">
        <v>5000000</v>
      </c>
      <c r="C78" s="186">
        <v>123</v>
      </c>
      <c r="D78" s="187">
        <v>285</v>
      </c>
      <c r="E78" s="187">
        <f>B78/C78</f>
        <v>40650.406504065038</v>
      </c>
      <c r="F78" s="187">
        <f>E78/25</f>
        <v>1626.0162601626016</v>
      </c>
      <c r="G78" s="186">
        <f>E78/F78</f>
        <v>25</v>
      </c>
      <c r="H78" s="187">
        <f>F78*C78</f>
        <v>200000</v>
      </c>
      <c r="I78" s="186">
        <f>F78*D78</f>
        <v>463414.63414634147</v>
      </c>
      <c r="J78" s="187">
        <f>(D78-C78)*F78</f>
        <v>263414.63414634147</v>
      </c>
      <c r="K78" s="195">
        <f>J78*25</f>
        <v>6585365.8536585364</v>
      </c>
      <c r="L78" s="402">
        <f>K78/B78*100</f>
        <v>131.70731707317074</v>
      </c>
      <c r="M78" s="125"/>
      <c r="N78" s="125"/>
      <c r="O78" s="125"/>
    </row>
    <row r="79" spans="2:15">
      <c r="B79" s="181">
        <f t="shared" ref="B79:B85" si="33">B78/2</f>
        <v>2500000</v>
      </c>
      <c r="C79" s="182">
        <v>123</v>
      </c>
      <c r="D79" s="183">
        <v>285</v>
      </c>
      <c r="E79" s="183">
        <f t="shared" ref="E79:E85" si="34">B79/D79</f>
        <v>8771.9298245614027</v>
      </c>
      <c r="F79" s="183">
        <f t="shared" ref="F79:F85" si="35">E79/25</f>
        <v>350.87719298245611</v>
      </c>
      <c r="G79" s="182">
        <f t="shared" ref="G79:G85" si="36">E79/F79</f>
        <v>25</v>
      </c>
      <c r="H79" s="183">
        <f t="shared" ref="H79:H85" si="37">F79*C79</f>
        <v>43157.8947368421</v>
      </c>
      <c r="I79" s="182">
        <f t="shared" ref="I79:I85" si="38">F79*D79</f>
        <v>99999.999999999985</v>
      </c>
      <c r="J79" s="183">
        <f t="shared" ref="J79:J85" si="39">(D79-C79)*F79</f>
        <v>56842.105263157893</v>
      </c>
      <c r="K79" s="196">
        <f t="shared" ref="K79:K85" si="40">J79*25</f>
        <v>1421052.6315789474</v>
      </c>
      <c r="L79" s="403"/>
      <c r="M79" s="125"/>
      <c r="N79" s="125"/>
      <c r="O79" s="125"/>
    </row>
    <row r="80" spans="2:15">
      <c r="B80" s="181">
        <f t="shared" si="33"/>
        <v>1250000</v>
      </c>
      <c r="C80" s="182">
        <v>123</v>
      </c>
      <c r="D80" s="183">
        <v>285</v>
      </c>
      <c r="E80" s="183">
        <f t="shared" si="34"/>
        <v>4385.9649122807014</v>
      </c>
      <c r="F80" s="183">
        <f t="shared" si="35"/>
        <v>175.43859649122805</v>
      </c>
      <c r="G80" s="182">
        <f t="shared" si="36"/>
        <v>25</v>
      </c>
      <c r="H80" s="183">
        <f t="shared" si="37"/>
        <v>21578.94736842105</v>
      </c>
      <c r="I80" s="182">
        <f t="shared" si="38"/>
        <v>49999.999999999993</v>
      </c>
      <c r="J80" s="183">
        <f t="shared" si="39"/>
        <v>28421.052631578947</v>
      </c>
      <c r="K80" s="196">
        <f t="shared" si="40"/>
        <v>710526.31578947371</v>
      </c>
      <c r="L80" s="403"/>
      <c r="M80" s="125"/>
      <c r="N80" s="125"/>
      <c r="O80" s="125"/>
    </row>
    <row r="81" spans="2:15">
      <c r="B81" s="181">
        <f t="shared" si="33"/>
        <v>625000</v>
      </c>
      <c r="C81" s="182">
        <v>123</v>
      </c>
      <c r="D81" s="183">
        <v>285</v>
      </c>
      <c r="E81" s="183">
        <f t="shared" si="34"/>
        <v>2192.9824561403507</v>
      </c>
      <c r="F81" s="183">
        <f t="shared" si="35"/>
        <v>87.719298245614027</v>
      </c>
      <c r="G81" s="182">
        <f t="shared" si="36"/>
        <v>25</v>
      </c>
      <c r="H81" s="183">
        <f t="shared" si="37"/>
        <v>10789.473684210525</v>
      </c>
      <c r="I81" s="182">
        <f t="shared" si="38"/>
        <v>24999.999999999996</v>
      </c>
      <c r="J81" s="183">
        <f t="shared" si="39"/>
        <v>14210.526315789473</v>
      </c>
      <c r="K81" s="196">
        <f t="shared" si="40"/>
        <v>355263.15789473685</v>
      </c>
      <c r="L81" s="403"/>
      <c r="M81" s="125"/>
      <c r="N81" s="125"/>
      <c r="O81" s="125"/>
    </row>
    <row r="82" spans="2:15">
      <c r="B82" s="184">
        <f t="shared" si="33"/>
        <v>312500</v>
      </c>
      <c r="C82" s="182">
        <v>123</v>
      </c>
      <c r="D82" s="183">
        <v>285</v>
      </c>
      <c r="E82" s="183">
        <f t="shared" si="34"/>
        <v>1096.4912280701753</v>
      </c>
      <c r="F82" s="183">
        <f t="shared" si="35"/>
        <v>43.859649122807014</v>
      </c>
      <c r="G82" s="182">
        <f t="shared" si="36"/>
        <v>25</v>
      </c>
      <c r="H82" s="183">
        <f t="shared" si="37"/>
        <v>5394.7368421052624</v>
      </c>
      <c r="I82" s="182">
        <f t="shared" si="38"/>
        <v>12499.999999999998</v>
      </c>
      <c r="J82" s="183">
        <f t="shared" si="39"/>
        <v>7105.2631578947367</v>
      </c>
      <c r="K82" s="196">
        <f t="shared" si="40"/>
        <v>177631.57894736843</v>
      </c>
      <c r="L82" s="403"/>
      <c r="M82" s="125"/>
      <c r="N82" s="125"/>
      <c r="O82" s="125"/>
    </row>
    <row r="83" spans="2:15">
      <c r="B83" s="182">
        <f t="shared" si="33"/>
        <v>156250</v>
      </c>
      <c r="C83" s="182">
        <v>123</v>
      </c>
      <c r="D83" s="183">
        <v>285</v>
      </c>
      <c r="E83" s="183">
        <f t="shared" si="34"/>
        <v>548.24561403508767</v>
      </c>
      <c r="F83" s="183">
        <f t="shared" si="35"/>
        <v>21.929824561403507</v>
      </c>
      <c r="G83" s="182">
        <f t="shared" si="36"/>
        <v>25</v>
      </c>
      <c r="H83" s="183">
        <f t="shared" si="37"/>
        <v>2697.3684210526312</v>
      </c>
      <c r="I83" s="182">
        <f t="shared" si="38"/>
        <v>6249.9999999999991</v>
      </c>
      <c r="J83" s="183">
        <f t="shared" si="39"/>
        <v>3552.6315789473683</v>
      </c>
      <c r="K83" s="196">
        <f t="shared" si="40"/>
        <v>88815.789473684214</v>
      </c>
      <c r="L83" s="403"/>
      <c r="M83" s="125"/>
      <c r="N83" s="125"/>
      <c r="O83" s="125"/>
    </row>
    <row r="84" spans="2:15">
      <c r="B84" s="182">
        <f t="shared" si="33"/>
        <v>78125</v>
      </c>
      <c r="C84" s="182">
        <v>123</v>
      </c>
      <c r="D84" s="183">
        <v>285</v>
      </c>
      <c r="E84" s="183">
        <f t="shared" si="34"/>
        <v>274.12280701754383</v>
      </c>
      <c r="F84" s="183">
        <f t="shared" si="35"/>
        <v>10.964912280701753</v>
      </c>
      <c r="G84" s="182">
        <f t="shared" si="36"/>
        <v>25</v>
      </c>
      <c r="H84" s="183">
        <f t="shared" si="37"/>
        <v>1348.6842105263156</v>
      </c>
      <c r="I84" s="182">
        <f t="shared" si="38"/>
        <v>3124.9999999999995</v>
      </c>
      <c r="J84" s="183">
        <f t="shared" si="39"/>
        <v>1776.3157894736842</v>
      </c>
      <c r="K84" s="196">
        <f t="shared" si="40"/>
        <v>44407.894736842107</v>
      </c>
      <c r="L84" s="403"/>
      <c r="M84" s="125"/>
      <c r="N84" s="125"/>
      <c r="O84" s="125"/>
    </row>
    <row r="85" spans="2:15">
      <c r="B85" s="183">
        <f t="shared" si="33"/>
        <v>39062.5</v>
      </c>
      <c r="C85" s="182">
        <v>123</v>
      </c>
      <c r="D85" s="183">
        <v>285</v>
      </c>
      <c r="E85" s="183">
        <f t="shared" si="34"/>
        <v>137.06140350877192</v>
      </c>
      <c r="F85" s="183">
        <f t="shared" si="35"/>
        <v>5.4824561403508767</v>
      </c>
      <c r="G85" s="182">
        <f t="shared" si="36"/>
        <v>25</v>
      </c>
      <c r="H85" s="183">
        <f t="shared" si="37"/>
        <v>674.3421052631578</v>
      </c>
      <c r="I85" s="183">
        <f t="shared" si="38"/>
        <v>1562.4999999999998</v>
      </c>
      <c r="J85" s="183">
        <f t="shared" si="39"/>
        <v>888.15789473684208</v>
      </c>
      <c r="K85" s="196">
        <f t="shared" si="40"/>
        <v>22203.947368421053</v>
      </c>
      <c r="L85" s="404"/>
    </row>
    <row r="86" spans="2:15">
      <c r="B86" s="130"/>
      <c r="C86" s="136"/>
      <c r="D86" s="137"/>
      <c r="E86" s="137"/>
      <c r="F86" s="138"/>
      <c r="G86" s="136"/>
      <c r="H86" s="136"/>
    </row>
    <row r="87" spans="2:15">
      <c r="E87" s="137"/>
      <c r="F87" s="138"/>
      <c r="G87" s="136"/>
      <c r="H87" s="136"/>
    </row>
    <row r="88" spans="2:15">
      <c r="E88" s="137"/>
      <c r="F88" s="138"/>
      <c r="G88" s="136"/>
      <c r="H88" s="136"/>
    </row>
    <row r="89" spans="2:15">
      <c r="E89" s="137"/>
      <c r="F89" s="138"/>
      <c r="G89" s="136"/>
      <c r="H89" s="136"/>
    </row>
    <row r="90" spans="2:15">
      <c r="E90" s="137"/>
      <c r="F90" s="138"/>
      <c r="G90" s="136"/>
      <c r="H90" s="136"/>
    </row>
  </sheetData>
  <mergeCells count="23">
    <mergeCell ref="B50:M50"/>
    <mergeCell ref="I51:M51"/>
    <mergeCell ref="J54:M54"/>
    <mergeCell ref="B1:J1"/>
    <mergeCell ref="B12:J12"/>
    <mergeCell ref="B23:J23"/>
    <mergeCell ref="C42:D42"/>
    <mergeCell ref="B33:J33"/>
    <mergeCell ref="B41:I41"/>
    <mergeCell ref="B42:B43"/>
    <mergeCell ref="E42:E43"/>
    <mergeCell ref="F42:F43"/>
    <mergeCell ref="G42:G43"/>
    <mergeCell ref="H42:H43"/>
    <mergeCell ref="I42:I43"/>
    <mergeCell ref="I55:M55"/>
    <mergeCell ref="J59:M59"/>
    <mergeCell ref="I60:M60"/>
    <mergeCell ref="J63:M63"/>
    <mergeCell ref="L78:L85"/>
    <mergeCell ref="B76:L76"/>
    <mergeCell ref="L67:L74"/>
    <mergeCell ref="B65:L65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49"/>
  <sheetViews>
    <sheetView topLeftCell="D7" workbookViewId="0">
      <selection activeCell="P17" sqref="P17:P25"/>
    </sheetView>
  </sheetViews>
  <sheetFormatPr defaultRowHeight="15"/>
  <cols>
    <col min="1" max="1" width="12" customWidth="1"/>
    <col min="2" max="2" width="10.42578125" customWidth="1"/>
    <col min="3" max="3" width="14.85546875" customWidth="1"/>
    <col min="4" max="4" width="18" customWidth="1"/>
    <col min="5" max="5" width="14.5703125" customWidth="1"/>
    <col min="6" max="6" width="15" customWidth="1"/>
    <col min="7" max="7" width="22.42578125" customWidth="1"/>
    <col min="8" max="17" width="10.42578125" customWidth="1"/>
    <col min="18" max="18" width="10.42578125" style="125" customWidth="1"/>
    <col min="19" max="19" width="11" bestFit="1" customWidth="1"/>
  </cols>
  <sheetData>
    <row r="1" spans="1:19" ht="15.75" thickBot="1"/>
    <row r="2" spans="1:19" ht="15.75" thickBot="1">
      <c r="A2" s="453" t="s">
        <v>220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5"/>
    </row>
    <row r="3" spans="1:19" ht="90">
      <c r="A3" s="203" t="s">
        <v>69</v>
      </c>
      <c r="B3" s="204" t="s">
        <v>167</v>
      </c>
      <c r="C3" s="204" t="s">
        <v>216</v>
      </c>
      <c r="D3" s="204" t="s">
        <v>273</v>
      </c>
      <c r="E3" s="204" t="s">
        <v>174</v>
      </c>
      <c r="F3" s="204" t="s">
        <v>175</v>
      </c>
      <c r="G3" s="205" t="s">
        <v>180</v>
      </c>
      <c r="H3" s="205" t="s">
        <v>181</v>
      </c>
      <c r="I3" s="262" t="s">
        <v>182</v>
      </c>
      <c r="J3" s="205" t="s">
        <v>183</v>
      </c>
      <c r="K3" s="205" t="s">
        <v>184</v>
      </c>
      <c r="L3" s="205" t="s">
        <v>204</v>
      </c>
      <c r="M3" s="206" t="s">
        <v>185</v>
      </c>
      <c r="N3" s="206" t="s">
        <v>186</v>
      </c>
      <c r="O3" s="206" t="s">
        <v>190</v>
      </c>
      <c r="P3" s="207" t="s">
        <v>187</v>
      </c>
      <c r="Q3" s="208" t="s">
        <v>188</v>
      </c>
      <c r="R3" s="208" t="s">
        <v>189</v>
      </c>
      <c r="S3" s="208" t="s">
        <v>191</v>
      </c>
    </row>
    <row r="4" spans="1:19">
      <c r="A4" s="188" t="s">
        <v>87</v>
      </c>
      <c r="B4" s="22">
        <v>140</v>
      </c>
      <c r="C4" s="22">
        <v>5000</v>
      </c>
      <c r="D4" s="22">
        <f>C4*B4</f>
        <v>700000</v>
      </c>
      <c r="E4" s="430">
        <f>D12/4000</f>
        <v>222.32499999999999</v>
      </c>
      <c r="F4" s="439">
        <v>285</v>
      </c>
      <c r="G4" s="439">
        <f>F4*4000/10000000</f>
        <v>0.114</v>
      </c>
      <c r="H4" s="439">
        <f>I4/4</f>
        <v>0.71250000000000002</v>
      </c>
      <c r="I4" s="445">
        <f>G4*25</f>
        <v>2.85</v>
      </c>
      <c r="J4" s="439">
        <f>I4*12</f>
        <v>34.200000000000003</v>
      </c>
      <c r="K4" s="439">
        <f>J4/2</f>
        <v>17.100000000000001</v>
      </c>
      <c r="L4" s="430">
        <f>K4/2</f>
        <v>8.5500000000000007</v>
      </c>
      <c r="M4" s="439">
        <f>90000000/10000000</f>
        <v>9</v>
      </c>
      <c r="N4" s="439">
        <f>M4/2</f>
        <v>4.5</v>
      </c>
      <c r="O4" s="430">
        <f>M4/4</f>
        <v>2.25</v>
      </c>
      <c r="P4" s="439">
        <f>2520000/10000000</f>
        <v>0.252</v>
      </c>
      <c r="Q4" s="439">
        <f>M4-P4</f>
        <v>8.7479999999999993</v>
      </c>
      <c r="R4" s="439">
        <f>Q4/2</f>
        <v>4.3739999999999997</v>
      </c>
      <c r="S4" s="430">
        <f>R4/2</f>
        <v>2.1869999999999998</v>
      </c>
    </row>
    <row r="5" spans="1:19">
      <c r="A5" s="188" t="s">
        <v>144</v>
      </c>
      <c r="B5" s="22">
        <v>50</v>
      </c>
      <c r="C5" s="22">
        <v>1000</v>
      </c>
      <c r="D5" s="22">
        <f>C5*B5</f>
        <v>50000</v>
      </c>
      <c r="E5" s="431"/>
      <c r="F5" s="439"/>
      <c r="G5" s="439"/>
      <c r="H5" s="439"/>
      <c r="I5" s="445"/>
      <c r="J5" s="439"/>
      <c r="K5" s="439"/>
      <c r="L5" s="431"/>
      <c r="M5" s="439"/>
      <c r="N5" s="439"/>
      <c r="O5" s="431"/>
      <c r="P5" s="439"/>
      <c r="Q5" s="439"/>
      <c r="R5" s="439"/>
      <c r="S5" s="431"/>
    </row>
    <row r="6" spans="1:19">
      <c r="A6" s="188" t="s">
        <v>89</v>
      </c>
      <c r="B6" s="22">
        <v>10</v>
      </c>
      <c r="C6" s="22">
        <v>1750</v>
      </c>
      <c r="D6" s="22">
        <f>C6*B6</f>
        <v>17500</v>
      </c>
      <c r="E6" s="431"/>
      <c r="F6" s="439"/>
      <c r="G6" s="439"/>
      <c r="H6" s="439"/>
      <c r="I6" s="445"/>
      <c r="J6" s="439"/>
      <c r="K6" s="439"/>
      <c r="L6" s="431"/>
      <c r="M6" s="439"/>
      <c r="N6" s="439"/>
      <c r="O6" s="431"/>
      <c r="P6" s="439"/>
      <c r="Q6" s="439"/>
      <c r="R6" s="439"/>
      <c r="S6" s="431"/>
    </row>
    <row r="7" spans="1:19">
      <c r="A7" s="188" t="s">
        <v>2</v>
      </c>
      <c r="B7" s="22">
        <f>200/35*B4</f>
        <v>800</v>
      </c>
      <c r="C7" s="22">
        <v>4</v>
      </c>
      <c r="D7" s="22">
        <f t="shared" ref="D7:D11" si="0">C7*200</f>
        <v>800</v>
      </c>
      <c r="E7" s="431"/>
      <c r="F7" s="439"/>
      <c r="G7" s="439"/>
      <c r="H7" s="439"/>
      <c r="I7" s="445"/>
      <c r="J7" s="439"/>
      <c r="K7" s="439"/>
      <c r="L7" s="431"/>
      <c r="M7" s="439"/>
      <c r="N7" s="439"/>
      <c r="O7" s="431"/>
      <c r="P7" s="439"/>
      <c r="Q7" s="439"/>
      <c r="R7" s="439"/>
      <c r="S7" s="431"/>
    </row>
    <row r="8" spans="1:19">
      <c r="A8" s="188" t="s">
        <v>176</v>
      </c>
      <c r="B8" s="22">
        <v>4000</v>
      </c>
      <c r="C8" s="22">
        <v>80</v>
      </c>
      <c r="D8" s="22">
        <f>C8*200</f>
        <v>16000</v>
      </c>
      <c r="E8" s="431"/>
      <c r="F8" s="439"/>
      <c r="G8" s="439"/>
      <c r="H8" s="439"/>
      <c r="I8" s="445"/>
      <c r="J8" s="439"/>
      <c r="K8" s="439"/>
      <c r="L8" s="431"/>
      <c r="M8" s="439"/>
      <c r="N8" s="439"/>
      <c r="O8" s="431"/>
      <c r="P8" s="439"/>
      <c r="Q8" s="439"/>
      <c r="R8" s="439"/>
      <c r="S8" s="431"/>
    </row>
    <row r="9" spans="1:19">
      <c r="A9" s="188" t="s">
        <v>177</v>
      </c>
      <c r="B9" s="22">
        <v>4000</v>
      </c>
      <c r="C9" s="22">
        <f>23*20</f>
        <v>460</v>
      </c>
      <c r="D9" s="22">
        <f>C9*200</f>
        <v>92000</v>
      </c>
      <c r="E9" s="431"/>
      <c r="F9" s="439"/>
      <c r="G9" s="439"/>
      <c r="H9" s="439"/>
      <c r="I9" s="445"/>
      <c r="J9" s="439"/>
      <c r="K9" s="439"/>
      <c r="L9" s="431"/>
      <c r="M9" s="439"/>
      <c r="N9" s="439"/>
      <c r="O9" s="431"/>
      <c r="P9" s="439"/>
      <c r="Q9" s="439"/>
      <c r="R9" s="439"/>
      <c r="S9" s="431"/>
    </row>
    <row r="10" spans="1:19">
      <c r="A10" s="188" t="s">
        <v>178</v>
      </c>
      <c r="B10" s="22">
        <v>1000</v>
      </c>
      <c r="C10" s="22">
        <f t="shared" ref="C10:C11" si="1">B10/200</f>
        <v>5</v>
      </c>
      <c r="D10" s="22">
        <f t="shared" si="0"/>
        <v>1000</v>
      </c>
      <c r="E10" s="431"/>
      <c r="F10" s="439"/>
      <c r="G10" s="439"/>
      <c r="H10" s="439"/>
      <c r="I10" s="445"/>
      <c r="J10" s="439"/>
      <c r="K10" s="439"/>
      <c r="L10" s="431"/>
      <c r="M10" s="439"/>
      <c r="N10" s="439"/>
      <c r="O10" s="431"/>
      <c r="P10" s="439"/>
      <c r="Q10" s="439"/>
      <c r="R10" s="439"/>
      <c r="S10" s="431"/>
    </row>
    <row r="11" spans="1:19">
      <c r="A11" s="188" t="s">
        <v>179</v>
      </c>
      <c r="B11" s="22">
        <f>3*B9</f>
        <v>12000</v>
      </c>
      <c r="C11" s="22">
        <f t="shared" si="1"/>
        <v>60</v>
      </c>
      <c r="D11" s="22">
        <f t="shared" si="0"/>
        <v>12000</v>
      </c>
      <c r="E11" s="431"/>
      <c r="F11" s="439"/>
      <c r="G11" s="439"/>
      <c r="H11" s="439"/>
      <c r="I11" s="445"/>
      <c r="J11" s="439"/>
      <c r="K11" s="439"/>
      <c r="L11" s="431"/>
      <c r="M11" s="439"/>
      <c r="N11" s="439"/>
      <c r="O11" s="431"/>
      <c r="P11" s="439"/>
      <c r="Q11" s="439"/>
      <c r="R11" s="439"/>
      <c r="S11" s="431"/>
    </row>
    <row r="12" spans="1:19">
      <c r="A12" s="442" t="s">
        <v>77</v>
      </c>
      <c r="B12" s="443"/>
      <c r="C12" s="444"/>
      <c r="D12" s="189">
        <f>SUM(D4:D11)</f>
        <v>889300</v>
      </c>
      <c r="E12" s="431"/>
      <c r="F12" s="430"/>
      <c r="G12" s="430"/>
      <c r="H12" s="430"/>
      <c r="I12" s="446"/>
      <c r="J12" s="430"/>
      <c r="K12" s="430"/>
      <c r="L12" s="431"/>
      <c r="M12" s="430"/>
      <c r="N12" s="430"/>
      <c r="O12" s="434"/>
      <c r="P12" s="430"/>
      <c r="Q12" s="430"/>
      <c r="R12" s="430"/>
      <c r="S12" s="431"/>
    </row>
    <row r="13" spans="1:19" ht="43.5" customHeight="1">
      <c r="A13" s="440" t="s">
        <v>233</v>
      </c>
      <c r="B13" s="440"/>
      <c r="C13" s="441"/>
      <c r="D13" s="258">
        <f>D12/200</f>
        <v>4446.5</v>
      </c>
      <c r="E13" s="251">
        <f>E4</f>
        <v>222.32499999999999</v>
      </c>
      <c r="F13" s="259">
        <f>F4</f>
        <v>285</v>
      </c>
      <c r="G13" s="259">
        <f>G4</f>
        <v>0.114</v>
      </c>
      <c r="H13" s="260">
        <f>H4</f>
        <v>0.71250000000000002</v>
      </c>
      <c r="I13" s="263">
        <f t="shared" ref="I13:S13" si="2">I4</f>
        <v>2.85</v>
      </c>
      <c r="J13" s="251">
        <f t="shared" si="2"/>
        <v>34.200000000000003</v>
      </c>
      <c r="K13" s="251">
        <f t="shared" si="2"/>
        <v>17.100000000000001</v>
      </c>
      <c r="L13" s="251">
        <f t="shared" si="2"/>
        <v>8.5500000000000007</v>
      </c>
      <c r="M13" s="251">
        <f t="shared" si="2"/>
        <v>9</v>
      </c>
      <c r="N13" s="251">
        <f t="shared" si="2"/>
        <v>4.5</v>
      </c>
      <c r="O13" s="251">
        <f t="shared" si="2"/>
        <v>2.25</v>
      </c>
      <c r="P13" s="252">
        <f t="shared" si="2"/>
        <v>0.252</v>
      </c>
      <c r="Q13" s="251">
        <f t="shared" si="2"/>
        <v>8.7479999999999993</v>
      </c>
      <c r="R13" s="251">
        <f t="shared" si="2"/>
        <v>4.3739999999999997</v>
      </c>
      <c r="S13" s="251">
        <f t="shared" si="2"/>
        <v>2.1869999999999998</v>
      </c>
    </row>
    <row r="14" spans="1:19">
      <c r="A14" s="240"/>
      <c r="B14" s="240"/>
      <c r="C14" s="240"/>
      <c r="D14" s="239"/>
    </row>
    <row r="15" spans="1:19">
      <c r="A15" s="435" t="s">
        <v>219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7"/>
    </row>
    <row r="16" spans="1:19" ht="90">
      <c r="A16" s="191" t="s">
        <v>69</v>
      </c>
      <c r="B16" s="192" t="s">
        <v>167</v>
      </c>
      <c r="C16" s="192" t="s">
        <v>145</v>
      </c>
      <c r="D16" s="192" t="s">
        <v>274</v>
      </c>
      <c r="E16" s="192" t="s">
        <v>174</v>
      </c>
      <c r="F16" s="192" t="s">
        <v>175</v>
      </c>
      <c r="G16" s="193" t="s">
        <v>180</v>
      </c>
      <c r="H16" s="193" t="s">
        <v>181</v>
      </c>
      <c r="I16" s="264" t="s">
        <v>182</v>
      </c>
      <c r="J16" s="193" t="s">
        <v>183</v>
      </c>
      <c r="K16" s="193" t="s">
        <v>184</v>
      </c>
      <c r="L16" s="193" t="s">
        <v>204</v>
      </c>
      <c r="M16" s="194" t="s">
        <v>185</v>
      </c>
      <c r="N16" s="194" t="s">
        <v>186</v>
      </c>
      <c r="O16" s="194" t="s">
        <v>190</v>
      </c>
      <c r="P16" s="202" t="s">
        <v>187</v>
      </c>
      <c r="Q16" s="190" t="s">
        <v>188</v>
      </c>
      <c r="R16" s="190" t="s">
        <v>189</v>
      </c>
      <c r="S16" s="190" t="s">
        <v>191</v>
      </c>
    </row>
    <row r="17" spans="1:19">
      <c r="A17" s="188" t="s">
        <v>87</v>
      </c>
      <c r="B17" s="22">
        <v>140</v>
      </c>
      <c r="C17" s="22">
        <v>2600</v>
      </c>
      <c r="D17" s="22">
        <f>C17*B17</f>
        <v>364000</v>
      </c>
      <c r="E17" s="456">
        <f>D25/4000</f>
        <v>138.32499999999999</v>
      </c>
      <c r="F17" s="432">
        <v>285</v>
      </c>
      <c r="G17" s="432">
        <f>1140000/10000000</f>
        <v>0.114</v>
      </c>
      <c r="H17" s="432">
        <f>G17*6</f>
        <v>0.68400000000000005</v>
      </c>
      <c r="I17" s="447">
        <f>G17*25</f>
        <v>2.85</v>
      </c>
      <c r="J17" s="432">
        <f>I17*12</f>
        <v>34.200000000000003</v>
      </c>
      <c r="K17" s="432">
        <f>J17/2</f>
        <v>17.100000000000001</v>
      </c>
      <c r="L17" s="433">
        <f>K17/2</f>
        <v>8.5500000000000007</v>
      </c>
      <c r="M17" s="432">
        <f>(F17-E17)*4000*25*12/10000000</f>
        <v>17.600999999999999</v>
      </c>
      <c r="N17" s="432">
        <f>M17/2</f>
        <v>8.8004999999999995</v>
      </c>
      <c r="O17" s="432">
        <f>M17/4</f>
        <v>4.4002499999999998</v>
      </c>
      <c r="P17" s="432">
        <f>2520000/10000000</f>
        <v>0.252</v>
      </c>
      <c r="Q17" s="432">
        <f>M17-P17</f>
        <v>17.349</v>
      </c>
      <c r="R17" s="432">
        <f>Q17/2</f>
        <v>8.6745000000000001</v>
      </c>
      <c r="S17" s="433">
        <f>R17/2</f>
        <v>4.33725</v>
      </c>
    </row>
    <row r="18" spans="1:19">
      <c r="A18" s="188" t="s">
        <v>144</v>
      </c>
      <c r="B18" s="22">
        <v>50</v>
      </c>
      <c r="C18" s="22">
        <v>1000</v>
      </c>
      <c r="D18" s="22">
        <f>C18*B18</f>
        <v>50000</v>
      </c>
      <c r="E18" s="456"/>
      <c r="F18" s="432"/>
      <c r="G18" s="432"/>
      <c r="H18" s="432"/>
      <c r="I18" s="447"/>
      <c r="J18" s="432"/>
      <c r="K18" s="432"/>
      <c r="L18" s="438"/>
      <c r="M18" s="432"/>
      <c r="N18" s="432"/>
      <c r="O18" s="432"/>
      <c r="P18" s="432"/>
      <c r="Q18" s="432"/>
      <c r="R18" s="432"/>
      <c r="S18" s="438"/>
    </row>
    <row r="19" spans="1:19">
      <c r="A19" s="188" t="s">
        <v>89</v>
      </c>
      <c r="B19" s="22">
        <v>10</v>
      </c>
      <c r="C19" s="22">
        <v>1750</v>
      </c>
      <c r="D19" s="22">
        <f>C19*B19</f>
        <v>17500</v>
      </c>
      <c r="E19" s="456"/>
      <c r="F19" s="432"/>
      <c r="G19" s="432"/>
      <c r="H19" s="432"/>
      <c r="I19" s="447"/>
      <c r="J19" s="432"/>
      <c r="K19" s="432"/>
      <c r="L19" s="438"/>
      <c r="M19" s="432"/>
      <c r="N19" s="432"/>
      <c r="O19" s="432"/>
      <c r="P19" s="432"/>
      <c r="Q19" s="432"/>
      <c r="R19" s="432"/>
      <c r="S19" s="438"/>
    </row>
    <row r="20" spans="1:19">
      <c r="A20" s="188" t="s">
        <v>2</v>
      </c>
      <c r="B20" s="22">
        <f>200/35*B17</f>
        <v>800</v>
      </c>
      <c r="C20" s="22">
        <v>4</v>
      </c>
      <c r="D20" s="22">
        <f t="shared" ref="D20:D24" si="3">C20*200</f>
        <v>800</v>
      </c>
      <c r="E20" s="456"/>
      <c r="F20" s="432"/>
      <c r="G20" s="432"/>
      <c r="H20" s="432"/>
      <c r="I20" s="447"/>
      <c r="J20" s="432"/>
      <c r="K20" s="432"/>
      <c r="L20" s="438"/>
      <c r="M20" s="432"/>
      <c r="N20" s="432"/>
      <c r="O20" s="432"/>
      <c r="P20" s="432"/>
      <c r="Q20" s="432"/>
      <c r="R20" s="432"/>
      <c r="S20" s="438"/>
    </row>
    <row r="21" spans="1:19">
      <c r="A21" s="188" t="s">
        <v>176</v>
      </c>
      <c r="B21" s="22">
        <v>4000</v>
      </c>
      <c r="C21" s="22">
        <v>80</v>
      </c>
      <c r="D21" s="22">
        <f t="shared" si="3"/>
        <v>16000</v>
      </c>
      <c r="E21" s="456"/>
      <c r="F21" s="432"/>
      <c r="G21" s="432"/>
      <c r="H21" s="432"/>
      <c r="I21" s="447"/>
      <c r="J21" s="432"/>
      <c r="K21" s="432"/>
      <c r="L21" s="438"/>
      <c r="M21" s="432"/>
      <c r="N21" s="432"/>
      <c r="O21" s="432"/>
      <c r="P21" s="432"/>
      <c r="Q21" s="432"/>
      <c r="R21" s="432"/>
      <c r="S21" s="438"/>
    </row>
    <row r="22" spans="1:19">
      <c r="A22" s="188" t="s">
        <v>177</v>
      </c>
      <c r="B22" s="22">
        <v>4000</v>
      </c>
      <c r="C22" s="22">
        <f>23*20</f>
        <v>460</v>
      </c>
      <c r="D22" s="22">
        <f>C22*200</f>
        <v>92000</v>
      </c>
      <c r="E22" s="456"/>
      <c r="F22" s="432"/>
      <c r="G22" s="432"/>
      <c r="H22" s="432"/>
      <c r="I22" s="447"/>
      <c r="J22" s="432"/>
      <c r="K22" s="432"/>
      <c r="L22" s="438"/>
      <c r="M22" s="432"/>
      <c r="N22" s="432"/>
      <c r="O22" s="432"/>
      <c r="P22" s="432"/>
      <c r="Q22" s="432"/>
      <c r="R22" s="432"/>
      <c r="S22" s="438"/>
    </row>
    <row r="23" spans="1:19">
      <c r="A23" s="188" t="s">
        <v>178</v>
      </c>
      <c r="B23" s="22">
        <v>1000</v>
      </c>
      <c r="C23" s="22">
        <f t="shared" ref="C23:C24" si="4">B23/200</f>
        <v>5</v>
      </c>
      <c r="D23" s="22">
        <f t="shared" si="3"/>
        <v>1000</v>
      </c>
      <c r="E23" s="456"/>
      <c r="F23" s="432"/>
      <c r="G23" s="432"/>
      <c r="H23" s="432"/>
      <c r="I23" s="447"/>
      <c r="J23" s="432"/>
      <c r="K23" s="432"/>
      <c r="L23" s="438"/>
      <c r="M23" s="432"/>
      <c r="N23" s="432"/>
      <c r="O23" s="432"/>
      <c r="P23" s="432"/>
      <c r="Q23" s="432"/>
      <c r="R23" s="432"/>
      <c r="S23" s="438"/>
    </row>
    <row r="24" spans="1:19">
      <c r="A24" s="188" t="s">
        <v>179</v>
      </c>
      <c r="B24" s="22">
        <f>3*B22</f>
        <v>12000</v>
      </c>
      <c r="C24" s="22">
        <f t="shared" si="4"/>
        <v>60</v>
      </c>
      <c r="D24" s="22">
        <f t="shared" si="3"/>
        <v>12000</v>
      </c>
      <c r="E24" s="456"/>
      <c r="F24" s="432"/>
      <c r="G24" s="432"/>
      <c r="H24" s="432"/>
      <c r="I24" s="447"/>
      <c r="J24" s="432"/>
      <c r="K24" s="432"/>
      <c r="L24" s="438"/>
      <c r="M24" s="432"/>
      <c r="N24" s="432"/>
      <c r="O24" s="432"/>
      <c r="P24" s="432"/>
      <c r="Q24" s="432"/>
      <c r="R24" s="432"/>
      <c r="S24" s="438"/>
    </row>
    <row r="25" spans="1:19" ht="15.75" thickBot="1">
      <c r="A25" s="442" t="s">
        <v>77</v>
      </c>
      <c r="B25" s="443"/>
      <c r="C25" s="444"/>
      <c r="D25" s="253">
        <f>SUM(D17:D24)</f>
        <v>553300</v>
      </c>
      <c r="E25" s="457"/>
      <c r="F25" s="433"/>
      <c r="G25" s="433"/>
      <c r="H25" s="433"/>
      <c r="I25" s="448"/>
      <c r="J25" s="433"/>
      <c r="K25" s="433"/>
      <c r="L25" s="438"/>
      <c r="M25" s="433"/>
      <c r="N25" s="433"/>
      <c r="O25" s="433"/>
      <c r="P25" s="433"/>
      <c r="Q25" s="433"/>
      <c r="R25" s="433"/>
      <c r="S25" s="438"/>
    </row>
    <row r="26" spans="1:19" ht="50.25" customHeight="1" thickBot="1">
      <c r="A26" s="440" t="s">
        <v>233</v>
      </c>
      <c r="B26" s="440"/>
      <c r="C26" s="440"/>
      <c r="D26" s="255">
        <f>D25/200</f>
        <v>2766.5</v>
      </c>
      <c r="E26" s="256">
        <f>E17</f>
        <v>138.32499999999999</v>
      </c>
      <c r="F26" s="256">
        <f t="shared" ref="F26" si="5">F17</f>
        <v>285</v>
      </c>
      <c r="G26" s="257">
        <f>1140000/10000000</f>
        <v>0.114</v>
      </c>
      <c r="H26" s="257">
        <f>H17</f>
        <v>0.68400000000000005</v>
      </c>
      <c r="I26" s="265">
        <f t="shared" ref="I26:S26" si="6">I17</f>
        <v>2.85</v>
      </c>
      <c r="J26" s="256">
        <f t="shared" si="6"/>
        <v>34.200000000000003</v>
      </c>
      <c r="K26" s="256">
        <f t="shared" si="6"/>
        <v>17.100000000000001</v>
      </c>
      <c r="L26" s="256">
        <f t="shared" si="6"/>
        <v>8.5500000000000007</v>
      </c>
      <c r="M26" s="256">
        <f t="shared" si="6"/>
        <v>17.600999999999999</v>
      </c>
      <c r="N26" s="256">
        <f t="shared" si="6"/>
        <v>8.8004999999999995</v>
      </c>
      <c r="O26" s="256">
        <f t="shared" si="6"/>
        <v>4.4002499999999998</v>
      </c>
      <c r="P26" s="257">
        <f t="shared" si="6"/>
        <v>0.252</v>
      </c>
      <c r="Q26" s="256">
        <f t="shared" si="6"/>
        <v>17.349</v>
      </c>
      <c r="R26" s="256">
        <f t="shared" si="6"/>
        <v>8.6745000000000001</v>
      </c>
      <c r="S26" s="261">
        <f t="shared" si="6"/>
        <v>4.33725</v>
      </c>
    </row>
    <row r="27" spans="1:19" ht="33" customHeight="1" thickBot="1">
      <c r="A27" s="247"/>
      <c r="B27" s="248"/>
      <c r="C27" s="248"/>
      <c r="D27" s="254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50"/>
    </row>
    <row r="28" spans="1:19" ht="15.75" thickBot="1">
      <c r="A28" s="450" t="s">
        <v>105</v>
      </c>
      <c r="B28" s="451"/>
      <c r="C28" s="451"/>
      <c r="D28" s="451"/>
      <c r="E28" s="451"/>
      <c r="F28" s="451"/>
      <c r="G28" s="451"/>
      <c r="H28" s="451"/>
      <c r="I28" s="451"/>
      <c r="J28" s="452"/>
      <c r="L28" s="449" t="s">
        <v>229</v>
      </c>
      <c r="M28" s="449"/>
      <c r="N28" s="449"/>
      <c r="O28" s="449"/>
      <c r="P28" s="449"/>
      <c r="Q28" s="449"/>
    </row>
    <row r="29" spans="1:19" ht="106.5" thickTop="1" thickBot="1">
      <c r="A29" s="68" t="s">
        <v>68</v>
      </c>
      <c r="B29" s="70" t="s">
        <v>199</v>
      </c>
      <c r="C29" s="70" t="s">
        <v>81</v>
      </c>
      <c r="D29" s="70" t="s">
        <v>200</v>
      </c>
      <c r="E29" s="70" t="s">
        <v>75</v>
      </c>
      <c r="F29" s="70" t="s">
        <v>201</v>
      </c>
      <c r="G29" s="70" t="s">
        <v>79</v>
      </c>
      <c r="H29" s="70" t="s">
        <v>201</v>
      </c>
      <c r="I29" s="70" t="s">
        <v>80</v>
      </c>
      <c r="J29" s="71" t="s">
        <v>201</v>
      </c>
      <c r="L29" s="241" t="s">
        <v>69</v>
      </c>
      <c r="M29" s="242" t="s">
        <v>167</v>
      </c>
      <c r="N29" s="241" t="s">
        <v>145</v>
      </c>
      <c r="O29" s="242" t="s">
        <v>230</v>
      </c>
      <c r="P29" s="242" t="s">
        <v>231</v>
      </c>
      <c r="Q29" s="242" t="s">
        <v>232</v>
      </c>
    </row>
    <row r="30" spans="1:19" ht="16.5" thickTop="1" thickBot="1">
      <c r="A30" s="53">
        <v>1</v>
      </c>
      <c r="B30" s="41" t="s">
        <v>71</v>
      </c>
      <c r="C30" s="41">
        <v>1200</v>
      </c>
      <c r="D30" s="41">
        <v>1440</v>
      </c>
      <c r="E30" s="387">
        <v>50</v>
      </c>
      <c r="F30" s="387">
        <f>E30*D36</f>
        <v>129600</v>
      </c>
      <c r="G30" s="387">
        <f>25*E30</f>
        <v>1250</v>
      </c>
      <c r="H30" s="387">
        <f>G30*D36</f>
        <v>3240000</v>
      </c>
      <c r="I30" s="387">
        <f>G30*12</f>
        <v>15000</v>
      </c>
      <c r="J30" s="389">
        <f>I30*D36</f>
        <v>38880000</v>
      </c>
      <c r="L30" s="241" t="s">
        <v>87</v>
      </c>
      <c r="M30" s="243">
        <v>35</v>
      </c>
      <c r="N30" s="244">
        <v>4750</v>
      </c>
      <c r="O30" s="243">
        <f>N30*M30</f>
        <v>166250</v>
      </c>
      <c r="P30" s="244">
        <f>O30*6</f>
        <v>997500</v>
      </c>
      <c r="Q30" s="243">
        <f>O30*25</f>
        <v>4156250</v>
      </c>
    </row>
    <row r="31" spans="1:19" ht="16.5" thickTop="1" thickBot="1">
      <c r="A31" s="53">
        <v>2</v>
      </c>
      <c r="B31" s="41" t="s">
        <v>72</v>
      </c>
      <c r="C31" s="41">
        <v>150</v>
      </c>
      <c r="D31" s="41">
        <v>625</v>
      </c>
      <c r="E31" s="387"/>
      <c r="F31" s="387"/>
      <c r="G31" s="387"/>
      <c r="H31" s="387"/>
      <c r="I31" s="387"/>
      <c r="J31" s="389"/>
      <c r="L31" s="241" t="s">
        <v>144</v>
      </c>
      <c r="M31" s="243">
        <v>12.5</v>
      </c>
      <c r="N31" s="244">
        <v>1000</v>
      </c>
      <c r="O31" s="243">
        <f t="shared" ref="O31:O32" si="7">N31*M31</f>
        <v>12500</v>
      </c>
      <c r="P31" s="244">
        <f t="shared" ref="P31:P37" si="8">O31*6</f>
        <v>75000</v>
      </c>
      <c r="Q31" s="243">
        <f t="shared" ref="Q31:Q37" si="9">O31*25</f>
        <v>312500</v>
      </c>
    </row>
    <row r="32" spans="1:19" ht="16.5" thickTop="1" thickBot="1">
      <c r="A32" s="53">
        <v>3</v>
      </c>
      <c r="B32" s="41" t="s">
        <v>73</v>
      </c>
      <c r="C32" s="41">
        <v>25</v>
      </c>
      <c r="D32" s="41">
        <v>150</v>
      </c>
      <c r="E32" s="387"/>
      <c r="F32" s="387"/>
      <c r="G32" s="387"/>
      <c r="H32" s="387"/>
      <c r="I32" s="387"/>
      <c r="J32" s="389"/>
      <c r="L32" s="241" t="s">
        <v>89</v>
      </c>
      <c r="M32" s="244">
        <v>2.5</v>
      </c>
      <c r="N32" s="244">
        <v>1750</v>
      </c>
      <c r="O32" s="244">
        <f t="shared" si="7"/>
        <v>4375</v>
      </c>
      <c r="P32" s="244">
        <f t="shared" si="8"/>
        <v>26250</v>
      </c>
      <c r="Q32" s="243">
        <f t="shared" si="9"/>
        <v>109375</v>
      </c>
    </row>
    <row r="33" spans="1:17" ht="16.5" thickTop="1" thickBot="1">
      <c r="A33" s="53">
        <v>4</v>
      </c>
      <c r="B33" s="41" t="s">
        <v>74</v>
      </c>
      <c r="C33" s="41">
        <v>25</v>
      </c>
      <c r="D33" s="41">
        <v>100</v>
      </c>
      <c r="E33" s="387"/>
      <c r="F33" s="387"/>
      <c r="G33" s="387"/>
      <c r="H33" s="387"/>
      <c r="I33" s="387"/>
      <c r="J33" s="389"/>
      <c r="L33" s="241" t="s">
        <v>2</v>
      </c>
      <c r="M33" s="243">
        <v>0</v>
      </c>
      <c r="N33" s="244">
        <v>4</v>
      </c>
      <c r="O33" s="243">
        <f>N33*50</f>
        <v>200</v>
      </c>
      <c r="P33" s="243">
        <f t="shared" si="8"/>
        <v>1200</v>
      </c>
      <c r="Q33" s="243">
        <f t="shared" si="9"/>
        <v>5000</v>
      </c>
    </row>
    <row r="34" spans="1:17" ht="16.5" thickTop="1" thickBot="1">
      <c r="A34" s="53">
        <v>5</v>
      </c>
      <c r="B34" s="41" t="s">
        <v>2</v>
      </c>
      <c r="C34" s="41">
        <v>0</v>
      </c>
      <c r="D34" s="41">
        <v>197</v>
      </c>
      <c r="E34" s="387"/>
      <c r="F34" s="387"/>
      <c r="G34" s="387"/>
      <c r="H34" s="387"/>
      <c r="I34" s="387"/>
      <c r="J34" s="389"/>
      <c r="L34" s="241" t="s">
        <v>3</v>
      </c>
      <c r="M34" s="243">
        <v>0</v>
      </c>
      <c r="N34" s="243">
        <f>O34/50</f>
        <v>80</v>
      </c>
      <c r="O34" s="243">
        <v>4000</v>
      </c>
      <c r="P34" s="243">
        <f t="shared" si="8"/>
        <v>24000</v>
      </c>
      <c r="Q34" s="243">
        <f t="shared" si="9"/>
        <v>100000</v>
      </c>
    </row>
    <row r="35" spans="1:17" ht="16.5" thickTop="1" thickBot="1">
      <c r="A35" s="53">
        <v>6</v>
      </c>
      <c r="B35" s="41" t="s">
        <v>3</v>
      </c>
      <c r="C35" s="41">
        <v>0</v>
      </c>
      <c r="D35" s="41">
        <v>80</v>
      </c>
      <c r="E35" s="387"/>
      <c r="F35" s="387"/>
      <c r="G35" s="387"/>
      <c r="H35" s="387"/>
      <c r="I35" s="387"/>
      <c r="J35" s="389"/>
      <c r="L35" s="241" t="s">
        <v>143</v>
      </c>
      <c r="M35" s="243">
        <v>1000</v>
      </c>
      <c r="N35" s="244">
        <f>23*20</f>
        <v>460</v>
      </c>
      <c r="O35" s="243">
        <f>M35*23</f>
        <v>23000</v>
      </c>
      <c r="P35" s="244">
        <f t="shared" si="8"/>
        <v>138000</v>
      </c>
      <c r="Q35" s="243">
        <f t="shared" si="9"/>
        <v>575000</v>
      </c>
    </row>
    <row r="36" spans="1:17" ht="16.5" thickTop="1" thickBot="1">
      <c r="A36" s="54">
        <v>7</v>
      </c>
      <c r="B36" s="46" t="s">
        <v>77</v>
      </c>
      <c r="C36" s="46">
        <v>1400</v>
      </c>
      <c r="D36" s="46">
        <v>2592</v>
      </c>
      <c r="E36" s="388"/>
      <c r="F36" s="388"/>
      <c r="G36" s="388"/>
      <c r="H36" s="388"/>
      <c r="I36" s="388"/>
      <c r="J36" s="390"/>
      <c r="L36" s="241" t="s">
        <v>146</v>
      </c>
      <c r="M36" s="244">
        <v>0</v>
      </c>
      <c r="N36" s="244">
        <v>5</v>
      </c>
      <c r="O36" s="244">
        <v>250</v>
      </c>
      <c r="P36" s="244">
        <f t="shared" si="8"/>
        <v>1500</v>
      </c>
      <c r="Q36" s="243">
        <f t="shared" si="9"/>
        <v>6250</v>
      </c>
    </row>
    <row r="37" spans="1:17" ht="16.5" thickTop="1" thickBot="1">
      <c r="L37" s="241" t="s">
        <v>154</v>
      </c>
      <c r="M37" s="244">
        <v>0</v>
      </c>
      <c r="N37" s="244">
        <f>O37/1000</f>
        <v>3</v>
      </c>
      <c r="O37" s="243">
        <v>3000</v>
      </c>
      <c r="P37" s="244">
        <f t="shared" si="8"/>
        <v>18000</v>
      </c>
      <c r="Q37" s="243">
        <f t="shared" si="9"/>
        <v>75000</v>
      </c>
    </row>
    <row r="38" spans="1:17" ht="16.5" thickTop="1" thickBot="1">
      <c r="L38" s="245" t="s">
        <v>77</v>
      </c>
      <c r="M38" s="241"/>
      <c r="N38" s="246"/>
      <c r="O38" s="243">
        <f>SUM(O30:O37)</f>
        <v>213575</v>
      </c>
      <c r="P38" s="243">
        <f t="shared" ref="P38:Q38" si="10">SUM(P30:P37)</f>
        <v>1281450</v>
      </c>
      <c r="Q38" s="243">
        <f t="shared" si="10"/>
        <v>5339375</v>
      </c>
    </row>
    <row r="39" spans="1:17" ht="15.75" thickTop="1">
      <c r="O39" s="125"/>
      <c r="P39" s="237"/>
      <c r="Q39" s="238"/>
    </row>
    <row r="40" spans="1:17">
      <c r="E40" s="271"/>
      <c r="G40" s="1"/>
      <c r="O40" s="1"/>
    </row>
    <row r="41" spans="1:17">
      <c r="E41" s="296"/>
      <c r="F41" s="296"/>
      <c r="G41" s="1"/>
      <c r="H41" s="1"/>
      <c r="I41" s="1"/>
    </row>
    <row r="42" spans="1:17">
      <c r="D42" s="125"/>
      <c r="E42" s="125"/>
    </row>
    <row r="43" spans="1:17">
      <c r="D43" s="125"/>
      <c r="E43" s="125"/>
    </row>
    <row r="44" spans="1:17">
      <c r="D44" s="125"/>
      <c r="E44" s="125"/>
    </row>
    <row r="45" spans="1:17">
      <c r="D45" s="125"/>
      <c r="E45" s="125"/>
    </row>
    <row r="46" spans="1:17">
      <c r="D46" s="125"/>
      <c r="E46" s="125"/>
    </row>
    <row r="47" spans="1:17">
      <c r="D47" s="125"/>
      <c r="E47" s="125"/>
    </row>
    <row r="48" spans="1:17">
      <c r="D48" s="125"/>
      <c r="E48" s="125"/>
    </row>
    <row r="49" spans="4:5">
      <c r="D49" s="125"/>
      <c r="E49" s="125"/>
    </row>
  </sheetData>
  <mergeCells count="44">
    <mergeCell ref="L28:Q28"/>
    <mergeCell ref="A28:J28"/>
    <mergeCell ref="A2:S2"/>
    <mergeCell ref="J17:J25"/>
    <mergeCell ref="K17:K25"/>
    <mergeCell ref="M17:M25"/>
    <mergeCell ref="N17:N25"/>
    <mergeCell ref="P17:P25"/>
    <mergeCell ref="Q17:Q25"/>
    <mergeCell ref="N4:N12"/>
    <mergeCell ref="P4:P12"/>
    <mergeCell ref="Q4:Q12"/>
    <mergeCell ref="R4:R12"/>
    <mergeCell ref="E17:E25"/>
    <mergeCell ref="F17:F25"/>
    <mergeCell ref="G17:G25"/>
    <mergeCell ref="J30:J36"/>
    <mergeCell ref="A13:C13"/>
    <mergeCell ref="A12:C12"/>
    <mergeCell ref="A25:C25"/>
    <mergeCell ref="A26:C26"/>
    <mergeCell ref="E30:E36"/>
    <mergeCell ref="F30:F36"/>
    <mergeCell ref="G30:G36"/>
    <mergeCell ref="H30:H36"/>
    <mergeCell ref="I30:I36"/>
    <mergeCell ref="H4:H12"/>
    <mergeCell ref="I4:I12"/>
    <mergeCell ref="J4:J12"/>
    <mergeCell ref="I17:I25"/>
    <mergeCell ref="S4:S12"/>
    <mergeCell ref="R17:R25"/>
    <mergeCell ref="O4:O12"/>
    <mergeCell ref="O17:O25"/>
    <mergeCell ref="A15:S15"/>
    <mergeCell ref="S17:S25"/>
    <mergeCell ref="E4:E12"/>
    <mergeCell ref="F4:F12"/>
    <mergeCell ref="M4:M12"/>
    <mergeCell ref="L4:L12"/>
    <mergeCell ref="L17:L25"/>
    <mergeCell ref="G4:G12"/>
    <mergeCell ref="H17:H25"/>
    <mergeCell ref="K4:K12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J9" sqref="J9"/>
    </sheetView>
  </sheetViews>
  <sheetFormatPr defaultRowHeight="15"/>
  <cols>
    <col min="2" max="2" width="17.7109375" customWidth="1"/>
    <col min="3" max="4" width="18.5703125" customWidth="1"/>
    <col min="5" max="5" width="18.85546875" customWidth="1"/>
    <col min="6" max="8" width="18.42578125" customWidth="1"/>
  </cols>
  <sheetData>
    <row r="1" spans="1:8" ht="15.75" thickBot="1">
      <c r="A1" s="459" t="s">
        <v>217</v>
      </c>
      <c r="B1" s="460"/>
      <c r="C1" s="460"/>
      <c r="D1" s="460"/>
      <c r="E1" s="460"/>
      <c r="F1" s="460"/>
      <c r="G1" s="460"/>
      <c r="H1" s="461"/>
    </row>
    <row r="2" spans="1:8" ht="45">
      <c r="A2" s="204" t="s">
        <v>68</v>
      </c>
      <c r="B2" s="204" t="s">
        <v>69</v>
      </c>
      <c r="C2" s="204" t="s">
        <v>209</v>
      </c>
      <c r="D2" s="204" t="s">
        <v>212</v>
      </c>
      <c r="E2" s="204" t="s">
        <v>213</v>
      </c>
      <c r="F2" s="204" t="s">
        <v>210</v>
      </c>
      <c r="G2" s="217"/>
      <c r="H2" s="204"/>
    </row>
    <row r="3" spans="1:8">
      <c r="A3" s="216">
        <v>1</v>
      </c>
      <c r="B3" s="219" t="s">
        <v>87</v>
      </c>
      <c r="C3" s="220">
        <v>50</v>
      </c>
      <c r="D3" s="221">
        <f>C3*6</f>
        <v>300</v>
      </c>
      <c r="E3" s="220">
        <f>C3*15</f>
        <v>750</v>
      </c>
      <c r="F3" s="221">
        <f>C3*25</f>
        <v>1250</v>
      </c>
      <c r="G3" s="221"/>
      <c r="H3" s="219"/>
    </row>
    <row r="4" spans="1:8" ht="30">
      <c r="A4" s="216">
        <v>2</v>
      </c>
      <c r="B4" s="218" t="s">
        <v>211</v>
      </c>
      <c r="C4" s="222">
        <v>50</v>
      </c>
      <c r="D4" s="223">
        <f t="shared" ref="D4:D5" si="0">C4*6</f>
        <v>300</v>
      </c>
      <c r="E4" s="222">
        <f t="shared" ref="E4:E5" si="1">C4*15</f>
        <v>750</v>
      </c>
      <c r="F4" s="223">
        <f t="shared" ref="F4:F5" si="2">C4*25</f>
        <v>1250</v>
      </c>
      <c r="G4" s="223"/>
      <c r="H4" s="224"/>
    </row>
    <row r="5" spans="1:8" ht="30.75" thickBot="1">
      <c r="A5" s="230">
        <v>3</v>
      </c>
      <c r="B5" s="231" t="s">
        <v>207</v>
      </c>
      <c r="C5" s="232">
        <v>50</v>
      </c>
      <c r="D5" s="233">
        <f t="shared" si="0"/>
        <v>300</v>
      </c>
      <c r="E5" s="232">
        <f t="shared" si="1"/>
        <v>750</v>
      </c>
      <c r="F5" s="233">
        <f t="shared" si="2"/>
        <v>1250</v>
      </c>
      <c r="G5" s="233"/>
      <c r="H5" s="234"/>
    </row>
    <row r="6" spans="1:8" ht="15.75" thickBot="1">
      <c r="A6" s="459" t="s">
        <v>218</v>
      </c>
      <c r="B6" s="460"/>
      <c r="C6" s="460"/>
      <c r="D6" s="460"/>
      <c r="E6" s="460"/>
      <c r="F6" s="460"/>
      <c r="G6" s="460"/>
      <c r="H6" s="461"/>
    </row>
    <row r="7" spans="1:8" ht="30">
      <c r="A7" s="227">
        <v>4</v>
      </c>
      <c r="B7" s="227" t="s">
        <v>215</v>
      </c>
      <c r="C7" s="226">
        <f>(C5*1000)/50</f>
        <v>1000</v>
      </c>
      <c r="D7" s="226">
        <f t="shared" ref="D7:F7" si="3">(D5*1000)/50</f>
        <v>6000</v>
      </c>
      <c r="E7" s="226">
        <f t="shared" si="3"/>
        <v>15000</v>
      </c>
      <c r="F7" s="226">
        <f t="shared" si="3"/>
        <v>25000</v>
      </c>
      <c r="G7" s="217" t="s">
        <v>214</v>
      </c>
      <c r="H7" s="224"/>
    </row>
    <row r="8" spans="1:8" ht="30">
      <c r="A8" s="217">
        <v>5</v>
      </c>
      <c r="B8" s="203" t="s">
        <v>208</v>
      </c>
      <c r="C8" s="222">
        <f>C7*285</f>
        <v>285000</v>
      </c>
      <c r="D8" s="222">
        <f t="shared" ref="D8:F8" si="4">D7*285</f>
        <v>1710000</v>
      </c>
      <c r="E8" s="222">
        <f t="shared" si="4"/>
        <v>4275000</v>
      </c>
      <c r="F8" s="222">
        <f t="shared" si="4"/>
        <v>7125000</v>
      </c>
      <c r="G8" s="223">
        <v>0</v>
      </c>
      <c r="H8" s="224"/>
    </row>
    <row r="9" spans="1:8" ht="30">
      <c r="A9" s="217">
        <v>6</v>
      </c>
      <c r="B9" s="203" t="s">
        <v>221</v>
      </c>
      <c r="C9" s="222">
        <f>C8-E14</f>
        <v>71400</v>
      </c>
      <c r="D9" s="222">
        <f>D8-F14</f>
        <v>428400</v>
      </c>
      <c r="E9" s="222">
        <f>E8-G14</f>
        <v>1071000</v>
      </c>
      <c r="F9" s="222">
        <f>F8-H14</f>
        <v>1785000</v>
      </c>
      <c r="G9" s="225">
        <f>F9/F8*100</f>
        <v>25.05263157894737</v>
      </c>
      <c r="H9" s="224"/>
    </row>
    <row r="10" spans="1:8" ht="30.75" thickBot="1">
      <c r="A10" s="217">
        <v>7</v>
      </c>
      <c r="B10" s="203" t="s">
        <v>222</v>
      </c>
      <c r="C10" s="222">
        <f>C8-E15</f>
        <v>146650</v>
      </c>
      <c r="D10" s="222">
        <f>D8-F15</f>
        <v>879900</v>
      </c>
      <c r="E10" s="222">
        <f>E8-G15</f>
        <v>2199750</v>
      </c>
      <c r="F10" s="222">
        <f>F8-H15</f>
        <v>3666250</v>
      </c>
      <c r="G10" s="225">
        <f>F10/F8*100</f>
        <v>51.456140350877192</v>
      </c>
      <c r="H10" s="224"/>
    </row>
    <row r="11" spans="1:8" ht="15.75" thickBot="1">
      <c r="A11" s="459" t="s">
        <v>223</v>
      </c>
      <c r="B11" s="460"/>
      <c r="C11" s="460"/>
      <c r="D11" s="460"/>
      <c r="E11" s="460"/>
      <c r="F11" s="460"/>
      <c r="G11" s="460"/>
      <c r="H11" s="461"/>
    </row>
    <row r="12" spans="1:8" ht="45">
      <c r="A12" s="204" t="s">
        <v>68</v>
      </c>
      <c r="B12" s="204" t="s">
        <v>69</v>
      </c>
      <c r="C12" s="214" t="s">
        <v>161</v>
      </c>
      <c r="D12" s="204" t="s">
        <v>209</v>
      </c>
      <c r="E12" s="214" t="s">
        <v>97</v>
      </c>
      <c r="F12" s="204" t="s">
        <v>202</v>
      </c>
      <c r="G12" s="204" t="s">
        <v>203</v>
      </c>
      <c r="H12" s="204" t="s">
        <v>210</v>
      </c>
    </row>
    <row r="13" spans="1:8">
      <c r="A13" s="235">
        <v>1</v>
      </c>
      <c r="B13" s="218" t="s">
        <v>87</v>
      </c>
      <c r="C13" s="228">
        <v>2592</v>
      </c>
      <c r="D13" s="228">
        <v>50</v>
      </c>
      <c r="E13" s="228">
        <f>D13*C13</f>
        <v>129600</v>
      </c>
      <c r="F13" s="228">
        <f>E13*6</f>
        <v>777600</v>
      </c>
      <c r="G13" s="228">
        <f>E13*15</f>
        <v>1944000</v>
      </c>
      <c r="H13" s="228">
        <f>E13*25</f>
        <v>3240000</v>
      </c>
    </row>
    <row r="14" spans="1:8" ht="39" customHeight="1">
      <c r="A14" s="235">
        <v>2</v>
      </c>
      <c r="B14" s="218" t="s">
        <v>211</v>
      </c>
      <c r="C14" s="229">
        <v>4272</v>
      </c>
      <c r="D14" s="228">
        <v>50</v>
      </c>
      <c r="E14" s="228">
        <f t="shared" ref="E14:E15" si="5">D14*C14</f>
        <v>213600</v>
      </c>
      <c r="F14" s="228">
        <f t="shared" ref="F14:F15" si="6">E14*6</f>
        <v>1281600</v>
      </c>
      <c r="G14" s="228">
        <f t="shared" ref="G14:G15" si="7">E14*15</f>
        <v>3204000</v>
      </c>
      <c r="H14" s="228">
        <f t="shared" ref="H14:H15" si="8">E14*25</f>
        <v>5340000</v>
      </c>
    </row>
    <row r="15" spans="1:8" ht="42" customHeight="1">
      <c r="A15" s="235">
        <v>3</v>
      </c>
      <c r="B15" s="218" t="s">
        <v>207</v>
      </c>
      <c r="C15" s="228">
        <v>2767</v>
      </c>
      <c r="D15" s="228">
        <v>50</v>
      </c>
      <c r="E15" s="228">
        <f t="shared" si="5"/>
        <v>138350</v>
      </c>
      <c r="F15" s="228">
        <f t="shared" si="6"/>
        <v>830100</v>
      </c>
      <c r="G15" s="228">
        <f t="shared" si="7"/>
        <v>2075250</v>
      </c>
      <c r="H15" s="228">
        <f t="shared" si="8"/>
        <v>3458750</v>
      </c>
    </row>
    <row r="16" spans="1:8" ht="84.75" customHeight="1">
      <c r="A16" s="458" t="s">
        <v>205</v>
      </c>
      <c r="B16" s="209" t="s">
        <v>224</v>
      </c>
      <c r="C16" s="210">
        <f>C13+C14</f>
        <v>6864</v>
      </c>
      <c r="D16" s="215" t="s">
        <v>206</v>
      </c>
      <c r="E16" s="211">
        <f>E13+E14</f>
        <v>343200</v>
      </c>
      <c r="F16" s="211">
        <f t="shared" ref="F16:H16" si="9">F13+F14</f>
        <v>2059200</v>
      </c>
      <c r="G16" s="211">
        <f t="shared" si="9"/>
        <v>5148000</v>
      </c>
      <c r="H16" s="211">
        <f t="shared" si="9"/>
        <v>8580000</v>
      </c>
    </row>
    <row r="17" spans="1:8" ht="90" customHeight="1">
      <c r="A17" s="458"/>
      <c r="B17" s="209" t="s">
        <v>225</v>
      </c>
      <c r="C17" s="212">
        <f>C13+C15</f>
        <v>5359</v>
      </c>
      <c r="D17" s="236" t="s">
        <v>206</v>
      </c>
      <c r="E17" s="212">
        <f>E13+E15</f>
        <v>267950</v>
      </c>
      <c r="F17" s="212">
        <f t="shared" ref="F17:H17" si="10">F13+F15</f>
        <v>1607700</v>
      </c>
      <c r="G17" s="212">
        <f t="shared" si="10"/>
        <v>4019250</v>
      </c>
      <c r="H17" s="212">
        <f t="shared" si="10"/>
        <v>6698750</v>
      </c>
    </row>
    <row r="18" spans="1:8">
      <c r="A18" s="462" t="s">
        <v>226</v>
      </c>
      <c r="B18" s="463"/>
      <c r="C18" s="213">
        <f>(C17+C16)/2</f>
        <v>6111.5</v>
      </c>
      <c r="D18" s="213">
        <v>50</v>
      </c>
      <c r="E18" s="213">
        <f>(E17+E16)/2</f>
        <v>305575</v>
      </c>
      <c r="F18" s="213">
        <f t="shared" ref="F18:H18" si="11">(F17+F16)/2</f>
        <v>1833450</v>
      </c>
      <c r="G18" s="213">
        <f t="shared" si="11"/>
        <v>4583625</v>
      </c>
      <c r="H18" s="213">
        <f t="shared" si="11"/>
        <v>7639375</v>
      </c>
    </row>
  </sheetData>
  <mergeCells count="5">
    <mergeCell ref="A16:A17"/>
    <mergeCell ref="A1:H1"/>
    <mergeCell ref="A18:B18"/>
    <mergeCell ref="A6:H6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7"/>
  <sheetViews>
    <sheetView topLeftCell="D1" workbookViewId="0">
      <selection activeCell="J3" sqref="J3:T27"/>
    </sheetView>
  </sheetViews>
  <sheetFormatPr defaultRowHeight="15"/>
  <cols>
    <col min="1" max="1" width="6.7109375" customWidth="1"/>
    <col min="2" max="2" width="9.85546875" customWidth="1"/>
    <col min="3" max="3" width="6.7109375" customWidth="1"/>
    <col min="4" max="4" width="6.42578125" customWidth="1"/>
    <col min="5" max="7" width="9.7109375" customWidth="1"/>
    <col min="8" max="8" width="10.28515625" customWidth="1"/>
    <col min="9" max="9" width="9.7109375" customWidth="1"/>
    <col min="10" max="13" width="13.7109375" customWidth="1"/>
    <col min="14" max="14" width="11" bestFit="1" customWidth="1"/>
    <col min="17" max="17" width="11.140625" customWidth="1"/>
    <col min="18" max="19" width="12" customWidth="1"/>
    <col min="20" max="20" width="11" customWidth="1"/>
  </cols>
  <sheetData>
    <row r="1" spans="1:20" ht="15.75" thickBot="1">
      <c r="A1" s="464" t="s">
        <v>251</v>
      </c>
      <c r="B1" s="465"/>
      <c r="C1" s="465"/>
      <c r="D1" s="465"/>
      <c r="E1" s="465"/>
      <c r="F1" s="465"/>
      <c r="G1" s="465"/>
      <c r="H1" s="466"/>
      <c r="I1" s="464" t="s">
        <v>252</v>
      </c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6"/>
    </row>
    <row r="2" spans="1:20" ht="60">
      <c r="A2" s="268" t="s">
        <v>68</v>
      </c>
      <c r="B2" s="175" t="s">
        <v>235</v>
      </c>
      <c r="C2" s="268" t="s">
        <v>169</v>
      </c>
      <c r="D2" s="268" t="s">
        <v>234</v>
      </c>
      <c r="E2" s="268" t="s">
        <v>247</v>
      </c>
      <c r="F2" s="268" t="s">
        <v>248</v>
      </c>
      <c r="G2" s="269" t="s">
        <v>253</v>
      </c>
      <c r="H2" s="269" t="s">
        <v>236</v>
      </c>
      <c r="I2" s="270" t="s">
        <v>237</v>
      </c>
      <c r="J2" s="270" t="s">
        <v>238</v>
      </c>
      <c r="K2" s="270" t="s">
        <v>239</v>
      </c>
      <c r="L2" s="270" t="s">
        <v>240</v>
      </c>
      <c r="M2" s="270" t="s">
        <v>241</v>
      </c>
      <c r="N2" s="270" t="s">
        <v>242</v>
      </c>
      <c r="O2" s="270" t="s">
        <v>243</v>
      </c>
      <c r="P2" s="270" t="s">
        <v>244</v>
      </c>
      <c r="Q2" s="270" t="s">
        <v>245</v>
      </c>
      <c r="R2" s="267" t="s">
        <v>249</v>
      </c>
      <c r="S2" s="267" t="s">
        <v>250</v>
      </c>
      <c r="T2" s="267" t="s">
        <v>246</v>
      </c>
    </row>
    <row r="3" spans="1:20">
      <c r="A3" s="266">
        <v>1</v>
      </c>
      <c r="B3" s="22">
        <f>A3*1500</f>
        <v>1500</v>
      </c>
      <c r="C3" s="22">
        <v>214</v>
      </c>
      <c r="D3" s="22">
        <v>285</v>
      </c>
      <c r="E3" s="22">
        <f>C3*B3</f>
        <v>321000</v>
      </c>
      <c r="F3" s="22">
        <f>D3*B3</f>
        <v>427500</v>
      </c>
      <c r="G3" s="22">
        <f>(D3-C3)*B3</f>
        <v>106500</v>
      </c>
      <c r="H3" s="22">
        <v>31950000</v>
      </c>
      <c r="I3" s="22">
        <v>17</v>
      </c>
      <c r="J3" s="22">
        <f>I3*11.5%</f>
        <v>1.9550000000000001</v>
      </c>
      <c r="K3" s="22">
        <f>J3/12</f>
        <v>0.16291666666666668</v>
      </c>
      <c r="L3" s="22">
        <f>(K3/25)*6</f>
        <v>3.9100000000000003E-2</v>
      </c>
      <c r="M3" s="22">
        <f>K3/25</f>
        <v>6.5166666666666671E-3</v>
      </c>
      <c r="N3" s="27">
        <f>G3-(M3*10000000)</f>
        <v>41333.333333333328</v>
      </c>
      <c r="O3" s="22">
        <f>N3*6</f>
        <v>247999.99999999997</v>
      </c>
      <c r="P3" s="22">
        <f>N3*25</f>
        <v>1033333.3333333333</v>
      </c>
      <c r="Q3" s="22">
        <f>(P3*12)/10000000</f>
        <v>1.24</v>
      </c>
      <c r="R3" s="22">
        <f>Q3*10%</f>
        <v>0.124</v>
      </c>
      <c r="S3" s="22">
        <f>Q3-R3</f>
        <v>1.1160000000000001</v>
      </c>
      <c r="T3" s="27">
        <f>I3/S3</f>
        <v>15.232974910394264</v>
      </c>
    </row>
    <row r="4" spans="1:20">
      <c r="A4" s="266">
        <v>2</v>
      </c>
      <c r="B4" s="22">
        <f t="shared" ref="B4:B27" si="0">A4*1500</f>
        <v>3000</v>
      </c>
      <c r="C4" s="22">
        <v>214</v>
      </c>
      <c r="D4" s="22">
        <v>285</v>
      </c>
      <c r="E4" s="22">
        <f t="shared" ref="E4:E27" si="1">C4*B4</f>
        <v>642000</v>
      </c>
      <c r="F4" s="22">
        <f t="shared" ref="F4:F27" si="2">D4*B4</f>
        <v>855000</v>
      </c>
      <c r="G4" s="22">
        <f t="shared" ref="G4:G27" si="3">(D4-C4)*B4</f>
        <v>213000</v>
      </c>
      <c r="H4" s="22">
        <v>31950000</v>
      </c>
      <c r="I4" s="22">
        <v>17</v>
      </c>
      <c r="J4" s="22">
        <f t="shared" ref="J4:J27" si="4">I4*11.5%</f>
        <v>1.9550000000000001</v>
      </c>
      <c r="K4" s="22">
        <f t="shared" ref="K4:K27" si="5">J4/12</f>
        <v>0.16291666666666668</v>
      </c>
      <c r="L4" s="22">
        <f t="shared" ref="L4:L27" si="6">(K4/25)*6</f>
        <v>3.9100000000000003E-2</v>
      </c>
      <c r="M4" s="22">
        <f t="shared" ref="M4:M27" si="7">K4/25</f>
        <v>6.5166666666666671E-3</v>
      </c>
      <c r="N4" s="27">
        <f t="shared" ref="N4:N27" si="8">G4-(M4*10000000)</f>
        <v>147833.33333333331</v>
      </c>
      <c r="O4" s="22">
        <f t="shared" ref="O4:O27" si="9">N4*6</f>
        <v>886999.99999999988</v>
      </c>
      <c r="P4" s="22">
        <f t="shared" ref="P4:P27" si="10">N4*25</f>
        <v>3695833.333333333</v>
      </c>
      <c r="Q4" s="22">
        <f t="shared" ref="Q4:Q27" si="11">(P4*12)/10000000</f>
        <v>4.4349999999999996</v>
      </c>
      <c r="R4" s="22">
        <f t="shared" ref="R4:R27" si="12">Q4*10%</f>
        <v>0.44350000000000001</v>
      </c>
      <c r="S4" s="22">
        <f t="shared" ref="S4:S27" si="13">Q4-R4</f>
        <v>3.9914999999999994</v>
      </c>
      <c r="T4" s="27">
        <f t="shared" ref="T4:T27" si="14">I4/S4</f>
        <v>4.2590504822748345</v>
      </c>
    </row>
    <row r="5" spans="1:20">
      <c r="A5" s="266">
        <v>3</v>
      </c>
      <c r="B5" s="22">
        <f t="shared" si="0"/>
        <v>4500</v>
      </c>
      <c r="C5" s="22">
        <v>214</v>
      </c>
      <c r="D5" s="22">
        <v>285</v>
      </c>
      <c r="E5" s="22">
        <f t="shared" si="1"/>
        <v>963000</v>
      </c>
      <c r="F5" s="22">
        <f t="shared" si="2"/>
        <v>1282500</v>
      </c>
      <c r="G5" s="22">
        <f t="shared" si="3"/>
        <v>319500</v>
      </c>
      <c r="H5" s="22">
        <v>31950000</v>
      </c>
      <c r="I5" s="22">
        <v>17</v>
      </c>
      <c r="J5" s="22">
        <f t="shared" si="4"/>
        <v>1.9550000000000001</v>
      </c>
      <c r="K5" s="22">
        <f t="shared" si="5"/>
        <v>0.16291666666666668</v>
      </c>
      <c r="L5" s="22">
        <f t="shared" si="6"/>
        <v>3.9100000000000003E-2</v>
      </c>
      <c r="M5" s="22">
        <f t="shared" si="7"/>
        <v>6.5166666666666671E-3</v>
      </c>
      <c r="N5" s="27">
        <f t="shared" si="8"/>
        <v>254333.33333333331</v>
      </c>
      <c r="O5" s="22">
        <f t="shared" si="9"/>
        <v>1526000</v>
      </c>
      <c r="P5" s="22">
        <f t="shared" si="10"/>
        <v>6358333.333333333</v>
      </c>
      <c r="Q5" s="22">
        <f t="shared" si="11"/>
        <v>7.63</v>
      </c>
      <c r="R5" s="22">
        <f t="shared" si="12"/>
        <v>0.76300000000000001</v>
      </c>
      <c r="S5" s="22">
        <f t="shared" si="13"/>
        <v>6.867</v>
      </c>
      <c r="T5" s="27">
        <f t="shared" si="14"/>
        <v>2.4756079801951363</v>
      </c>
    </row>
    <row r="6" spans="1:20">
      <c r="A6" s="266">
        <v>4</v>
      </c>
      <c r="B6" s="22">
        <f t="shared" si="0"/>
        <v>6000</v>
      </c>
      <c r="C6" s="22">
        <v>214</v>
      </c>
      <c r="D6" s="22">
        <v>285</v>
      </c>
      <c r="E6" s="22">
        <f t="shared" si="1"/>
        <v>1284000</v>
      </c>
      <c r="F6" s="22">
        <f t="shared" si="2"/>
        <v>1710000</v>
      </c>
      <c r="G6" s="22">
        <f t="shared" si="3"/>
        <v>426000</v>
      </c>
      <c r="H6" s="22">
        <v>31950000</v>
      </c>
      <c r="I6" s="22">
        <v>17</v>
      </c>
      <c r="J6" s="22">
        <f t="shared" si="4"/>
        <v>1.9550000000000001</v>
      </c>
      <c r="K6" s="22">
        <f t="shared" si="5"/>
        <v>0.16291666666666668</v>
      </c>
      <c r="L6" s="22">
        <f t="shared" si="6"/>
        <v>3.9100000000000003E-2</v>
      </c>
      <c r="M6" s="22">
        <f t="shared" si="7"/>
        <v>6.5166666666666671E-3</v>
      </c>
      <c r="N6" s="27">
        <f t="shared" si="8"/>
        <v>360833.33333333331</v>
      </c>
      <c r="O6" s="22">
        <f t="shared" si="9"/>
        <v>2165000</v>
      </c>
      <c r="P6" s="22">
        <f t="shared" si="10"/>
        <v>9020833.3333333321</v>
      </c>
      <c r="Q6" s="22">
        <f t="shared" si="11"/>
        <v>10.824999999999999</v>
      </c>
      <c r="R6" s="22">
        <f t="shared" si="12"/>
        <v>1.0825</v>
      </c>
      <c r="S6" s="22">
        <f t="shared" si="13"/>
        <v>9.7424999999999997</v>
      </c>
      <c r="T6" s="27">
        <f t="shared" si="14"/>
        <v>1.7449319989735694</v>
      </c>
    </row>
    <row r="7" spans="1:20">
      <c r="A7" s="266">
        <v>5</v>
      </c>
      <c r="B7" s="22">
        <f t="shared" si="0"/>
        <v>7500</v>
      </c>
      <c r="C7" s="22">
        <v>214</v>
      </c>
      <c r="D7" s="22">
        <v>285</v>
      </c>
      <c r="E7" s="22">
        <f t="shared" si="1"/>
        <v>1605000</v>
      </c>
      <c r="F7" s="22">
        <f t="shared" si="2"/>
        <v>2137500</v>
      </c>
      <c r="G7" s="22">
        <f t="shared" si="3"/>
        <v>532500</v>
      </c>
      <c r="H7" s="22">
        <v>31950000</v>
      </c>
      <c r="I7" s="22">
        <v>17</v>
      </c>
      <c r="J7" s="22">
        <f t="shared" si="4"/>
        <v>1.9550000000000001</v>
      </c>
      <c r="K7" s="22">
        <f t="shared" si="5"/>
        <v>0.16291666666666668</v>
      </c>
      <c r="L7" s="22">
        <f t="shared" si="6"/>
        <v>3.9100000000000003E-2</v>
      </c>
      <c r="M7" s="22">
        <f t="shared" si="7"/>
        <v>6.5166666666666671E-3</v>
      </c>
      <c r="N7" s="27">
        <f t="shared" si="8"/>
        <v>467333.33333333331</v>
      </c>
      <c r="O7" s="22">
        <f t="shared" si="9"/>
        <v>2804000</v>
      </c>
      <c r="P7" s="22">
        <f t="shared" si="10"/>
        <v>11683333.333333332</v>
      </c>
      <c r="Q7" s="22">
        <f t="shared" si="11"/>
        <v>14.02</v>
      </c>
      <c r="R7" s="22">
        <f t="shared" si="12"/>
        <v>1.4020000000000001</v>
      </c>
      <c r="S7" s="22">
        <f t="shared" si="13"/>
        <v>12.617999999999999</v>
      </c>
      <c r="T7" s="27">
        <f t="shared" si="14"/>
        <v>1.3472816611190364</v>
      </c>
    </row>
    <row r="8" spans="1:20">
      <c r="A8" s="266">
        <v>6</v>
      </c>
      <c r="B8" s="22">
        <f t="shared" si="0"/>
        <v>9000</v>
      </c>
      <c r="C8" s="22">
        <v>214</v>
      </c>
      <c r="D8" s="22">
        <v>285</v>
      </c>
      <c r="E8" s="22">
        <f t="shared" si="1"/>
        <v>1926000</v>
      </c>
      <c r="F8" s="22">
        <f t="shared" si="2"/>
        <v>2565000</v>
      </c>
      <c r="G8" s="22">
        <f t="shared" si="3"/>
        <v>639000</v>
      </c>
      <c r="H8" s="22">
        <v>31950000</v>
      </c>
      <c r="I8" s="22">
        <v>17</v>
      </c>
      <c r="J8" s="22">
        <f t="shared" si="4"/>
        <v>1.9550000000000001</v>
      </c>
      <c r="K8" s="22">
        <f t="shared" si="5"/>
        <v>0.16291666666666668</v>
      </c>
      <c r="L8" s="22">
        <f t="shared" si="6"/>
        <v>3.9100000000000003E-2</v>
      </c>
      <c r="M8" s="22">
        <f t="shared" si="7"/>
        <v>6.5166666666666671E-3</v>
      </c>
      <c r="N8" s="27">
        <f t="shared" si="8"/>
        <v>573833.33333333337</v>
      </c>
      <c r="O8" s="22">
        <f t="shared" si="9"/>
        <v>3443000</v>
      </c>
      <c r="P8" s="22">
        <f t="shared" si="10"/>
        <v>14345833.333333334</v>
      </c>
      <c r="Q8" s="22">
        <f t="shared" si="11"/>
        <v>17.215</v>
      </c>
      <c r="R8" s="22">
        <f t="shared" si="12"/>
        <v>1.7215</v>
      </c>
      <c r="S8" s="22">
        <f t="shared" si="13"/>
        <v>15.493499999999999</v>
      </c>
      <c r="T8" s="27">
        <f t="shared" si="14"/>
        <v>1.0972343240713849</v>
      </c>
    </row>
    <row r="9" spans="1:20">
      <c r="A9" s="266">
        <v>7</v>
      </c>
      <c r="B9" s="22">
        <f t="shared" si="0"/>
        <v>10500</v>
      </c>
      <c r="C9" s="22">
        <v>214</v>
      </c>
      <c r="D9" s="22">
        <v>285</v>
      </c>
      <c r="E9" s="22">
        <f t="shared" si="1"/>
        <v>2247000</v>
      </c>
      <c r="F9" s="22">
        <f t="shared" si="2"/>
        <v>2992500</v>
      </c>
      <c r="G9" s="22">
        <f t="shared" si="3"/>
        <v>745500</v>
      </c>
      <c r="H9" s="22">
        <v>31950000</v>
      </c>
      <c r="I9" s="22">
        <v>17</v>
      </c>
      <c r="J9" s="22">
        <f t="shared" si="4"/>
        <v>1.9550000000000001</v>
      </c>
      <c r="K9" s="22">
        <f t="shared" si="5"/>
        <v>0.16291666666666668</v>
      </c>
      <c r="L9" s="22">
        <f t="shared" si="6"/>
        <v>3.9100000000000003E-2</v>
      </c>
      <c r="M9" s="22">
        <f t="shared" si="7"/>
        <v>6.5166666666666671E-3</v>
      </c>
      <c r="N9" s="27">
        <f t="shared" si="8"/>
        <v>680333.33333333337</v>
      </c>
      <c r="O9" s="22">
        <f t="shared" si="9"/>
        <v>4082000</v>
      </c>
      <c r="P9" s="22">
        <f t="shared" si="10"/>
        <v>17008333.333333336</v>
      </c>
      <c r="Q9" s="22">
        <f t="shared" si="11"/>
        <v>20.410000000000004</v>
      </c>
      <c r="R9" s="22">
        <f t="shared" si="12"/>
        <v>2.0410000000000004</v>
      </c>
      <c r="S9" s="22">
        <f t="shared" si="13"/>
        <v>18.369000000000003</v>
      </c>
      <c r="T9" s="27">
        <f t="shared" si="14"/>
        <v>0.92547226305188068</v>
      </c>
    </row>
    <row r="10" spans="1:20">
      <c r="A10" s="266">
        <v>8</v>
      </c>
      <c r="B10" s="22">
        <f t="shared" si="0"/>
        <v>12000</v>
      </c>
      <c r="C10" s="22">
        <v>214</v>
      </c>
      <c r="D10" s="22">
        <v>285</v>
      </c>
      <c r="E10" s="22">
        <f t="shared" si="1"/>
        <v>2568000</v>
      </c>
      <c r="F10" s="22">
        <f t="shared" si="2"/>
        <v>3420000</v>
      </c>
      <c r="G10" s="22">
        <f t="shared" si="3"/>
        <v>852000</v>
      </c>
      <c r="H10" s="22">
        <v>31950000</v>
      </c>
      <c r="I10" s="22">
        <v>17</v>
      </c>
      <c r="J10" s="22">
        <f t="shared" si="4"/>
        <v>1.9550000000000001</v>
      </c>
      <c r="K10" s="22">
        <f t="shared" si="5"/>
        <v>0.16291666666666668</v>
      </c>
      <c r="L10" s="22">
        <f t="shared" si="6"/>
        <v>3.9100000000000003E-2</v>
      </c>
      <c r="M10" s="22">
        <f t="shared" si="7"/>
        <v>6.5166666666666671E-3</v>
      </c>
      <c r="N10" s="27">
        <f t="shared" si="8"/>
        <v>786833.33333333337</v>
      </c>
      <c r="O10" s="22">
        <f t="shared" si="9"/>
        <v>4721000</v>
      </c>
      <c r="P10" s="22">
        <f t="shared" si="10"/>
        <v>19670833.333333336</v>
      </c>
      <c r="Q10" s="22">
        <f t="shared" si="11"/>
        <v>23.605000000000004</v>
      </c>
      <c r="R10" s="22">
        <f t="shared" si="12"/>
        <v>2.3605000000000005</v>
      </c>
      <c r="S10" s="22">
        <f t="shared" si="13"/>
        <v>21.244500000000002</v>
      </c>
      <c r="T10" s="27">
        <f t="shared" si="14"/>
        <v>0.80020711242909925</v>
      </c>
    </row>
    <row r="11" spans="1:20">
      <c r="A11" s="266">
        <v>9</v>
      </c>
      <c r="B11" s="22">
        <f t="shared" si="0"/>
        <v>13500</v>
      </c>
      <c r="C11" s="22">
        <v>214</v>
      </c>
      <c r="D11" s="22">
        <v>285</v>
      </c>
      <c r="E11" s="22">
        <f t="shared" si="1"/>
        <v>2889000</v>
      </c>
      <c r="F11" s="22">
        <f t="shared" si="2"/>
        <v>3847500</v>
      </c>
      <c r="G11" s="22">
        <f t="shared" si="3"/>
        <v>958500</v>
      </c>
      <c r="H11" s="22">
        <v>31950000</v>
      </c>
      <c r="I11" s="22">
        <v>17</v>
      </c>
      <c r="J11" s="22">
        <f t="shared" si="4"/>
        <v>1.9550000000000001</v>
      </c>
      <c r="K11" s="22">
        <f t="shared" si="5"/>
        <v>0.16291666666666668</v>
      </c>
      <c r="L11" s="22">
        <f t="shared" si="6"/>
        <v>3.9100000000000003E-2</v>
      </c>
      <c r="M11" s="22">
        <f t="shared" si="7"/>
        <v>6.5166666666666671E-3</v>
      </c>
      <c r="N11" s="27">
        <f t="shared" si="8"/>
        <v>893333.33333333337</v>
      </c>
      <c r="O11" s="22">
        <f t="shared" si="9"/>
        <v>5360000</v>
      </c>
      <c r="P11" s="22">
        <f t="shared" si="10"/>
        <v>22333333.333333336</v>
      </c>
      <c r="Q11" s="22">
        <f t="shared" si="11"/>
        <v>26.800000000000004</v>
      </c>
      <c r="R11" s="22">
        <f t="shared" si="12"/>
        <v>2.6800000000000006</v>
      </c>
      <c r="S11" s="22">
        <f t="shared" si="13"/>
        <v>24.120000000000005</v>
      </c>
      <c r="T11" s="27">
        <f t="shared" si="14"/>
        <v>0.70480928689883904</v>
      </c>
    </row>
    <row r="12" spans="1:20">
      <c r="A12" s="266">
        <v>10</v>
      </c>
      <c r="B12" s="22">
        <f t="shared" si="0"/>
        <v>15000</v>
      </c>
      <c r="C12" s="22">
        <v>214</v>
      </c>
      <c r="D12" s="22">
        <v>285</v>
      </c>
      <c r="E12" s="22">
        <f t="shared" si="1"/>
        <v>3210000</v>
      </c>
      <c r="F12" s="22">
        <f t="shared" si="2"/>
        <v>4275000</v>
      </c>
      <c r="G12" s="22">
        <f t="shared" si="3"/>
        <v>1065000</v>
      </c>
      <c r="H12" s="22">
        <v>31950000</v>
      </c>
      <c r="I12" s="22">
        <v>17</v>
      </c>
      <c r="J12" s="22">
        <f t="shared" si="4"/>
        <v>1.9550000000000001</v>
      </c>
      <c r="K12" s="22">
        <f t="shared" si="5"/>
        <v>0.16291666666666668</v>
      </c>
      <c r="L12" s="22">
        <f t="shared" si="6"/>
        <v>3.9100000000000003E-2</v>
      </c>
      <c r="M12" s="22">
        <f t="shared" si="7"/>
        <v>6.5166666666666671E-3</v>
      </c>
      <c r="N12" s="27">
        <f t="shared" si="8"/>
        <v>999833.33333333337</v>
      </c>
      <c r="O12" s="22">
        <f t="shared" si="9"/>
        <v>5999000</v>
      </c>
      <c r="P12" s="22">
        <f t="shared" si="10"/>
        <v>24995833.333333336</v>
      </c>
      <c r="Q12" s="22">
        <f t="shared" si="11"/>
        <v>29.995000000000001</v>
      </c>
      <c r="R12" s="22">
        <f t="shared" si="12"/>
        <v>2.9995000000000003</v>
      </c>
      <c r="S12" s="22">
        <f t="shared" si="13"/>
        <v>26.9955</v>
      </c>
      <c r="T12" s="27">
        <f t="shared" si="14"/>
        <v>0.62973458539386196</v>
      </c>
    </row>
    <row r="13" spans="1:20">
      <c r="A13" s="266">
        <v>11</v>
      </c>
      <c r="B13" s="22">
        <f t="shared" si="0"/>
        <v>16500</v>
      </c>
      <c r="C13" s="22">
        <v>214</v>
      </c>
      <c r="D13" s="22">
        <v>285</v>
      </c>
      <c r="E13" s="22">
        <f t="shared" si="1"/>
        <v>3531000</v>
      </c>
      <c r="F13" s="22">
        <f t="shared" si="2"/>
        <v>4702500</v>
      </c>
      <c r="G13" s="22">
        <f t="shared" si="3"/>
        <v>1171500</v>
      </c>
      <c r="H13" s="22">
        <v>31950000</v>
      </c>
      <c r="I13" s="22">
        <v>17</v>
      </c>
      <c r="J13" s="22">
        <f t="shared" si="4"/>
        <v>1.9550000000000001</v>
      </c>
      <c r="K13" s="22">
        <f t="shared" si="5"/>
        <v>0.16291666666666668</v>
      </c>
      <c r="L13" s="22">
        <f t="shared" si="6"/>
        <v>3.9100000000000003E-2</v>
      </c>
      <c r="M13" s="22">
        <f t="shared" si="7"/>
        <v>6.5166666666666671E-3</v>
      </c>
      <c r="N13" s="27">
        <f t="shared" si="8"/>
        <v>1106333.3333333333</v>
      </c>
      <c r="O13" s="22">
        <f t="shared" si="9"/>
        <v>6638000</v>
      </c>
      <c r="P13" s="22">
        <f t="shared" si="10"/>
        <v>27658333.333333332</v>
      </c>
      <c r="Q13" s="22">
        <f t="shared" si="11"/>
        <v>33.19</v>
      </c>
      <c r="R13" s="22">
        <f t="shared" si="12"/>
        <v>3.319</v>
      </c>
      <c r="S13" s="22">
        <f t="shared" si="13"/>
        <v>29.870999999999999</v>
      </c>
      <c r="T13" s="27">
        <f t="shared" si="14"/>
        <v>0.56911385624853539</v>
      </c>
    </row>
    <row r="14" spans="1:20">
      <c r="A14" s="266">
        <v>12</v>
      </c>
      <c r="B14" s="22">
        <f t="shared" si="0"/>
        <v>18000</v>
      </c>
      <c r="C14" s="22">
        <v>214</v>
      </c>
      <c r="D14" s="22">
        <v>285</v>
      </c>
      <c r="E14" s="22">
        <f t="shared" si="1"/>
        <v>3852000</v>
      </c>
      <c r="F14" s="22">
        <f t="shared" si="2"/>
        <v>5130000</v>
      </c>
      <c r="G14" s="22">
        <f t="shared" si="3"/>
        <v>1278000</v>
      </c>
      <c r="H14" s="22">
        <v>31950000</v>
      </c>
      <c r="I14" s="22">
        <v>17</v>
      </c>
      <c r="J14" s="22">
        <f t="shared" si="4"/>
        <v>1.9550000000000001</v>
      </c>
      <c r="K14" s="22">
        <f t="shared" si="5"/>
        <v>0.16291666666666668</v>
      </c>
      <c r="L14" s="22">
        <f t="shared" si="6"/>
        <v>3.9100000000000003E-2</v>
      </c>
      <c r="M14" s="22">
        <f t="shared" si="7"/>
        <v>6.5166666666666671E-3</v>
      </c>
      <c r="N14" s="27">
        <f t="shared" si="8"/>
        <v>1212833.3333333333</v>
      </c>
      <c r="O14" s="22">
        <f t="shared" si="9"/>
        <v>7277000</v>
      </c>
      <c r="P14" s="22">
        <f t="shared" si="10"/>
        <v>30320833.333333332</v>
      </c>
      <c r="Q14" s="22">
        <f t="shared" si="11"/>
        <v>36.384999999999998</v>
      </c>
      <c r="R14" s="22">
        <f t="shared" si="12"/>
        <v>3.6385000000000001</v>
      </c>
      <c r="S14" s="22">
        <f t="shared" si="13"/>
        <v>32.746499999999997</v>
      </c>
      <c r="T14" s="27">
        <f t="shared" si="14"/>
        <v>0.51913945001755912</v>
      </c>
    </row>
    <row r="15" spans="1:20">
      <c r="A15" s="266">
        <v>13</v>
      </c>
      <c r="B15" s="22">
        <f t="shared" si="0"/>
        <v>19500</v>
      </c>
      <c r="C15" s="22">
        <v>214</v>
      </c>
      <c r="D15" s="22">
        <v>285</v>
      </c>
      <c r="E15" s="22">
        <f t="shared" si="1"/>
        <v>4173000</v>
      </c>
      <c r="F15" s="22">
        <f t="shared" si="2"/>
        <v>5557500</v>
      </c>
      <c r="G15" s="22">
        <f t="shared" si="3"/>
        <v>1384500</v>
      </c>
      <c r="H15" s="22">
        <v>31950000</v>
      </c>
      <c r="I15" s="22">
        <v>17</v>
      </c>
      <c r="J15" s="22">
        <f t="shared" si="4"/>
        <v>1.9550000000000001</v>
      </c>
      <c r="K15" s="22">
        <f t="shared" si="5"/>
        <v>0.16291666666666668</v>
      </c>
      <c r="L15" s="22">
        <f t="shared" si="6"/>
        <v>3.9100000000000003E-2</v>
      </c>
      <c r="M15" s="22">
        <f t="shared" si="7"/>
        <v>6.5166666666666671E-3</v>
      </c>
      <c r="N15" s="27">
        <f t="shared" si="8"/>
        <v>1319333.3333333333</v>
      </c>
      <c r="O15" s="22">
        <f t="shared" si="9"/>
        <v>7916000</v>
      </c>
      <c r="P15" s="22">
        <f t="shared" si="10"/>
        <v>32983333.333333332</v>
      </c>
      <c r="Q15" s="22">
        <f t="shared" si="11"/>
        <v>39.58</v>
      </c>
      <c r="R15" s="22">
        <f t="shared" si="12"/>
        <v>3.9580000000000002</v>
      </c>
      <c r="S15" s="22">
        <f t="shared" si="13"/>
        <v>35.622</v>
      </c>
      <c r="T15" s="27">
        <f t="shared" si="14"/>
        <v>0.47723317051260455</v>
      </c>
    </row>
    <row r="16" spans="1:20">
      <c r="A16" s="266">
        <v>14</v>
      </c>
      <c r="B16" s="22">
        <f t="shared" si="0"/>
        <v>21000</v>
      </c>
      <c r="C16" s="22">
        <v>214</v>
      </c>
      <c r="D16" s="22">
        <v>285</v>
      </c>
      <c r="E16" s="22">
        <f t="shared" si="1"/>
        <v>4494000</v>
      </c>
      <c r="F16" s="22">
        <f t="shared" si="2"/>
        <v>5985000</v>
      </c>
      <c r="G16" s="22">
        <f t="shared" si="3"/>
        <v>1491000</v>
      </c>
      <c r="H16" s="22">
        <v>31950000</v>
      </c>
      <c r="I16" s="22">
        <v>17</v>
      </c>
      <c r="J16" s="22">
        <f t="shared" si="4"/>
        <v>1.9550000000000001</v>
      </c>
      <c r="K16" s="22">
        <f t="shared" si="5"/>
        <v>0.16291666666666668</v>
      </c>
      <c r="L16" s="22">
        <f t="shared" si="6"/>
        <v>3.9100000000000003E-2</v>
      </c>
      <c r="M16" s="22">
        <f t="shared" si="7"/>
        <v>6.5166666666666671E-3</v>
      </c>
      <c r="N16" s="27">
        <f t="shared" si="8"/>
        <v>1425833.3333333333</v>
      </c>
      <c r="O16" s="22">
        <f t="shared" si="9"/>
        <v>8555000</v>
      </c>
      <c r="P16" s="22">
        <f t="shared" si="10"/>
        <v>35645833.333333328</v>
      </c>
      <c r="Q16" s="22">
        <f t="shared" si="11"/>
        <v>42.774999999999991</v>
      </c>
      <c r="R16" s="22">
        <f t="shared" si="12"/>
        <v>4.277499999999999</v>
      </c>
      <c r="S16" s="22">
        <f t="shared" si="13"/>
        <v>38.497499999999995</v>
      </c>
      <c r="T16" s="27">
        <f t="shared" si="14"/>
        <v>0.44158711604649659</v>
      </c>
    </row>
    <row r="17" spans="1:20">
      <c r="A17" s="266">
        <v>15</v>
      </c>
      <c r="B17" s="22">
        <f t="shared" si="0"/>
        <v>22500</v>
      </c>
      <c r="C17" s="22">
        <v>214</v>
      </c>
      <c r="D17" s="22">
        <v>285</v>
      </c>
      <c r="E17" s="22">
        <f t="shared" si="1"/>
        <v>4815000</v>
      </c>
      <c r="F17" s="22">
        <f t="shared" si="2"/>
        <v>6412500</v>
      </c>
      <c r="G17" s="22">
        <f t="shared" si="3"/>
        <v>1597500</v>
      </c>
      <c r="H17" s="22">
        <v>31950000</v>
      </c>
      <c r="I17" s="22">
        <v>17</v>
      </c>
      <c r="J17" s="22">
        <f t="shared" si="4"/>
        <v>1.9550000000000001</v>
      </c>
      <c r="K17" s="22">
        <f t="shared" si="5"/>
        <v>0.16291666666666668</v>
      </c>
      <c r="L17" s="22">
        <f t="shared" si="6"/>
        <v>3.9100000000000003E-2</v>
      </c>
      <c r="M17" s="22">
        <f t="shared" si="7"/>
        <v>6.5166666666666671E-3</v>
      </c>
      <c r="N17" s="27">
        <f t="shared" si="8"/>
        <v>1532333.3333333333</v>
      </c>
      <c r="O17" s="22">
        <f t="shared" si="9"/>
        <v>9194000</v>
      </c>
      <c r="P17" s="22">
        <f t="shared" si="10"/>
        <v>38308333.333333328</v>
      </c>
      <c r="Q17" s="22">
        <f t="shared" si="11"/>
        <v>45.969999999999992</v>
      </c>
      <c r="R17" s="22">
        <f t="shared" si="12"/>
        <v>4.5969999999999995</v>
      </c>
      <c r="S17" s="22">
        <f t="shared" si="13"/>
        <v>41.37299999999999</v>
      </c>
      <c r="T17" s="27">
        <f t="shared" si="14"/>
        <v>0.41089599497256674</v>
      </c>
    </row>
    <row r="18" spans="1:20">
      <c r="A18" s="266">
        <v>16</v>
      </c>
      <c r="B18" s="22">
        <f t="shared" si="0"/>
        <v>24000</v>
      </c>
      <c r="C18" s="22">
        <v>214</v>
      </c>
      <c r="D18" s="22">
        <v>285</v>
      </c>
      <c r="E18" s="22">
        <f t="shared" si="1"/>
        <v>5136000</v>
      </c>
      <c r="F18" s="22">
        <f t="shared" si="2"/>
        <v>6840000</v>
      </c>
      <c r="G18" s="22">
        <f t="shared" si="3"/>
        <v>1704000</v>
      </c>
      <c r="H18" s="22">
        <v>31950000</v>
      </c>
      <c r="I18" s="22">
        <v>17</v>
      </c>
      <c r="J18" s="22">
        <f t="shared" si="4"/>
        <v>1.9550000000000001</v>
      </c>
      <c r="K18" s="22">
        <f t="shared" si="5"/>
        <v>0.16291666666666668</v>
      </c>
      <c r="L18" s="22">
        <f t="shared" si="6"/>
        <v>3.9100000000000003E-2</v>
      </c>
      <c r="M18" s="22">
        <f t="shared" si="7"/>
        <v>6.5166666666666671E-3</v>
      </c>
      <c r="N18" s="27">
        <f t="shared" si="8"/>
        <v>1638833.3333333333</v>
      </c>
      <c r="O18" s="22">
        <f t="shared" si="9"/>
        <v>9833000</v>
      </c>
      <c r="P18" s="22">
        <f t="shared" si="10"/>
        <v>40970833.333333328</v>
      </c>
      <c r="Q18" s="22">
        <f t="shared" si="11"/>
        <v>49.164999999999992</v>
      </c>
      <c r="R18" s="22">
        <f t="shared" si="12"/>
        <v>4.9164999999999992</v>
      </c>
      <c r="S18" s="22">
        <f t="shared" si="13"/>
        <v>44.248499999999993</v>
      </c>
      <c r="T18" s="27">
        <f t="shared" si="14"/>
        <v>0.38419381447958695</v>
      </c>
    </row>
    <row r="19" spans="1:20">
      <c r="A19" s="266">
        <v>17</v>
      </c>
      <c r="B19" s="22">
        <f t="shared" si="0"/>
        <v>25500</v>
      </c>
      <c r="C19" s="22">
        <v>214</v>
      </c>
      <c r="D19" s="22">
        <v>285</v>
      </c>
      <c r="E19" s="22">
        <f t="shared" si="1"/>
        <v>5457000</v>
      </c>
      <c r="F19" s="22">
        <f t="shared" si="2"/>
        <v>7267500</v>
      </c>
      <c r="G19" s="22">
        <f t="shared" si="3"/>
        <v>1810500</v>
      </c>
      <c r="H19" s="22">
        <v>31950000</v>
      </c>
      <c r="I19" s="22">
        <v>17</v>
      </c>
      <c r="J19" s="22">
        <f t="shared" si="4"/>
        <v>1.9550000000000001</v>
      </c>
      <c r="K19" s="22">
        <f t="shared" si="5"/>
        <v>0.16291666666666668</v>
      </c>
      <c r="L19" s="22">
        <f t="shared" si="6"/>
        <v>3.9100000000000003E-2</v>
      </c>
      <c r="M19" s="22">
        <f t="shared" si="7"/>
        <v>6.5166666666666671E-3</v>
      </c>
      <c r="N19" s="27">
        <f t="shared" si="8"/>
        <v>1745333.3333333333</v>
      </c>
      <c r="O19" s="22">
        <f t="shared" si="9"/>
        <v>10472000</v>
      </c>
      <c r="P19" s="22">
        <f t="shared" si="10"/>
        <v>43633333.333333328</v>
      </c>
      <c r="Q19" s="22">
        <f t="shared" si="11"/>
        <v>52.359999999999992</v>
      </c>
      <c r="R19" s="22">
        <f t="shared" si="12"/>
        <v>5.2359999999999998</v>
      </c>
      <c r="S19" s="22">
        <f t="shared" si="13"/>
        <v>47.123999999999995</v>
      </c>
      <c r="T19" s="27">
        <f t="shared" si="14"/>
        <v>0.36075036075036077</v>
      </c>
    </row>
    <row r="20" spans="1:20">
      <c r="A20" s="266">
        <v>18</v>
      </c>
      <c r="B20" s="22">
        <f t="shared" si="0"/>
        <v>27000</v>
      </c>
      <c r="C20" s="22">
        <v>214</v>
      </c>
      <c r="D20" s="22">
        <v>285</v>
      </c>
      <c r="E20" s="22">
        <f t="shared" si="1"/>
        <v>5778000</v>
      </c>
      <c r="F20" s="22">
        <f t="shared" si="2"/>
        <v>7695000</v>
      </c>
      <c r="G20" s="22">
        <f t="shared" si="3"/>
        <v>1917000</v>
      </c>
      <c r="H20" s="22">
        <v>31950000</v>
      </c>
      <c r="I20" s="22">
        <v>17</v>
      </c>
      <c r="J20" s="22">
        <f t="shared" si="4"/>
        <v>1.9550000000000001</v>
      </c>
      <c r="K20" s="22">
        <f t="shared" si="5"/>
        <v>0.16291666666666668</v>
      </c>
      <c r="L20" s="22">
        <f t="shared" si="6"/>
        <v>3.9100000000000003E-2</v>
      </c>
      <c r="M20" s="22">
        <f t="shared" si="7"/>
        <v>6.5166666666666671E-3</v>
      </c>
      <c r="N20" s="27">
        <f t="shared" si="8"/>
        <v>1851833.3333333333</v>
      </c>
      <c r="O20" s="22">
        <f t="shared" si="9"/>
        <v>11111000</v>
      </c>
      <c r="P20" s="22">
        <f t="shared" si="10"/>
        <v>46295833.333333328</v>
      </c>
      <c r="Q20" s="22">
        <f t="shared" si="11"/>
        <v>55.555</v>
      </c>
      <c r="R20" s="22">
        <f t="shared" si="12"/>
        <v>5.5555000000000003</v>
      </c>
      <c r="S20" s="22">
        <f t="shared" si="13"/>
        <v>49.999499999999998</v>
      </c>
      <c r="T20" s="27">
        <f t="shared" si="14"/>
        <v>0.34000340003400037</v>
      </c>
    </row>
    <row r="21" spans="1:20">
      <c r="A21" s="266">
        <v>19</v>
      </c>
      <c r="B21" s="22">
        <f t="shared" si="0"/>
        <v>28500</v>
      </c>
      <c r="C21" s="22">
        <v>214</v>
      </c>
      <c r="D21" s="22">
        <v>285</v>
      </c>
      <c r="E21" s="22">
        <f t="shared" si="1"/>
        <v>6099000</v>
      </c>
      <c r="F21" s="22">
        <f t="shared" si="2"/>
        <v>8122500</v>
      </c>
      <c r="G21" s="22">
        <f t="shared" si="3"/>
        <v>2023500</v>
      </c>
      <c r="H21" s="22">
        <v>31950000</v>
      </c>
      <c r="I21" s="22">
        <v>17</v>
      </c>
      <c r="J21" s="22">
        <f t="shared" si="4"/>
        <v>1.9550000000000001</v>
      </c>
      <c r="K21" s="22">
        <f t="shared" si="5"/>
        <v>0.16291666666666668</v>
      </c>
      <c r="L21" s="22">
        <f t="shared" si="6"/>
        <v>3.9100000000000003E-2</v>
      </c>
      <c r="M21" s="22">
        <f t="shared" si="7"/>
        <v>6.5166666666666671E-3</v>
      </c>
      <c r="N21" s="27">
        <f t="shared" si="8"/>
        <v>1958333.3333333333</v>
      </c>
      <c r="O21" s="22">
        <f t="shared" si="9"/>
        <v>11750000</v>
      </c>
      <c r="P21" s="22">
        <f t="shared" si="10"/>
        <v>48958333.333333328</v>
      </c>
      <c r="Q21" s="22">
        <f t="shared" si="11"/>
        <v>58.75</v>
      </c>
      <c r="R21" s="22">
        <f t="shared" si="12"/>
        <v>5.875</v>
      </c>
      <c r="S21" s="22">
        <f t="shared" si="13"/>
        <v>52.875</v>
      </c>
      <c r="T21" s="27">
        <f t="shared" si="14"/>
        <v>0.32151300236406621</v>
      </c>
    </row>
    <row r="22" spans="1:20">
      <c r="A22" s="266">
        <v>20</v>
      </c>
      <c r="B22" s="22">
        <f t="shared" si="0"/>
        <v>30000</v>
      </c>
      <c r="C22" s="22">
        <v>214</v>
      </c>
      <c r="D22" s="22">
        <v>285</v>
      </c>
      <c r="E22" s="22">
        <f t="shared" si="1"/>
        <v>6420000</v>
      </c>
      <c r="F22" s="22">
        <f t="shared" si="2"/>
        <v>8550000</v>
      </c>
      <c r="G22" s="22">
        <f t="shared" si="3"/>
        <v>2130000</v>
      </c>
      <c r="H22" s="22">
        <v>31950000</v>
      </c>
      <c r="I22" s="22">
        <v>17</v>
      </c>
      <c r="J22" s="22">
        <f t="shared" si="4"/>
        <v>1.9550000000000001</v>
      </c>
      <c r="K22" s="22">
        <f t="shared" si="5"/>
        <v>0.16291666666666668</v>
      </c>
      <c r="L22" s="22">
        <f t="shared" si="6"/>
        <v>3.9100000000000003E-2</v>
      </c>
      <c r="M22" s="22">
        <f t="shared" si="7"/>
        <v>6.5166666666666671E-3</v>
      </c>
      <c r="N22" s="27">
        <f t="shared" si="8"/>
        <v>2064833.3333333333</v>
      </c>
      <c r="O22" s="22">
        <f t="shared" si="9"/>
        <v>12389000</v>
      </c>
      <c r="P22" s="22">
        <f t="shared" si="10"/>
        <v>51620833.333333328</v>
      </c>
      <c r="Q22" s="22">
        <f t="shared" si="11"/>
        <v>61.945</v>
      </c>
      <c r="R22" s="22">
        <f t="shared" si="12"/>
        <v>6.1945000000000006</v>
      </c>
      <c r="S22" s="22">
        <f t="shared" si="13"/>
        <v>55.750500000000002</v>
      </c>
      <c r="T22" s="27">
        <f t="shared" si="14"/>
        <v>0.30493000062779707</v>
      </c>
    </row>
    <row r="23" spans="1:20">
      <c r="A23" s="266">
        <v>21</v>
      </c>
      <c r="B23" s="22">
        <f t="shared" si="0"/>
        <v>31500</v>
      </c>
      <c r="C23" s="22">
        <v>214</v>
      </c>
      <c r="D23" s="22">
        <v>285</v>
      </c>
      <c r="E23" s="22">
        <f t="shared" si="1"/>
        <v>6741000</v>
      </c>
      <c r="F23" s="22">
        <f t="shared" si="2"/>
        <v>8977500</v>
      </c>
      <c r="G23" s="22">
        <f t="shared" si="3"/>
        <v>2236500</v>
      </c>
      <c r="H23" s="22">
        <v>31950000</v>
      </c>
      <c r="I23" s="22">
        <v>17</v>
      </c>
      <c r="J23" s="22">
        <f t="shared" si="4"/>
        <v>1.9550000000000001</v>
      </c>
      <c r="K23" s="22">
        <f t="shared" si="5"/>
        <v>0.16291666666666668</v>
      </c>
      <c r="L23" s="22">
        <f t="shared" si="6"/>
        <v>3.9100000000000003E-2</v>
      </c>
      <c r="M23" s="22">
        <f t="shared" si="7"/>
        <v>6.5166666666666671E-3</v>
      </c>
      <c r="N23" s="27">
        <f t="shared" si="8"/>
        <v>2171333.3333333335</v>
      </c>
      <c r="O23" s="22">
        <f t="shared" si="9"/>
        <v>13028000</v>
      </c>
      <c r="P23" s="22">
        <f t="shared" si="10"/>
        <v>54283333.333333336</v>
      </c>
      <c r="Q23" s="22">
        <f t="shared" si="11"/>
        <v>65.14</v>
      </c>
      <c r="R23" s="22">
        <f t="shared" si="12"/>
        <v>6.5140000000000002</v>
      </c>
      <c r="S23" s="22">
        <f t="shared" si="13"/>
        <v>58.625999999999998</v>
      </c>
      <c r="T23" s="27">
        <f t="shared" si="14"/>
        <v>0.28997373179135538</v>
      </c>
    </row>
    <row r="24" spans="1:20">
      <c r="A24" s="266">
        <v>22</v>
      </c>
      <c r="B24" s="22">
        <f t="shared" si="0"/>
        <v>33000</v>
      </c>
      <c r="C24" s="22">
        <v>214</v>
      </c>
      <c r="D24" s="22">
        <v>285</v>
      </c>
      <c r="E24" s="22">
        <f t="shared" si="1"/>
        <v>7062000</v>
      </c>
      <c r="F24" s="22">
        <f t="shared" si="2"/>
        <v>9405000</v>
      </c>
      <c r="G24" s="22">
        <f t="shared" si="3"/>
        <v>2343000</v>
      </c>
      <c r="H24" s="22">
        <v>31950000</v>
      </c>
      <c r="I24" s="22">
        <v>17</v>
      </c>
      <c r="J24" s="22">
        <f t="shared" si="4"/>
        <v>1.9550000000000001</v>
      </c>
      <c r="K24" s="22">
        <f t="shared" si="5"/>
        <v>0.16291666666666668</v>
      </c>
      <c r="L24" s="22">
        <f t="shared" si="6"/>
        <v>3.9100000000000003E-2</v>
      </c>
      <c r="M24" s="22">
        <f t="shared" si="7"/>
        <v>6.5166666666666671E-3</v>
      </c>
      <c r="N24" s="27">
        <f t="shared" si="8"/>
        <v>2277833.3333333335</v>
      </c>
      <c r="O24" s="22">
        <f t="shared" si="9"/>
        <v>13667000</v>
      </c>
      <c r="P24" s="22">
        <f t="shared" si="10"/>
        <v>56945833.333333336</v>
      </c>
      <c r="Q24" s="22">
        <f t="shared" si="11"/>
        <v>68.334999999999994</v>
      </c>
      <c r="R24" s="22">
        <f t="shared" si="12"/>
        <v>6.8334999999999999</v>
      </c>
      <c r="S24" s="22">
        <f t="shared" si="13"/>
        <v>61.501499999999993</v>
      </c>
      <c r="T24" s="27">
        <f t="shared" si="14"/>
        <v>0.2764160223734381</v>
      </c>
    </row>
    <row r="25" spans="1:20">
      <c r="A25" s="266">
        <v>23</v>
      </c>
      <c r="B25" s="22">
        <f t="shared" si="0"/>
        <v>34500</v>
      </c>
      <c r="C25" s="22">
        <v>214</v>
      </c>
      <c r="D25" s="22">
        <v>285</v>
      </c>
      <c r="E25" s="22">
        <f t="shared" si="1"/>
        <v>7383000</v>
      </c>
      <c r="F25" s="22">
        <f t="shared" si="2"/>
        <v>9832500</v>
      </c>
      <c r="G25" s="22">
        <f t="shared" si="3"/>
        <v>2449500</v>
      </c>
      <c r="H25" s="22">
        <v>31950000</v>
      </c>
      <c r="I25" s="22">
        <v>17</v>
      </c>
      <c r="J25" s="22">
        <f t="shared" si="4"/>
        <v>1.9550000000000001</v>
      </c>
      <c r="K25" s="22">
        <f t="shared" si="5"/>
        <v>0.16291666666666668</v>
      </c>
      <c r="L25" s="22">
        <f t="shared" si="6"/>
        <v>3.9100000000000003E-2</v>
      </c>
      <c r="M25" s="22">
        <f t="shared" si="7"/>
        <v>6.5166666666666671E-3</v>
      </c>
      <c r="N25" s="27">
        <f t="shared" si="8"/>
        <v>2384333.3333333335</v>
      </c>
      <c r="O25" s="22">
        <f t="shared" si="9"/>
        <v>14306000</v>
      </c>
      <c r="P25" s="22">
        <f t="shared" si="10"/>
        <v>59608333.333333336</v>
      </c>
      <c r="Q25" s="22">
        <f t="shared" si="11"/>
        <v>71.53</v>
      </c>
      <c r="R25" s="22">
        <f t="shared" si="12"/>
        <v>7.1530000000000005</v>
      </c>
      <c r="S25" s="22">
        <f t="shared" si="13"/>
        <v>64.376999999999995</v>
      </c>
      <c r="T25" s="27">
        <f t="shared" si="14"/>
        <v>0.26406946580300422</v>
      </c>
    </row>
    <row r="26" spans="1:20">
      <c r="A26" s="266">
        <v>24</v>
      </c>
      <c r="B26" s="22">
        <f t="shared" si="0"/>
        <v>36000</v>
      </c>
      <c r="C26" s="22">
        <v>214</v>
      </c>
      <c r="D26" s="22">
        <v>285</v>
      </c>
      <c r="E26" s="22">
        <f t="shared" si="1"/>
        <v>7704000</v>
      </c>
      <c r="F26" s="22">
        <f t="shared" si="2"/>
        <v>10260000</v>
      </c>
      <c r="G26" s="22">
        <f t="shared" si="3"/>
        <v>2556000</v>
      </c>
      <c r="H26" s="22">
        <v>31950000</v>
      </c>
      <c r="I26" s="22">
        <v>17</v>
      </c>
      <c r="J26" s="22">
        <f t="shared" si="4"/>
        <v>1.9550000000000001</v>
      </c>
      <c r="K26" s="22">
        <f t="shared" si="5"/>
        <v>0.16291666666666668</v>
      </c>
      <c r="L26" s="22">
        <f t="shared" si="6"/>
        <v>3.9100000000000003E-2</v>
      </c>
      <c r="M26" s="22">
        <f t="shared" si="7"/>
        <v>6.5166666666666671E-3</v>
      </c>
      <c r="N26" s="27">
        <f t="shared" si="8"/>
        <v>2490833.3333333335</v>
      </c>
      <c r="O26" s="22">
        <f t="shared" si="9"/>
        <v>14945000</v>
      </c>
      <c r="P26" s="22">
        <f t="shared" si="10"/>
        <v>62270833.333333336</v>
      </c>
      <c r="Q26" s="22">
        <f t="shared" si="11"/>
        <v>74.724999999999994</v>
      </c>
      <c r="R26" s="22">
        <f t="shared" si="12"/>
        <v>7.4725000000000001</v>
      </c>
      <c r="S26" s="22">
        <f t="shared" si="13"/>
        <v>67.252499999999998</v>
      </c>
      <c r="T26" s="27">
        <f t="shared" si="14"/>
        <v>0.25277870711125983</v>
      </c>
    </row>
    <row r="27" spans="1:20">
      <c r="A27" s="266">
        <v>25</v>
      </c>
      <c r="B27" s="22">
        <f t="shared" si="0"/>
        <v>37500</v>
      </c>
      <c r="C27" s="22">
        <v>214</v>
      </c>
      <c r="D27" s="22">
        <v>285</v>
      </c>
      <c r="E27" s="22">
        <f t="shared" si="1"/>
        <v>8025000</v>
      </c>
      <c r="F27" s="22">
        <f t="shared" si="2"/>
        <v>10687500</v>
      </c>
      <c r="G27" s="22">
        <f t="shared" si="3"/>
        <v>2662500</v>
      </c>
      <c r="H27" s="22">
        <v>31950000</v>
      </c>
      <c r="I27" s="22">
        <v>17</v>
      </c>
      <c r="J27" s="22">
        <f t="shared" si="4"/>
        <v>1.9550000000000001</v>
      </c>
      <c r="K27" s="22">
        <f t="shared" si="5"/>
        <v>0.16291666666666668</v>
      </c>
      <c r="L27" s="22">
        <f t="shared" si="6"/>
        <v>3.9100000000000003E-2</v>
      </c>
      <c r="M27" s="22">
        <f t="shared" si="7"/>
        <v>6.5166666666666671E-3</v>
      </c>
      <c r="N27" s="27">
        <f t="shared" si="8"/>
        <v>2597333.3333333335</v>
      </c>
      <c r="O27" s="22">
        <f t="shared" si="9"/>
        <v>15584000</v>
      </c>
      <c r="P27" s="22">
        <f t="shared" si="10"/>
        <v>64933333.333333336</v>
      </c>
      <c r="Q27" s="22">
        <f t="shared" si="11"/>
        <v>77.92</v>
      </c>
      <c r="R27" s="22">
        <f t="shared" si="12"/>
        <v>7.7920000000000007</v>
      </c>
      <c r="S27" s="22">
        <f t="shared" si="13"/>
        <v>70.128</v>
      </c>
      <c r="T27" s="27">
        <f t="shared" si="14"/>
        <v>0.24241387177732146</v>
      </c>
    </row>
  </sheetData>
  <mergeCells count="2">
    <mergeCell ref="A1:H1"/>
    <mergeCell ref="I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Clinker pro @ plant</vt:lpstr>
      <vt:lpstr>Baught out Clinker</vt:lpstr>
      <vt:lpstr>Clinker production</vt:lpstr>
      <vt:lpstr>Priliminary production details</vt:lpstr>
      <vt:lpstr>Final production details</vt:lpstr>
      <vt:lpstr>Material Management</vt:lpstr>
      <vt:lpstr>Turn over details</vt:lpstr>
      <vt:lpstr>Prodution &amp; Fund details</vt:lpstr>
      <vt:lpstr>Sales Chart</vt:lpstr>
      <vt:lpstr>Budget</vt:lpstr>
      <vt:lpstr>Production Cum Margin</vt:lpstr>
      <vt:lpstr>Clinker Production cost</vt:lpstr>
      <vt:lpstr>Invest ment calculations</vt:lpstr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Rachitha Systems</cp:lastModifiedBy>
  <cp:lastPrinted>2021-01-26T12:56:27Z</cp:lastPrinted>
  <dcterms:created xsi:type="dcterms:W3CDTF">2017-06-14T11:33:31Z</dcterms:created>
  <dcterms:modified xsi:type="dcterms:W3CDTF">2021-01-26T12:56:34Z</dcterms:modified>
</cp:coreProperties>
</file>