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65" windowWidth="14805" windowHeight="7950" tabRatio="695" activeTab="4"/>
  </bookViews>
  <sheets>
    <sheet name="Title Page" sheetId="1" r:id="rId1"/>
    <sheet name="ODBC Data" sheetId="11" r:id="rId2"/>
    <sheet name="Extracted Data" sheetId="9" r:id="rId3"/>
    <sheet name="P &amp;L" sheetId="12" r:id="rId4"/>
    <sheet name="BS" sheetId="13" r:id="rId5"/>
    <sheet name="Projectd P &amp;L" sheetId="14" r:id="rId6"/>
    <sheet name="Projected BS" sheetId="15" r:id="rId7"/>
  </sheets>
  <definedNames>
    <definedName name="_xlnm.Print_Area" localSheetId="0">'Title Page'!$A$1:$I$18</definedName>
    <definedName name="Query_from_TallyODBC_9000" localSheetId="1" hidden="1">'ODBC Data'!$C$2:$F$42</definedName>
    <definedName name="Query_from_TallyODBC_9001" localSheetId="1" hidden="1">'ODBC Data'!#REF!</definedName>
  </definedNames>
  <calcPr calcId="144525"/>
</workbook>
</file>

<file path=xl/calcChain.xml><?xml version="1.0" encoding="utf-8"?>
<calcChain xmlns="http://schemas.openxmlformats.org/spreadsheetml/2006/main">
  <c r="C8" i="13" l="1"/>
  <c r="E8" i="13"/>
  <c r="I4" i="11"/>
  <c r="Y32" i="9" s="1"/>
  <c r="E28" i="13"/>
  <c r="Z5" i="9" l="1"/>
  <c r="Z7" i="9"/>
  <c r="Z9" i="9"/>
  <c r="Z11" i="9"/>
  <c r="Z13" i="9"/>
  <c r="Z15" i="9"/>
  <c r="Z17" i="9"/>
  <c r="Z19" i="9"/>
  <c r="Z21" i="9"/>
  <c r="Z23" i="9"/>
  <c r="Z25" i="9"/>
  <c r="Z27" i="9"/>
  <c r="Z29" i="9"/>
  <c r="Z31" i="9"/>
  <c r="Z33" i="9"/>
  <c r="Y5" i="9"/>
  <c r="Y7" i="9"/>
  <c r="Y9" i="9"/>
  <c r="Y11" i="9"/>
  <c r="Y13" i="9"/>
  <c r="Y15" i="9"/>
  <c r="Y17" i="9"/>
  <c r="Y19" i="9"/>
  <c r="Y21" i="9"/>
  <c r="Y23" i="9"/>
  <c r="Y25" i="9"/>
  <c r="Y27" i="9"/>
  <c r="Y29" i="9"/>
  <c r="Y31" i="9"/>
  <c r="Y33" i="9"/>
  <c r="Z4" i="9"/>
  <c r="Z6" i="9"/>
  <c r="Z8" i="9"/>
  <c r="Z10" i="9"/>
  <c r="Z12" i="9"/>
  <c r="Z14" i="9"/>
  <c r="Z16" i="9"/>
  <c r="Z18" i="9"/>
  <c r="Z20" i="9"/>
  <c r="Z22" i="9"/>
  <c r="Z24" i="9"/>
  <c r="Z26" i="9"/>
  <c r="Z28" i="9"/>
  <c r="Z30" i="9"/>
  <c r="Z32" i="9"/>
  <c r="Y4" i="9"/>
  <c r="Y6" i="9"/>
  <c r="Y8" i="9"/>
  <c r="Y10" i="9"/>
  <c r="Y12" i="9"/>
  <c r="Y14" i="9"/>
  <c r="Y16" i="9"/>
  <c r="Y18" i="9"/>
  <c r="Y20" i="9"/>
  <c r="Y22" i="9"/>
  <c r="Y24" i="9"/>
  <c r="Y26" i="9"/>
  <c r="Y28" i="9"/>
  <c r="Y30" i="9"/>
  <c r="D13" i="14"/>
  <c r="D12" i="14"/>
  <c r="D11" i="14"/>
  <c r="D10" i="14"/>
  <c r="D7" i="14"/>
  <c r="D6" i="14"/>
  <c r="A505" i="11" l="1"/>
  <c r="B505" i="11" s="1"/>
  <c r="A504" i="11"/>
  <c r="B504" i="11" s="1"/>
  <c r="A503" i="11"/>
  <c r="B503" i="11" s="1"/>
  <c r="A502" i="11"/>
  <c r="B502" i="11" s="1"/>
  <c r="A501" i="11"/>
  <c r="B501" i="11" s="1"/>
  <c r="A500" i="11"/>
  <c r="B500" i="11" s="1"/>
  <c r="A499" i="11"/>
  <c r="B499" i="11" s="1"/>
  <c r="A498" i="11"/>
  <c r="B498" i="11" s="1"/>
  <c r="A497" i="11"/>
  <c r="B497" i="11" s="1"/>
  <c r="A496" i="11"/>
  <c r="B496" i="11" s="1"/>
  <c r="A495" i="11"/>
  <c r="B495" i="11" s="1"/>
  <c r="A494" i="11"/>
  <c r="B494" i="11" s="1"/>
  <c r="A493" i="11"/>
  <c r="B493" i="11" s="1"/>
  <c r="A492" i="11"/>
  <c r="B492" i="11" s="1"/>
  <c r="A491" i="11"/>
  <c r="B491" i="11" s="1"/>
  <c r="A490" i="11"/>
  <c r="B490" i="11" s="1"/>
  <c r="A489" i="11"/>
  <c r="B489" i="11" s="1"/>
  <c r="A488" i="11"/>
  <c r="B488" i="11" s="1"/>
  <c r="A487" i="11"/>
  <c r="B487" i="11" s="1"/>
  <c r="A486" i="11"/>
  <c r="B486" i="11" s="1"/>
  <c r="A485" i="11"/>
  <c r="B485" i="11" s="1"/>
  <c r="A484" i="11"/>
  <c r="B484" i="11" s="1"/>
  <c r="A483" i="11"/>
  <c r="B483" i="11" s="1"/>
  <c r="A482" i="11"/>
  <c r="B482" i="11" s="1"/>
  <c r="A481" i="11"/>
  <c r="B481" i="11" s="1"/>
  <c r="A480" i="11"/>
  <c r="B480" i="11" s="1"/>
  <c r="A479" i="11"/>
  <c r="B479" i="11" s="1"/>
  <c r="A478" i="11"/>
  <c r="B478" i="11" s="1"/>
  <c r="A477" i="11"/>
  <c r="B477" i="11" s="1"/>
  <c r="A476" i="11"/>
  <c r="B476" i="11" s="1"/>
  <c r="A475" i="11"/>
  <c r="B475" i="11" s="1"/>
  <c r="A474" i="11"/>
  <c r="B474" i="11" s="1"/>
  <c r="A473" i="11"/>
  <c r="B473" i="11" s="1"/>
  <c r="A472" i="11"/>
  <c r="B472" i="11" s="1"/>
  <c r="A471" i="11"/>
  <c r="B471" i="11" s="1"/>
  <c r="A470" i="11"/>
  <c r="B470" i="11" s="1"/>
  <c r="A469" i="11"/>
  <c r="B469" i="11" s="1"/>
  <c r="A468" i="11"/>
  <c r="B468" i="11" s="1"/>
  <c r="A467" i="11"/>
  <c r="B467" i="11" s="1"/>
  <c r="A466" i="11"/>
  <c r="B466" i="11" s="1"/>
  <c r="A465" i="11"/>
  <c r="B465" i="11" s="1"/>
  <c r="A464" i="11"/>
  <c r="B464" i="11" s="1"/>
  <c r="A463" i="11"/>
  <c r="B463" i="11" s="1"/>
  <c r="A462" i="11"/>
  <c r="B462" i="11" s="1"/>
  <c r="A461" i="11"/>
  <c r="B461" i="11" s="1"/>
  <c r="A460" i="11"/>
  <c r="B460" i="11" s="1"/>
  <c r="A459" i="11"/>
  <c r="B459" i="11" s="1"/>
  <c r="A458" i="11"/>
  <c r="B458" i="11" s="1"/>
  <c r="A457" i="11"/>
  <c r="B457" i="11" s="1"/>
  <c r="A456" i="11"/>
  <c r="B456" i="11" s="1"/>
  <c r="A455" i="11"/>
  <c r="B455" i="11" s="1"/>
  <c r="A454" i="11"/>
  <c r="B454" i="11" s="1"/>
  <c r="A453" i="11"/>
  <c r="B453" i="11" s="1"/>
  <c r="A452" i="11"/>
  <c r="B452" i="11" s="1"/>
  <c r="A451" i="11"/>
  <c r="B451" i="11" s="1"/>
  <c r="A450" i="11"/>
  <c r="B450" i="11" s="1"/>
  <c r="A449" i="11"/>
  <c r="B449" i="11" s="1"/>
  <c r="A448" i="11"/>
  <c r="B448" i="11" s="1"/>
  <c r="A447" i="11"/>
  <c r="B447" i="11" s="1"/>
  <c r="A446" i="11"/>
  <c r="B446" i="11" s="1"/>
  <c r="A445" i="11"/>
  <c r="B445" i="11" s="1"/>
  <c r="A444" i="11"/>
  <c r="B444" i="11" s="1"/>
  <c r="A443" i="11"/>
  <c r="B443" i="11" s="1"/>
  <c r="A442" i="11"/>
  <c r="B442" i="11" s="1"/>
  <c r="A441" i="11"/>
  <c r="B441" i="11" s="1"/>
  <c r="A440" i="11"/>
  <c r="B440" i="11" s="1"/>
  <c r="A439" i="11"/>
  <c r="B439" i="11" s="1"/>
  <c r="A438" i="11"/>
  <c r="B438" i="11" s="1"/>
  <c r="A437" i="11"/>
  <c r="B437" i="11" s="1"/>
  <c r="A436" i="11"/>
  <c r="B436" i="11" s="1"/>
  <c r="A435" i="11"/>
  <c r="B435" i="11" s="1"/>
  <c r="A434" i="11"/>
  <c r="B434" i="11" s="1"/>
  <c r="A433" i="11"/>
  <c r="B433" i="11" s="1"/>
  <c r="A432" i="11"/>
  <c r="B432" i="11" s="1"/>
  <c r="A431" i="11"/>
  <c r="B431" i="11" s="1"/>
  <c r="A430" i="11"/>
  <c r="B430" i="11" s="1"/>
  <c r="A429" i="11"/>
  <c r="B429" i="11" s="1"/>
  <c r="A428" i="11"/>
  <c r="B428" i="11" s="1"/>
  <c r="A427" i="11"/>
  <c r="B427" i="11" s="1"/>
  <c r="A426" i="11"/>
  <c r="B426" i="11" s="1"/>
  <c r="A425" i="11"/>
  <c r="B425" i="11" s="1"/>
  <c r="A424" i="11"/>
  <c r="B424" i="11" s="1"/>
  <c r="A423" i="11"/>
  <c r="B423" i="11" s="1"/>
  <c r="A422" i="11"/>
  <c r="B422" i="11" s="1"/>
  <c r="A421" i="11"/>
  <c r="B421" i="11" s="1"/>
  <c r="A420" i="11"/>
  <c r="B420" i="11" s="1"/>
  <c r="A419" i="11"/>
  <c r="B419" i="11" s="1"/>
  <c r="A418" i="11"/>
  <c r="B418" i="11" s="1"/>
  <c r="A417" i="11"/>
  <c r="B417" i="11" s="1"/>
  <c r="A416" i="11"/>
  <c r="B416" i="11" s="1"/>
  <c r="A415" i="11"/>
  <c r="B415" i="11" s="1"/>
  <c r="A414" i="11"/>
  <c r="B414" i="11" s="1"/>
  <c r="A413" i="11"/>
  <c r="B413" i="11" s="1"/>
  <c r="A412" i="11"/>
  <c r="B412" i="11" s="1"/>
  <c r="A411" i="11"/>
  <c r="B411" i="11" s="1"/>
  <c r="A410" i="11"/>
  <c r="B410" i="11" s="1"/>
  <c r="A409" i="11"/>
  <c r="B409" i="11" s="1"/>
  <c r="A408" i="11"/>
  <c r="B408" i="11" s="1"/>
  <c r="A407" i="11"/>
  <c r="B407" i="11" s="1"/>
  <c r="A406" i="11"/>
  <c r="B406" i="11" s="1"/>
  <c r="A405" i="11"/>
  <c r="B405" i="11" s="1"/>
  <c r="A404" i="11"/>
  <c r="B404" i="11" s="1"/>
  <c r="A403" i="11"/>
  <c r="B403" i="11" s="1"/>
  <c r="A402" i="11"/>
  <c r="B402" i="11" s="1"/>
  <c r="A401" i="11"/>
  <c r="B401" i="11" s="1"/>
  <c r="A400" i="11"/>
  <c r="B400" i="11" s="1"/>
  <c r="A399" i="11"/>
  <c r="B399" i="11" s="1"/>
  <c r="A398" i="11"/>
  <c r="B398" i="11" s="1"/>
  <c r="A397" i="11"/>
  <c r="B397" i="11" s="1"/>
  <c r="A396" i="11"/>
  <c r="B396" i="11" s="1"/>
  <c r="A395" i="11"/>
  <c r="B395" i="11" s="1"/>
  <c r="A394" i="11"/>
  <c r="B394" i="11" s="1"/>
  <c r="A393" i="11"/>
  <c r="B393" i="11" s="1"/>
  <c r="A392" i="11"/>
  <c r="B392" i="11" s="1"/>
  <c r="A391" i="11"/>
  <c r="B391" i="11" s="1"/>
  <c r="A390" i="11"/>
  <c r="B390" i="11" s="1"/>
  <c r="A389" i="11"/>
  <c r="B389" i="11" s="1"/>
  <c r="A388" i="11"/>
  <c r="B388" i="11" s="1"/>
  <c r="A387" i="11"/>
  <c r="B387" i="11" s="1"/>
  <c r="A386" i="11"/>
  <c r="B386" i="11" s="1"/>
  <c r="A385" i="11"/>
  <c r="B385" i="11" s="1"/>
  <c r="A384" i="11"/>
  <c r="B384" i="11" s="1"/>
  <c r="A383" i="11"/>
  <c r="B383" i="11" s="1"/>
  <c r="A382" i="11"/>
  <c r="B382" i="11" s="1"/>
  <c r="A381" i="11"/>
  <c r="B381" i="11" s="1"/>
  <c r="A380" i="11"/>
  <c r="B380" i="11" s="1"/>
  <c r="A379" i="11"/>
  <c r="B379" i="11" s="1"/>
  <c r="A378" i="11"/>
  <c r="B378" i="11" s="1"/>
  <c r="A377" i="11"/>
  <c r="B377" i="11" s="1"/>
  <c r="A376" i="11"/>
  <c r="B376" i="11" s="1"/>
  <c r="A375" i="11"/>
  <c r="B375" i="11" s="1"/>
  <c r="A374" i="11"/>
  <c r="B374" i="11" s="1"/>
  <c r="A373" i="11"/>
  <c r="B373" i="11" s="1"/>
  <c r="A372" i="11"/>
  <c r="B372" i="11" s="1"/>
  <c r="A371" i="11"/>
  <c r="B371" i="11" s="1"/>
  <c r="A370" i="11"/>
  <c r="B370" i="11" s="1"/>
  <c r="A369" i="11"/>
  <c r="B369" i="11" s="1"/>
  <c r="A368" i="11"/>
  <c r="B368" i="11" s="1"/>
  <c r="A367" i="11"/>
  <c r="B367" i="11" s="1"/>
  <c r="A366" i="11"/>
  <c r="B366" i="11" s="1"/>
  <c r="A365" i="11"/>
  <c r="B365" i="11" s="1"/>
  <c r="A364" i="11"/>
  <c r="B364" i="11" s="1"/>
  <c r="A363" i="11"/>
  <c r="B363" i="11" s="1"/>
  <c r="A362" i="11"/>
  <c r="B362" i="11" s="1"/>
  <c r="A361" i="11"/>
  <c r="B361" i="11" s="1"/>
  <c r="A360" i="11"/>
  <c r="B360" i="11" s="1"/>
  <c r="A359" i="11"/>
  <c r="B359" i="11" s="1"/>
  <c r="A358" i="11"/>
  <c r="B358" i="11" s="1"/>
  <c r="A357" i="11"/>
  <c r="B357" i="11" s="1"/>
  <c r="A356" i="11"/>
  <c r="B356" i="11" s="1"/>
  <c r="A355" i="11"/>
  <c r="B355" i="11" s="1"/>
  <c r="A354" i="11"/>
  <c r="B354" i="11" s="1"/>
  <c r="A353" i="11"/>
  <c r="B353" i="11" s="1"/>
  <c r="A352" i="11"/>
  <c r="B352" i="11" s="1"/>
  <c r="A351" i="11"/>
  <c r="B351" i="11" s="1"/>
  <c r="A350" i="11"/>
  <c r="B350" i="11" s="1"/>
  <c r="A349" i="11"/>
  <c r="B349" i="11" s="1"/>
  <c r="A348" i="11"/>
  <c r="B348" i="11" s="1"/>
  <c r="A347" i="11"/>
  <c r="B347" i="11" s="1"/>
  <c r="A346" i="11"/>
  <c r="B346" i="11" s="1"/>
  <c r="A345" i="11"/>
  <c r="B345" i="11" s="1"/>
  <c r="A344" i="11"/>
  <c r="B344" i="11" s="1"/>
  <c r="A343" i="11"/>
  <c r="B343" i="11" s="1"/>
  <c r="A342" i="11"/>
  <c r="B342" i="11" s="1"/>
  <c r="A341" i="11"/>
  <c r="B341" i="11" s="1"/>
  <c r="A340" i="11"/>
  <c r="B340" i="11" s="1"/>
  <c r="A339" i="11"/>
  <c r="B339" i="11" s="1"/>
  <c r="A338" i="11"/>
  <c r="B338" i="11" s="1"/>
  <c r="A337" i="11"/>
  <c r="B337" i="11" s="1"/>
  <c r="A336" i="11"/>
  <c r="B336" i="11" s="1"/>
  <c r="A335" i="11"/>
  <c r="B335" i="11" s="1"/>
  <c r="A334" i="11"/>
  <c r="B334" i="11" s="1"/>
  <c r="A333" i="11"/>
  <c r="B333" i="11" s="1"/>
  <c r="A332" i="11"/>
  <c r="B332" i="11" s="1"/>
  <c r="A331" i="11"/>
  <c r="B331" i="11" s="1"/>
  <c r="A330" i="11"/>
  <c r="B330" i="11" s="1"/>
  <c r="A329" i="11"/>
  <c r="B329" i="11" s="1"/>
  <c r="A328" i="11"/>
  <c r="B328" i="11" s="1"/>
  <c r="A327" i="11"/>
  <c r="B327" i="11" s="1"/>
  <c r="A326" i="11"/>
  <c r="B326" i="11" s="1"/>
  <c r="A325" i="11"/>
  <c r="B325" i="11" s="1"/>
  <c r="A324" i="11"/>
  <c r="B324" i="11" s="1"/>
  <c r="A323" i="11"/>
  <c r="B323" i="11" s="1"/>
  <c r="A322" i="11"/>
  <c r="B322" i="11" s="1"/>
  <c r="A321" i="11"/>
  <c r="B321" i="11" s="1"/>
  <c r="A320" i="11"/>
  <c r="B320" i="11" s="1"/>
  <c r="A319" i="11"/>
  <c r="B319" i="11" s="1"/>
  <c r="A318" i="11"/>
  <c r="B318" i="11" s="1"/>
  <c r="A317" i="11"/>
  <c r="B317" i="11" s="1"/>
  <c r="A316" i="11"/>
  <c r="B316" i="11" s="1"/>
  <c r="A315" i="11"/>
  <c r="B315" i="11" s="1"/>
  <c r="A314" i="11"/>
  <c r="B314" i="11" s="1"/>
  <c r="A313" i="11"/>
  <c r="B313" i="11" s="1"/>
  <c r="A312" i="11"/>
  <c r="B312" i="11" s="1"/>
  <c r="A311" i="11"/>
  <c r="B311" i="11" s="1"/>
  <c r="A310" i="11"/>
  <c r="B310" i="11" s="1"/>
  <c r="A309" i="11"/>
  <c r="B309" i="11" s="1"/>
  <c r="A308" i="11"/>
  <c r="B308" i="11" s="1"/>
  <c r="A307" i="11"/>
  <c r="B307" i="11" s="1"/>
  <c r="A306" i="11"/>
  <c r="B306" i="11" s="1"/>
  <c r="A305" i="11"/>
  <c r="B305" i="11" s="1"/>
  <c r="A304" i="11"/>
  <c r="B304" i="11" s="1"/>
  <c r="A303" i="11"/>
  <c r="B303" i="11" s="1"/>
  <c r="A302" i="11"/>
  <c r="B302" i="11" s="1"/>
  <c r="A301" i="11"/>
  <c r="B301" i="11" s="1"/>
  <c r="A300" i="11"/>
  <c r="B300" i="11" s="1"/>
  <c r="A299" i="11"/>
  <c r="B299" i="11" s="1"/>
  <c r="A298" i="11"/>
  <c r="B298" i="11" s="1"/>
  <c r="A297" i="11"/>
  <c r="B297" i="11" s="1"/>
  <c r="A296" i="11"/>
  <c r="B296" i="11" s="1"/>
  <c r="A295" i="11"/>
  <c r="B295" i="11" s="1"/>
  <c r="A294" i="11"/>
  <c r="B294" i="11" s="1"/>
  <c r="A293" i="11"/>
  <c r="B293" i="11" s="1"/>
  <c r="A292" i="11"/>
  <c r="B292" i="11" s="1"/>
  <c r="A291" i="11"/>
  <c r="B291" i="11" s="1"/>
  <c r="A290" i="11"/>
  <c r="B290" i="11" s="1"/>
  <c r="A289" i="11"/>
  <c r="B289" i="11" s="1"/>
  <c r="A288" i="11"/>
  <c r="B288" i="11" s="1"/>
  <c r="A287" i="11"/>
  <c r="B287" i="11" s="1"/>
  <c r="A286" i="11"/>
  <c r="B286" i="11" s="1"/>
  <c r="A285" i="11"/>
  <c r="B285" i="11" s="1"/>
  <c r="A284" i="11"/>
  <c r="B284" i="11" s="1"/>
  <c r="A283" i="11"/>
  <c r="B283" i="11" s="1"/>
  <c r="A282" i="11"/>
  <c r="B282" i="11" s="1"/>
  <c r="A281" i="11"/>
  <c r="B281" i="11" s="1"/>
  <c r="A280" i="11"/>
  <c r="B280" i="11" s="1"/>
  <c r="A279" i="11"/>
  <c r="B279" i="11" s="1"/>
  <c r="A278" i="11"/>
  <c r="B278" i="11" s="1"/>
  <c r="A277" i="11"/>
  <c r="B277" i="11" s="1"/>
  <c r="A276" i="11"/>
  <c r="B276" i="11" s="1"/>
  <c r="A275" i="11"/>
  <c r="B275" i="11" s="1"/>
  <c r="A274" i="11"/>
  <c r="B274" i="11" s="1"/>
  <c r="A273" i="11"/>
  <c r="B273" i="11" s="1"/>
  <c r="A272" i="11"/>
  <c r="B272" i="11" s="1"/>
  <c r="A271" i="11"/>
  <c r="B271" i="11" s="1"/>
  <c r="A270" i="11"/>
  <c r="B270" i="11" s="1"/>
  <c r="A269" i="11"/>
  <c r="B269" i="11" s="1"/>
  <c r="A268" i="11"/>
  <c r="B268" i="11" s="1"/>
  <c r="A267" i="11"/>
  <c r="B267" i="11" s="1"/>
  <c r="A266" i="11"/>
  <c r="B266" i="11" s="1"/>
  <c r="A265" i="11"/>
  <c r="B265" i="11" s="1"/>
  <c r="A264" i="11"/>
  <c r="B264" i="11" s="1"/>
  <c r="A263" i="11"/>
  <c r="B263" i="11" s="1"/>
  <c r="A262" i="11"/>
  <c r="B262" i="11" s="1"/>
  <c r="A261" i="11"/>
  <c r="B261" i="11" s="1"/>
  <c r="A260" i="11"/>
  <c r="B260" i="11" s="1"/>
  <c r="A259" i="11"/>
  <c r="B259" i="11" s="1"/>
  <c r="A258" i="11"/>
  <c r="B258" i="11" s="1"/>
  <c r="A257" i="11"/>
  <c r="B257" i="11" s="1"/>
  <c r="A256" i="11"/>
  <c r="B256" i="11" s="1"/>
  <c r="A255" i="11"/>
  <c r="B255" i="11" s="1"/>
  <c r="A254" i="11"/>
  <c r="B254" i="11" s="1"/>
  <c r="A253" i="11"/>
  <c r="B253" i="11" s="1"/>
  <c r="A252" i="11"/>
  <c r="B252" i="11" s="1"/>
  <c r="A251" i="11"/>
  <c r="B251" i="11" s="1"/>
  <c r="A250" i="11"/>
  <c r="B250" i="11" s="1"/>
  <c r="A249" i="11"/>
  <c r="B249" i="11" s="1"/>
  <c r="A248" i="11"/>
  <c r="B248" i="11" s="1"/>
  <c r="A247" i="11"/>
  <c r="B247" i="11" s="1"/>
  <c r="A246" i="11"/>
  <c r="B246" i="11" s="1"/>
  <c r="A245" i="11"/>
  <c r="B245" i="11" s="1"/>
  <c r="A244" i="11"/>
  <c r="B244" i="11" s="1"/>
  <c r="D14" i="14"/>
  <c r="D8" i="14"/>
  <c r="F13" i="12"/>
  <c r="F7" i="12"/>
  <c r="F14" i="12" s="1"/>
  <c r="F16" i="12" s="1"/>
  <c r="F18" i="12" s="1"/>
  <c r="I27" i="11"/>
  <c r="FY33" i="9" s="1"/>
  <c r="I14" i="11"/>
  <c r="I20" i="11"/>
  <c r="EB31" i="9" s="1"/>
  <c r="I26" i="11"/>
  <c r="FS24" i="9" s="1"/>
  <c r="F22" i="12" l="1"/>
  <c r="F26" i="12" s="1"/>
  <c r="F7" i="13" s="1"/>
  <c r="D15" i="14"/>
  <c r="D17" i="14" s="1"/>
  <c r="D19" i="14" s="1"/>
  <c r="FZ4" i="9"/>
  <c r="FZ12" i="9"/>
  <c r="FZ20" i="9"/>
  <c r="FZ28" i="9"/>
  <c r="FY6" i="9"/>
  <c r="FY14" i="9"/>
  <c r="FY22" i="9"/>
  <c r="FY30" i="9"/>
  <c r="FZ8" i="9"/>
  <c r="FZ16" i="9"/>
  <c r="FZ24" i="9"/>
  <c r="FZ32" i="9"/>
  <c r="FY10" i="9"/>
  <c r="FY18" i="9"/>
  <c r="FY26" i="9"/>
  <c r="FR10" i="9"/>
  <c r="FR18" i="9"/>
  <c r="FR26" i="9"/>
  <c r="FS4" i="9"/>
  <c r="FS12" i="9"/>
  <c r="FS20" i="9"/>
  <c r="FS28" i="9"/>
  <c r="FR6" i="9"/>
  <c r="FR14" i="9"/>
  <c r="FR22" i="9"/>
  <c r="FR30" i="9"/>
  <c r="FS8" i="9"/>
  <c r="FS16" i="9"/>
  <c r="FZ6" i="9"/>
  <c r="GA6" i="9" s="1"/>
  <c r="FZ10" i="9"/>
  <c r="FZ14" i="9"/>
  <c r="FZ18" i="9"/>
  <c r="GA18" i="9" s="1"/>
  <c r="FZ22" i="9"/>
  <c r="GA22" i="9" s="1"/>
  <c r="FZ26" i="9"/>
  <c r="FZ30" i="9"/>
  <c r="FY4" i="9"/>
  <c r="FY8" i="9"/>
  <c r="GA8" i="9" s="1"/>
  <c r="FY12" i="9"/>
  <c r="GA12" i="9" s="1"/>
  <c r="FY16" i="9"/>
  <c r="FY20" i="9"/>
  <c r="FY24" i="9"/>
  <c r="GA24" i="9" s="1"/>
  <c r="FY28" i="9"/>
  <c r="GA28" i="9" s="1"/>
  <c r="FY32" i="9"/>
  <c r="FS33" i="9"/>
  <c r="FS31" i="9"/>
  <c r="FS29" i="9"/>
  <c r="FS27" i="9"/>
  <c r="FS25" i="9"/>
  <c r="FS23" i="9"/>
  <c r="FS21" i="9"/>
  <c r="FS19" i="9"/>
  <c r="FS17" i="9"/>
  <c r="FS15" i="9"/>
  <c r="FS13" i="9"/>
  <c r="FS11" i="9"/>
  <c r="FS9" i="9"/>
  <c r="FS7" i="9"/>
  <c r="FS5" i="9"/>
  <c r="FR33" i="9"/>
  <c r="FR31" i="9"/>
  <c r="FR29" i="9"/>
  <c r="FR27" i="9"/>
  <c r="FR25" i="9"/>
  <c r="FR23" i="9"/>
  <c r="FR21" i="9"/>
  <c r="FR19" i="9"/>
  <c r="FR17" i="9"/>
  <c r="FR15" i="9"/>
  <c r="FR13" i="9"/>
  <c r="FR11" i="9"/>
  <c r="FR9" i="9"/>
  <c r="FR7" i="9"/>
  <c r="FR5" i="9"/>
  <c r="FS32" i="9"/>
  <c r="FS30" i="9"/>
  <c r="FR4" i="9"/>
  <c r="FR8" i="9"/>
  <c r="FT8" i="9" s="1"/>
  <c r="FR12" i="9"/>
  <c r="FR16" i="9"/>
  <c r="FR20" i="9"/>
  <c r="FR24" i="9"/>
  <c r="FT24" i="9" s="1"/>
  <c r="FR28" i="9"/>
  <c r="FR32" i="9"/>
  <c r="FS6" i="9"/>
  <c r="FS10" i="9"/>
  <c r="FS14" i="9"/>
  <c r="FS18" i="9"/>
  <c r="FT18" i="9" s="1"/>
  <c r="FS22" i="9"/>
  <c r="FS26" i="9"/>
  <c r="FZ5" i="9"/>
  <c r="FZ7" i="9"/>
  <c r="FZ9" i="9"/>
  <c r="FZ11" i="9"/>
  <c r="FZ13" i="9"/>
  <c r="FZ15" i="9"/>
  <c r="FZ17" i="9"/>
  <c r="FZ19" i="9"/>
  <c r="FZ21" i="9"/>
  <c r="FZ23" i="9"/>
  <c r="FZ25" i="9"/>
  <c r="FZ27" i="9"/>
  <c r="FZ29" i="9"/>
  <c r="FZ31" i="9"/>
  <c r="FZ33" i="9"/>
  <c r="GA33" i="9" s="1"/>
  <c r="FY5" i="9"/>
  <c r="FY7" i="9"/>
  <c r="FY9" i="9"/>
  <c r="FY11" i="9"/>
  <c r="FY13" i="9"/>
  <c r="FY15" i="9"/>
  <c r="FY17" i="9"/>
  <c r="FY19" i="9"/>
  <c r="FY21" i="9"/>
  <c r="FY23" i="9"/>
  <c r="FY25" i="9"/>
  <c r="FY27" i="9"/>
  <c r="FY29" i="9"/>
  <c r="FY31" i="9"/>
  <c r="CM32" i="9"/>
  <c r="CM30" i="9"/>
  <c r="CM28" i="9"/>
  <c r="CM26" i="9"/>
  <c r="CM24" i="9"/>
  <c r="CM22" i="9"/>
  <c r="CM20" i="9"/>
  <c r="CM18" i="9"/>
  <c r="CM16" i="9"/>
  <c r="CM14" i="9"/>
  <c r="CM12" i="9"/>
  <c r="CM10" i="9"/>
  <c r="CM8" i="9"/>
  <c r="CM6" i="9"/>
  <c r="CM4" i="9"/>
  <c r="CL32" i="9"/>
  <c r="CL30" i="9"/>
  <c r="CL28" i="9"/>
  <c r="CL26" i="9"/>
  <c r="CL24" i="9"/>
  <c r="CL22" i="9"/>
  <c r="CL20" i="9"/>
  <c r="CL18" i="9"/>
  <c r="CL16" i="9"/>
  <c r="CL14" i="9"/>
  <c r="CL12" i="9"/>
  <c r="CL10" i="9"/>
  <c r="CL8" i="9"/>
  <c r="CL6" i="9"/>
  <c r="CL4" i="9"/>
  <c r="CL7" i="9"/>
  <c r="CL11" i="9"/>
  <c r="CL15" i="9"/>
  <c r="CL19" i="9"/>
  <c r="CL23" i="9"/>
  <c r="CL27" i="9"/>
  <c r="CL31" i="9"/>
  <c r="CM5" i="9"/>
  <c r="CM9" i="9"/>
  <c r="CM13" i="9"/>
  <c r="CM17" i="9"/>
  <c r="CM21" i="9"/>
  <c r="CM25" i="9"/>
  <c r="CM29" i="9"/>
  <c r="CM33" i="9"/>
  <c r="EC5" i="9"/>
  <c r="EC9" i="9"/>
  <c r="EC13" i="9"/>
  <c r="EC17" i="9"/>
  <c r="EC21" i="9"/>
  <c r="EC25" i="9"/>
  <c r="EC29" i="9"/>
  <c r="EC33" i="9"/>
  <c r="EB7" i="9"/>
  <c r="EB11" i="9"/>
  <c r="EB15" i="9"/>
  <c r="EB19" i="9"/>
  <c r="EB23" i="9"/>
  <c r="EB27" i="9"/>
  <c r="EB32" i="9"/>
  <c r="EB30" i="9"/>
  <c r="EB28" i="9"/>
  <c r="EB26" i="9"/>
  <c r="EB24" i="9"/>
  <c r="EB22" i="9"/>
  <c r="EB20" i="9"/>
  <c r="EB18" i="9"/>
  <c r="EB16" i="9"/>
  <c r="EB14" i="9"/>
  <c r="EB12" i="9"/>
  <c r="EB10" i="9"/>
  <c r="EB8" i="9"/>
  <c r="EB6" i="9"/>
  <c r="EB4" i="9"/>
  <c r="EC32" i="9"/>
  <c r="EC30" i="9"/>
  <c r="EC28" i="9"/>
  <c r="EC26" i="9"/>
  <c r="EC24" i="9"/>
  <c r="EC22" i="9"/>
  <c r="EC20" i="9"/>
  <c r="EC18" i="9"/>
  <c r="EC16" i="9"/>
  <c r="EC14" i="9"/>
  <c r="EC12" i="9"/>
  <c r="EC10" i="9"/>
  <c r="EC8" i="9"/>
  <c r="EC6" i="9"/>
  <c r="EC4" i="9"/>
  <c r="CL5" i="9"/>
  <c r="CN5" i="9" s="1"/>
  <c r="CL9" i="9"/>
  <c r="CN9" i="9" s="1"/>
  <c r="CL13" i="9"/>
  <c r="CN13" i="9" s="1"/>
  <c r="CL17" i="9"/>
  <c r="CN17" i="9" s="1"/>
  <c r="CL21" i="9"/>
  <c r="CN21" i="9" s="1"/>
  <c r="CL25" i="9"/>
  <c r="CN25" i="9" s="1"/>
  <c r="CL29" i="9"/>
  <c r="CN29" i="9" s="1"/>
  <c r="CL33" i="9"/>
  <c r="CN33" i="9" s="1"/>
  <c r="CM7" i="9"/>
  <c r="CM11" i="9"/>
  <c r="CM15" i="9"/>
  <c r="CM19" i="9"/>
  <c r="CM23" i="9"/>
  <c r="CM27" i="9"/>
  <c r="CM31" i="9"/>
  <c r="EC7" i="9"/>
  <c r="EC11" i="9"/>
  <c r="EC15" i="9"/>
  <c r="EC19" i="9"/>
  <c r="EC23" i="9"/>
  <c r="EC27" i="9"/>
  <c r="EC31" i="9"/>
  <c r="ED31" i="9" s="1"/>
  <c r="EB5" i="9"/>
  <c r="ED5" i="9" s="1"/>
  <c r="EB9" i="9"/>
  <c r="ED9" i="9" s="1"/>
  <c r="EB13" i="9"/>
  <c r="ED13" i="9" s="1"/>
  <c r="EB17" i="9"/>
  <c r="ED17" i="9" s="1"/>
  <c r="EB21" i="9"/>
  <c r="ED21" i="9" s="1"/>
  <c r="EB25" i="9"/>
  <c r="ED25" i="9" s="1"/>
  <c r="EB29" i="9"/>
  <c r="ED29" i="9" s="1"/>
  <c r="EB33" i="9"/>
  <c r="ED33" i="9" s="1"/>
  <c r="CN6" i="9" l="1"/>
  <c r="CN10" i="9"/>
  <c r="CN14" i="9"/>
  <c r="CN18" i="9"/>
  <c r="CN22" i="9"/>
  <c r="CN26" i="9"/>
  <c r="CN30" i="9"/>
  <c r="GA29" i="9"/>
  <c r="GA25" i="9"/>
  <c r="GA21" i="9"/>
  <c r="GA17" i="9"/>
  <c r="GA13" i="9"/>
  <c r="GA9" i="9"/>
  <c r="GA5" i="9"/>
  <c r="FT26" i="9"/>
  <c r="FT10" i="9"/>
  <c r="FT32" i="9"/>
  <c r="FT16" i="9"/>
  <c r="FT30" i="9"/>
  <c r="FT5" i="9"/>
  <c r="FT9" i="9"/>
  <c r="FT13" i="9"/>
  <c r="FT17" i="9"/>
  <c r="FT21" i="9"/>
  <c r="FT25" i="9"/>
  <c r="FT29" i="9"/>
  <c r="FT33" i="9"/>
  <c r="GA32" i="9"/>
  <c r="GA16" i="9"/>
  <c r="GA30" i="9"/>
  <c r="GA14" i="9"/>
  <c r="FT22" i="9"/>
  <c r="FT6" i="9"/>
  <c r="FT20" i="9"/>
  <c r="FT4" i="9"/>
  <c r="GA20" i="9"/>
  <c r="GA4" i="9"/>
  <c r="GA26" i="9"/>
  <c r="GA10" i="9"/>
  <c r="FT14" i="9"/>
  <c r="FT28" i="9"/>
  <c r="FT12" i="9"/>
  <c r="GA31" i="9"/>
  <c r="GA27" i="9"/>
  <c r="GA23" i="9"/>
  <c r="GA19" i="9"/>
  <c r="GA15" i="9"/>
  <c r="GA11" i="9"/>
  <c r="GA7" i="9"/>
  <c r="FT7" i="9"/>
  <c r="FT11" i="9"/>
  <c r="FT15" i="9"/>
  <c r="FT19" i="9"/>
  <c r="FT23" i="9"/>
  <c r="FT27" i="9"/>
  <c r="FT31" i="9"/>
  <c r="CN4" i="9"/>
  <c r="CN8" i="9"/>
  <c r="CN12" i="9"/>
  <c r="CN16" i="9"/>
  <c r="CN20" i="9"/>
  <c r="CN24" i="9"/>
  <c r="CN28" i="9"/>
  <c r="CN32" i="9"/>
  <c r="ED6" i="9"/>
  <c r="ED10" i="9"/>
  <c r="ED14" i="9"/>
  <c r="ED18" i="9"/>
  <c r="ED22" i="9"/>
  <c r="ED26" i="9"/>
  <c r="ED30" i="9"/>
  <c r="ED27" i="9"/>
  <c r="ED19" i="9"/>
  <c r="ED11" i="9"/>
  <c r="CN31" i="9"/>
  <c r="CN23" i="9"/>
  <c r="CN15" i="9"/>
  <c r="CN7" i="9"/>
  <c r="ED4" i="9"/>
  <c r="ED8" i="9"/>
  <c r="ED12" i="9"/>
  <c r="ED16" i="9"/>
  <c r="ED20" i="9"/>
  <c r="ED24" i="9"/>
  <c r="ED28" i="9"/>
  <c r="ED32" i="9"/>
  <c r="ED23" i="9"/>
  <c r="ED15" i="9"/>
  <c r="ED7" i="9"/>
  <c r="CN27" i="9"/>
  <c r="CN19" i="9"/>
  <c r="CN11" i="9"/>
  <c r="I11" i="11"/>
  <c r="I10" i="11"/>
  <c r="BJ33" i="9" s="1"/>
  <c r="I19" i="11"/>
  <c r="BK4" i="9" l="1"/>
  <c r="BK6" i="9"/>
  <c r="BK8" i="9"/>
  <c r="BK10" i="9"/>
  <c r="BK12" i="9"/>
  <c r="BK14" i="9"/>
  <c r="BK16" i="9"/>
  <c r="BK18" i="9"/>
  <c r="BK20" i="9"/>
  <c r="BK22" i="9"/>
  <c r="BK24" i="9"/>
  <c r="BK26" i="9"/>
  <c r="BK28" i="9"/>
  <c r="BK30" i="9"/>
  <c r="BK32" i="9"/>
  <c r="BJ4" i="9"/>
  <c r="BJ6" i="9"/>
  <c r="BJ8" i="9"/>
  <c r="BJ10" i="9"/>
  <c r="BJ12" i="9"/>
  <c r="BJ14" i="9"/>
  <c r="BJ16" i="9"/>
  <c r="BJ18" i="9"/>
  <c r="BJ20" i="9"/>
  <c r="BJ22" i="9"/>
  <c r="BJ24" i="9"/>
  <c r="BJ26" i="9"/>
  <c r="BJ28" i="9"/>
  <c r="BJ30" i="9"/>
  <c r="BJ32" i="9"/>
  <c r="BR33" i="9"/>
  <c r="BR31" i="9"/>
  <c r="BR29" i="9"/>
  <c r="BR27" i="9"/>
  <c r="BR25" i="9"/>
  <c r="BR23" i="9"/>
  <c r="BR21" i="9"/>
  <c r="BR19" i="9"/>
  <c r="BR17" i="9"/>
  <c r="BR15" i="9"/>
  <c r="BR13" i="9"/>
  <c r="BR11" i="9"/>
  <c r="BR9" i="9"/>
  <c r="BR7" i="9"/>
  <c r="BR5" i="9"/>
  <c r="BQ33" i="9"/>
  <c r="BQ31" i="9"/>
  <c r="BQ29" i="9"/>
  <c r="BQ27" i="9"/>
  <c r="BQ25" i="9"/>
  <c r="BQ23" i="9"/>
  <c r="BQ21" i="9"/>
  <c r="BQ19" i="9"/>
  <c r="BQ17" i="9"/>
  <c r="BQ15" i="9"/>
  <c r="BQ13" i="9"/>
  <c r="BQ11" i="9"/>
  <c r="BQ9" i="9"/>
  <c r="BQ7" i="9"/>
  <c r="BQ5" i="9"/>
  <c r="BR32" i="9"/>
  <c r="BR30" i="9"/>
  <c r="BR28" i="9"/>
  <c r="BR26" i="9"/>
  <c r="BR24" i="9"/>
  <c r="BR22" i="9"/>
  <c r="BR20" i="9"/>
  <c r="BR18" i="9"/>
  <c r="BR16" i="9"/>
  <c r="BR14" i="9"/>
  <c r="BR12" i="9"/>
  <c r="BR10" i="9"/>
  <c r="BR8" i="9"/>
  <c r="BR6" i="9"/>
  <c r="BR4" i="9"/>
  <c r="BQ32" i="9"/>
  <c r="BQ30" i="9"/>
  <c r="BQ28" i="9"/>
  <c r="BQ26" i="9"/>
  <c r="BQ24" i="9"/>
  <c r="BQ22" i="9"/>
  <c r="BQ20" i="9"/>
  <c r="BQ18" i="9"/>
  <c r="BQ16" i="9"/>
  <c r="BQ14" i="9"/>
  <c r="BQ12" i="9"/>
  <c r="BQ10" i="9"/>
  <c r="BQ8" i="9"/>
  <c r="BQ6" i="9"/>
  <c r="BQ4" i="9"/>
  <c r="BK5" i="9"/>
  <c r="BK7" i="9"/>
  <c r="BK9" i="9"/>
  <c r="BK11" i="9"/>
  <c r="BK13" i="9"/>
  <c r="BK15" i="9"/>
  <c r="BK17" i="9"/>
  <c r="BK19" i="9"/>
  <c r="BK21" i="9"/>
  <c r="BK23" i="9"/>
  <c r="BK25" i="9"/>
  <c r="BK27" i="9"/>
  <c r="BK29" i="9"/>
  <c r="BK31" i="9"/>
  <c r="BK33" i="9"/>
  <c r="BL33" i="9" s="1"/>
  <c r="BJ5" i="9"/>
  <c r="BJ7" i="9"/>
  <c r="BJ9" i="9"/>
  <c r="BJ11" i="9"/>
  <c r="BJ13" i="9"/>
  <c r="BJ15" i="9"/>
  <c r="BJ17" i="9"/>
  <c r="BJ19" i="9"/>
  <c r="BJ21" i="9"/>
  <c r="BJ23" i="9"/>
  <c r="BJ25" i="9"/>
  <c r="BJ27" i="9"/>
  <c r="BJ29" i="9"/>
  <c r="BJ31" i="9"/>
  <c r="DV33" i="9"/>
  <c r="DV31" i="9"/>
  <c r="DV29" i="9"/>
  <c r="DV27" i="9"/>
  <c r="DV25" i="9"/>
  <c r="DV23" i="9"/>
  <c r="DV21" i="9"/>
  <c r="DV19" i="9"/>
  <c r="DV17" i="9"/>
  <c r="DV15" i="9"/>
  <c r="DV13" i="9"/>
  <c r="DV11" i="9"/>
  <c r="DV9" i="9"/>
  <c r="DV7" i="9"/>
  <c r="DV5" i="9"/>
  <c r="DU33" i="9"/>
  <c r="DU31" i="9"/>
  <c r="DU29" i="9"/>
  <c r="DU27" i="9"/>
  <c r="DU25" i="9"/>
  <c r="DU23" i="9"/>
  <c r="DU21" i="9"/>
  <c r="DU19" i="9"/>
  <c r="DU17" i="9"/>
  <c r="DU15" i="9"/>
  <c r="DU13" i="9"/>
  <c r="DU11" i="9"/>
  <c r="DU9" i="9"/>
  <c r="DU7" i="9"/>
  <c r="DU5" i="9"/>
  <c r="DV32" i="9"/>
  <c r="DV30" i="9"/>
  <c r="DV28" i="9"/>
  <c r="DV26" i="9"/>
  <c r="DV24" i="9"/>
  <c r="DV22" i="9"/>
  <c r="DV20" i="9"/>
  <c r="DV18" i="9"/>
  <c r="DV16" i="9"/>
  <c r="DV14" i="9"/>
  <c r="DV12" i="9"/>
  <c r="DV10" i="9"/>
  <c r="DV8" i="9"/>
  <c r="DV6" i="9"/>
  <c r="DV4" i="9"/>
  <c r="DU32" i="9"/>
  <c r="DU30" i="9"/>
  <c r="DU28" i="9"/>
  <c r="DU26" i="9"/>
  <c r="DU24" i="9"/>
  <c r="DU22" i="9"/>
  <c r="DU20" i="9"/>
  <c r="DU18" i="9"/>
  <c r="DU16" i="9"/>
  <c r="DU14" i="9"/>
  <c r="DU12" i="9"/>
  <c r="DU10" i="9"/>
  <c r="DU8" i="9"/>
  <c r="DU6" i="9"/>
  <c r="DU4" i="9"/>
  <c r="A243" i="11"/>
  <c r="B243" i="11" s="1"/>
  <c r="A242" i="11"/>
  <c r="A241" i="11"/>
  <c r="B241" i="11" s="1"/>
  <c r="A240" i="11"/>
  <c r="B240" i="11" s="1"/>
  <c r="A239" i="11"/>
  <c r="B239" i="11" s="1"/>
  <c r="A238" i="11"/>
  <c r="B238" i="11" s="1"/>
  <c r="A237" i="11"/>
  <c r="B237" i="11" s="1"/>
  <c r="A236" i="11"/>
  <c r="B236" i="11" s="1"/>
  <c r="A235" i="11"/>
  <c r="B235" i="11" s="1"/>
  <c r="A234" i="11"/>
  <c r="A233" i="11"/>
  <c r="B233" i="11" s="1"/>
  <c r="A232" i="11"/>
  <c r="B232" i="11" s="1"/>
  <c r="A231" i="11"/>
  <c r="B231" i="11" s="1"/>
  <c r="A230" i="11"/>
  <c r="B230" i="11" s="1"/>
  <c r="A229" i="11"/>
  <c r="B229" i="11" s="1"/>
  <c r="A228" i="11"/>
  <c r="B228" i="11" s="1"/>
  <c r="A227" i="11"/>
  <c r="B227" i="11" s="1"/>
  <c r="A226" i="11"/>
  <c r="A225" i="11"/>
  <c r="B225" i="11" s="1"/>
  <c r="A224" i="11"/>
  <c r="B224" i="11" s="1"/>
  <c r="A223" i="11"/>
  <c r="B223" i="11" s="1"/>
  <c r="A222" i="11"/>
  <c r="B222" i="11" s="1"/>
  <c r="A221" i="11"/>
  <c r="B221" i="11" s="1"/>
  <c r="A220" i="11"/>
  <c r="B220" i="11" s="1"/>
  <c r="A219" i="11"/>
  <c r="B219" i="11" s="1"/>
  <c r="A218" i="11"/>
  <c r="A217" i="11"/>
  <c r="B217" i="11" s="1"/>
  <c r="A216" i="11"/>
  <c r="B216" i="11" s="1"/>
  <c r="A215" i="11"/>
  <c r="B215" i="11" s="1"/>
  <c r="A214" i="11"/>
  <c r="B214" i="11" s="1"/>
  <c r="A213" i="11"/>
  <c r="B213" i="11" s="1"/>
  <c r="A212" i="11"/>
  <c r="B212" i="11" s="1"/>
  <c r="A211" i="11"/>
  <c r="B211" i="11" s="1"/>
  <c r="A210" i="11"/>
  <c r="A209" i="11"/>
  <c r="B209" i="11" s="1"/>
  <c r="A208" i="11"/>
  <c r="B208" i="11" s="1"/>
  <c r="A207" i="11"/>
  <c r="B207" i="11" s="1"/>
  <c r="A206" i="11"/>
  <c r="B206" i="11" s="1"/>
  <c r="A205" i="11"/>
  <c r="B205" i="11" s="1"/>
  <c r="A204" i="11"/>
  <c r="B204" i="11" s="1"/>
  <c r="A203" i="11"/>
  <c r="B203" i="11" s="1"/>
  <c r="A202" i="11"/>
  <c r="A201" i="11"/>
  <c r="B201" i="11" s="1"/>
  <c r="A200" i="11"/>
  <c r="B200" i="11" s="1"/>
  <c r="A199" i="11"/>
  <c r="B199" i="11" s="1"/>
  <c r="A198" i="11"/>
  <c r="B198" i="11" s="1"/>
  <c r="A197" i="11"/>
  <c r="B197" i="11" s="1"/>
  <c r="A196" i="11"/>
  <c r="B196" i="11" s="1"/>
  <c r="A195" i="11"/>
  <c r="B195" i="11" s="1"/>
  <c r="A194" i="11"/>
  <c r="A193" i="11"/>
  <c r="B193" i="11" s="1"/>
  <c r="A192" i="11"/>
  <c r="B192" i="11" s="1"/>
  <c r="A191" i="11"/>
  <c r="B191" i="11" s="1"/>
  <c r="A190" i="11"/>
  <c r="B190" i="11" s="1"/>
  <c r="A189" i="11"/>
  <c r="B189" i="11" s="1"/>
  <c r="A188" i="11"/>
  <c r="B188" i="11" s="1"/>
  <c r="A187" i="11"/>
  <c r="B187" i="11" s="1"/>
  <c r="A186" i="11"/>
  <c r="A185" i="11"/>
  <c r="B185" i="11" s="1"/>
  <c r="A184" i="11"/>
  <c r="B184" i="11" s="1"/>
  <c r="A183" i="11"/>
  <c r="B183" i="11" s="1"/>
  <c r="A182" i="11"/>
  <c r="B182" i="11" s="1"/>
  <c r="A181" i="11"/>
  <c r="B181" i="11" s="1"/>
  <c r="A180" i="11"/>
  <c r="B180" i="11" s="1"/>
  <c r="A179" i="11"/>
  <c r="B179" i="11" s="1"/>
  <c r="A178" i="11"/>
  <c r="A177" i="11"/>
  <c r="B177" i="11" s="1"/>
  <c r="A176" i="11"/>
  <c r="B176" i="11" s="1"/>
  <c r="A175" i="11"/>
  <c r="B175" i="11" s="1"/>
  <c r="A174" i="11"/>
  <c r="B174" i="11" s="1"/>
  <c r="A173" i="11"/>
  <c r="B173" i="11" s="1"/>
  <c r="A172" i="11"/>
  <c r="B172" i="11" s="1"/>
  <c r="A171" i="11"/>
  <c r="B171" i="11" s="1"/>
  <c r="A170" i="11"/>
  <c r="A169" i="11"/>
  <c r="B169" i="11" s="1"/>
  <c r="A168" i="11"/>
  <c r="B168" i="11" s="1"/>
  <c r="A167" i="11"/>
  <c r="B167" i="11" s="1"/>
  <c r="A166" i="11"/>
  <c r="B166" i="11" s="1"/>
  <c r="A165" i="11"/>
  <c r="B165" i="11" s="1"/>
  <c r="A164" i="11"/>
  <c r="B164" i="11" s="1"/>
  <c r="A163" i="11"/>
  <c r="B163" i="11" s="1"/>
  <c r="A162" i="11"/>
  <c r="A161" i="11"/>
  <c r="B161" i="11" s="1"/>
  <c r="A160" i="11"/>
  <c r="B160" i="11" s="1"/>
  <c r="A159" i="11"/>
  <c r="B159" i="11" s="1"/>
  <c r="A158" i="11"/>
  <c r="B158" i="11" s="1"/>
  <c r="A157" i="11"/>
  <c r="B157" i="11" s="1"/>
  <c r="A156" i="11"/>
  <c r="B156" i="11" s="1"/>
  <c r="A155" i="11"/>
  <c r="B155" i="11" s="1"/>
  <c r="A154" i="11"/>
  <c r="A153" i="11"/>
  <c r="B153" i="11" s="1"/>
  <c r="A152" i="11"/>
  <c r="B152" i="11" s="1"/>
  <c r="A151" i="11"/>
  <c r="B151" i="11" s="1"/>
  <c r="A150" i="11"/>
  <c r="B150" i="11" s="1"/>
  <c r="A149" i="11"/>
  <c r="B149" i="11" s="1"/>
  <c r="A148" i="11"/>
  <c r="B148" i="11" s="1"/>
  <c r="A147" i="11"/>
  <c r="B147" i="11" s="1"/>
  <c r="A146" i="11"/>
  <c r="A145" i="11"/>
  <c r="B145" i="11" s="1"/>
  <c r="A144" i="11"/>
  <c r="B144" i="11" s="1"/>
  <c r="A143" i="11"/>
  <c r="B143" i="11" s="1"/>
  <c r="A142" i="11"/>
  <c r="B142" i="11" s="1"/>
  <c r="A141" i="11"/>
  <c r="B141" i="11" s="1"/>
  <c r="A140" i="11"/>
  <c r="B140" i="11" s="1"/>
  <c r="A139" i="11"/>
  <c r="B139" i="11" s="1"/>
  <c r="A138" i="11"/>
  <c r="A137" i="11"/>
  <c r="B137" i="11" s="1"/>
  <c r="A136" i="11"/>
  <c r="B136" i="11" s="1"/>
  <c r="A135" i="11"/>
  <c r="B135" i="11" s="1"/>
  <c r="A134" i="11"/>
  <c r="B134" i="11" s="1"/>
  <c r="A133" i="11"/>
  <c r="B133" i="11" s="1"/>
  <c r="A132" i="11"/>
  <c r="B132" i="11" s="1"/>
  <c r="A131" i="11"/>
  <c r="B131" i="11" s="1"/>
  <c r="A130" i="11"/>
  <c r="A129" i="11"/>
  <c r="B129" i="11" s="1"/>
  <c r="A128" i="11"/>
  <c r="B128" i="11" s="1"/>
  <c r="A127" i="11"/>
  <c r="B127" i="11" s="1"/>
  <c r="A126" i="11"/>
  <c r="B126" i="11" s="1"/>
  <c r="A125" i="11"/>
  <c r="B125" i="11" s="1"/>
  <c r="A124" i="11"/>
  <c r="B124" i="11" s="1"/>
  <c r="A123" i="11"/>
  <c r="B123" i="11" s="1"/>
  <c r="A122" i="11"/>
  <c r="A121" i="11"/>
  <c r="B121" i="11" s="1"/>
  <c r="A120" i="11"/>
  <c r="B120" i="11" s="1"/>
  <c r="A119" i="11"/>
  <c r="B119" i="11" s="1"/>
  <c r="A118" i="11"/>
  <c r="B118" i="11" s="1"/>
  <c r="A117" i="11"/>
  <c r="B117" i="11" s="1"/>
  <c r="A116" i="11"/>
  <c r="B116" i="11" s="1"/>
  <c r="A115" i="11"/>
  <c r="B115" i="11" s="1"/>
  <c r="A114" i="11"/>
  <c r="B114" i="11" s="1"/>
  <c r="A113" i="11"/>
  <c r="B113" i="11" s="1"/>
  <c r="A112" i="11"/>
  <c r="B112" i="11" s="1"/>
  <c r="A111" i="11"/>
  <c r="B111" i="11" s="1"/>
  <c r="A110" i="11"/>
  <c r="B110" i="11" s="1"/>
  <c r="A109" i="11"/>
  <c r="B109" i="11" s="1"/>
  <c r="A108" i="11"/>
  <c r="B108" i="11" s="1"/>
  <c r="A107" i="11"/>
  <c r="B107" i="11" s="1"/>
  <c r="A106" i="11"/>
  <c r="B106" i="11" s="1"/>
  <c r="A105" i="11"/>
  <c r="B105" i="11" s="1"/>
  <c r="A104" i="11"/>
  <c r="B104" i="11" s="1"/>
  <c r="A103" i="11"/>
  <c r="B103" i="11" s="1"/>
  <c r="A102" i="11"/>
  <c r="B102" i="11" s="1"/>
  <c r="A101" i="11"/>
  <c r="B101" i="11" s="1"/>
  <c r="A100" i="11"/>
  <c r="B100" i="11" s="1"/>
  <c r="A99" i="11"/>
  <c r="B99" i="11" s="1"/>
  <c r="A98" i="11"/>
  <c r="B98" i="11" s="1"/>
  <c r="A97" i="11"/>
  <c r="B97" i="11" s="1"/>
  <c r="A96" i="11"/>
  <c r="B96" i="11" s="1"/>
  <c r="A95" i="11"/>
  <c r="B95" i="11" s="1"/>
  <c r="A94" i="11"/>
  <c r="B94" i="11" s="1"/>
  <c r="A93" i="11"/>
  <c r="B93" i="11" s="1"/>
  <c r="A92" i="11"/>
  <c r="B92" i="11" s="1"/>
  <c r="A91" i="11"/>
  <c r="B91" i="11" s="1"/>
  <c r="A90" i="11"/>
  <c r="B90" i="11" s="1"/>
  <c r="A89" i="11"/>
  <c r="B89" i="11" s="1"/>
  <c r="A88" i="11"/>
  <c r="B88" i="11" s="1"/>
  <c r="A87" i="11"/>
  <c r="B87" i="11" s="1"/>
  <c r="A86" i="11"/>
  <c r="B86" i="11" s="1"/>
  <c r="A85" i="11"/>
  <c r="B85" i="11" s="1"/>
  <c r="A84" i="11"/>
  <c r="B84" i="11" s="1"/>
  <c r="A83" i="11"/>
  <c r="B83" i="11" s="1"/>
  <c r="A82" i="11"/>
  <c r="B82" i="11" s="1"/>
  <c r="A81" i="11"/>
  <c r="B81" i="11" s="1"/>
  <c r="A80" i="11"/>
  <c r="B80" i="11" s="1"/>
  <c r="A79" i="11"/>
  <c r="B79" i="11" s="1"/>
  <c r="A78" i="11"/>
  <c r="B78" i="11" s="1"/>
  <c r="A77" i="11"/>
  <c r="B77" i="11" s="1"/>
  <c r="A76" i="11"/>
  <c r="B76" i="11" s="1"/>
  <c r="A75" i="11"/>
  <c r="B75" i="11" s="1"/>
  <c r="A74" i="11"/>
  <c r="B74" i="11" s="1"/>
  <c r="A73" i="11"/>
  <c r="B73" i="11" s="1"/>
  <c r="A72" i="11"/>
  <c r="B72" i="11" s="1"/>
  <c r="A71" i="11"/>
  <c r="B71" i="11" s="1"/>
  <c r="A70" i="11"/>
  <c r="B70" i="11" s="1"/>
  <c r="A69" i="11"/>
  <c r="B69" i="11" s="1"/>
  <c r="A68" i="11"/>
  <c r="B68" i="11" s="1"/>
  <c r="A67" i="11"/>
  <c r="B67" i="11" s="1"/>
  <c r="A66" i="11"/>
  <c r="B66" i="11" s="1"/>
  <c r="A65" i="11"/>
  <c r="B65" i="11" s="1"/>
  <c r="A64" i="11"/>
  <c r="B64" i="11" s="1"/>
  <c r="A63" i="11"/>
  <c r="B63" i="11" s="1"/>
  <c r="A62" i="11"/>
  <c r="B62" i="11" s="1"/>
  <c r="A61" i="11"/>
  <c r="B61" i="11" s="1"/>
  <c r="A60" i="11"/>
  <c r="B60" i="11" s="1"/>
  <c r="A59" i="11"/>
  <c r="B59" i="11" s="1"/>
  <c r="A58" i="11"/>
  <c r="B58" i="11" s="1"/>
  <c r="A57" i="11"/>
  <c r="B57" i="11" s="1"/>
  <c r="A56" i="11"/>
  <c r="B56" i="11" s="1"/>
  <c r="A55" i="11"/>
  <c r="B55" i="11" s="1"/>
  <c r="A54" i="11"/>
  <c r="B54" i="11" s="1"/>
  <c r="A53" i="11"/>
  <c r="B53" i="11" s="1"/>
  <c r="A52" i="11"/>
  <c r="B52" i="11" s="1"/>
  <c r="A51" i="11"/>
  <c r="B51" i="11" s="1"/>
  <c r="A50" i="11"/>
  <c r="B50" i="11" s="1"/>
  <c r="A49" i="11"/>
  <c r="B49" i="11" s="1"/>
  <c r="A48" i="11"/>
  <c r="B48" i="11" s="1"/>
  <c r="A47" i="11"/>
  <c r="B47" i="11" s="1"/>
  <c r="A46" i="11"/>
  <c r="B46" i="11" s="1"/>
  <c r="A45" i="11"/>
  <c r="B45" i="11" s="1"/>
  <c r="A44" i="11"/>
  <c r="B44" i="11" s="1"/>
  <c r="A43" i="11"/>
  <c r="B43" i="11" s="1"/>
  <c r="A42" i="11"/>
  <c r="B42" i="11" s="1"/>
  <c r="A41" i="11"/>
  <c r="B41" i="11" s="1"/>
  <c r="A40" i="11"/>
  <c r="B40" i="11" s="1"/>
  <c r="A39" i="11"/>
  <c r="B39" i="11" s="1"/>
  <c r="A38" i="11"/>
  <c r="B38" i="11" s="1"/>
  <c r="A37" i="11"/>
  <c r="B37" i="11" s="1"/>
  <c r="A36" i="11"/>
  <c r="B36" i="11" s="1"/>
  <c r="A35" i="11"/>
  <c r="B35" i="11" s="1"/>
  <c r="A34" i="11"/>
  <c r="B34" i="11" s="1"/>
  <c r="A33" i="11"/>
  <c r="B33" i="11" s="1"/>
  <c r="A32" i="11"/>
  <c r="B32" i="11" s="1"/>
  <c r="A31" i="11"/>
  <c r="B31" i="11" s="1"/>
  <c r="A30" i="11"/>
  <c r="B30" i="11" s="1"/>
  <c r="A29" i="11"/>
  <c r="B29" i="11" s="1"/>
  <c r="A28" i="11"/>
  <c r="B28" i="11" s="1"/>
  <c r="A27" i="11"/>
  <c r="B27" i="11" s="1"/>
  <c r="A26" i="11"/>
  <c r="B26" i="11" s="1"/>
  <c r="A25" i="11"/>
  <c r="B25" i="11" s="1"/>
  <c r="A24" i="11"/>
  <c r="B24" i="11" s="1"/>
  <c r="A23" i="11"/>
  <c r="B23" i="11" s="1"/>
  <c r="A22" i="11"/>
  <c r="B22" i="11" s="1"/>
  <c r="A21" i="11"/>
  <c r="B21" i="11" s="1"/>
  <c r="A20" i="11"/>
  <c r="B20" i="11" s="1"/>
  <c r="A19" i="11"/>
  <c r="B19" i="11" s="1"/>
  <c r="A18" i="11"/>
  <c r="B18" i="11" s="1"/>
  <c r="A17" i="11"/>
  <c r="B17" i="11" s="1"/>
  <c r="A16" i="11"/>
  <c r="B16" i="11" s="1"/>
  <c r="A15" i="11"/>
  <c r="B15" i="11" s="1"/>
  <c r="A14" i="11"/>
  <c r="B14" i="11" s="1"/>
  <c r="A13" i="11"/>
  <c r="B13" i="11" s="1"/>
  <c r="A12" i="11"/>
  <c r="B12" i="11" s="1"/>
  <c r="A11" i="11"/>
  <c r="B11" i="11" s="1"/>
  <c r="A10" i="11"/>
  <c r="B10" i="11" s="1"/>
  <c r="A9" i="11"/>
  <c r="B9" i="11" s="1"/>
  <c r="A8" i="11"/>
  <c r="B8" i="11" s="1"/>
  <c r="A7" i="11"/>
  <c r="B7" i="11" s="1"/>
  <c r="A6" i="11"/>
  <c r="B6" i="11" s="1"/>
  <c r="A5" i="11"/>
  <c r="B5" i="11" s="1"/>
  <c r="A3" i="11"/>
  <c r="B3" i="11" s="1"/>
  <c r="A4" i="11"/>
  <c r="B4" i="11" s="1"/>
  <c r="B242" i="11"/>
  <c r="B234" i="11"/>
  <c r="B226" i="11"/>
  <c r="B218" i="11"/>
  <c r="B210" i="11"/>
  <c r="B202" i="11"/>
  <c r="B194" i="11"/>
  <c r="B186" i="11"/>
  <c r="B178" i="11"/>
  <c r="B170" i="11"/>
  <c r="B162" i="11"/>
  <c r="B154" i="11"/>
  <c r="B146" i="11"/>
  <c r="B138" i="11"/>
  <c r="B130" i="11"/>
  <c r="B122" i="11"/>
  <c r="I24" i="11"/>
  <c r="I13" i="11"/>
  <c r="I17" i="11"/>
  <c r="I25" i="11"/>
  <c r="I23" i="11"/>
  <c r="I22" i="11"/>
  <c r="I21" i="11"/>
  <c r="I18" i="11"/>
  <c r="I16" i="11"/>
  <c r="I15" i="11"/>
  <c r="I12" i="11"/>
  <c r="I9" i="11"/>
  <c r="I8" i="11"/>
  <c r="I7" i="11"/>
  <c r="I6" i="11"/>
  <c r="I5" i="11"/>
  <c r="I3" i="11"/>
  <c r="I2" i="11"/>
  <c r="I1" i="11"/>
  <c r="AE33" i="9" l="1"/>
  <c r="AE32" i="9"/>
  <c r="AE31" i="9"/>
  <c r="AE30" i="9"/>
  <c r="AE29" i="9"/>
  <c r="AE28" i="9"/>
  <c r="AE27" i="9"/>
  <c r="AE26" i="9"/>
  <c r="AE25" i="9"/>
  <c r="AE24" i="9"/>
  <c r="AE23" i="9"/>
  <c r="AE22" i="9"/>
  <c r="AE21" i="9"/>
  <c r="AE20" i="9"/>
  <c r="AE19" i="9"/>
  <c r="AE18" i="9"/>
  <c r="AE17" i="9"/>
  <c r="AE16" i="9"/>
  <c r="AE15" i="9"/>
  <c r="AE14" i="9"/>
  <c r="AE13" i="9"/>
  <c r="AE12" i="9"/>
  <c r="AE11" i="9"/>
  <c r="AE10" i="9"/>
  <c r="AE9" i="9"/>
  <c r="AE8" i="9"/>
  <c r="AE7" i="9"/>
  <c r="AE6" i="9"/>
  <c r="AE5" i="9"/>
  <c r="AE4" i="9"/>
  <c r="AF33" i="9"/>
  <c r="AF32" i="9"/>
  <c r="AF31" i="9"/>
  <c r="AF30" i="9"/>
  <c r="AF29" i="9"/>
  <c r="AF28" i="9"/>
  <c r="AF27" i="9"/>
  <c r="AF26" i="9"/>
  <c r="AF25" i="9"/>
  <c r="AF24" i="9"/>
  <c r="AF23" i="9"/>
  <c r="AF22" i="9"/>
  <c r="AF21" i="9"/>
  <c r="AF20" i="9"/>
  <c r="AF19" i="9"/>
  <c r="AF18" i="9"/>
  <c r="AF17" i="9"/>
  <c r="AF16" i="9"/>
  <c r="AF15" i="9"/>
  <c r="AF14" i="9"/>
  <c r="AF13" i="9"/>
  <c r="AF12" i="9"/>
  <c r="AF11" i="9"/>
  <c r="AF10" i="9"/>
  <c r="AF9" i="9"/>
  <c r="AF8" i="9"/>
  <c r="AF7" i="9"/>
  <c r="AF6" i="9"/>
  <c r="AF5" i="9"/>
  <c r="AF4" i="9"/>
  <c r="AA33" i="9"/>
  <c r="AA32" i="9"/>
  <c r="AA31" i="9"/>
  <c r="AA30" i="9"/>
  <c r="AA29" i="9"/>
  <c r="AA28" i="9"/>
  <c r="AA27" i="9"/>
  <c r="AA26" i="9"/>
  <c r="AA25" i="9"/>
  <c r="AA24" i="9"/>
  <c r="AA23" i="9"/>
  <c r="AA22" i="9"/>
  <c r="AA21" i="9"/>
  <c r="AA20" i="9"/>
  <c r="AA19" i="9"/>
  <c r="AA18" i="9"/>
  <c r="AA17" i="9"/>
  <c r="AA16" i="9"/>
  <c r="AA15" i="9"/>
  <c r="AA14" i="9"/>
  <c r="AA13" i="9"/>
  <c r="AA12" i="9"/>
  <c r="AA11" i="9"/>
  <c r="AA10" i="9"/>
  <c r="AA9" i="9"/>
  <c r="AA8" i="9"/>
  <c r="AA7" i="9"/>
  <c r="AA6" i="9"/>
  <c r="AA5" i="9"/>
  <c r="AA4" i="9"/>
  <c r="GD33" i="9"/>
  <c r="GB33" i="9"/>
  <c r="GC32" i="9"/>
  <c r="GD31" i="9"/>
  <c r="GB31" i="9"/>
  <c r="GC30" i="9"/>
  <c r="GD29" i="9"/>
  <c r="GB29" i="9"/>
  <c r="GC28" i="9"/>
  <c r="GD27" i="9"/>
  <c r="GB27" i="9"/>
  <c r="GC26" i="9"/>
  <c r="GD25" i="9"/>
  <c r="GB25" i="9"/>
  <c r="GC24" i="9"/>
  <c r="GD23" i="9"/>
  <c r="GB23" i="9"/>
  <c r="GC22" i="9"/>
  <c r="GD21" i="9"/>
  <c r="GB21" i="9"/>
  <c r="GC20" i="9"/>
  <c r="GD19" i="9"/>
  <c r="GB19" i="9"/>
  <c r="GC18" i="9"/>
  <c r="GD17" i="9"/>
  <c r="GB17" i="9"/>
  <c r="GC16" i="9"/>
  <c r="GD15" i="9"/>
  <c r="GB15" i="9"/>
  <c r="GC14" i="9"/>
  <c r="GD13" i="9"/>
  <c r="GB13" i="9"/>
  <c r="GC12" i="9"/>
  <c r="GD11" i="9"/>
  <c r="GB11" i="9"/>
  <c r="GC10" i="9"/>
  <c r="GD9" i="9"/>
  <c r="GB9" i="9"/>
  <c r="GC8" i="9"/>
  <c r="GD7" i="9"/>
  <c r="GB7" i="9"/>
  <c r="GC6" i="9"/>
  <c r="GD5" i="9"/>
  <c r="GB5" i="9"/>
  <c r="GC4" i="9"/>
  <c r="FW33" i="9"/>
  <c r="FU33" i="9"/>
  <c r="FV32" i="9"/>
  <c r="FW31" i="9"/>
  <c r="FU31" i="9"/>
  <c r="FV30" i="9"/>
  <c r="FW29" i="9"/>
  <c r="FU29" i="9"/>
  <c r="FV28" i="9"/>
  <c r="FW27" i="9"/>
  <c r="FU27" i="9"/>
  <c r="FV26" i="9"/>
  <c r="FW25" i="9"/>
  <c r="FU25" i="9"/>
  <c r="FV24" i="9"/>
  <c r="FW23" i="9"/>
  <c r="FU23" i="9"/>
  <c r="FV22" i="9"/>
  <c r="FW21" i="9"/>
  <c r="FU21" i="9"/>
  <c r="FV20" i="9"/>
  <c r="FW19" i="9"/>
  <c r="FU19" i="9"/>
  <c r="FV18" i="9"/>
  <c r="FW17" i="9"/>
  <c r="FU17" i="9"/>
  <c r="FV16" i="9"/>
  <c r="FW15" i="9"/>
  <c r="FU15" i="9"/>
  <c r="FV14" i="9"/>
  <c r="FW13" i="9"/>
  <c r="FU13" i="9"/>
  <c r="FV12" i="9"/>
  <c r="FW11" i="9"/>
  <c r="FU11" i="9"/>
  <c r="FV10" i="9"/>
  <c r="FW9" i="9"/>
  <c r="FU9" i="9"/>
  <c r="FV8" i="9"/>
  <c r="FW7" i="9"/>
  <c r="GC33" i="9"/>
  <c r="GD32" i="9"/>
  <c r="GB32" i="9"/>
  <c r="GC31" i="9"/>
  <c r="GD30" i="9"/>
  <c r="GB30" i="9"/>
  <c r="GC29" i="9"/>
  <c r="GD28" i="9"/>
  <c r="GB28" i="9"/>
  <c r="GC27" i="9"/>
  <c r="GD26" i="9"/>
  <c r="GB26" i="9"/>
  <c r="GC25" i="9"/>
  <c r="GD24" i="9"/>
  <c r="GB24" i="9"/>
  <c r="GC23" i="9"/>
  <c r="GD22" i="9"/>
  <c r="GB22" i="9"/>
  <c r="GC21" i="9"/>
  <c r="GD20" i="9"/>
  <c r="GB20" i="9"/>
  <c r="GC19" i="9"/>
  <c r="GD18" i="9"/>
  <c r="GB18" i="9"/>
  <c r="GC17" i="9"/>
  <c r="GD16" i="9"/>
  <c r="GB16" i="9"/>
  <c r="GC15" i="9"/>
  <c r="GD14" i="9"/>
  <c r="GB14" i="9"/>
  <c r="GC13" i="9"/>
  <c r="GD12" i="9"/>
  <c r="GB12" i="9"/>
  <c r="GC11" i="9"/>
  <c r="GD10" i="9"/>
  <c r="GB10" i="9"/>
  <c r="GC9" i="9"/>
  <c r="GD8" i="9"/>
  <c r="GB8" i="9"/>
  <c r="GC7" i="9"/>
  <c r="GD6" i="9"/>
  <c r="GB6" i="9"/>
  <c r="GC5" i="9"/>
  <c r="GD4" i="9"/>
  <c r="GB4" i="9"/>
  <c r="FV33" i="9"/>
  <c r="FW32" i="9"/>
  <c r="FU32" i="9"/>
  <c r="FV31" i="9"/>
  <c r="FW30" i="9"/>
  <c r="FU30" i="9"/>
  <c r="FV29" i="9"/>
  <c r="FW28" i="9"/>
  <c r="FU28" i="9"/>
  <c r="FV27" i="9"/>
  <c r="FW26" i="9"/>
  <c r="FU26" i="9"/>
  <c r="FV25" i="9"/>
  <c r="FW24" i="9"/>
  <c r="FU24" i="9"/>
  <c r="FV23" i="9"/>
  <c r="FW22" i="9"/>
  <c r="FU22" i="9"/>
  <c r="FV21" i="9"/>
  <c r="FW20" i="9"/>
  <c r="FU20" i="9"/>
  <c r="FV19" i="9"/>
  <c r="FW18" i="9"/>
  <c r="FU18" i="9"/>
  <c r="FV17" i="9"/>
  <c r="FW16" i="9"/>
  <c r="FU16" i="9"/>
  <c r="FV15" i="9"/>
  <c r="FW14" i="9"/>
  <c r="FU14" i="9"/>
  <c r="FV13" i="9"/>
  <c r="FW12" i="9"/>
  <c r="FU12" i="9"/>
  <c r="FV11" i="9"/>
  <c r="FW10" i="9"/>
  <c r="FU10" i="9"/>
  <c r="FV9" i="9"/>
  <c r="FW8" i="9"/>
  <c r="FU8" i="9"/>
  <c r="FV7" i="9"/>
  <c r="FW6" i="9"/>
  <c r="FU6" i="9"/>
  <c r="FV5" i="9"/>
  <c r="FW4" i="9"/>
  <c r="FU4" i="9"/>
  <c r="FU7" i="9"/>
  <c r="FV6" i="9"/>
  <c r="FW5" i="9"/>
  <c r="FU5" i="9"/>
  <c r="FV4" i="9"/>
  <c r="EG33" i="9"/>
  <c r="EE33" i="9"/>
  <c r="EF32" i="9"/>
  <c r="EG31" i="9"/>
  <c r="EE31" i="9"/>
  <c r="EF30" i="9"/>
  <c r="EG29" i="9"/>
  <c r="EE29" i="9"/>
  <c r="EF28" i="9"/>
  <c r="EG27" i="9"/>
  <c r="EE27" i="9"/>
  <c r="EF26" i="9"/>
  <c r="EG25" i="9"/>
  <c r="EE25" i="9"/>
  <c r="EF24" i="9"/>
  <c r="EG23" i="9"/>
  <c r="EE23" i="9"/>
  <c r="EF22" i="9"/>
  <c r="EG21" i="9"/>
  <c r="EE21" i="9"/>
  <c r="EF20" i="9"/>
  <c r="EG19" i="9"/>
  <c r="EE19" i="9"/>
  <c r="EF18" i="9"/>
  <c r="EG17" i="9"/>
  <c r="EF33" i="9"/>
  <c r="EG32" i="9"/>
  <c r="EE32" i="9"/>
  <c r="EF31" i="9"/>
  <c r="EG30" i="9"/>
  <c r="EE30" i="9"/>
  <c r="EF29" i="9"/>
  <c r="EG28" i="9"/>
  <c r="EE28" i="9"/>
  <c r="EF27" i="9"/>
  <c r="EG26" i="9"/>
  <c r="EE26" i="9"/>
  <c r="EF25" i="9"/>
  <c r="EG24" i="9"/>
  <c r="EE24" i="9"/>
  <c r="EF23" i="9"/>
  <c r="EG22" i="9"/>
  <c r="EE22" i="9"/>
  <c r="EF21" i="9"/>
  <c r="EG20" i="9"/>
  <c r="EE20" i="9"/>
  <c r="EF19" i="9"/>
  <c r="EG18" i="9"/>
  <c r="EE18" i="9"/>
  <c r="EE17" i="9"/>
  <c r="EF16" i="9"/>
  <c r="EG15" i="9"/>
  <c r="EE15" i="9"/>
  <c r="EF14" i="9"/>
  <c r="EG13" i="9"/>
  <c r="EE13" i="9"/>
  <c r="EF12" i="9"/>
  <c r="EG11" i="9"/>
  <c r="EE11" i="9"/>
  <c r="EF10" i="9"/>
  <c r="EG9" i="9"/>
  <c r="EE9" i="9"/>
  <c r="EF8" i="9"/>
  <c r="EG7" i="9"/>
  <c r="EE7" i="9"/>
  <c r="EF6" i="9"/>
  <c r="EG5" i="9"/>
  <c r="EE5" i="9"/>
  <c r="EF4" i="9"/>
  <c r="EF17" i="9"/>
  <c r="EG16" i="9"/>
  <c r="EE16" i="9"/>
  <c r="EF15" i="9"/>
  <c r="EG14" i="9"/>
  <c r="EE14" i="9"/>
  <c r="EF13" i="9"/>
  <c r="EG12" i="9"/>
  <c r="EE12" i="9"/>
  <c r="EF11" i="9"/>
  <c r="EG10" i="9"/>
  <c r="EE10" i="9"/>
  <c r="EF9" i="9"/>
  <c r="EG8" i="9"/>
  <c r="EE8" i="9"/>
  <c r="EF7" i="9"/>
  <c r="EG6" i="9"/>
  <c r="EE6" i="9"/>
  <c r="EF5" i="9"/>
  <c r="EG4" i="9"/>
  <c r="EE4" i="9"/>
  <c r="CP33" i="9"/>
  <c r="CQ32" i="9"/>
  <c r="CO32" i="9"/>
  <c r="CP31" i="9"/>
  <c r="CQ30" i="9"/>
  <c r="CO30" i="9"/>
  <c r="CP29" i="9"/>
  <c r="CQ28" i="9"/>
  <c r="CO28" i="9"/>
  <c r="CP27" i="9"/>
  <c r="CQ26" i="9"/>
  <c r="CO26" i="9"/>
  <c r="CP25" i="9"/>
  <c r="CQ24" i="9"/>
  <c r="CO24" i="9"/>
  <c r="CP23" i="9"/>
  <c r="CQ22" i="9"/>
  <c r="CO22" i="9"/>
  <c r="CP21" i="9"/>
  <c r="CQ20" i="9"/>
  <c r="CO20" i="9"/>
  <c r="CP19" i="9"/>
  <c r="CQ18" i="9"/>
  <c r="CO18" i="9"/>
  <c r="CP17" i="9"/>
  <c r="CQ16" i="9"/>
  <c r="CO16" i="9"/>
  <c r="CP15" i="9"/>
  <c r="CQ14" i="9"/>
  <c r="CO14" i="9"/>
  <c r="CP13" i="9"/>
  <c r="CQ12" i="9"/>
  <c r="CO12" i="9"/>
  <c r="CP11" i="9"/>
  <c r="CQ10" i="9"/>
  <c r="CO10" i="9"/>
  <c r="CP9" i="9"/>
  <c r="CQ8" i="9"/>
  <c r="CO8" i="9"/>
  <c r="CP7" i="9"/>
  <c r="CQ6" i="9"/>
  <c r="CO6" i="9"/>
  <c r="CP5" i="9"/>
  <c r="CQ4" i="9"/>
  <c r="CO4" i="9"/>
  <c r="CQ33" i="9"/>
  <c r="CO33" i="9"/>
  <c r="CP32" i="9"/>
  <c r="CQ31" i="9"/>
  <c r="CO31" i="9"/>
  <c r="CP30" i="9"/>
  <c r="CQ29" i="9"/>
  <c r="CO29" i="9"/>
  <c r="CP28" i="9"/>
  <c r="CQ27" i="9"/>
  <c r="CO27" i="9"/>
  <c r="CP26" i="9"/>
  <c r="CQ25" i="9"/>
  <c r="CO25" i="9"/>
  <c r="CP24" i="9"/>
  <c r="CQ23" i="9"/>
  <c r="CO23" i="9"/>
  <c r="CP22" i="9"/>
  <c r="CQ21" i="9"/>
  <c r="CO21" i="9"/>
  <c r="CP20" i="9"/>
  <c r="CQ19" i="9"/>
  <c r="CO19" i="9"/>
  <c r="CP18" i="9"/>
  <c r="CQ17" i="9"/>
  <c r="CO17" i="9"/>
  <c r="CP16" i="9"/>
  <c r="CQ15" i="9"/>
  <c r="CO15" i="9"/>
  <c r="CP14" i="9"/>
  <c r="CQ13" i="9"/>
  <c r="CO13" i="9"/>
  <c r="CP12" i="9"/>
  <c r="CQ11" i="9"/>
  <c r="CO11" i="9"/>
  <c r="CP10" i="9"/>
  <c r="CQ9" i="9"/>
  <c r="CO9" i="9"/>
  <c r="CP8" i="9"/>
  <c r="CQ7" i="9"/>
  <c r="CO7" i="9"/>
  <c r="CP6" i="9"/>
  <c r="CQ5" i="9"/>
  <c r="CO5" i="9"/>
  <c r="CP4" i="9"/>
  <c r="BN33" i="9"/>
  <c r="BO33" i="9"/>
  <c r="BM33" i="9"/>
  <c r="BL30" i="9"/>
  <c r="BL26" i="9"/>
  <c r="BM26" i="9" s="1"/>
  <c r="BL22" i="9"/>
  <c r="BL18" i="9"/>
  <c r="BM18" i="9" s="1"/>
  <c r="BL14" i="9"/>
  <c r="BL10" i="9"/>
  <c r="BM10" i="9" s="1"/>
  <c r="BL6" i="9"/>
  <c r="DW6" i="9"/>
  <c r="DW10" i="9"/>
  <c r="DZ10" i="9" s="1"/>
  <c r="DW14" i="9"/>
  <c r="DW18" i="9"/>
  <c r="DZ18" i="9" s="1"/>
  <c r="DW22" i="9"/>
  <c r="DW26" i="9"/>
  <c r="DZ26" i="9" s="1"/>
  <c r="DW30" i="9"/>
  <c r="DW7" i="9"/>
  <c r="DX7" i="9" s="1"/>
  <c r="DW11" i="9"/>
  <c r="DW15" i="9"/>
  <c r="DX15" i="9" s="1"/>
  <c r="DW19" i="9"/>
  <c r="DW23" i="9"/>
  <c r="DX23" i="9" s="1"/>
  <c r="DW27" i="9"/>
  <c r="DW31" i="9"/>
  <c r="DX31" i="9" s="1"/>
  <c r="BL29" i="9"/>
  <c r="BO29" i="9" s="1"/>
  <c r="BL25" i="9"/>
  <c r="BL21" i="9"/>
  <c r="BO21" i="9" s="1"/>
  <c r="BL17" i="9"/>
  <c r="BL13" i="9"/>
  <c r="BO13" i="9" s="1"/>
  <c r="BL9" i="9"/>
  <c r="BL5" i="9"/>
  <c r="BO5" i="9" s="1"/>
  <c r="BS4" i="9"/>
  <c r="BS8" i="9"/>
  <c r="BT8" i="9" s="1"/>
  <c r="BS12" i="9"/>
  <c r="BS16" i="9"/>
  <c r="BT16" i="9" s="1"/>
  <c r="BS20" i="9"/>
  <c r="BS24" i="9"/>
  <c r="BV24" i="9" s="1"/>
  <c r="BS28" i="9"/>
  <c r="BV28" i="9" s="1"/>
  <c r="BS32" i="9"/>
  <c r="BV32" i="9" s="1"/>
  <c r="BS5" i="9"/>
  <c r="BV5" i="9" s="1"/>
  <c r="BS9" i="9"/>
  <c r="BV9" i="9" s="1"/>
  <c r="BS13" i="9"/>
  <c r="BV13" i="9" s="1"/>
  <c r="BS17" i="9"/>
  <c r="BV17" i="9" s="1"/>
  <c r="BS21" i="9"/>
  <c r="BT21" i="9" s="1"/>
  <c r="BS25" i="9"/>
  <c r="BT25" i="9" s="1"/>
  <c r="BS29" i="9"/>
  <c r="BT29" i="9" s="1"/>
  <c r="BS33" i="9"/>
  <c r="BT33" i="9" s="1"/>
  <c r="BL32" i="9"/>
  <c r="BM32" i="9" s="1"/>
  <c r="BL28" i="9"/>
  <c r="BM28" i="9" s="1"/>
  <c r="BL24" i="9"/>
  <c r="BM24" i="9" s="1"/>
  <c r="BL20" i="9"/>
  <c r="BM20" i="9" s="1"/>
  <c r="BL16" i="9"/>
  <c r="BM16" i="9" s="1"/>
  <c r="BL12" i="9"/>
  <c r="BM12" i="9" s="1"/>
  <c r="BL8" i="9"/>
  <c r="BM8" i="9" s="1"/>
  <c r="BL4" i="9"/>
  <c r="BM4" i="9" s="1"/>
  <c r="BS6" i="9"/>
  <c r="BT6" i="9" s="1"/>
  <c r="BS10" i="9"/>
  <c r="BT10" i="9" s="1"/>
  <c r="BS14" i="9"/>
  <c r="BT14" i="9" s="1"/>
  <c r="BS18" i="9"/>
  <c r="BT18" i="9" s="1"/>
  <c r="BS22" i="9"/>
  <c r="BS26" i="9"/>
  <c r="BS30" i="9"/>
  <c r="BS7" i="9"/>
  <c r="BS11" i="9"/>
  <c r="BS15" i="9"/>
  <c r="BS19" i="9"/>
  <c r="BS23" i="9"/>
  <c r="BS27" i="9"/>
  <c r="BS31" i="9"/>
  <c r="DW4" i="9"/>
  <c r="DW5" i="9"/>
  <c r="CE33" i="9"/>
  <c r="CE31" i="9"/>
  <c r="CE29" i="9"/>
  <c r="CE27" i="9"/>
  <c r="CE25" i="9"/>
  <c r="CE23" i="9"/>
  <c r="CE21" i="9"/>
  <c r="CE19" i="9"/>
  <c r="CE17" i="9"/>
  <c r="CE15" i="9"/>
  <c r="CE13" i="9"/>
  <c r="CE11" i="9"/>
  <c r="CE9" i="9"/>
  <c r="CE7" i="9"/>
  <c r="CE5" i="9"/>
  <c r="CF33" i="9"/>
  <c r="CF31" i="9"/>
  <c r="CF29" i="9"/>
  <c r="CF27" i="9"/>
  <c r="CF25" i="9"/>
  <c r="CF23" i="9"/>
  <c r="CF21" i="9"/>
  <c r="CF19" i="9"/>
  <c r="CF17" i="9"/>
  <c r="CF15" i="9"/>
  <c r="CF13" i="9"/>
  <c r="CF11" i="9"/>
  <c r="CF9" i="9"/>
  <c r="CF7" i="9"/>
  <c r="CF5" i="9"/>
  <c r="CE32" i="9"/>
  <c r="CE30" i="9"/>
  <c r="CE28" i="9"/>
  <c r="CE26" i="9"/>
  <c r="CE24" i="9"/>
  <c r="CE22" i="9"/>
  <c r="CE20" i="9"/>
  <c r="CE18" i="9"/>
  <c r="CE16" i="9"/>
  <c r="CE14" i="9"/>
  <c r="CE12" i="9"/>
  <c r="CE10" i="9"/>
  <c r="CE8" i="9"/>
  <c r="CE6" i="9"/>
  <c r="CE4" i="9"/>
  <c r="CF32" i="9"/>
  <c r="CF30" i="9"/>
  <c r="CF28" i="9"/>
  <c r="CF26" i="9"/>
  <c r="CF24" i="9"/>
  <c r="CF22" i="9"/>
  <c r="CF20" i="9"/>
  <c r="CF18" i="9"/>
  <c r="CF16" i="9"/>
  <c r="CF14" i="9"/>
  <c r="CF12" i="9"/>
  <c r="CF10" i="9"/>
  <c r="CF8" i="9"/>
  <c r="CF6" i="9"/>
  <c r="CF4" i="9"/>
  <c r="DW8" i="9"/>
  <c r="DW12" i="9"/>
  <c r="DZ12" i="9" s="1"/>
  <c r="DW16" i="9"/>
  <c r="DW20" i="9"/>
  <c r="DW24" i="9"/>
  <c r="DW28" i="9"/>
  <c r="DZ28" i="9" s="1"/>
  <c r="DW32" i="9"/>
  <c r="DW9" i="9"/>
  <c r="DW13" i="9"/>
  <c r="DW17" i="9"/>
  <c r="DW21" i="9"/>
  <c r="DW25" i="9"/>
  <c r="DW29" i="9"/>
  <c r="DW33" i="9"/>
  <c r="BL31" i="9"/>
  <c r="BO31" i="9" s="1"/>
  <c r="BL27" i="9"/>
  <c r="BO27" i="9" s="1"/>
  <c r="BL23" i="9"/>
  <c r="BO23" i="9" s="1"/>
  <c r="BL19" i="9"/>
  <c r="BO19" i="9" s="1"/>
  <c r="BL15" i="9"/>
  <c r="BO15" i="9" s="1"/>
  <c r="BL11" i="9"/>
  <c r="BO11" i="9" s="1"/>
  <c r="BL7" i="9"/>
  <c r="BO7" i="9" s="1"/>
  <c r="N33" i="9"/>
  <c r="N32" i="9"/>
  <c r="N31" i="9"/>
  <c r="N30" i="9"/>
  <c r="N29" i="9"/>
  <c r="N28" i="9"/>
  <c r="N27" i="9"/>
  <c r="N26" i="9"/>
  <c r="N25" i="9"/>
  <c r="N24" i="9"/>
  <c r="N23" i="9"/>
  <c r="N22" i="9"/>
  <c r="N21" i="9"/>
  <c r="N20" i="9"/>
  <c r="N19" i="9"/>
  <c r="N18" i="9"/>
  <c r="N17" i="9"/>
  <c r="N16" i="9"/>
  <c r="N15" i="9"/>
  <c r="N14" i="9"/>
  <c r="N13" i="9"/>
  <c r="N12" i="9"/>
  <c r="N11" i="9"/>
  <c r="N10" i="9"/>
  <c r="N9" i="9"/>
  <c r="N8" i="9"/>
  <c r="N7" i="9"/>
  <c r="N6" i="9"/>
  <c r="N5" i="9"/>
  <c r="N4" i="9"/>
  <c r="M33" i="9"/>
  <c r="O33" i="9" s="1"/>
  <c r="P33" i="9" s="1"/>
  <c r="M32" i="9"/>
  <c r="O32" i="9" s="1"/>
  <c r="Q32" i="9" s="1"/>
  <c r="M31" i="9"/>
  <c r="O31" i="9" s="1"/>
  <c r="Q31" i="9" s="1"/>
  <c r="M30" i="9"/>
  <c r="O30" i="9" s="1"/>
  <c r="P30" i="9" s="1"/>
  <c r="M29" i="9"/>
  <c r="O29" i="9" s="1"/>
  <c r="P29" i="9" s="1"/>
  <c r="M28" i="9"/>
  <c r="O28" i="9" s="1"/>
  <c r="Q28" i="9" s="1"/>
  <c r="M27" i="9"/>
  <c r="O27" i="9" s="1"/>
  <c r="Q27" i="9" s="1"/>
  <c r="M26" i="9"/>
  <c r="O26" i="9" s="1"/>
  <c r="P26" i="9" s="1"/>
  <c r="M25" i="9"/>
  <c r="O25" i="9" s="1"/>
  <c r="P25" i="9" s="1"/>
  <c r="M24" i="9"/>
  <c r="O24" i="9" s="1"/>
  <c r="Q24" i="9" s="1"/>
  <c r="M23" i="9"/>
  <c r="O23" i="9" s="1"/>
  <c r="Q23" i="9" s="1"/>
  <c r="M22" i="9"/>
  <c r="O22" i="9" s="1"/>
  <c r="P22" i="9" s="1"/>
  <c r="M21" i="9"/>
  <c r="O21" i="9" s="1"/>
  <c r="P21" i="9" s="1"/>
  <c r="M20" i="9"/>
  <c r="O20" i="9" s="1"/>
  <c r="Q20" i="9" s="1"/>
  <c r="M19" i="9"/>
  <c r="O19" i="9" s="1"/>
  <c r="Q19" i="9" s="1"/>
  <c r="M18" i="9"/>
  <c r="O18" i="9" s="1"/>
  <c r="P18" i="9" s="1"/>
  <c r="M17" i="9"/>
  <c r="O17" i="9" s="1"/>
  <c r="P17" i="9" s="1"/>
  <c r="M16" i="9"/>
  <c r="O16" i="9" s="1"/>
  <c r="Q16" i="9" s="1"/>
  <c r="M15" i="9"/>
  <c r="O15" i="9" s="1"/>
  <c r="Q15" i="9" s="1"/>
  <c r="M14" i="9"/>
  <c r="O14" i="9" s="1"/>
  <c r="P14" i="9" s="1"/>
  <c r="M13" i="9"/>
  <c r="O13" i="9" s="1"/>
  <c r="P13" i="9" s="1"/>
  <c r="M12" i="9"/>
  <c r="O12" i="9" s="1"/>
  <c r="Q12" i="9" s="1"/>
  <c r="M11" i="9"/>
  <c r="O11" i="9" s="1"/>
  <c r="Q11" i="9" s="1"/>
  <c r="M10" i="9"/>
  <c r="O10" i="9" s="1"/>
  <c r="P10" i="9" s="1"/>
  <c r="M9" i="9"/>
  <c r="O9" i="9" s="1"/>
  <c r="P9" i="9" s="1"/>
  <c r="M8" i="9"/>
  <c r="O8" i="9" s="1"/>
  <c r="Q8" i="9" s="1"/>
  <c r="M7" i="9"/>
  <c r="O7" i="9" s="1"/>
  <c r="Q7" i="9" s="1"/>
  <c r="M6" i="9"/>
  <c r="O6" i="9" s="1"/>
  <c r="P6" i="9" s="1"/>
  <c r="M5" i="9"/>
  <c r="O5" i="9" s="1"/>
  <c r="P5" i="9" s="1"/>
  <c r="M4" i="9"/>
  <c r="O4" i="9" s="1"/>
  <c r="Q4" i="9" s="1"/>
  <c r="FD33" i="9"/>
  <c r="FD31" i="9"/>
  <c r="FD29" i="9"/>
  <c r="FD27" i="9"/>
  <c r="FD25" i="9"/>
  <c r="FD23" i="9"/>
  <c r="FD21" i="9"/>
  <c r="FD19" i="9"/>
  <c r="FD17" i="9"/>
  <c r="FD15" i="9"/>
  <c r="FD13" i="9"/>
  <c r="FD11" i="9"/>
  <c r="FD9" i="9"/>
  <c r="FD7" i="9"/>
  <c r="FD5" i="9"/>
  <c r="FE33" i="9"/>
  <c r="FE31" i="9"/>
  <c r="FE29" i="9"/>
  <c r="FE27" i="9"/>
  <c r="FE25" i="9"/>
  <c r="FE23" i="9"/>
  <c r="FE21" i="9"/>
  <c r="FE19" i="9"/>
  <c r="FE17" i="9"/>
  <c r="FE15" i="9"/>
  <c r="FE13" i="9"/>
  <c r="FE11" i="9"/>
  <c r="FE9" i="9"/>
  <c r="FE7" i="9"/>
  <c r="FE5" i="9"/>
  <c r="FD32" i="9"/>
  <c r="FD30" i="9"/>
  <c r="FD28" i="9"/>
  <c r="FD26" i="9"/>
  <c r="FD24" i="9"/>
  <c r="FD22" i="9"/>
  <c r="FD20" i="9"/>
  <c r="FD18" i="9"/>
  <c r="FD16" i="9"/>
  <c r="FD14" i="9"/>
  <c r="FD12" i="9"/>
  <c r="FD10" i="9"/>
  <c r="FD8" i="9"/>
  <c r="FD6" i="9"/>
  <c r="FD4" i="9"/>
  <c r="FE32" i="9"/>
  <c r="FE30" i="9"/>
  <c r="FE28" i="9"/>
  <c r="FE26" i="9"/>
  <c r="FE24" i="9"/>
  <c r="FE22" i="9"/>
  <c r="FE20" i="9"/>
  <c r="FE18" i="9"/>
  <c r="FE16" i="9"/>
  <c r="FE14" i="9"/>
  <c r="FE12" i="9"/>
  <c r="FE10" i="9"/>
  <c r="FE8" i="9"/>
  <c r="FE6" i="9"/>
  <c r="FE4" i="9"/>
  <c r="EJ254" i="9"/>
  <c r="EJ252" i="9"/>
  <c r="EJ250" i="9"/>
  <c r="EJ248" i="9"/>
  <c r="EJ246" i="9"/>
  <c r="EJ244" i="9"/>
  <c r="EJ242" i="9"/>
  <c r="EJ240" i="9"/>
  <c r="EJ238" i="9"/>
  <c r="EJ236" i="9"/>
  <c r="EJ234" i="9"/>
  <c r="EJ232" i="9"/>
  <c r="EJ230" i="9"/>
  <c r="EJ228" i="9"/>
  <c r="EJ226" i="9"/>
  <c r="EJ224" i="9"/>
  <c r="EJ222" i="9"/>
  <c r="EJ220" i="9"/>
  <c r="EJ218" i="9"/>
  <c r="EJ216" i="9"/>
  <c r="EJ214" i="9"/>
  <c r="EJ212" i="9"/>
  <c r="EJ210" i="9"/>
  <c r="EJ208" i="9"/>
  <c r="EJ206" i="9"/>
  <c r="EJ204" i="9"/>
  <c r="EJ202" i="9"/>
  <c r="EJ200" i="9"/>
  <c r="EJ198" i="9"/>
  <c r="EJ196" i="9"/>
  <c r="EJ194" i="9"/>
  <c r="EJ192" i="9"/>
  <c r="EJ190" i="9"/>
  <c r="EJ188" i="9"/>
  <c r="EJ186" i="9"/>
  <c r="EJ184" i="9"/>
  <c r="EJ182" i="9"/>
  <c r="EJ180" i="9"/>
  <c r="EJ178" i="9"/>
  <c r="EJ176" i="9"/>
  <c r="EJ174" i="9"/>
  <c r="EJ172" i="9"/>
  <c r="EJ170" i="9"/>
  <c r="EJ168" i="9"/>
  <c r="EJ166" i="9"/>
  <c r="EJ164" i="9"/>
  <c r="EJ162" i="9"/>
  <c r="EJ160" i="9"/>
  <c r="EJ158" i="9"/>
  <c r="EJ156" i="9"/>
  <c r="EJ154" i="9"/>
  <c r="EJ152" i="9"/>
  <c r="EJ150" i="9"/>
  <c r="EJ148" i="9"/>
  <c r="EJ146" i="9"/>
  <c r="EJ144" i="9"/>
  <c r="EJ142" i="9"/>
  <c r="EJ140" i="9"/>
  <c r="EJ138" i="9"/>
  <c r="EJ136" i="9"/>
  <c r="EJ134" i="9"/>
  <c r="EJ132" i="9"/>
  <c r="EJ130" i="9"/>
  <c r="EJ128" i="9"/>
  <c r="EJ126" i="9"/>
  <c r="EJ124" i="9"/>
  <c r="EJ122" i="9"/>
  <c r="EJ120" i="9"/>
  <c r="EJ118" i="9"/>
  <c r="EJ116" i="9"/>
  <c r="EJ114" i="9"/>
  <c r="EJ112" i="9"/>
  <c r="EJ110" i="9"/>
  <c r="EJ108" i="9"/>
  <c r="EJ106" i="9"/>
  <c r="EJ104" i="9"/>
  <c r="EJ102" i="9"/>
  <c r="EJ100" i="9"/>
  <c r="EJ98" i="9"/>
  <c r="EJ96" i="9"/>
  <c r="EJ94" i="9"/>
  <c r="EJ92" i="9"/>
  <c r="EJ90" i="9"/>
  <c r="EJ88" i="9"/>
  <c r="EJ86" i="9"/>
  <c r="EJ253" i="9"/>
  <c r="EJ251" i="9"/>
  <c r="EJ249" i="9"/>
  <c r="EJ247" i="9"/>
  <c r="EJ245" i="9"/>
  <c r="EJ243" i="9"/>
  <c r="EJ241" i="9"/>
  <c r="EJ239" i="9"/>
  <c r="EJ237" i="9"/>
  <c r="EJ235" i="9"/>
  <c r="EJ233" i="9"/>
  <c r="EJ231" i="9"/>
  <c r="EJ229" i="9"/>
  <c r="EJ227" i="9"/>
  <c r="EJ225" i="9"/>
  <c r="EJ223" i="9"/>
  <c r="EJ221" i="9"/>
  <c r="EJ219" i="9"/>
  <c r="EJ217" i="9"/>
  <c r="EJ215" i="9"/>
  <c r="EJ213" i="9"/>
  <c r="EJ211" i="9"/>
  <c r="EJ209" i="9"/>
  <c r="EJ207" i="9"/>
  <c r="EJ205" i="9"/>
  <c r="EJ203" i="9"/>
  <c r="EJ201" i="9"/>
  <c r="EJ199" i="9"/>
  <c r="EJ197" i="9"/>
  <c r="EJ195" i="9"/>
  <c r="EJ193" i="9"/>
  <c r="EJ191" i="9"/>
  <c r="EJ189" i="9"/>
  <c r="EJ187" i="9"/>
  <c r="EJ185" i="9"/>
  <c r="EJ183" i="9"/>
  <c r="EJ181" i="9"/>
  <c r="EJ179" i="9"/>
  <c r="EJ177" i="9"/>
  <c r="EJ175" i="9"/>
  <c r="EJ173" i="9"/>
  <c r="EJ171" i="9"/>
  <c r="EJ169" i="9"/>
  <c r="EJ167" i="9"/>
  <c r="EJ165" i="9"/>
  <c r="EJ163" i="9"/>
  <c r="EJ161" i="9"/>
  <c r="EJ159" i="9"/>
  <c r="EJ157" i="9"/>
  <c r="EJ155" i="9"/>
  <c r="EJ153" i="9"/>
  <c r="EJ151" i="9"/>
  <c r="EJ149" i="9"/>
  <c r="EJ147" i="9"/>
  <c r="EJ145" i="9"/>
  <c r="EJ143" i="9"/>
  <c r="EJ141" i="9"/>
  <c r="EJ139" i="9"/>
  <c r="EJ137" i="9"/>
  <c r="EJ135" i="9"/>
  <c r="EJ133" i="9"/>
  <c r="EJ131" i="9"/>
  <c r="EJ129" i="9"/>
  <c r="EJ127" i="9"/>
  <c r="EJ125" i="9"/>
  <c r="EJ123" i="9"/>
  <c r="EJ121" i="9"/>
  <c r="EJ119" i="9"/>
  <c r="EJ117" i="9"/>
  <c r="EJ115" i="9"/>
  <c r="EJ113" i="9"/>
  <c r="EJ111" i="9"/>
  <c r="EJ109" i="9"/>
  <c r="EJ107" i="9"/>
  <c r="EJ105" i="9"/>
  <c r="EJ103" i="9"/>
  <c r="EJ101" i="9"/>
  <c r="EJ99" i="9"/>
  <c r="EJ97" i="9"/>
  <c r="EJ95" i="9"/>
  <c r="EJ93" i="9"/>
  <c r="EJ91" i="9"/>
  <c r="EJ89" i="9"/>
  <c r="EJ87" i="9"/>
  <c r="EJ85" i="9"/>
  <c r="EJ84" i="9"/>
  <c r="EJ82" i="9"/>
  <c r="EJ80" i="9"/>
  <c r="EJ78" i="9"/>
  <c r="EJ76" i="9"/>
  <c r="EJ74" i="9"/>
  <c r="EJ72" i="9"/>
  <c r="EJ70" i="9"/>
  <c r="EJ68" i="9"/>
  <c r="EJ66" i="9"/>
  <c r="EJ64" i="9"/>
  <c r="EJ62" i="9"/>
  <c r="EJ60" i="9"/>
  <c r="EJ58" i="9"/>
  <c r="EJ56" i="9"/>
  <c r="EJ54" i="9"/>
  <c r="EJ52" i="9"/>
  <c r="EJ50" i="9"/>
  <c r="EJ48" i="9"/>
  <c r="EJ46" i="9"/>
  <c r="EJ44" i="9"/>
  <c r="EJ42" i="9"/>
  <c r="EJ40" i="9"/>
  <c r="EJ38" i="9"/>
  <c r="EJ36" i="9"/>
  <c r="EJ34" i="9"/>
  <c r="EJ32" i="9"/>
  <c r="EJ30" i="9"/>
  <c r="EJ28" i="9"/>
  <c r="EJ26" i="9"/>
  <c r="EJ24" i="9"/>
  <c r="EJ22" i="9"/>
  <c r="EJ20" i="9"/>
  <c r="EJ18" i="9"/>
  <c r="EJ16" i="9"/>
  <c r="EJ14" i="9"/>
  <c r="EJ12" i="9"/>
  <c r="EJ10" i="9"/>
  <c r="EJ8" i="9"/>
  <c r="EJ6" i="9"/>
  <c r="EJ4" i="9"/>
  <c r="EI253" i="9"/>
  <c r="EK253" i="9" s="1"/>
  <c r="EI251" i="9"/>
  <c r="EK251" i="9" s="1"/>
  <c r="EI249" i="9"/>
  <c r="EK249" i="9" s="1"/>
  <c r="EI247" i="9"/>
  <c r="EK247" i="9" s="1"/>
  <c r="EI245" i="9"/>
  <c r="EK245" i="9" s="1"/>
  <c r="EI243" i="9"/>
  <c r="EK243" i="9" s="1"/>
  <c r="EI241" i="9"/>
  <c r="EK241" i="9" s="1"/>
  <c r="EI239" i="9"/>
  <c r="EK239" i="9" s="1"/>
  <c r="EI237" i="9"/>
  <c r="EK237" i="9" s="1"/>
  <c r="EI235" i="9"/>
  <c r="EK235" i="9" s="1"/>
  <c r="EI233" i="9"/>
  <c r="EK233" i="9" s="1"/>
  <c r="EI231" i="9"/>
  <c r="EK231" i="9" s="1"/>
  <c r="EI229" i="9"/>
  <c r="EK229" i="9" s="1"/>
  <c r="EI227" i="9"/>
  <c r="EK227" i="9" s="1"/>
  <c r="EI225" i="9"/>
  <c r="EK225" i="9" s="1"/>
  <c r="EI223" i="9"/>
  <c r="EK223" i="9" s="1"/>
  <c r="EI221" i="9"/>
  <c r="EK221" i="9" s="1"/>
  <c r="EI219" i="9"/>
  <c r="EK219" i="9" s="1"/>
  <c r="EI217" i="9"/>
  <c r="EK217" i="9" s="1"/>
  <c r="EI215" i="9"/>
  <c r="EK215" i="9" s="1"/>
  <c r="EI213" i="9"/>
  <c r="EK213" i="9" s="1"/>
  <c r="EI211" i="9"/>
  <c r="EK211" i="9" s="1"/>
  <c r="EI209" i="9"/>
  <c r="EK209" i="9" s="1"/>
  <c r="EI207" i="9"/>
  <c r="EK207" i="9" s="1"/>
  <c r="EI205" i="9"/>
  <c r="EK205" i="9" s="1"/>
  <c r="EI203" i="9"/>
  <c r="EK203" i="9" s="1"/>
  <c r="EI201" i="9"/>
  <c r="EK201" i="9" s="1"/>
  <c r="EI199" i="9"/>
  <c r="EK199" i="9" s="1"/>
  <c r="EI197" i="9"/>
  <c r="EK197" i="9" s="1"/>
  <c r="EI195" i="9"/>
  <c r="EK195" i="9" s="1"/>
  <c r="EI193" i="9"/>
  <c r="EK193" i="9" s="1"/>
  <c r="EI191" i="9"/>
  <c r="EK191" i="9" s="1"/>
  <c r="EI189" i="9"/>
  <c r="EK189" i="9" s="1"/>
  <c r="EI187" i="9"/>
  <c r="EK187" i="9" s="1"/>
  <c r="EI185" i="9"/>
  <c r="EK185" i="9" s="1"/>
  <c r="EI183" i="9"/>
  <c r="EK183" i="9" s="1"/>
  <c r="EI181" i="9"/>
  <c r="EK181" i="9" s="1"/>
  <c r="EI179" i="9"/>
  <c r="EK179" i="9" s="1"/>
  <c r="EI177" i="9"/>
  <c r="EK177" i="9" s="1"/>
  <c r="EI175" i="9"/>
  <c r="EK175" i="9" s="1"/>
  <c r="EI173" i="9"/>
  <c r="EK173" i="9" s="1"/>
  <c r="EI171" i="9"/>
  <c r="EK171" i="9" s="1"/>
  <c r="EI169" i="9"/>
  <c r="EK169" i="9" s="1"/>
  <c r="EI167" i="9"/>
  <c r="EK167" i="9" s="1"/>
  <c r="EI165" i="9"/>
  <c r="EK165" i="9" s="1"/>
  <c r="EI163" i="9"/>
  <c r="EK163" i="9" s="1"/>
  <c r="EI161" i="9"/>
  <c r="EK161" i="9" s="1"/>
  <c r="EI159" i="9"/>
  <c r="EK159" i="9" s="1"/>
  <c r="EI157" i="9"/>
  <c r="EK157" i="9" s="1"/>
  <c r="EI155" i="9"/>
  <c r="EK155" i="9" s="1"/>
  <c r="EI153" i="9"/>
  <c r="EK153" i="9" s="1"/>
  <c r="EI151" i="9"/>
  <c r="EK151" i="9" s="1"/>
  <c r="EI149" i="9"/>
  <c r="EK149" i="9" s="1"/>
  <c r="EI147" i="9"/>
  <c r="EK147" i="9" s="1"/>
  <c r="EI145" i="9"/>
  <c r="EK145" i="9" s="1"/>
  <c r="EI143" i="9"/>
  <c r="EK143" i="9" s="1"/>
  <c r="EI141" i="9"/>
  <c r="EK141" i="9" s="1"/>
  <c r="EI139" i="9"/>
  <c r="EK139" i="9" s="1"/>
  <c r="EI137" i="9"/>
  <c r="EK137" i="9" s="1"/>
  <c r="EI135" i="9"/>
  <c r="EK135" i="9" s="1"/>
  <c r="EI133" i="9"/>
  <c r="EK133" i="9" s="1"/>
  <c r="EI131" i="9"/>
  <c r="EK131" i="9" s="1"/>
  <c r="EI129" i="9"/>
  <c r="EK129" i="9" s="1"/>
  <c r="EI127" i="9"/>
  <c r="EK127" i="9" s="1"/>
  <c r="EI125" i="9"/>
  <c r="EK125" i="9" s="1"/>
  <c r="EI123" i="9"/>
  <c r="EK123" i="9" s="1"/>
  <c r="EI121" i="9"/>
  <c r="EK121" i="9" s="1"/>
  <c r="EI119" i="9"/>
  <c r="EK119" i="9" s="1"/>
  <c r="EI117" i="9"/>
  <c r="EK117" i="9" s="1"/>
  <c r="EI115" i="9"/>
  <c r="EK115" i="9" s="1"/>
  <c r="EI113" i="9"/>
  <c r="EK113" i="9" s="1"/>
  <c r="EI111" i="9"/>
  <c r="EK111" i="9" s="1"/>
  <c r="EI109" i="9"/>
  <c r="EK109" i="9" s="1"/>
  <c r="EI107" i="9"/>
  <c r="EK107" i="9" s="1"/>
  <c r="EI105" i="9"/>
  <c r="EK105" i="9" s="1"/>
  <c r="EI103" i="9"/>
  <c r="EK103" i="9" s="1"/>
  <c r="EI101" i="9"/>
  <c r="EK101" i="9" s="1"/>
  <c r="EI99" i="9"/>
  <c r="EK99" i="9" s="1"/>
  <c r="EI97" i="9"/>
  <c r="EK97" i="9" s="1"/>
  <c r="EI95" i="9"/>
  <c r="EK95" i="9" s="1"/>
  <c r="EI93" i="9"/>
  <c r="EK93" i="9" s="1"/>
  <c r="EI91" i="9"/>
  <c r="EK91" i="9" s="1"/>
  <c r="EI89" i="9"/>
  <c r="EK89" i="9" s="1"/>
  <c r="EI87" i="9"/>
  <c r="EK87" i="9" s="1"/>
  <c r="EI85" i="9"/>
  <c r="EK85" i="9" s="1"/>
  <c r="EI83" i="9"/>
  <c r="EI81" i="9"/>
  <c r="EI79" i="9"/>
  <c r="EI77" i="9"/>
  <c r="EI75" i="9"/>
  <c r="EI73" i="9"/>
  <c r="EI71" i="9"/>
  <c r="EI69" i="9"/>
  <c r="EI67" i="9"/>
  <c r="EI65" i="9"/>
  <c r="EI63" i="9"/>
  <c r="EI61" i="9"/>
  <c r="EI59" i="9"/>
  <c r="EI57" i="9"/>
  <c r="EI55" i="9"/>
  <c r="EI53" i="9"/>
  <c r="EI51" i="9"/>
  <c r="EI49" i="9"/>
  <c r="EI47" i="9"/>
  <c r="EI45" i="9"/>
  <c r="EI43" i="9"/>
  <c r="EI41" i="9"/>
  <c r="EI39" i="9"/>
  <c r="EI37" i="9"/>
  <c r="EI35" i="9"/>
  <c r="EI33" i="9"/>
  <c r="EI31" i="9"/>
  <c r="EI29" i="9"/>
  <c r="EI27" i="9"/>
  <c r="EI25" i="9"/>
  <c r="EI23" i="9"/>
  <c r="EI21" i="9"/>
  <c r="EI19" i="9"/>
  <c r="EI17" i="9"/>
  <c r="EI15" i="9"/>
  <c r="EI13" i="9"/>
  <c r="EI11" i="9"/>
  <c r="EI9" i="9"/>
  <c r="EI7" i="9"/>
  <c r="EI5" i="9"/>
  <c r="EJ83" i="9"/>
  <c r="EJ81" i="9"/>
  <c r="EJ79" i="9"/>
  <c r="EJ77" i="9"/>
  <c r="EJ75" i="9"/>
  <c r="EJ73" i="9"/>
  <c r="EJ71" i="9"/>
  <c r="EJ69" i="9"/>
  <c r="EJ67" i="9"/>
  <c r="EJ65" i="9"/>
  <c r="EJ63" i="9"/>
  <c r="EJ61" i="9"/>
  <c r="EJ59" i="9"/>
  <c r="EJ57" i="9"/>
  <c r="EJ55" i="9"/>
  <c r="EJ53" i="9"/>
  <c r="EJ51" i="9"/>
  <c r="EJ49" i="9"/>
  <c r="EJ47" i="9"/>
  <c r="EJ45" i="9"/>
  <c r="EJ43" i="9"/>
  <c r="EJ41" i="9"/>
  <c r="EJ39" i="9"/>
  <c r="EJ37" i="9"/>
  <c r="EJ35" i="9"/>
  <c r="EJ33" i="9"/>
  <c r="EJ31" i="9"/>
  <c r="EJ29" i="9"/>
  <c r="EJ27" i="9"/>
  <c r="EJ25" i="9"/>
  <c r="EJ23" i="9"/>
  <c r="EJ21" i="9"/>
  <c r="EJ19" i="9"/>
  <c r="EJ17" i="9"/>
  <c r="EJ15" i="9"/>
  <c r="EJ13" i="9"/>
  <c r="EJ11" i="9"/>
  <c r="EJ9" i="9"/>
  <c r="EJ7" i="9"/>
  <c r="EJ5" i="9"/>
  <c r="EI254" i="9"/>
  <c r="EK254" i="9" s="1"/>
  <c r="EI252" i="9"/>
  <c r="EK252" i="9" s="1"/>
  <c r="EI250" i="9"/>
  <c r="EK250" i="9" s="1"/>
  <c r="EI248" i="9"/>
  <c r="EK248" i="9" s="1"/>
  <c r="EI246" i="9"/>
  <c r="EK246" i="9" s="1"/>
  <c r="EI244" i="9"/>
  <c r="EK244" i="9" s="1"/>
  <c r="EI242" i="9"/>
  <c r="EK242" i="9" s="1"/>
  <c r="EI240" i="9"/>
  <c r="EK240" i="9" s="1"/>
  <c r="EI238" i="9"/>
  <c r="EK238" i="9" s="1"/>
  <c r="EI236" i="9"/>
  <c r="EK236" i="9" s="1"/>
  <c r="EI234" i="9"/>
  <c r="EK234" i="9" s="1"/>
  <c r="EI232" i="9"/>
  <c r="EK232" i="9" s="1"/>
  <c r="EI230" i="9"/>
  <c r="EK230" i="9" s="1"/>
  <c r="EI228" i="9"/>
  <c r="EK228" i="9" s="1"/>
  <c r="EI226" i="9"/>
  <c r="EK226" i="9" s="1"/>
  <c r="EI224" i="9"/>
  <c r="EK224" i="9" s="1"/>
  <c r="EI222" i="9"/>
  <c r="EK222" i="9" s="1"/>
  <c r="EI220" i="9"/>
  <c r="EK220" i="9" s="1"/>
  <c r="EI218" i="9"/>
  <c r="EK218" i="9" s="1"/>
  <c r="EI216" i="9"/>
  <c r="EK216" i="9" s="1"/>
  <c r="EI214" i="9"/>
  <c r="EK214" i="9" s="1"/>
  <c r="EI212" i="9"/>
  <c r="EK212" i="9" s="1"/>
  <c r="EI210" i="9"/>
  <c r="EK210" i="9" s="1"/>
  <c r="EI208" i="9"/>
  <c r="EK208" i="9" s="1"/>
  <c r="EI206" i="9"/>
  <c r="EK206" i="9" s="1"/>
  <c r="EI204" i="9"/>
  <c r="EK204" i="9" s="1"/>
  <c r="EI202" i="9"/>
  <c r="EK202" i="9" s="1"/>
  <c r="EI200" i="9"/>
  <c r="EK200" i="9" s="1"/>
  <c r="EI198" i="9"/>
  <c r="EK198" i="9" s="1"/>
  <c r="EI196" i="9"/>
  <c r="EK196" i="9" s="1"/>
  <c r="EI194" i="9"/>
  <c r="EK194" i="9" s="1"/>
  <c r="EI192" i="9"/>
  <c r="EK192" i="9" s="1"/>
  <c r="EI190" i="9"/>
  <c r="EK190" i="9" s="1"/>
  <c r="EI188" i="9"/>
  <c r="EK188" i="9" s="1"/>
  <c r="EI186" i="9"/>
  <c r="EK186" i="9" s="1"/>
  <c r="EI184" i="9"/>
  <c r="EK184" i="9" s="1"/>
  <c r="EI182" i="9"/>
  <c r="EK182" i="9" s="1"/>
  <c r="EI180" i="9"/>
  <c r="EK180" i="9" s="1"/>
  <c r="EI178" i="9"/>
  <c r="EK178" i="9" s="1"/>
  <c r="EI176" i="9"/>
  <c r="EK176" i="9" s="1"/>
  <c r="EI174" i="9"/>
  <c r="EK174" i="9" s="1"/>
  <c r="EI172" i="9"/>
  <c r="EK172" i="9" s="1"/>
  <c r="EI170" i="9"/>
  <c r="EK170" i="9" s="1"/>
  <c r="EI168" i="9"/>
  <c r="EK168" i="9" s="1"/>
  <c r="EI166" i="9"/>
  <c r="EK166" i="9" s="1"/>
  <c r="EI164" i="9"/>
  <c r="EK164" i="9" s="1"/>
  <c r="EI162" i="9"/>
  <c r="EK162" i="9" s="1"/>
  <c r="EI160" i="9"/>
  <c r="EK160" i="9" s="1"/>
  <c r="EI158" i="9"/>
  <c r="EK158" i="9" s="1"/>
  <c r="EI156" i="9"/>
  <c r="EK156" i="9" s="1"/>
  <c r="EI154" i="9"/>
  <c r="EK154" i="9" s="1"/>
  <c r="EI152" i="9"/>
  <c r="EK152" i="9" s="1"/>
  <c r="EI150" i="9"/>
  <c r="EK150" i="9" s="1"/>
  <c r="EI148" i="9"/>
  <c r="EK148" i="9" s="1"/>
  <c r="EI146" i="9"/>
  <c r="EK146" i="9" s="1"/>
  <c r="EI144" i="9"/>
  <c r="EK144" i="9" s="1"/>
  <c r="EI142" i="9"/>
  <c r="EK142" i="9" s="1"/>
  <c r="EI140" i="9"/>
  <c r="EK140" i="9" s="1"/>
  <c r="EI138" i="9"/>
  <c r="EK138" i="9" s="1"/>
  <c r="EI136" i="9"/>
  <c r="EK136" i="9" s="1"/>
  <c r="EI134" i="9"/>
  <c r="EK134" i="9" s="1"/>
  <c r="EI132" i="9"/>
  <c r="EK132" i="9" s="1"/>
  <c r="EI130" i="9"/>
  <c r="EK130" i="9" s="1"/>
  <c r="EI128" i="9"/>
  <c r="EK128" i="9" s="1"/>
  <c r="EI126" i="9"/>
  <c r="EK126" i="9" s="1"/>
  <c r="EI124" i="9"/>
  <c r="EK124" i="9" s="1"/>
  <c r="EI122" i="9"/>
  <c r="EK122" i="9" s="1"/>
  <c r="EI120" i="9"/>
  <c r="EK120" i="9" s="1"/>
  <c r="EI118" i="9"/>
  <c r="EK118" i="9" s="1"/>
  <c r="EI116" i="9"/>
  <c r="EK116" i="9" s="1"/>
  <c r="EI114" i="9"/>
  <c r="EK114" i="9" s="1"/>
  <c r="EI112" i="9"/>
  <c r="EK112" i="9" s="1"/>
  <c r="EI110" i="9"/>
  <c r="EK110" i="9" s="1"/>
  <c r="EI108" i="9"/>
  <c r="EK108" i="9" s="1"/>
  <c r="EI106" i="9"/>
  <c r="EK106" i="9" s="1"/>
  <c r="EI104" i="9"/>
  <c r="EK104" i="9" s="1"/>
  <c r="EI102" i="9"/>
  <c r="EK102" i="9" s="1"/>
  <c r="EI100" i="9"/>
  <c r="EK100" i="9" s="1"/>
  <c r="EI98" i="9"/>
  <c r="EK98" i="9" s="1"/>
  <c r="EI96" i="9"/>
  <c r="EK96" i="9" s="1"/>
  <c r="EI94" i="9"/>
  <c r="EK94" i="9" s="1"/>
  <c r="EI92" i="9"/>
  <c r="EK92" i="9" s="1"/>
  <c r="EI90" i="9"/>
  <c r="EK90" i="9" s="1"/>
  <c r="EI88" i="9"/>
  <c r="EK88" i="9" s="1"/>
  <c r="EI86" i="9"/>
  <c r="EK86" i="9" s="1"/>
  <c r="EI84" i="9"/>
  <c r="EI82" i="9"/>
  <c r="EI80" i="9"/>
  <c r="EI78" i="9"/>
  <c r="EI76" i="9"/>
  <c r="EI74" i="9"/>
  <c r="EI72" i="9"/>
  <c r="EI70" i="9"/>
  <c r="EI68" i="9"/>
  <c r="EI66" i="9"/>
  <c r="EI64" i="9"/>
  <c r="EI62" i="9"/>
  <c r="EI60" i="9"/>
  <c r="EI58" i="9"/>
  <c r="EI56" i="9"/>
  <c r="EI54" i="9"/>
  <c r="EI52" i="9"/>
  <c r="EI50" i="9"/>
  <c r="EI48" i="9"/>
  <c r="EI46" i="9"/>
  <c r="EI44" i="9"/>
  <c r="EI42" i="9"/>
  <c r="EI40" i="9"/>
  <c r="EI38" i="9"/>
  <c r="EI36" i="9"/>
  <c r="EI34" i="9"/>
  <c r="EI32" i="9"/>
  <c r="EI30" i="9"/>
  <c r="EI28" i="9"/>
  <c r="EI26" i="9"/>
  <c r="EI24" i="9"/>
  <c r="EI22" i="9"/>
  <c r="EI20" i="9"/>
  <c r="EI18" i="9"/>
  <c r="EI16" i="9"/>
  <c r="EI14" i="9"/>
  <c r="EI12" i="9"/>
  <c r="EI10" i="9"/>
  <c r="EI8" i="9"/>
  <c r="EI6" i="9"/>
  <c r="EI4" i="9"/>
  <c r="DG33" i="9"/>
  <c r="DG31" i="9"/>
  <c r="DG29" i="9"/>
  <c r="DG27" i="9"/>
  <c r="DG25" i="9"/>
  <c r="DG23" i="9"/>
  <c r="DG21" i="9"/>
  <c r="DG19" i="9"/>
  <c r="DG17" i="9"/>
  <c r="DG15" i="9"/>
  <c r="DG13" i="9"/>
  <c r="DG11" i="9"/>
  <c r="DG9" i="9"/>
  <c r="DG7" i="9"/>
  <c r="DG5" i="9"/>
  <c r="DH33" i="9"/>
  <c r="DH31" i="9"/>
  <c r="DH29" i="9"/>
  <c r="DH27" i="9"/>
  <c r="DH25" i="9"/>
  <c r="DH23" i="9"/>
  <c r="DH21" i="9"/>
  <c r="DH19" i="9"/>
  <c r="DH17" i="9"/>
  <c r="DH15" i="9"/>
  <c r="DH13" i="9"/>
  <c r="DH11" i="9"/>
  <c r="DH9" i="9"/>
  <c r="DH7" i="9"/>
  <c r="DH5" i="9"/>
  <c r="DG32" i="9"/>
  <c r="DG30" i="9"/>
  <c r="DG28" i="9"/>
  <c r="DG26" i="9"/>
  <c r="DG24" i="9"/>
  <c r="DG22" i="9"/>
  <c r="DG20" i="9"/>
  <c r="DG18" i="9"/>
  <c r="DG16" i="9"/>
  <c r="DG14" i="9"/>
  <c r="DG12" i="9"/>
  <c r="DG10" i="9"/>
  <c r="DG8" i="9"/>
  <c r="DG6" i="9"/>
  <c r="DG4" i="9"/>
  <c r="DH32" i="9"/>
  <c r="DH30" i="9"/>
  <c r="DH28" i="9"/>
  <c r="DH26" i="9"/>
  <c r="DH24" i="9"/>
  <c r="DH22" i="9"/>
  <c r="DH20" i="9"/>
  <c r="DH18" i="9"/>
  <c r="DH16" i="9"/>
  <c r="DH14" i="9"/>
  <c r="DH12" i="9"/>
  <c r="DH10" i="9"/>
  <c r="DH8" i="9"/>
  <c r="DH6" i="9"/>
  <c r="DH4" i="9"/>
  <c r="CT254" i="9"/>
  <c r="CT253" i="9"/>
  <c r="CT251" i="9"/>
  <c r="CT249" i="9"/>
  <c r="CT247" i="9"/>
  <c r="CT245" i="9"/>
  <c r="CT243" i="9"/>
  <c r="CT241" i="9"/>
  <c r="CT239" i="9"/>
  <c r="CT237" i="9"/>
  <c r="CT235" i="9"/>
  <c r="CT233" i="9"/>
  <c r="CT231" i="9"/>
  <c r="CT229" i="9"/>
  <c r="CT227" i="9"/>
  <c r="CT225" i="9"/>
  <c r="CT223" i="9"/>
  <c r="CT221" i="9"/>
  <c r="CT219" i="9"/>
  <c r="CT217" i="9"/>
  <c r="CT215" i="9"/>
  <c r="CT213" i="9"/>
  <c r="CT211" i="9"/>
  <c r="CT209" i="9"/>
  <c r="CT207" i="9"/>
  <c r="CT205" i="9"/>
  <c r="CT203" i="9"/>
  <c r="CT201" i="9"/>
  <c r="CT199" i="9"/>
  <c r="CT197" i="9"/>
  <c r="CT195" i="9"/>
  <c r="CT193" i="9"/>
  <c r="CT191" i="9"/>
  <c r="CT189" i="9"/>
  <c r="CT187" i="9"/>
  <c r="CT185" i="9"/>
  <c r="CT183" i="9"/>
  <c r="CT181" i="9"/>
  <c r="CT179" i="9"/>
  <c r="CT177" i="9"/>
  <c r="CT175" i="9"/>
  <c r="CT173" i="9"/>
  <c r="CT171" i="9"/>
  <c r="CT169" i="9"/>
  <c r="CT167" i="9"/>
  <c r="CT165" i="9"/>
  <c r="CT163" i="9"/>
  <c r="CT161" i="9"/>
  <c r="CT159" i="9"/>
  <c r="CT157" i="9"/>
  <c r="CT155" i="9"/>
  <c r="CT153" i="9"/>
  <c r="CT252" i="9"/>
  <c r="CT103" i="9"/>
  <c r="CT250" i="9"/>
  <c r="CT248" i="9"/>
  <c r="CT246" i="9"/>
  <c r="CT244" i="9"/>
  <c r="CT242" i="9"/>
  <c r="CT240" i="9"/>
  <c r="CT238" i="9"/>
  <c r="CT236" i="9"/>
  <c r="CT234" i="9"/>
  <c r="CT232" i="9"/>
  <c r="CT230" i="9"/>
  <c r="CT228" i="9"/>
  <c r="CT226" i="9"/>
  <c r="CT224" i="9"/>
  <c r="CT222" i="9"/>
  <c r="CT220" i="9"/>
  <c r="CT218" i="9"/>
  <c r="CT216" i="9"/>
  <c r="CT214" i="9"/>
  <c r="CT212" i="9"/>
  <c r="CT210" i="9"/>
  <c r="CT208" i="9"/>
  <c r="CT206" i="9"/>
  <c r="CT204" i="9"/>
  <c r="CT202" i="9"/>
  <c r="CT200" i="9"/>
  <c r="CT198" i="9"/>
  <c r="CT196" i="9"/>
  <c r="CT194" i="9"/>
  <c r="CT192" i="9"/>
  <c r="CT190" i="9"/>
  <c r="CT188" i="9"/>
  <c r="CT186" i="9"/>
  <c r="CT184" i="9"/>
  <c r="CT182" i="9"/>
  <c r="CT180" i="9"/>
  <c r="CT178" i="9"/>
  <c r="CT176" i="9"/>
  <c r="CT174" i="9"/>
  <c r="CT172" i="9"/>
  <c r="CT170" i="9"/>
  <c r="CT168" i="9"/>
  <c r="CT166" i="9"/>
  <c r="CT164" i="9"/>
  <c r="CT162" i="9"/>
  <c r="CT160" i="9"/>
  <c r="CT158" i="9"/>
  <c r="CT156" i="9"/>
  <c r="CT154" i="9"/>
  <c r="CT152" i="9"/>
  <c r="CT151" i="9"/>
  <c r="CT149" i="9"/>
  <c r="CT147" i="9"/>
  <c r="CT145" i="9"/>
  <c r="CT143" i="9"/>
  <c r="CT141" i="9"/>
  <c r="CT139" i="9"/>
  <c r="CT137" i="9"/>
  <c r="CT135" i="9"/>
  <c r="CT133" i="9"/>
  <c r="CT131" i="9"/>
  <c r="CT129" i="9"/>
  <c r="CT127" i="9"/>
  <c r="CT125" i="9"/>
  <c r="CT123" i="9"/>
  <c r="CT121" i="9"/>
  <c r="CT119" i="9"/>
  <c r="CT117" i="9"/>
  <c r="CT115" i="9"/>
  <c r="CT113" i="9"/>
  <c r="CT111" i="9"/>
  <c r="CT109" i="9"/>
  <c r="CT107" i="9"/>
  <c r="CT105" i="9"/>
  <c r="CT102" i="9"/>
  <c r="CT100" i="9"/>
  <c r="CT98" i="9"/>
  <c r="CT96" i="9"/>
  <c r="CT94" i="9"/>
  <c r="CT92" i="9"/>
  <c r="CT90" i="9"/>
  <c r="CT88" i="9"/>
  <c r="CT86" i="9"/>
  <c r="CT84" i="9"/>
  <c r="CT82" i="9"/>
  <c r="CT80" i="9"/>
  <c r="CT78" i="9"/>
  <c r="CT76" i="9"/>
  <c r="CT74" i="9"/>
  <c r="CT72" i="9"/>
  <c r="CT70" i="9"/>
  <c r="CT68" i="9"/>
  <c r="CT66" i="9"/>
  <c r="CT64" i="9"/>
  <c r="CT62" i="9"/>
  <c r="CT60" i="9"/>
  <c r="CT58" i="9"/>
  <c r="CT56" i="9"/>
  <c r="CT54" i="9"/>
  <c r="CT52" i="9"/>
  <c r="CT50" i="9"/>
  <c r="CT48" i="9"/>
  <c r="CT46" i="9"/>
  <c r="CT44" i="9"/>
  <c r="CT42" i="9"/>
  <c r="CT40" i="9"/>
  <c r="CT38" i="9"/>
  <c r="CT36" i="9"/>
  <c r="CT34" i="9"/>
  <c r="CS253" i="9"/>
  <c r="CU253" i="9" s="1"/>
  <c r="CV253" i="9" s="1"/>
  <c r="CS251" i="9"/>
  <c r="CU251" i="9" s="1"/>
  <c r="CV251" i="9" s="1"/>
  <c r="CS249" i="9"/>
  <c r="CU249" i="9" s="1"/>
  <c r="CV249" i="9" s="1"/>
  <c r="CS247" i="9"/>
  <c r="CU247" i="9" s="1"/>
  <c r="CV247" i="9" s="1"/>
  <c r="CS245" i="9"/>
  <c r="CU245" i="9" s="1"/>
  <c r="CV245" i="9" s="1"/>
  <c r="CS243" i="9"/>
  <c r="CU243" i="9" s="1"/>
  <c r="CV243" i="9" s="1"/>
  <c r="CS241" i="9"/>
  <c r="CU241" i="9" s="1"/>
  <c r="CV241" i="9" s="1"/>
  <c r="CS239" i="9"/>
  <c r="CU239" i="9" s="1"/>
  <c r="CV239" i="9" s="1"/>
  <c r="CS237" i="9"/>
  <c r="CU237" i="9" s="1"/>
  <c r="CV237" i="9" s="1"/>
  <c r="CS235" i="9"/>
  <c r="CU235" i="9" s="1"/>
  <c r="CV235" i="9" s="1"/>
  <c r="CS233" i="9"/>
  <c r="CU233" i="9" s="1"/>
  <c r="CV233" i="9" s="1"/>
  <c r="CS231" i="9"/>
  <c r="CU231" i="9" s="1"/>
  <c r="CV231" i="9" s="1"/>
  <c r="CS229" i="9"/>
  <c r="CU229" i="9" s="1"/>
  <c r="CV229" i="9" s="1"/>
  <c r="CS227" i="9"/>
  <c r="CU227" i="9" s="1"/>
  <c r="CV227" i="9" s="1"/>
  <c r="CS225" i="9"/>
  <c r="CU225" i="9" s="1"/>
  <c r="CV225" i="9" s="1"/>
  <c r="CS223" i="9"/>
  <c r="CU223" i="9" s="1"/>
  <c r="CV223" i="9" s="1"/>
  <c r="CS221" i="9"/>
  <c r="CU221" i="9" s="1"/>
  <c r="CV221" i="9" s="1"/>
  <c r="CS219" i="9"/>
  <c r="CU219" i="9" s="1"/>
  <c r="CV219" i="9" s="1"/>
  <c r="CS217" i="9"/>
  <c r="CU217" i="9" s="1"/>
  <c r="CV217" i="9" s="1"/>
  <c r="CS215" i="9"/>
  <c r="CU215" i="9" s="1"/>
  <c r="CV215" i="9" s="1"/>
  <c r="CS213" i="9"/>
  <c r="CU213" i="9" s="1"/>
  <c r="CV213" i="9" s="1"/>
  <c r="CS211" i="9"/>
  <c r="CU211" i="9" s="1"/>
  <c r="CV211" i="9" s="1"/>
  <c r="CS209" i="9"/>
  <c r="CU209" i="9" s="1"/>
  <c r="CV209" i="9" s="1"/>
  <c r="CS207" i="9"/>
  <c r="CU207" i="9" s="1"/>
  <c r="CV207" i="9" s="1"/>
  <c r="CS205" i="9"/>
  <c r="CU205" i="9" s="1"/>
  <c r="CV205" i="9" s="1"/>
  <c r="CS203" i="9"/>
  <c r="CU203" i="9" s="1"/>
  <c r="CV203" i="9" s="1"/>
  <c r="CS201" i="9"/>
  <c r="CU201" i="9" s="1"/>
  <c r="CV201" i="9" s="1"/>
  <c r="CS199" i="9"/>
  <c r="CU199" i="9" s="1"/>
  <c r="CV199" i="9" s="1"/>
  <c r="CS197" i="9"/>
  <c r="CU197" i="9" s="1"/>
  <c r="CV197" i="9" s="1"/>
  <c r="CS195" i="9"/>
  <c r="CU195" i="9" s="1"/>
  <c r="CV195" i="9" s="1"/>
  <c r="CS193" i="9"/>
  <c r="CU193" i="9" s="1"/>
  <c r="CV193" i="9" s="1"/>
  <c r="CS191" i="9"/>
  <c r="CU191" i="9" s="1"/>
  <c r="CV191" i="9" s="1"/>
  <c r="CS189" i="9"/>
  <c r="CU189" i="9" s="1"/>
  <c r="CV189" i="9" s="1"/>
  <c r="CS187" i="9"/>
  <c r="CU187" i="9" s="1"/>
  <c r="CV187" i="9" s="1"/>
  <c r="CS185" i="9"/>
  <c r="CU185" i="9" s="1"/>
  <c r="CV185" i="9" s="1"/>
  <c r="CS183" i="9"/>
  <c r="CU183" i="9" s="1"/>
  <c r="CV183" i="9" s="1"/>
  <c r="CS181" i="9"/>
  <c r="CU181" i="9" s="1"/>
  <c r="CV181" i="9" s="1"/>
  <c r="CS179" i="9"/>
  <c r="CU179" i="9" s="1"/>
  <c r="CV179" i="9" s="1"/>
  <c r="CS177" i="9"/>
  <c r="CU177" i="9" s="1"/>
  <c r="CV177" i="9" s="1"/>
  <c r="CS175" i="9"/>
  <c r="CU175" i="9" s="1"/>
  <c r="CV175" i="9" s="1"/>
  <c r="CS173" i="9"/>
  <c r="CU173" i="9" s="1"/>
  <c r="CV173" i="9" s="1"/>
  <c r="CS171" i="9"/>
  <c r="CU171" i="9" s="1"/>
  <c r="CV171" i="9" s="1"/>
  <c r="CS169" i="9"/>
  <c r="CU169" i="9" s="1"/>
  <c r="CV169" i="9" s="1"/>
  <c r="CS167" i="9"/>
  <c r="CU167" i="9" s="1"/>
  <c r="CV167" i="9" s="1"/>
  <c r="CS165" i="9"/>
  <c r="CU165" i="9" s="1"/>
  <c r="CV165" i="9" s="1"/>
  <c r="CS163" i="9"/>
  <c r="CU163" i="9" s="1"/>
  <c r="CV163" i="9" s="1"/>
  <c r="CS161" i="9"/>
  <c r="CU161" i="9" s="1"/>
  <c r="CV161" i="9" s="1"/>
  <c r="CS159" i="9"/>
  <c r="CU159" i="9" s="1"/>
  <c r="CV159" i="9" s="1"/>
  <c r="CS157" i="9"/>
  <c r="CU157" i="9" s="1"/>
  <c r="CV157" i="9" s="1"/>
  <c r="CS155" i="9"/>
  <c r="CU155" i="9" s="1"/>
  <c r="CV155" i="9" s="1"/>
  <c r="CS153" i="9"/>
  <c r="CU153" i="9" s="1"/>
  <c r="CV153" i="9" s="1"/>
  <c r="CS151" i="9"/>
  <c r="CU151" i="9" s="1"/>
  <c r="CV151" i="9" s="1"/>
  <c r="CS149" i="9"/>
  <c r="CU149" i="9" s="1"/>
  <c r="CV149" i="9" s="1"/>
  <c r="CS147" i="9"/>
  <c r="CU147" i="9" s="1"/>
  <c r="CV147" i="9" s="1"/>
  <c r="CS145" i="9"/>
  <c r="CU145" i="9" s="1"/>
  <c r="CV145" i="9" s="1"/>
  <c r="CS143" i="9"/>
  <c r="CU143" i="9" s="1"/>
  <c r="CV143" i="9" s="1"/>
  <c r="CS141" i="9"/>
  <c r="CU141" i="9" s="1"/>
  <c r="CV141" i="9" s="1"/>
  <c r="CS139" i="9"/>
  <c r="CU139" i="9" s="1"/>
  <c r="CV139" i="9" s="1"/>
  <c r="CS137" i="9"/>
  <c r="CU137" i="9" s="1"/>
  <c r="CV137" i="9" s="1"/>
  <c r="CS135" i="9"/>
  <c r="CU135" i="9" s="1"/>
  <c r="CV135" i="9" s="1"/>
  <c r="CS133" i="9"/>
  <c r="CU133" i="9" s="1"/>
  <c r="CV133" i="9" s="1"/>
  <c r="CS131" i="9"/>
  <c r="CU131" i="9" s="1"/>
  <c r="CV131" i="9" s="1"/>
  <c r="CS129" i="9"/>
  <c r="CU129" i="9" s="1"/>
  <c r="CV129" i="9" s="1"/>
  <c r="CS127" i="9"/>
  <c r="CU127" i="9" s="1"/>
  <c r="CV127" i="9" s="1"/>
  <c r="CS125" i="9"/>
  <c r="CU125" i="9" s="1"/>
  <c r="CV125" i="9" s="1"/>
  <c r="CS123" i="9"/>
  <c r="CU123" i="9" s="1"/>
  <c r="CV123" i="9" s="1"/>
  <c r="CS121" i="9"/>
  <c r="CU121" i="9" s="1"/>
  <c r="CV121" i="9" s="1"/>
  <c r="CS119" i="9"/>
  <c r="CU119" i="9" s="1"/>
  <c r="CV119" i="9" s="1"/>
  <c r="CS117" i="9"/>
  <c r="CU117" i="9" s="1"/>
  <c r="CV117" i="9" s="1"/>
  <c r="CS115" i="9"/>
  <c r="CU115" i="9" s="1"/>
  <c r="CV115" i="9" s="1"/>
  <c r="CS113" i="9"/>
  <c r="CU113" i="9" s="1"/>
  <c r="CV113" i="9" s="1"/>
  <c r="CS111" i="9"/>
  <c r="CU111" i="9" s="1"/>
  <c r="CV111" i="9" s="1"/>
  <c r="CS109" i="9"/>
  <c r="CU109" i="9" s="1"/>
  <c r="CV109" i="9" s="1"/>
  <c r="CS107" i="9"/>
  <c r="CU107" i="9" s="1"/>
  <c r="CV107" i="9" s="1"/>
  <c r="CS105" i="9"/>
  <c r="CU105" i="9" s="1"/>
  <c r="CV105" i="9" s="1"/>
  <c r="CS103" i="9"/>
  <c r="CS101" i="9"/>
  <c r="CS99" i="9"/>
  <c r="CS97" i="9"/>
  <c r="CS95" i="9"/>
  <c r="CS93" i="9"/>
  <c r="CS91" i="9"/>
  <c r="CS89" i="9"/>
  <c r="CS87" i="9"/>
  <c r="CS85" i="9"/>
  <c r="CS83" i="9"/>
  <c r="CS81" i="9"/>
  <c r="CS79" i="9"/>
  <c r="CS77" i="9"/>
  <c r="CS75" i="9"/>
  <c r="CS73" i="9"/>
  <c r="CS71" i="9"/>
  <c r="CS69" i="9"/>
  <c r="CS67" i="9"/>
  <c r="CS65" i="9"/>
  <c r="CS63" i="9"/>
  <c r="CS61" i="9"/>
  <c r="CS59" i="9"/>
  <c r="CS57" i="9"/>
  <c r="CS55" i="9"/>
  <c r="CS53" i="9"/>
  <c r="CS51" i="9"/>
  <c r="CS49" i="9"/>
  <c r="CS47" i="9"/>
  <c r="CS45" i="9"/>
  <c r="CS43" i="9"/>
  <c r="CS41" i="9"/>
  <c r="CS39" i="9"/>
  <c r="CS37" i="9"/>
  <c r="CS35" i="9"/>
  <c r="CT150" i="9"/>
  <c r="CT148" i="9"/>
  <c r="CT146" i="9"/>
  <c r="CT144" i="9"/>
  <c r="CT142" i="9"/>
  <c r="CT140" i="9"/>
  <c r="CT138" i="9"/>
  <c r="CT136" i="9"/>
  <c r="CT134" i="9"/>
  <c r="CT132" i="9"/>
  <c r="CT130" i="9"/>
  <c r="CT128" i="9"/>
  <c r="CT126" i="9"/>
  <c r="CT124" i="9"/>
  <c r="CT122" i="9"/>
  <c r="CT120" i="9"/>
  <c r="CT118" i="9"/>
  <c r="CT116" i="9"/>
  <c r="CT114" i="9"/>
  <c r="CT112" i="9"/>
  <c r="CT110" i="9"/>
  <c r="CT108" i="9"/>
  <c r="CT106" i="9"/>
  <c r="CT104" i="9"/>
  <c r="CT101" i="9"/>
  <c r="CT99" i="9"/>
  <c r="CT97" i="9"/>
  <c r="CT95" i="9"/>
  <c r="CT93" i="9"/>
  <c r="CT91" i="9"/>
  <c r="CT89" i="9"/>
  <c r="CT87" i="9"/>
  <c r="CT85" i="9"/>
  <c r="CT83" i="9"/>
  <c r="CT81" i="9"/>
  <c r="CT79" i="9"/>
  <c r="CT77" i="9"/>
  <c r="CT75" i="9"/>
  <c r="CT73" i="9"/>
  <c r="CT71" i="9"/>
  <c r="CT69" i="9"/>
  <c r="CT67" i="9"/>
  <c r="CT65" i="9"/>
  <c r="CT63" i="9"/>
  <c r="CT61" i="9"/>
  <c r="CT59" i="9"/>
  <c r="CT57" i="9"/>
  <c r="CT55" i="9"/>
  <c r="CT53" i="9"/>
  <c r="CT51" i="9"/>
  <c r="CT49" i="9"/>
  <c r="CT47" i="9"/>
  <c r="CT45" i="9"/>
  <c r="CT43" i="9"/>
  <c r="CT41" i="9"/>
  <c r="CT39" i="9"/>
  <c r="CT37" i="9"/>
  <c r="CT35" i="9"/>
  <c r="CS254" i="9"/>
  <c r="CS252" i="9"/>
  <c r="CU252" i="9" s="1"/>
  <c r="CV252" i="9" s="1"/>
  <c r="CS250" i="9"/>
  <c r="CS248" i="9"/>
  <c r="CS246" i="9"/>
  <c r="CS244" i="9"/>
  <c r="CS242" i="9"/>
  <c r="CS240" i="9"/>
  <c r="CS238" i="9"/>
  <c r="CS236" i="9"/>
  <c r="CS234" i="9"/>
  <c r="CS232" i="9"/>
  <c r="CS230" i="9"/>
  <c r="CS228" i="9"/>
  <c r="CS226" i="9"/>
  <c r="CS224" i="9"/>
  <c r="CS222" i="9"/>
  <c r="CS220" i="9"/>
  <c r="CS218" i="9"/>
  <c r="CS216" i="9"/>
  <c r="CS214" i="9"/>
  <c r="CS212" i="9"/>
  <c r="CS210" i="9"/>
  <c r="CS208" i="9"/>
  <c r="CS206" i="9"/>
  <c r="CS204" i="9"/>
  <c r="CS202" i="9"/>
  <c r="CS200" i="9"/>
  <c r="CS198" i="9"/>
  <c r="CS196" i="9"/>
  <c r="CS194" i="9"/>
  <c r="CS192" i="9"/>
  <c r="CS190" i="9"/>
  <c r="CS188" i="9"/>
  <c r="CS186" i="9"/>
  <c r="CS184" i="9"/>
  <c r="CS182" i="9"/>
  <c r="CS180" i="9"/>
  <c r="CS178" i="9"/>
  <c r="CS176" i="9"/>
  <c r="CS174" i="9"/>
  <c r="CS172" i="9"/>
  <c r="CS170" i="9"/>
  <c r="CS168" i="9"/>
  <c r="CS166" i="9"/>
  <c r="CS164" i="9"/>
  <c r="CS162" i="9"/>
  <c r="CS160" i="9"/>
  <c r="CS158" i="9"/>
  <c r="CS156" i="9"/>
  <c r="CS154" i="9"/>
  <c r="CS152" i="9"/>
  <c r="CS150" i="9"/>
  <c r="CU150" i="9" s="1"/>
  <c r="CV150" i="9" s="1"/>
  <c r="CS148" i="9"/>
  <c r="CU148" i="9" s="1"/>
  <c r="CV148" i="9" s="1"/>
  <c r="CS146" i="9"/>
  <c r="CU146" i="9" s="1"/>
  <c r="CV146" i="9" s="1"/>
  <c r="CS144" i="9"/>
  <c r="CU144" i="9" s="1"/>
  <c r="CV144" i="9" s="1"/>
  <c r="CS142" i="9"/>
  <c r="CU142" i="9" s="1"/>
  <c r="CV142" i="9" s="1"/>
  <c r="CS140" i="9"/>
  <c r="CU140" i="9" s="1"/>
  <c r="CV140" i="9" s="1"/>
  <c r="CS138" i="9"/>
  <c r="CU138" i="9" s="1"/>
  <c r="CV138" i="9" s="1"/>
  <c r="CS136" i="9"/>
  <c r="CU136" i="9" s="1"/>
  <c r="CV136" i="9" s="1"/>
  <c r="CS134" i="9"/>
  <c r="CU134" i="9" s="1"/>
  <c r="CV134" i="9" s="1"/>
  <c r="CS132" i="9"/>
  <c r="CU132" i="9" s="1"/>
  <c r="CV132" i="9" s="1"/>
  <c r="CS130" i="9"/>
  <c r="CU130" i="9" s="1"/>
  <c r="CV130" i="9" s="1"/>
  <c r="CS128" i="9"/>
  <c r="CU128" i="9" s="1"/>
  <c r="CV128" i="9" s="1"/>
  <c r="CS126" i="9"/>
  <c r="CU126" i="9" s="1"/>
  <c r="CV126" i="9" s="1"/>
  <c r="CS124" i="9"/>
  <c r="CU124" i="9" s="1"/>
  <c r="CV124" i="9" s="1"/>
  <c r="CS122" i="9"/>
  <c r="CU122" i="9" s="1"/>
  <c r="CV122" i="9" s="1"/>
  <c r="CS120" i="9"/>
  <c r="CU120" i="9" s="1"/>
  <c r="CV120" i="9" s="1"/>
  <c r="CS118" i="9"/>
  <c r="CU118" i="9" s="1"/>
  <c r="CV118" i="9" s="1"/>
  <c r="CS116" i="9"/>
  <c r="CU116" i="9" s="1"/>
  <c r="CV116" i="9" s="1"/>
  <c r="CS114" i="9"/>
  <c r="CU114" i="9" s="1"/>
  <c r="CV114" i="9" s="1"/>
  <c r="CS112" i="9"/>
  <c r="CU112" i="9" s="1"/>
  <c r="CV112" i="9" s="1"/>
  <c r="CS110" i="9"/>
  <c r="CU110" i="9" s="1"/>
  <c r="CV110" i="9" s="1"/>
  <c r="CS108" i="9"/>
  <c r="CU108" i="9" s="1"/>
  <c r="CV108" i="9" s="1"/>
  <c r="CS106" i="9"/>
  <c r="CU106" i="9" s="1"/>
  <c r="CV106" i="9" s="1"/>
  <c r="CS104" i="9"/>
  <c r="CU104" i="9" s="1"/>
  <c r="CV104" i="9" s="1"/>
  <c r="CS102" i="9"/>
  <c r="CS100" i="9"/>
  <c r="CS98" i="9"/>
  <c r="CS96" i="9"/>
  <c r="CS94" i="9"/>
  <c r="CS92" i="9"/>
  <c r="CS90" i="9"/>
  <c r="CS88" i="9"/>
  <c r="CS86" i="9"/>
  <c r="CS84" i="9"/>
  <c r="CS82" i="9"/>
  <c r="CS80" i="9"/>
  <c r="CS78" i="9"/>
  <c r="CS76" i="9"/>
  <c r="CS74" i="9"/>
  <c r="CS72" i="9"/>
  <c r="CS70" i="9"/>
  <c r="CS68" i="9"/>
  <c r="CS66" i="9"/>
  <c r="CS64" i="9"/>
  <c r="CS62" i="9"/>
  <c r="CS60" i="9"/>
  <c r="CS58" i="9"/>
  <c r="CS56" i="9"/>
  <c r="CS54" i="9"/>
  <c r="CS52" i="9"/>
  <c r="CS50" i="9"/>
  <c r="CS48" i="9"/>
  <c r="CS46" i="9"/>
  <c r="CS44" i="9"/>
  <c r="CS42" i="9"/>
  <c r="CS40" i="9"/>
  <c r="CS38" i="9"/>
  <c r="CS36" i="9"/>
  <c r="CS34" i="9"/>
  <c r="AC4" i="9" l="1"/>
  <c r="AB4" i="9"/>
  <c r="AC6" i="9"/>
  <c r="AB6" i="9"/>
  <c r="AC8" i="9"/>
  <c r="AB8" i="9"/>
  <c r="AC10" i="9"/>
  <c r="AB10" i="9"/>
  <c r="AC12" i="9"/>
  <c r="AB12" i="9"/>
  <c r="AC14" i="9"/>
  <c r="AB14" i="9"/>
  <c r="AC16" i="9"/>
  <c r="AB16" i="9"/>
  <c r="AC18" i="9"/>
  <c r="AB18" i="9"/>
  <c r="AC20" i="9"/>
  <c r="AB20" i="9"/>
  <c r="AC22" i="9"/>
  <c r="AB22" i="9"/>
  <c r="AC24" i="9"/>
  <c r="AB24" i="9"/>
  <c r="AC26" i="9"/>
  <c r="AB26" i="9"/>
  <c r="AC28" i="9"/>
  <c r="AB28" i="9"/>
  <c r="AC30" i="9"/>
  <c r="AB30" i="9"/>
  <c r="AC32" i="9"/>
  <c r="AB32" i="9"/>
  <c r="AB5" i="9"/>
  <c r="AC5" i="9"/>
  <c r="AB7" i="9"/>
  <c r="AC7" i="9"/>
  <c r="AB9" i="9"/>
  <c r="AC9" i="9"/>
  <c r="AB11" i="9"/>
  <c r="AC11" i="9"/>
  <c r="AB13" i="9"/>
  <c r="AC13" i="9"/>
  <c r="AB15" i="9"/>
  <c r="AC15" i="9"/>
  <c r="AB17" i="9"/>
  <c r="AC17" i="9"/>
  <c r="AB19" i="9"/>
  <c r="AC19" i="9"/>
  <c r="AB21" i="9"/>
  <c r="AC21" i="9"/>
  <c r="AB23" i="9"/>
  <c r="AC23" i="9"/>
  <c r="AB25" i="9"/>
  <c r="AC25" i="9"/>
  <c r="AB27" i="9"/>
  <c r="AC27" i="9"/>
  <c r="AB29" i="9"/>
  <c r="AC29" i="9"/>
  <c r="AB31" i="9"/>
  <c r="AC31" i="9"/>
  <c r="AB33" i="9"/>
  <c r="AC33" i="9"/>
  <c r="EM88" i="9"/>
  <c r="EN88" i="9"/>
  <c r="EL88" i="9"/>
  <c r="EM92" i="9"/>
  <c r="EN92" i="9"/>
  <c r="EL92" i="9"/>
  <c r="EM96" i="9"/>
  <c r="EN96" i="9"/>
  <c r="EL96" i="9"/>
  <c r="EM100" i="9"/>
  <c r="EN100" i="9"/>
  <c r="EL100" i="9"/>
  <c r="EM104" i="9"/>
  <c r="EN104" i="9"/>
  <c r="EL104" i="9"/>
  <c r="EM108" i="9"/>
  <c r="EN108" i="9"/>
  <c r="EL108" i="9"/>
  <c r="EM112" i="9"/>
  <c r="EN112" i="9"/>
  <c r="EL112" i="9"/>
  <c r="EM116" i="9"/>
  <c r="EN116" i="9"/>
  <c r="EL116" i="9"/>
  <c r="EM120" i="9"/>
  <c r="EN120" i="9"/>
  <c r="EL120" i="9"/>
  <c r="EM124" i="9"/>
  <c r="EN124" i="9"/>
  <c r="EL124" i="9"/>
  <c r="EM128" i="9"/>
  <c r="EN128" i="9"/>
  <c r="EL128" i="9"/>
  <c r="EM132" i="9"/>
  <c r="EN132" i="9"/>
  <c r="EL132" i="9"/>
  <c r="EM136" i="9"/>
  <c r="EN136" i="9"/>
  <c r="EL136" i="9"/>
  <c r="EM140" i="9"/>
  <c r="EN140" i="9"/>
  <c r="EL140" i="9"/>
  <c r="EM144" i="9"/>
  <c r="EN144" i="9"/>
  <c r="EL144" i="9"/>
  <c r="EM148" i="9"/>
  <c r="EN148" i="9"/>
  <c r="EL148" i="9"/>
  <c r="EM152" i="9"/>
  <c r="EN152" i="9"/>
  <c r="EL152" i="9"/>
  <c r="EM156" i="9"/>
  <c r="EN156" i="9"/>
  <c r="EL156" i="9"/>
  <c r="EM160" i="9"/>
  <c r="EN160" i="9"/>
  <c r="EL160" i="9"/>
  <c r="EM164" i="9"/>
  <c r="EN164" i="9"/>
  <c r="EL164" i="9"/>
  <c r="EM168" i="9"/>
  <c r="EN168" i="9"/>
  <c r="EL168" i="9"/>
  <c r="EM172" i="9"/>
  <c r="EN172" i="9"/>
  <c r="EL172" i="9"/>
  <c r="EM176" i="9"/>
  <c r="EN176" i="9"/>
  <c r="EL176" i="9"/>
  <c r="EM180" i="9"/>
  <c r="EN180" i="9"/>
  <c r="EL180" i="9"/>
  <c r="EM184" i="9"/>
  <c r="EN184" i="9"/>
  <c r="EL184" i="9"/>
  <c r="EM188" i="9"/>
  <c r="EN188" i="9"/>
  <c r="EL188" i="9"/>
  <c r="EM192" i="9"/>
  <c r="EN192" i="9"/>
  <c r="EL192" i="9"/>
  <c r="EM196" i="9"/>
  <c r="EN196" i="9"/>
  <c r="EL196" i="9"/>
  <c r="EM200" i="9"/>
  <c r="EN200" i="9"/>
  <c r="EL200" i="9"/>
  <c r="EM204" i="9"/>
  <c r="EN204" i="9"/>
  <c r="EL204" i="9"/>
  <c r="EM208" i="9"/>
  <c r="EN208" i="9"/>
  <c r="EL208" i="9"/>
  <c r="EM212" i="9"/>
  <c r="EN212" i="9"/>
  <c r="EL212" i="9"/>
  <c r="EM216" i="9"/>
  <c r="EN216" i="9"/>
  <c r="EL216" i="9"/>
  <c r="EM220" i="9"/>
  <c r="EN220" i="9"/>
  <c r="EL220" i="9"/>
  <c r="EM224" i="9"/>
  <c r="EN224" i="9"/>
  <c r="EL224" i="9"/>
  <c r="EM228" i="9"/>
  <c r="EN228" i="9"/>
  <c r="EL228" i="9"/>
  <c r="EM232" i="9"/>
  <c r="EN232" i="9"/>
  <c r="EL232" i="9"/>
  <c r="EM236" i="9"/>
  <c r="EN236" i="9"/>
  <c r="EL236" i="9"/>
  <c r="EM240" i="9"/>
  <c r="EN240" i="9"/>
  <c r="EL240" i="9"/>
  <c r="EM244" i="9"/>
  <c r="EN244" i="9"/>
  <c r="EL244" i="9"/>
  <c r="EM248" i="9"/>
  <c r="EN248" i="9"/>
  <c r="EL248" i="9"/>
  <c r="EM252" i="9"/>
  <c r="EN252" i="9"/>
  <c r="EL252" i="9"/>
  <c r="EN85" i="9"/>
  <c r="EL85" i="9"/>
  <c r="EM85" i="9"/>
  <c r="EN89" i="9"/>
  <c r="EL89" i="9"/>
  <c r="EM89" i="9"/>
  <c r="EN93" i="9"/>
  <c r="EL93" i="9"/>
  <c r="EM93" i="9"/>
  <c r="EN97" i="9"/>
  <c r="EL97" i="9"/>
  <c r="EM97" i="9"/>
  <c r="EN101" i="9"/>
  <c r="EL101" i="9"/>
  <c r="EM101" i="9"/>
  <c r="EN105" i="9"/>
  <c r="EL105" i="9"/>
  <c r="EM105" i="9"/>
  <c r="EN109" i="9"/>
  <c r="EL109" i="9"/>
  <c r="EM109" i="9"/>
  <c r="EN113" i="9"/>
  <c r="EL113" i="9"/>
  <c r="EM113" i="9"/>
  <c r="EN117" i="9"/>
  <c r="EL117" i="9"/>
  <c r="EM117" i="9"/>
  <c r="EN121" i="9"/>
  <c r="EL121" i="9"/>
  <c r="EM121" i="9"/>
  <c r="EN125" i="9"/>
  <c r="EL125" i="9"/>
  <c r="EM125" i="9"/>
  <c r="EN129" i="9"/>
  <c r="EL129" i="9"/>
  <c r="EM129" i="9"/>
  <c r="EN133" i="9"/>
  <c r="EL133" i="9"/>
  <c r="EM133" i="9"/>
  <c r="EN137" i="9"/>
  <c r="EL137" i="9"/>
  <c r="EM137" i="9"/>
  <c r="EN141" i="9"/>
  <c r="EL141" i="9"/>
  <c r="EM141" i="9"/>
  <c r="EN145" i="9"/>
  <c r="EL145" i="9"/>
  <c r="EM145" i="9"/>
  <c r="EN149" i="9"/>
  <c r="EL149" i="9"/>
  <c r="EM149" i="9"/>
  <c r="EN153" i="9"/>
  <c r="EL153" i="9"/>
  <c r="EM153" i="9"/>
  <c r="EN157" i="9"/>
  <c r="EL157" i="9"/>
  <c r="EM157" i="9"/>
  <c r="EN161" i="9"/>
  <c r="EL161" i="9"/>
  <c r="EM161" i="9"/>
  <c r="EN165" i="9"/>
  <c r="EL165" i="9"/>
  <c r="EM165" i="9"/>
  <c r="EN169" i="9"/>
  <c r="EL169" i="9"/>
  <c r="EM169" i="9"/>
  <c r="EN173" i="9"/>
  <c r="EL173" i="9"/>
  <c r="EM173" i="9"/>
  <c r="EN177" i="9"/>
  <c r="EL177" i="9"/>
  <c r="EM177" i="9"/>
  <c r="EN181" i="9"/>
  <c r="EL181" i="9"/>
  <c r="EM181" i="9"/>
  <c r="EN185" i="9"/>
  <c r="EL185" i="9"/>
  <c r="EM185" i="9"/>
  <c r="EN189" i="9"/>
  <c r="EL189" i="9"/>
  <c r="EM189" i="9"/>
  <c r="EN193" i="9"/>
  <c r="EL193" i="9"/>
  <c r="EM193" i="9"/>
  <c r="EN197" i="9"/>
  <c r="EL197" i="9"/>
  <c r="EM197" i="9"/>
  <c r="EN201" i="9"/>
  <c r="EL201" i="9"/>
  <c r="EM201" i="9"/>
  <c r="EN205" i="9"/>
  <c r="EL205" i="9"/>
  <c r="EM205" i="9"/>
  <c r="EN209" i="9"/>
  <c r="EL209" i="9"/>
  <c r="EM209" i="9"/>
  <c r="EN213" i="9"/>
  <c r="EL213" i="9"/>
  <c r="EM213" i="9"/>
  <c r="EN217" i="9"/>
  <c r="EL217" i="9"/>
  <c r="EM217" i="9"/>
  <c r="EN221" i="9"/>
  <c r="EL221" i="9"/>
  <c r="EM221" i="9"/>
  <c r="EN225" i="9"/>
  <c r="EL225" i="9"/>
  <c r="EM225" i="9"/>
  <c r="EN229" i="9"/>
  <c r="EL229" i="9"/>
  <c r="EM229" i="9"/>
  <c r="EN233" i="9"/>
  <c r="EL233" i="9"/>
  <c r="EM233" i="9"/>
  <c r="EN237" i="9"/>
  <c r="EL237" i="9"/>
  <c r="EM237" i="9"/>
  <c r="EN241" i="9"/>
  <c r="EL241" i="9"/>
  <c r="EM241" i="9"/>
  <c r="EN245" i="9"/>
  <c r="EL245" i="9"/>
  <c r="EM245" i="9"/>
  <c r="EN249" i="9"/>
  <c r="EL249" i="9"/>
  <c r="EM249" i="9"/>
  <c r="EN253" i="9"/>
  <c r="EL253" i="9"/>
  <c r="EM253" i="9"/>
  <c r="EM86" i="9"/>
  <c r="EN86" i="9"/>
  <c r="EL86" i="9"/>
  <c r="EM90" i="9"/>
  <c r="EN90" i="9"/>
  <c r="EL90" i="9"/>
  <c r="EM94" i="9"/>
  <c r="EN94" i="9"/>
  <c r="EL94" i="9"/>
  <c r="EM98" i="9"/>
  <c r="EN98" i="9"/>
  <c r="EL98" i="9"/>
  <c r="EM102" i="9"/>
  <c r="EN102" i="9"/>
  <c r="EL102" i="9"/>
  <c r="EM106" i="9"/>
  <c r="EN106" i="9"/>
  <c r="EL106" i="9"/>
  <c r="EM110" i="9"/>
  <c r="EN110" i="9"/>
  <c r="EL110" i="9"/>
  <c r="EM114" i="9"/>
  <c r="EN114" i="9"/>
  <c r="EL114" i="9"/>
  <c r="EM118" i="9"/>
  <c r="EN118" i="9"/>
  <c r="EL118" i="9"/>
  <c r="EM122" i="9"/>
  <c r="EN122" i="9"/>
  <c r="EL122" i="9"/>
  <c r="EM126" i="9"/>
  <c r="EN126" i="9"/>
  <c r="EL126" i="9"/>
  <c r="EM130" i="9"/>
  <c r="EN130" i="9"/>
  <c r="EL130" i="9"/>
  <c r="EM134" i="9"/>
  <c r="EN134" i="9"/>
  <c r="EL134" i="9"/>
  <c r="EM138" i="9"/>
  <c r="EN138" i="9"/>
  <c r="EL138" i="9"/>
  <c r="EM142" i="9"/>
  <c r="EN142" i="9"/>
  <c r="EL142" i="9"/>
  <c r="EM146" i="9"/>
  <c r="EN146" i="9"/>
  <c r="EL146" i="9"/>
  <c r="EM150" i="9"/>
  <c r="EN150" i="9"/>
  <c r="EL150" i="9"/>
  <c r="EM154" i="9"/>
  <c r="EN154" i="9"/>
  <c r="EL154" i="9"/>
  <c r="EM158" i="9"/>
  <c r="EN158" i="9"/>
  <c r="EL158" i="9"/>
  <c r="EM162" i="9"/>
  <c r="EN162" i="9"/>
  <c r="EL162" i="9"/>
  <c r="EM166" i="9"/>
  <c r="EN166" i="9"/>
  <c r="EL166" i="9"/>
  <c r="EM170" i="9"/>
  <c r="EN170" i="9"/>
  <c r="EL170" i="9"/>
  <c r="EM174" i="9"/>
  <c r="EN174" i="9"/>
  <c r="EL174" i="9"/>
  <c r="EM178" i="9"/>
  <c r="EN178" i="9"/>
  <c r="EL178" i="9"/>
  <c r="EM182" i="9"/>
  <c r="EN182" i="9"/>
  <c r="EL182" i="9"/>
  <c r="EM186" i="9"/>
  <c r="EN186" i="9"/>
  <c r="EL186" i="9"/>
  <c r="EM190" i="9"/>
  <c r="EN190" i="9"/>
  <c r="EL190" i="9"/>
  <c r="EM194" i="9"/>
  <c r="EN194" i="9"/>
  <c r="EL194" i="9"/>
  <c r="EM198" i="9"/>
  <c r="EN198" i="9"/>
  <c r="EL198" i="9"/>
  <c r="EM202" i="9"/>
  <c r="EN202" i="9"/>
  <c r="EL202" i="9"/>
  <c r="EM206" i="9"/>
  <c r="EN206" i="9"/>
  <c r="EL206" i="9"/>
  <c r="EM210" i="9"/>
  <c r="EN210" i="9"/>
  <c r="EL210" i="9"/>
  <c r="EM214" i="9"/>
  <c r="EN214" i="9"/>
  <c r="EL214" i="9"/>
  <c r="EM218" i="9"/>
  <c r="EN218" i="9"/>
  <c r="EL218" i="9"/>
  <c r="EM222" i="9"/>
  <c r="EN222" i="9"/>
  <c r="EL222" i="9"/>
  <c r="EM226" i="9"/>
  <c r="EN226" i="9"/>
  <c r="EL226" i="9"/>
  <c r="EM230" i="9"/>
  <c r="EN230" i="9"/>
  <c r="EL230" i="9"/>
  <c r="EM234" i="9"/>
  <c r="EN234" i="9"/>
  <c r="EL234" i="9"/>
  <c r="EM238" i="9"/>
  <c r="EN238" i="9"/>
  <c r="EL238" i="9"/>
  <c r="EM242" i="9"/>
  <c r="EN242" i="9"/>
  <c r="EL242" i="9"/>
  <c r="EM246" i="9"/>
  <c r="EN246" i="9"/>
  <c r="EL246" i="9"/>
  <c r="EM250" i="9"/>
  <c r="EN250" i="9"/>
  <c r="EL250" i="9"/>
  <c r="EM254" i="9"/>
  <c r="EN254" i="9"/>
  <c r="EL254" i="9"/>
  <c r="EN87" i="9"/>
  <c r="EL87" i="9"/>
  <c r="EM87" i="9"/>
  <c r="EN91" i="9"/>
  <c r="EL91" i="9"/>
  <c r="EM91" i="9"/>
  <c r="EN95" i="9"/>
  <c r="EL95" i="9"/>
  <c r="EM95" i="9"/>
  <c r="EN99" i="9"/>
  <c r="EL99" i="9"/>
  <c r="EM99" i="9"/>
  <c r="EN103" i="9"/>
  <c r="EL103" i="9"/>
  <c r="EM103" i="9"/>
  <c r="EN107" i="9"/>
  <c r="EL107" i="9"/>
  <c r="EM107" i="9"/>
  <c r="EN111" i="9"/>
  <c r="EL111" i="9"/>
  <c r="EM111" i="9"/>
  <c r="EN115" i="9"/>
  <c r="EL115" i="9"/>
  <c r="EM115" i="9"/>
  <c r="EN119" i="9"/>
  <c r="EL119" i="9"/>
  <c r="EM119" i="9"/>
  <c r="EN123" i="9"/>
  <c r="EL123" i="9"/>
  <c r="EM123" i="9"/>
  <c r="EN127" i="9"/>
  <c r="EL127" i="9"/>
  <c r="EM127" i="9"/>
  <c r="EN131" i="9"/>
  <c r="EL131" i="9"/>
  <c r="EM131" i="9"/>
  <c r="EN135" i="9"/>
  <c r="EL135" i="9"/>
  <c r="EM135" i="9"/>
  <c r="EN139" i="9"/>
  <c r="EL139" i="9"/>
  <c r="EM139" i="9"/>
  <c r="EN143" i="9"/>
  <c r="EL143" i="9"/>
  <c r="EM143" i="9"/>
  <c r="EN147" i="9"/>
  <c r="EL147" i="9"/>
  <c r="EM147" i="9"/>
  <c r="EN151" i="9"/>
  <c r="EL151" i="9"/>
  <c r="EM151" i="9"/>
  <c r="EN155" i="9"/>
  <c r="EL155" i="9"/>
  <c r="EM155" i="9"/>
  <c r="EN159" i="9"/>
  <c r="EM159" i="9"/>
  <c r="EL159" i="9"/>
  <c r="EN163" i="9"/>
  <c r="EL163" i="9"/>
  <c r="EM163" i="9"/>
  <c r="EN167" i="9"/>
  <c r="EL167" i="9"/>
  <c r="EM167" i="9"/>
  <c r="EN171" i="9"/>
  <c r="EL171" i="9"/>
  <c r="EM171" i="9"/>
  <c r="EN175" i="9"/>
  <c r="EL175" i="9"/>
  <c r="EM175" i="9"/>
  <c r="EN179" i="9"/>
  <c r="EL179" i="9"/>
  <c r="EM179" i="9"/>
  <c r="EN183" i="9"/>
  <c r="EL183" i="9"/>
  <c r="EM183" i="9"/>
  <c r="EN187" i="9"/>
  <c r="EL187" i="9"/>
  <c r="EM187" i="9"/>
  <c r="EN191" i="9"/>
  <c r="EL191" i="9"/>
  <c r="EM191" i="9"/>
  <c r="EN195" i="9"/>
  <c r="EL195" i="9"/>
  <c r="EM195" i="9"/>
  <c r="EN199" i="9"/>
  <c r="EL199" i="9"/>
  <c r="EM199" i="9"/>
  <c r="EN203" i="9"/>
  <c r="EL203" i="9"/>
  <c r="EM203" i="9"/>
  <c r="EN207" i="9"/>
  <c r="EL207" i="9"/>
  <c r="EM207" i="9"/>
  <c r="EN211" i="9"/>
  <c r="EL211" i="9"/>
  <c r="EM211" i="9"/>
  <c r="EN215" i="9"/>
  <c r="EL215" i="9"/>
  <c r="EM215" i="9"/>
  <c r="EN219" i="9"/>
  <c r="EL219" i="9"/>
  <c r="EM219" i="9"/>
  <c r="EN223" i="9"/>
  <c r="EL223" i="9"/>
  <c r="EM223" i="9"/>
  <c r="EN227" i="9"/>
  <c r="EL227" i="9"/>
  <c r="EM227" i="9"/>
  <c r="EN231" i="9"/>
  <c r="EL231" i="9"/>
  <c r="EM231" i="9"/>
  <c r="EN235" i="9"/>
  <c r="EL235" i="9"/>
  <c r="EM235" i="9"/>
  <c r="EN239" i="9"/>
  <c r="EL239" i="9"/>
  <c r="EM239" i="9"/>
  <c r="EN243" i="9"/>
  <c r="EL243" i="9"/>
  <c r="EM243" i="9"/>
  <c r="EN247" i="9"/>
  <c r="EL247" i="9"/>
  <c r="EM247" i="9"/>
  <c r="EN251" i="9"/>
  <c r="EL251" i="9"/>
  <c r="EM251" i="9"/>
  <c r="FV34" i="9"/>
  <c r="CW108" i="9"/>
  <c r="CX108" i="9"/>
  <c r="CW116" i="9"/>
  <c r="CX116" i="9"/>
  <c r="CW124" i="9"/>
  <c r="CX124" i="9"/>
  <c r="CW132" i="9"/>
  <c r="CX132" i="9"/>
  <c r="CW140" i="9"/>
  <c r="CX140" i="9"/>
  <c r="CW106" i="9"/>
  <c r="CX106" i="9"/>
  <c r="CW110" i="9"/>
  <c r="CX110" i="9"/>
  <c r="CW114" i="9"/>
  <c r="CX114" i="9"/>
  <c r="CW118" i="9"/>
  <c r="CX118" i="9"/>
  <c r="CW122" i="9"/>
  <c r="CX122" i="9"/>
  <c r="CW126" i="9"/>
  <c r="CX126" i="9"/>
  <c r="CW130" i="9"/>
  <c r="CX130" i="9"/>
  <c r="CW134" i="9"/>
  <c r="CX134" i="9"/>
  <c r="CW138" i="9"/>
  <c r="CX138" i="9"/>
  <c r="CW142" i="9"/>
  <c r="CX142" i="9"/>
  <c r="CW146" i="9"/>
  <c r="CX146" i="9"/>
  <c r="CW150" i="9"/>
  <c r="CX150" i="9"/>
  <c r="CW105" i="9"/>
  <c r="CX105" i="9"/>
  <c r="CW109" i="9"/>
  <c r="CX109" i="9"/>
  <c r="CW113" i="9"/>
  <c r="CX113" i="9"/>
  <c r="CW117" i="9"/>
  <c r="CX117" i="9"/>
  <c r="CW121" i="9"/>
  <c r="CX121" i="9"/>
  <c r="CW125" i="9"/>
  <c r="CX125" i="9"/>
  <c r="CW129" i="9"/>
  <c r="CX129" i="9"/>
  <c r="CW133" i="9"/>
  <c r="CX133" i="9"/>
  <c r="CW137" i="9"/>
  <c r="CX137" i="9"/>
  <c r="CW141" i="9"/>
  <c r="CX141" i="9"/>
  <c r="CW145" i="9"/>
  <c r="CX145" i="9"/>
  <c r="CW149" i="9"/>
  <c r="CX149" i="9"/>
  <c r="CW153" i="9"/>
  <c r="CX153" i="9"/>
  <c r="CW157" i="9"/>
  <c r="CX157" i="9"/>
  <c r="CW161" i="9"/>
  <c r="CX161" i="9"/>
  <c r="CW165" i="9"/>
  <c r="CX165" i="9"/>
  <c r="CW169" i="9"/>
  <c r="CX169" i="9"/>
  <c r="CW173" i="9"/>
  <c r="CX173" i="9"/>
  <c r="CW177" i="9"/>
  <c r="CX177" i="9"/>
  <c r="CW181" i="9"/>
  <c r="CX181" i="9"/>
  <c r="CW185" i="9"/>
  <c r="CX185" i="9"/>
  <c r="CW189" i="9"/>
  <c r="CX189" i="9"/>
  <c r="CW193" i="9"/>
  <c r="CX193" i="9"/>
  <c r="CW197" i="9"/>
  <c r="CX197" i="9"/>
  <c r="CW201" i="9"/>
  <c r="CX201" i="9"/>
  <c r="CW205" i="9"/>
  <c r="CX205" i="9"/>
  <c r="CW209" i="9"/>
  <c r="CX209" i="9"/>
  <c r="CW213" i="9"/>
  <c r="CX213" i="9"/>
  <c r="CW217" i="9"/>
  <c r="CX217" i="9"/>
  <c r="CW221" i="9"/>
  <c r="CX221" i="9"/>
  <c r="CW225" i="9"/>
  <c r="CX225" i="9"/>
  <c r="CW229" i="9"/>
  <c r="CX229" i="9"/>
  <c r="CW233" i="9"/>
  <c r="CX233" i="9"/>
  <c r="CW237" i="9"/>
  <c r="CX237" i="9"/>
  <c r="CW241" i="9"/>
  <c r="CX241" i="9"/>
  <c r="CW245" i="9"/>
  <c r="CX245" i="9"/>
  <c r="CW249" i="9"/>
  <c r="CX249" i="9"/>
  <c r="CW253" i="9"/>
  <c r="CX253" i="9"/>
  <c r="CW104" i="9"/>
  <c r="CX104" i="9"/>
  <c r="CW112" i="9"/>
  <c r="CX112" i="9"/>
  <c r="CW120" i="9"/>
  <c r="CX120" i="9"/>
  <c r="CW128" i="9"/>
  <c r="CX128" i="9"/>
  <c r="CW136" i="9"/>
  <c r="CX136" i="9"/>
  <c r="CW144" i="9"/>
  <c r="CX144" i="9"/>
  <c r="CW148" i="9"/>
  <c r="CX148" i="9"/>
  <c r="CW252" i="9"/>
  <c r="CX252" i="9"/>
  <c r="CW107" i="9"/>
  <c r="CX107" i="9"/>
  <c r="CW111" i="9"/>
  <c r="CX111" i="9"/>
  <c r="CW115" i="9"/>
  <c r="CX115" i="9"/>
  <c r="CW119" i="9"/>
  <c r="CX119" i="9"/>
  <c r="CW123" i="9"/>
  <c r="CX123" i="9"/>
  <c r="CW127" i="9"/>
  <c r="CX127" i="9"/>
  <c r="CW131" i="9"/>
  <c r="CX131" i="9"/>
  <c r="CW135" i="9"/>
  <c r="CX135" i="9"/>
  <c r="CW139" i="9"/>
  <c r="CX139" i="9"/>
  <c r="CW143" i="9"/>
  <c r="CX143" i="9"/>
  <c r="CW147" i="9"/>
  <c r="CX147" i="9"/>
  <c r="CW151" i="9"/>
  <c r="CX151" i="9"/>
  <c r="CW155" i="9"/>
  <c r="CX155" i="9"/>
  <c r="CW159" i="9"/>
  <c r="CX159" i="9"/>
  <c r="CW163" i="9"/>
  <c r="CX163" i="9"/>
  <c r="CW167" i="9"/>
  <c r="CX167" i="9"/>
  <c r="CW171" i="9"/>
  <c r="CX171" i="9"/>
  <c r="CW175" i="9"/>
  <c r="CX175" i="9"/>
  <c r="CW179" i="9"/>
  <c r="CX179" i="9"/>
  <c r="CW183" i="9"/>
  <c r="CX183" i="9"/>
  <c r="CW187" i="9"/>
  <c r="CX187" i="9"/>
  <c r="CW191" i="9"/>
  <c r="CX191" i="9"/>
  <c r="CW195" i="9"/>
  <c r="CX195" i="9"/>
  <c r="CW199" i="9"/>
  <c r="CX199" i="9"/>
  <c r="CW203" i="9"/>
  <c r="CX203" i="9"/>
  <c r="CW207" i="9"/>
  <c r="CX207" i="9"/>
  <c r="CW211" i="9"/>
  <c r="CX211" i="9"/>
  <c r="CW215" i="9"/>
  <c r="CX215" i="9"/>
  <c r="CW219" i="9"/>
  <c r="CX219" i="9"/>
  <c r="CW223" i="9"/>
  <c r="CX223" i="9"/>
  <c r="CW227" i="9"/>
  <c r="CX227" i="9"/>
  <c r="CW231" i="9"/>
  <c r="CX231" i="9"/>
  <c r="CW235" i="9"/>
  <c r="CX235" i="9"/>
  <c r="CW239" i="9"/>
  <c r="CX239" i="9"/>
  <c r="CW243" i="9"/>
  <c r="CX243" i="9"/>
  <c r="CW247" i="9"/>
  <c r="CX247" i="9"/>
  <c r="CW251" i="9"/>
  <c r="CX251" i="9"/>
  <c r="Q5" i="9"/>
  <c r="BT17" i="9"/>
  <c r="P19" i="9"/>
  <c r="Q21" i="9"/>
  <c r="BV18" i="9"/>
  <c r="P11" i="9"/>
  <c r="P27" i="9"/>
  <c r="Q13" i="9"/>
  <c r="Q29" i="9"/>
  <c r="BV10" i="9"/>
  <c r="BU32" i="9"/>
  <c r="BU25" i="9"/>
  <c r="P7" i="9"/>
  <c r="P15" i="9"/>
  <c r="P23" i="9"/>
  <c r="P31" i="9"/>
  <c r="Q9" i="9"/>
  <c r="Q17" i="9"/>
  <c r="Q25" i="9"/>
  <c r="Q33" i="9"/>
  <c r="BM11" i="9"/>
  <c r="BM19" i="9"/>
  <c r="BM27" i="9"/>
  <c r="BT9" i="9"/>
  <c r="BO4" i="9"/>
  <c r="BO12" i="9"/>
  <c r="BO20" i="9"/>
  <c r="BO28" i="9"/>
  <c r="BU24" i="9"/>
  <c r="BU33" i="9"/>
  <c r="DZ29" i="9"/>
  <c r="DY29" i="9"/>
  <c r="DZ21" i="9"/>
  <c r="DY21" i="9"/>
  <c r="DZ13" i="9"/>
  <c r="DY13" i="9"/>
  <c r="DY32" i="9"/>
  <c r="DX32" i="9"/>
  <c r="DZ32" i="9"/>
  <c r="DY24" i="9"/>
  <c r="DX24" i="9"/>
  <c r="DZ24" i="9"/>
  <c r="DY16" i="9"/>
  <c r="DX16" i="9"/>
  <c r="DZ16" i="9"/>
  <c r="DY8" i="9"/>
  <c r="DX8" i="9"/>
  <c r="DZ8" i="9"/>
  <c r="DY4" i="9"/>
  <c r="DX4" i="9"/>
  <c r="BU27" i="9"/>
  <c r="BV27" i="9"/>
  <c r="BU19" i="9"/>
  <c r="BT19" i="9"/>
  <c r="BU11" i="9"/>
  <c r="BT11" i="9"/>
  <c r="BT30" i="9"/>
  <c r="BU30" i="9"/>
  <c r="BT22" i="9"/>
  <c r="BU22" i="9"/>
  <c r="BV20" i="9"/>
  <c r="BU20" i="9"/>
  <c r="BV12" i="9"/>
  <c r="BU12" i="9"/>
  <c r="BV4" i="9"/>
  <c r="BU4" i="9"/>
  <c r="BN9" i="9"/>
  <c r="BM9" i="9"/>
  <c r="BN17" i="9"/>
  <c r="BM17" i="9"/>
  <c r="BN25" i="9"/>
  <c r="BM25" i="9"/>
  <c r="BO6" i="9"/>
  <c r="BN6" i="9"/>
  <c r="BO14" i="9"/>
  <c r="BN14" i="9"/>
  <c r="BO22" i="9"/>
  <c r="BN22" i="9"/>
  <c r="BO30" i="9"/>
  <c r="BN30" i="9"/>
  <c r="BN8" i="9"/>
  <c r="BN16" i="9"/>
  <c r="BN24" i="9"/>
  <c r="BN32" i="9"/>
  <c r="BU6" i="9"/>
  <c r="BV11" i="9"/>
  <c r="BU14" i="9"/>
  <c r="BV19" i="9"/>
  <c r="P8" i="9"/>
  <c r="P16" i="9"/>
  <c r="P24" i="9"/>
  <c r="P32" i="9"/>
  <c r="Q10" i="9"/>
  <c r="Q18" i="9"/>
  <c r="Q26" i="9"/>
  <c r="BN7" i="9"/>
  <c r="BN15" i="9"/>
  <c r="BN23" i="9"/>
  <c r="BN31" i="9"/>
  <c r="BU5" i="9"/>
  <c r="BU13" i="9"/>
  <c r="BV21" i="9"/>
  <c r="BT27" i="9"/>
  <c r="BV29" i="9"/>
  <c r="BV22" i="9"/>
  <c r="BT28" i="9"/>
  <c r="BV30" i="9"/>
  <c r="DY7" i="9"/>
  <c r="DX18" i="9"/>
  <c r="DY23" i="9"/>
  <c r="DZ7" i="9"/>
  <c r="DX13" i="9"/>
  <c r="DY18" i="9"/>
  <c r="DZ23" i="9"/>
  <c r="DX29" i="9"/>
  <c r="DZ33" i="9"/>
  <c r="DY33" i="9"/>
  <c r="DX33" i="9"/>
  <c r="DZ25" i="9"/>
  <c r="DY25" i="9"/>
  <c r="DX25" i="9"/>
  <c r="DZ17" i="9"/>
  <c r="DY17" i="9"/>
  <c r="DX17" i="9"/>
  <c r="DZ9" i="9"/>
  <c r="DY9" i="9"/>
  <c r="DX9" i="9"/>
  <c r="DY28" i="9"/>
  <c r="DX28" i="9"/>
  <c r="DY20" i="9"/>
  <c r="DX20" i="9"/>
  <c r="DY12" i="9"/>
  <c r="DX12" i="9"/>
  <c r="DZ5" i="9"/>
  <c r="DY5" i="9"/>
  <c r="BU31" i="9"/>
  <c r="BV31" i="9"/>
  <c r="BU23" i="9"/>
  <c r="BV23" i="9"/>
  <c r="BU15" i="9"/>
  <c r="BT15" i="9"/>
  <c r="BU7" i="9"/>
  <c r="BT7" i="9"/>
  <c r="BT26" i="9"/>
  <c r="BU26" i="9"/>
  <c r="BV16" i="9"/>
  <c r="BU16" i="9"/>
  <c r="BV8" i="9"/>
  <c r="BU8" i="9"/>
  <c r="BN5" i="9"/>
  <c r="BM5" i="9"/>
  <c r="BN13" i="9"/>
  <c r="BM13" i="9"/>
  <c r="BN21" i="9"/>
  <c r="BM21" i="9"/>
  <c r="BN29" i="9"/>
  <c r="BM29" i="9"/>
  <c r="DX27" i="9"/>
  <c r="DZ27" i="9"/>
  <c r="DY27" i="9"/>
  <c r="DX19" i="9"/>
  <c r="DZ19" i="9"/>
  <c r="DY19" i="9"/>
  <c r="DX11" i="9"/>
  <c r="DZ11" i="9"/>
  <c r="DY11" i="9"/>
  <c r="DZ30" i="9"/>
  <c r="DY30" i="9"/>
  <c r="DX30" i="9"/>
  <c r="DZ22" i="9"/>
  <c r="DY22" i="9"/>
  <c r="DX22" i="9"/>
  <c r="DZ14" i="9"/>
  <c r="DY14" i="9"/>
  <c r="DX14" i="9"/>
  <c r="DZ6" i="9"/>
  <c r="DY6" i="9"/>
  <c r="DX6" i="9"/>
  <c r="BO10" i="9"/>
  <c r="BN10" i="9"/>
  <c r="BO18" i="9"/>
  <c r="BN18" i="9"/>
  <c r="BO26" i="9"/>
  <c r="BN26" i="9"/>
  <c r="BN4" i="9"/>
  <c r="BM7" i="9"/>
  <c r="BO9" i="9"/>
  <c r="BN12" i="9"/>
  <c r="BM15" i="9"/>
  <c r="BO17" i="9"/>
  <c r="BN20" i="9"/>
  <c r="BM23" i="9"/>
  <c r="BO25" i="9"/>
  <c r="BN28" i="9"/>
  <c r="BM31" i="9"/>
  <c r="BT5" i="9"/>
  <c r="BV7" i="9"/>
  <c r="BU10" i="9"/>
  <c r="BT13" i="9"/>
  <c r="BV15" i="9"/>
  <c r="BU18" i="9"/>
  <c r="P4" i="9"/>
  <c r="P12" i="9"/>
  <c r="P20" i="9"/>
  <c r="P28" i="9"/>
  <c r="Q6" i="9"/>
  <c r="Q14" i="9"/>
  <c r="Q22" i="9"/>
  <c r="Q30" i="9"/>
  <c r="BM6" i="9"/>
  <c r="BO8" i="9"/>
  <c r="BN11" i="9"/>
  <c r="BM14" i="9"/>
  <c r="BO16" i="9"/>
  <c r="BN19" i="9"/>
  <c r="BM22" i="9"/>
  <c r="BO24" i="9"/>
  <c r="BN27" i="9"/>
  <c r="BM30" i="9"/>
  <c r="BO32" i="9"/>
  <c r="BT4" i="9"/>
  <c r="BV6" i="9"/>
  <c r="BU9" i="9"/>
  <c r="BT12" i="9"/>
  <c r="BV14" i="9"/>
  <c r="BU17" i="9"/>
  <c r="BT20" i="9"/>
  <c r="BT23" i="9"/>
  <c r="BV25" i="9"/>
  <c r="BU28" i="9"/>
  <c r="BT31" i="9"/>
  <c r="BV33" i="9"/>
  <c r="BU21" i="9"/>
  <c r="BT24" i="9"/>
  <c r="BV26" i="9"/>
  <c r="BU29" i="9"/>
  <c r="BT32" i="9"/>
  <c r="DZ4" i="9"/>
  <c r="DX10" i="9"/>
  <c r="DY15" i="9"/>
  <c r="DZ20" i="9"/>
  <c r="DX26" i="9"/>
  <c r="DY31" i="9"/>
  <c r="DX5" i="9"/>
  <c r="DY10" i="9"/>
  <c r="DZ15" i="9"/>
  <c r="DX21" i="9"/>
  <c r="DY26" i="9"/>
  <c r="DZ31" i="9"/>
  <c r="GD34" i="9"/>
  <c r="FW34" i="9"/>
  <c r="GC34" i="9"/>
  <c r="EF34" i="9"/>
  <c r="CP34" i="9"/>
  <c r="E21" i="13" s="1"/>
  <c r="C18" i="15" s="1"/>
  <c r="CQ34" i="9"/>
  <c r="C21" i="13" s="1"/>
  <c r="E18" i="15" s="1"/>
  <c r="EG34" i="9"/>
  <c r="CG6" i="9"/>
  <c r="CG10" i="9"/>
  <c r="CG14" i="9"/>
  <c r="CG18" i="9"/>
  <c r="CG22" i="9"/>
  <c r="CG26" i="9"/>
  <c r="CG30" i="9"/>
  <c r="CG7" i="9"/>
  <c r="CG11" i="9"/>
  <c r="CG15" i="9"/>
  <c r="CG19" i="9"/>
  <c r="CG23" i="9"/>
  <c r="CG27" i="9"/>
  <c r="CG31" i="9"/>
  <c r="CG4" i="9"/>
  <c r="CG8" i="9"/>
  <c r="CG12" i="9"/>
  <c r="CG16" i="9"/>
  <c r="CG20" i="9"/>
  <c r="CG24" i="9"/>
  <c r="CG28" i="9"/>
  <c r="CG32" i="9"/>
  <c r="CG5" i="9"/>
  <c r="CG9" i="9"/>
  <c r="CG13" i="9"/>
  <c r="CG17" i="9"/>
  <c r="CG21" i="9"/>
  <c r="CG25" i="9"/>
  <c r="CG29" i="9"/>
  <c r="CG33" i="9"/>
  <c r="FF6" i="9"/>
  <c r="FF10" i="9"/>
  <c r="FF14" i="9"/>
  <c r="FF18" i="9"/>
  <c r="FF22" i="9"/>
  <c r="FF26" i="9"/>
  <c r="FF30" i="9"/>
  <c r="FF7" i="9"/>
  <c r="FF11" i="9"/>
  <c r="FF15" i="9"/>
  <c r="FF19" i="9"/>
  <c r="FF23" i="9"/>
  <c r="FF27" i="9"/>
  <c r="FF31" i="9"/>
  <c r="FF4" i="9"/>
  <c r="FF8" i="9"/>
  <c r="FF12" i="9"/>
  <c r="FF16" i="9"/>
  <c r="FF20" i="9"/>
  <c r="FF24" i="9"/>
  <c r="FF28" i="9"/>
  <c r="FF32" i="9"/>
  <c r="FF5" i="9"/>
  <c r="FF9" i="9"/>
  <c r="FF13" i="9"/>
  <c r="FF17" i="9"/>
  <c r="FF21" i="9"/>
  <c r="FF25" i="9"/>
  <c r="FF29" i="9"/>
  <c r="FF33" i="9"/>
  <c r="EK4" i="9"/>
  <c r="EK8" i="9"/>
  <c r="EK12" i="9"/>
  <c r="EK16" i="9"/>
  <c r="EK20" i="9"/>
  <c r="EK24" i="9"/>
  <c r="EK28" i="9"/>
  <c r="EK32" i="9"/>
  <c r="EK36" i="9"/>
  <c r="EK40" i="9"/>
  <c r="EK44" i="9"/>
  <c r="EK48" i="9"/>
  <c r="EK52" i="9"/>
  <c r="EK56" i="9"/>
  <c r="EK60" i="9"/>
  <c r="EK64" i="9"/>
  <c r="EK68" i="9"/>
  <c r="EK72" i="9"/>
  <c r="EK76" i="9"/>
  <c r="EK80" i="9"/>
  <c r="EK84" i="9"/>
  <c r="EK6" i="9"/>
  <c r="EK10" i="9"/>
  <c r="EK14" i="9"/>
  <c r="EK18" i="9"/>
  <c r="EK22" i="9"/>
  <c r="EK26" i="9"/>
  <c r="EK30" i="9"/>
  <c r="EK34" i="9"/>
  <c r="EK38" i="9"/>
  <c r="EK42" i="9"/>
  <c r="EK46" i="9"/>
  <c r="EK50" i="9"/>
  <c r="EK54" i="9"/>
  <c r="EK58" i="9"/>
  <c r="EK62" i="9"/>
  <c r="EK66" i="9"/>
  <c r="EK70" i="9"/>
  <c r="EK74" i="9"/>
  <c r="EK78" i="9"/>
  <c r="EK82" i="9"/>
  <c r="DI6" i="9"/>
  <c r="DI10" i="9"/>
  <c r="DI14" i="9"/>
  <c r="DI18" i="9"/>
  <c r="DI22" i="9"/>
  <c r="DI26" i="9"/>
  <c r="DI30" i="9"/>
  <c r="DI7" i="9"/>
  <c r="DI11" i="9"/>
  <c r="DI15" i="9"/>
  <c r="DI19" i="9"/>
  <c r="DI23" i="9"/>
  <c r="DI27" i="9"/>
  <c r="DI31" i="9"/>
  <c r="EK5" i="9"/>
  <c r="EK9" i="9"/>
  <c r="EK13" i="9"/>
  <c r="EK17" i="9"/>
  <c r="EK21" i="9"/>
  <c r="EK25" i="9"/>
  <c r="EK29" i="9"/>
  <c r="EK33" i="9"/>
  <c r="EK37" i="9"/>
  <c r="EK41" i="9"/>
  <c r="EK45" i="9"/>
  <c r="EK49" i="9"/>
  <c r="EK53" i="9"/>
  <c r="EK57" i="9"/>
  <c r="EK61" i="9"/>
  <c r="EK65" i="9"/>
  <c r="EK69" i="9"/>
  <c r="EK73" i="9"/>
  <c r="EK77" i="9"/>
  <c r="EK81" i="9"/>
  <c r="DI4" i="9"/>
  <c r="DI8" i="9"/>
  <c r="DI12" i="9"/>
  <c r="DI16" i="9"/>
  <c r="DI20" i="9"/>
  <c r="DI24" i="9"/>
  <c r="DI28" i="9"/>
  <c r="DI32" i="9"/>
  <c r="DI5" i="9"/>
  <c r="DI9" i="9"/>
  <c r="DI13" i="9"/>
  <c r="DI17" i="9"/>
  <c r="DI21" i="9"/>
  <c r="DI25" i="9"/>
  <c r="DI29" i="9"/>
  <c r="DI33" i="9"/>
  <c r="EK7" i="9"/>
  <c r="EK11" i="9"/>
  <c r="EK15" i="9"/>
  <c r="EK19" i="9"/>
  <c r="EK23" i="9"/>
  <c r="EK27" i="9"/>
  <c r="EK31" i="9"/>
  <c r="EK35" i="9"/>
  <c r="EK39" i="9"/>
  <c r="EK43" i="9"/>
  <c r="EK47" i="9"/>
  <c r="EK51" i="9"/>
  <c r="EK55" i="9"/>
  <c r="EK59" i="9"/>
  <c r="EK63" i="9"/>
  <c r="EK67" i="9"/>
  <c r="EK71" i="9"/>
  <c r="EK75" i="9"/>
  <c r="EK79" i="9"/>
  <c r="EK83" i="9"/>
  <c r="CU34" i="9"/>
  <c r="CV34" i="9" s="1"/>
  <c r="CU38" i="9"/>
  <c r="CV38" i="9" s="1"/>
  <c r="CU42" i="9"/>
  <c r="CV42" i="9" s="1"/>
  <c r="CU46" i="9"/>
  <c r="CV46" i="9" s="1"/>
  <c r="CU50" i="9"/>
  <c r="CV50" i="9" s="1"/>
  <c r="CU54" i="9"/>
  <c r="CV54" i="9" s="1"/>
  <c r="CU58" i="9"/>
  <c r="CV58" i="9" s="1"/>
  <c r="CU62" i="9"/>
  <c r="CV62" i="9" s="1"/>
  <c r="CU66" i="9"/>
  <c r="CV66" i="9" s="1"/>
  <c r="CU70" i="9"/>
  <c r="CV70" i="9" s="1"/>
  <c r="CU74" i="9"/>
  <c r="CV74" i="9" s="1"/>
  <c r="CU78" i="9"/>
  <c r="CV78" i="9" s="1"/>
  <c r="CU82" i="9"/>
  <c r="CV82" i="9" s="1"/>
  <c r="CU86" i="9"/>
  <c r="CV86" i="9" s="1"/>
  <c r="CU90" i="9"/>
  <c r="CV90" i="9" s="1"/>
  <c r="CU94" i="9"/>
  <c r="CV94" i="9" s="1"/>
  <c r="CU98" i="9"/>
  <c r="CV98" i="9" s="1"/>
  <c r="CU102" i="9"/>
  <c r="CV102" i="9" s="1"/>
  <c r="CU154" i="9"/>
  <c r="CV154" i="9" s="1"/>
  <c r="CU158" i="9"/>
  <c r="CV158" i="9" s="1"/>
  <c r="CU162" i="9"/>
  <c r="CV162" i="9" s="1"/>
  <c r="CU166" i="9"/>
  <c r="CV166" i="9" s="1"/>
  <c r="CU170" i="9"/>
  <c r="CV170" i="9" s="1"/>
  <c r="CU174" i="9"/>
  <c r="CV174" i="9" s="1"/>
  <c r="CU178" i="9"/>
  <c r="CV178" i="9" s="1"/>
  <c r="CU182" i="9"/>
  <c r="CV182" i="9" s="1"/>
  <c r="CU186" i="9"/>
  <c r="CV186" i="9" s="1"/>
  <c r="CU190" i="9"/>
  <c r="CV190" i="9" s="1"/>
  <c r="CU194" i="9"/>
  <c r="CV194" i="9" s="1"/>
  <c r="CU198" i="9"/>
  <c r="CV198" i="9" s="1"/>
  <c r="CU202" i="9"/>
  <c r="CV202" i="9" s="1"/>
  <c r="CU206" i="9"/>
  <c r="CV206" i="9" s="1"/>
  <c r="CU210" i="9"/>
  <c r="CV210" i="9" s="1"/>
  <c r="CU214" i="9"/>
  <c r="CV214" i="9" s="1"/>
  <c r="CU218" i="9"/>
  <c r="CV218" i="9" s="1"/>
  <c r="CU222" i="9"/>
  <c r="CV222" i="9" s="1"/>
  <c r="CU226" i="9"/>
  <c r="CV226" i="9" s="1"/>
  <c r="CU230" i="9"/>
  <c r="CV230" i="9" s="1"/>
  <c r="CU234" i="9"/>
  <c r="CV234" i="9" s="1"/>
  <c r="CU238" i="9"/>
  <c r="CV238" i="9" s="1"/>
  <c r="CU242" i="9"/>
  <c r="CV242" i="9" s="1"/>
  <c r="CU246" i="9"/>
  <c r="CV246" i="9" s="1"/>
  <c r="CU250" i="9"/>
  <c r="CV250" i="9" s="1"/>
  <c r="CU254" i="9"/>
  <c r="CV254" i="9" s="1"/>
  <c r="CU36" i="9"/>
  <c r="CV36" i="9" s="1"/>
  <c r="CU40" i="9"/>
  <c r="CV40" i="9" s="1"/>
  <c r="CU44" i="9"/>
  <c r="CV44" i="9" s="1"/>
  <c r="CU48" i="9"/>
  <c r="CV48" i="9" s="1"/>
  <c r="CU52" i="9"/>
  <c r="CV52" i="9" s="1"/>
  <c r="CU56" i="9"/>
  <c r="CV56" i="9" s="1"/>
  <c r="CU60" i="9"/>
  <c r="CV60" i="9" s="1"/>
  <c r="CU64" i="9"/>
  <c r="CV64" i="9" s="1"/>
  <c r="CU68" i="9"/>
  <c r="CV68" i="9" s="1"/>
  <c r="CU72" i="9"/>
  <c r="CV72" i="9" s="1"/>
  <c r="CU76" i="9"/>
  <c r="CV76" i="9" s="1"/>
  <c r="CU80" i="9"/>
  <c r="CV80" i="9" s="1"/>
  <c r="CU84" i="9"/>
  <c r="CV84" i="9" s="1"/>
  <c r="CU88" i="9"/>
  <c r="CV88" i="9" s="1"/>
  <c r="CU92" i="9"/>
  <c r="CV92" i="9" s="1"/>
  <c r="CU96" i="9"/>
  <c r="CV96" i="9" s="1"/>
  <c r="CU100" i="9"/>
  <c r="CV100" i="9" s="1"/>
  <c r="CU152" i="9"/>
  <c r="CV152" i="9" s="1"/>
  <c r="CU156" i="9"/>
  <c r="CV156" i="9" s="1"/>
  <c r="CU160" i="9"/>
  <c r="CV160" i="9" s="1"/>
  <c r="CU164" i="9"/>
  <c r="CV164" i="9" s="1"/>
  <c r="CU168" i="9"/>
  <c r="CV168" i="9" s="1"/>
  <c r="CU172" i="9"/>
  <c r="CV172" i="9" s="1"/>
  <c r="CU176" i="9"/>
  <c r="CV176" i="9" s="1"/>
  <c r="CU180" i="9"/>
  <c r="CV180" i="9" s="1"/>
  <c r="CU184" i="9"/>
  <c r="CV184" i="9" s="1"/>
  <c r="CU188" i="9"/>
  <c r="CV188" i="9" s="1"/>
  <c r="CU192" i="9"/>
  <c r="CV192" i="9" s="1"/>
  <c r="CU196" i="9"/>
  <c r="CV196" i="9" s="1"/>
  <c r="CU200" i="9"/>
  <c r="CV200" i="9" s="1"/>
  <c r="CU204" i="9"/>
  <c r="CV204" i="9" s="1"/>
  <c r="CU208" i="9"/>
  <c r="CV208" i="9" s="1"/>
  <c r="CU212" i="9"/>
  <c r="CV212" i="9" s="1"/>
  <c r="CU216" i="9"/>
  <c r="CV216" i="9" s="1"/>
  <c r="CU220" i="9"/>
  <c r="CV220" i="9" s="1"/>
  <c r="CU224" i="9"/>
  <c r="CV224" i="9" s="1"/>
  <c r="CU228" i="9"/>
  <c r="CV228" i="9" s="1"/>
  <c r="CU232" i="9"/>
  <c r="CV232" i="9" s="1"/>
  <c r="CU236" i="9"/>
  <c r="CV236" i="9" s="1"/>
  <c r="CU240" i="9"/>
  <c r="CV240" i="9" s="1"/>
  <c r="CU244" i="9"/>
  <c r="CV244" i="9" s="1"/>
  <c r="CU248" i="9"/>
  <c r="CV248" i="9" s="1"/>
  <c r="CU103" i="9"/>
  <c r="CV103" i="9" s="1"/>
  <c r="CU37" i="9"/>
  <c r="CV37" i="9" s="1"/>
  <c r="CU41" i="9"/>
  <c r="CV41" i="9" s="1"/>
  <c r="CU45" i="9"/>
  <c r="CV45" i="9" s="1"/>
  <c r="CU49" i="9"/>
  <c r="CV49" i="9" s="1"/>
  <c r="CU53" i="9"/>
  <c r="CV53" i="9" s="1"/>
  <c r="CU57" i="9"/>
  <c r="CV57" i="9" s="1"/>
  <c r="CU61" i="9"/>
  <c r="CV61" i="9" s="1"/>
  <c r="CU65" i="9"/>
  <c r="CV65" i="9" s="1"/>
  <c r="CU69" i="9"/>
  <c r="CV69" i="9" s="1"/>
  <c r="CU73" i="9"/>
  <c r="CV73" i="9" s="1"/>
  <c r="CU77" i="9"/>
  <c r="CV77" i="9" s="1"/>
  <c r="CU81" i="9"/>
  <c r="CV81" i="9" s="1"/>
  <c r="CU85" i="9"/>
  <c r="CV85" i="9" s="1"/>
  <c r="CU89" i="9"/>
  <c r="CV89" i="9" s="1"/>
  <c r="CU93" i="9"/>
  <c r="CV93" i="9" s="1"/>
  <c r="CU97" i="9"/>
  <c r="CV97" i="9" s="1"/>
  <c r="CU101" i="9"/>
  <c r="CV101" i="9" s="1"/>
  <c r="CU35" i="9"/>
  <c r="CV35" i="9" s="1"/>
  <c r="CU39" i="9"/>
  <c r="CV39" i="9" s="1"/>
  <c r="CU43" i="9"/>
  <c r="CV43" i="9" s="1"/>
  <c r="CU47" i="9"/>
  <c r="CV47" i="9" s="1"/>
  <c r="CU51" i="9"/>
  <c r="CV51" i="9" s="1"/>
  <c r="CU55" i="9"/>
  <c r="CV55" i="9" s="1"/>
  <c r="CU59" i="9"/>
  <c r="CV59" i="9" s="1"/>
  <c r="CU63" i="9"/>
  <c r="CV63" i="9" s="1"/>
  <c r="CU67" i="9"/>
  <c r="CV67" i="9" s="1"/>
  <c r="CU71" i="9"/>
  <c r="CV71" i="9" s="1"/>
  <c r="CU75" i="9"/>
  <c r="CV75" i="9" s="1"/>
  <c r="CU79" i="9"/>
  <c r="CV79" i="9" s="1"/>
  <c r="CU83" i="9"/>
  <c r="CV83" i="9" s="1"/>
  <c r="CU87" i="9"/>
  <c r="CV87" i="9" s="1"/>
  <c r="CU91" i="9"/>
  <c r="CV91" i="9" s="1"/>
  <c r="CU95" i="9"/>
  <c r="CV95" i="9" s="1"/>
  <c r="CU99" i="9"/>
  <c r="CV99" i="9" s="1"/>
  <c r="AG32" i="9"/>
  <c r="AG5" i="9"/>
  <c r="AG9" i="9"/>
  <c r="AG11" i="9"/>
  <c r="AG13" i="9"/>
  <c r="AG15" i="9"/>
  <c r="AG17" i="9"/>
  <c r="AG19" i="9"/>
  <c r="AG21" i="9"/>
  <c r="AG23" i="9"/>
  <c r="AG25" i="9"/>
  <c r="AG27" i="9"/>
  <c r="AG29" i="9"/>
  <c r="AG31" i="9"/>
  <c r="AG33" i="9"/>
  <c r="AG7" i="9"/>
  <c r="AC34" i="9" l="1"/>
  <c r="EN83" i="9"/>
  <c r="EL83" i="9"/>
  <c r="EM83" i="9"/>
  <c r="EN75" i="9"/>
  <c r="EL75" i="9"/>
  <c r="EM75" i="9"/>
  <c r="EN67" i="9"/>
  <c r="EL67" i="9"/>
  <c r="EM67" i="9"/>
  <c r="EN59" i="9"/>
  <c r="EL59" i="9"/>
  <c r="EM59" i="9"/>
  <c r="EN51" i="9"/>
  <c r="EL51" i="9"/>
  <c r="EM51" i="9"/>
  <c r="EN43" i="9"/>
  <c r="EL43" i="9"/>
  <c r="EM43" i="9"/>
  <c r="EN35" i="9"/>
  <c r="EL35" i="9"/>
  <c r="EM35" i="9"/>
  <c r="EN81" i="9"/>
  <c r="EL81" i="9"/>
  <c r="EM81" i="9"/>
  <c r="EN73" i="9"/>
  <c r="EL73" i="9"/>
  <c r="EM73" i="9"/>
  <c r="EN65" i="9"/>
  <c r="EL65" i="9"/>
  <c r="EM65" i="9"/>
  <c r="EN57" i="9"/>
  <c r="EL57" i="9"/>
  <c r="EM57" i="9"/>
  <c r="EN49" i="9"/>
  <c r="EL49" i="9"/>
  <c r="EM49" i="9"/>
  <c r="EN41" i="9"/>
  <c r="EL41" i="9"/>
  <c r="EM41" i="9"/>
  <c r="EM82" i="9"/>
  <c r="EN82" i="9"/>
  <c r="EL82" i="9"/>
  <c r="EM74" i="9"/>
  <c r="EN74" i="9"/>
  <c r="EL74" i="9"/>
  <c r="EM66" i="9"/>
  <c r="EN66" i="9"/>
  <c r="EL66" i="9"/>
  <c r="EM58" i="9"/>
  <c r="EN58" i="9"/>
  <c r="EL58" i="9"/>
  <c r="EM50" i="9"/>
  <c r="EN50" i="9"/>
  <c r="EL50" i="9"/>
  <c r="EM42" i="9"/>
  <c r="EN42" i="9"/>
  <c r="EL42" i="9"/>
  <c r="EM34" i="9"/>
  <c r="EN34" i="9"/>
  <c r="EL34" i="9"/>
  <c r="EM84" i="9"/>
  <c r="EN84" i="9"/>
  <c r="EL84" i="9"/>
  <c r="EM76" i="9"/>
  <c r="EN76" i="9"/>
  <c r="EL76" i="9"/>
  <c r="EM68" i="9"/>
  <c r="EN68" i="9"/>
  <c r="EL68" i="9"/>
  <c r="EM60" i="9"/>
  <c r="EN60" i="9"/>
  <c r="EL60" i="9"/>
  <c r="EM52" i="9"/>
  <c r="EN52" i="9"/>
  <c r="EL52" i="9"/>
  <c r="EM44" i="9"/>
  <c r="EN44" i="9"/>
  <c r="EL44" i="9"/>
  <c r="EM36" i="9"/>
  <c r="EN36" i="9"/>
  <c r="EL36" i="9"/>
  <c r="EN79" i="9"/>
  <c r="EL79" i="9"/>
  <c r="EM79" i="9"/>
  <c r="EN71" i="9"/>
  <c r="EL71" i="9"/>
  <c r="EM71" i="9"/>
  <c r="EN63" i="9"/>
  <c r="EL63" i="9"/>
  <c r="EM63" i="9"/>
  <c r="EN55" i="9"/>
  <c r="EL55" i="9"/>
  <c r="EM55" i="9"/>
  <c r="EN47" i="9"/>
  <c r="EL47" i="9"/>
  <c r="EM47" i="9"/>
  <c r="EN39" i="9"/>
  <c r="EL39" i="9"/>
  <c r="EM39" i="9"/>
  <c r="EN77" i="9"/>
  <c r="EL77" i="9"/>
  <c r="EM77" i="9"/>
  <c r="EN69" i="9"/>
  <c r="EL69" i="9"/>
  <c r="EM69" i="9"/>
  <c r="EN61" i="9"/>
  <c r="EL61" i="9"/>
  <c r="EM61" i="9"/>
  <c r="EN53" i="9"/>
  <c r="EL53" i="9"/>
  <c r="EM53" i="9"/>
  <c r="EN45" i="9"/>
  <c r="EL45" i="9"/>
  <c r="EM45" i="9"/>
  <c r="EN37" i="9"/>
  <c r="EL37" i="9"/>
  <c r="EM37" i="9"/>
  <c r="EM78" i="9"/>
  <c r="EN78" i="9"/>
  <c r="EL78" i="9"/>
  <c r="EM70" i="9"/>
  <c r="EN70" i="9"/>
  <c r="EL70" i="9"/>
  <c r="EM62" i="9"/>
  <c r="EN62" i="9"/>
  <c r="EL62" i="9"/>
  <c r="EM54" i="9"/>
  <c r="EN54" i="9"/>
  <c r="EL54" i="9"/>
  <c r="EM46" i="9"/>
  <c r="EN46" i="9"/>
  <c r="EL46" i="9"/>
  <c r="EM38" i="9"/>
  <c r="EN38" i="9"/>
  <c r="EL38" i="9"/>
  <c r="EM80" i="9"/>
  <c r="EN80" i="9"/>
  <c r="EL80" i="9"/>
  <c r="EM72" i="9"/>
  <c r="EN72" i="9"/>
  <c r="EL72" i="9"/>
  <c r="EM64" i="9"/>
  <c r="EN64" i="9"/>
  <c r="EL64" i="9"/>
  <c r="EM56" i="9"/>
  <c r="EN56" i="9"/>
  <c r="EL56" i="9"/>
  <c r="EM48" i="9"/>
  <c r="EN48" i="9"/>
  <c r="EL48" i="9"/>
  <c r="EM40" i="9"/>
  <c r="EN40" i="9"/>
  <c r="EL40" i="9"/>
  <c r="DY34" i="9"/>
  <c r="E30" i="13" s="1"/>
  <c r="BU34" i="9"/>
  <c r="CW95" i="9"/>
  <c r="CX95" i="9"/>
  <c r="CW87" i="9"/>
  <c r="CX87" i="9"/>
  <c r="CW79" i="9"/>
  <c r="CX79" i="9"/>
  <c r="CW71" i="9"/>
  <c r="CX71" i="9"/>
  <c r="CW63" i="9"/>
  <c r="CX63" i="9"/>
  <c r="CW55" i="9"/>
  <c r="CX55" i="9"/>
  <c r="CW47" i="9"/>
  <c r="CX47" i="9"/>
  <c r="CW39" i="9"/>
  <c r="CX39" i="9"/>
  <c r="CW101" i="9"/>
  <c r="CX101" i="9"/>
  <c r="CW93" i="9"/>
  <c r="CX93" i="9"/>
  <c r="CW85" i="9"/>
  <c r="CX85" i="9"/>
  <c r="CW77" i="9"/>
  <c r="CX77" i="9"/>
  <c r="CW69" i="9"/>
  <c r="CX69" i="9"/>
  <c r="CW61" i="9"/>
  <c r="CX61" i="9"/>
  <c r="CW53" i="9"/>
  <c r="CX53" i="9"/>
  <c r="CW45" i="9"/>
  <c r="CX45" i="9"/>
  <c r="CW37" i="9"/>
  <c r="CX37" i="9"/>
  <c r="CW248" i="9"/>
  <c r="CX248" i="9"/>
  <c r="CW240" i="9"/>
  <c r="CX240" i="9"/>
  <c r="CW232" i="9"/>
  <c r="CX232" i="9"/>
  <c r="CW224" i="9"/>
  <c r="CX224" i="9"/>
  <c r="CW216" i="9"/>
  <c r="CX216" i="9"/>
  <c r="CW208" i="9"/>
  <c r="CX208" i="9"/>
  <c r="CW200" i="9"/>
  <c r="CX200" i="9"/>
  <c r="CW192" i="9"/>
  <c r="CX192" i="9"/>
  <c r="CW184" i="9"/>
  <c r="CX184" i="9"/>
  <c r="CW176" i="9"/>
  <c r="CX176" i="9"/>
  <c r="CW168" i="9"/>
  <c r="CX168" i="9"/>
  <c r="CW160" i="9"/>
  <c r="CX160" i="9"/>
  <c r="CW152" i="9"/>
  <c r="CX152" i="9"/>
  <c r="CW96" i="9"/>
  <c r="CX96" i="9"/>
  <c r="CW88" i="9"/>
  <c r="CX88" i="9"/>
  <c r="CW80" i="9"/>
  <c r="CX80" i="9"/>
  <c r="CW72" i="9"/>
  <c r="CX72" i="9"/>
  <c r="CW64" i="9"/>
  <c r="CX64" i="9"/>
  <c r="CW56" i="9"/>
  <c r="CX56" i="9"/>
  <c r="CW48" i="9"/>
  <c r="CX48" i="9"/>
  <c r="CW40" i="9"/>
  <c r="CX40" i="9"/>
  <c r="CW254" i="9"/>
  <c r="CX254" i="9"/>
  <c r="CW246" i="9"/>
  <c r="CX246" i="9"/>
  <c r="CW238" i="9"/>
  <c r="CX238" i="9"/>
  <c r="CW230" i="9"/>
  <c r="CX230" i="9"/>
  <c r="CW222" i="9"/>
  <c r="CX222" i="9"/>
  <c r="CW214" i="9"/>
  <c r="CX214" i="9"/>
  <c r="CW206" i="9"/>
  <c r="CX206" i="9"/>
  <c r="CW198" i="9"/>
  <c r="CX198" i="9"/>
  <c r="CW190" i="9"/>
  <c r="CX190" i="9"/>
  <c r="CW182" i="9"/>
  <c r="CX182" i="9"/>
  <c r="CW174" i="9"/>
  <c r="CX174" i="9"/>
  <c r="CW166" i="9"/>
  <c r="CX166" i="9"/>
  <c r="CW158" i="9"/>
  <c r="CX158" i="9"/>
  <c r="CW102" i="9"/>
  <c r="CX102" i="9"/>
  <c r="CW94" i="9"/>
  <c r="CX94" i="9"/>
  <c r="CW86" i="9"/>
  <c r="CX86" i="9"/>
  <c r="CW78" i="9"/>
  <c r="CX78" i="9"/>
  <c r="CW70" i="9"/>
  <c r="CX70" i="9"/>
  <c r="CW62" i="9"/>
  <c r="CX62" i="9"/>
  <c r="CW54" i="9"/>
  <c r="CX54" i="9"/>
  <c r="CW46" i="9"/>
  <c r="CX46" i="9"/>
  <c r="CW38" i="9"/>
  <c r="CX38" i="9"/>
  <c r="CW99" i="9"/>
  <c r="CX99" i="9"/>
  <c r="CW91" i="9"/>
  <c r="CX91" i="9"/>
  <c r="CW83" i="9"/>
  <c r="CX83" i="9"/>
  <c r="CW75" i="9"/>
  <c r="CX75" i="9"/>
  <c r="CW67" i="9"/>
  <c r="CX67" i="9"/>
  <c r="CW59" i="9"/>
  <c r="CX59" i="9"/>
  <c r="CW51" i="9"/>
  <c r="CX51" i="9"/>
  <c r="CW43" i="9"/>
  <c r="CX43" i="9"/>
  <c r="CW35" i="9"/>
  <c r="CX35" i="9"/>
  <c r="CW97" i="9"/>
  <c r="CX97" i="9"/>
  <c r="CW89" i="9"/>
  <c r="CX89" i="9"/>
  <c r="CW81" i="9"/>
  <c r="CX81" i="9"/>
  <c r="CW73" i="9"/>
  <c r="CX73" i="9"/>
  <c r="CW65" i="9"/>
  <c r="CX65" i="9"/>
  <c r="CW57" i="9"/>
  <c r="CX57" i="9"/>
  <c r="CW49" i="9"/>
  <c r="CX49" i="9"/>
  <c r="CW41" i="9"/>
  <c r="CX41" i="9"/>
  <c r="CW103" i="9"/>
  <c r="CX103" i="9"/>
  <c r="CW244" i="9"/>
  <c r="CX244" i="9"/>
  <c r="CW236" i="9"/>
  <c r="CX236" i="9"/>
  <c r="CW228" i="9"/>
  <c r="CX228" i="9"/>
  <c r="CW220" i="9"/>
  <c r="CX220" i="9"/>
  <c r="CW212" i="9"/>
  <c r="CX212" i="9"/>
  <c r="CW204" i="9"/>
  <c r="CX204" i="9"/>
  <c r="CW196" i="9"/>
  <c r="CX196" i="9"/>
  <c r="CW188" i="9"/>
  <c r="CX188" i="9"/>
  <c r="CW180" i="9"/>
  <c r="CX180" i="9"/>
  <c r="CW172" i="9"/>
  <c r="CX172" i="9"/>
  <c r="CW164" i="9"/>
  <c r="CX164" i="9"/>
  <c r="CW156" i="9"/>
  <c r="CX156" i="9"/>
  <c r="CW100" i="9"/>
  <c r="CX100" i="9"/>
  <c r="CW92" i="9"/>
  <c r="CX92" i="9"/>
  <c r="CW84" i="9"/>
  <c r="CX84" i="9"/>
  <c r="CW76" i="9"/>
  <c r="CX76" i="9"/>
  <c r="CW68" i="9"/>
  <c r="CX68" i="9"/>
  <c r="CW60" i="9"/>
  <c r="CX60" i="9"/>
  <c r="CW52" i="9"/>
  <c r="CX52" i="9"/>
  <c r="CW44" i="9"/>
  <c r="CX44" i="9"/>
  <c r="CW36" i="9"/>
  <c r="CX36" i="9"/>
  <c r="CW250" i="9"/>
  <c r="CX250" i="9"/>
  <c r="CW242" i="9"/>
  <c r="CX242" i="9"/>
  <c r="CW234" i="9"/>
  <c r="CX234" i="9"/>
  <c r="CW226" i="9"/>
  <c r="CX226" i="9"/>
  <c r="CW218" i="9"/>
  <c r="CX218" i="9"/>
  <c r="CW210" i="9"/>
  <c r="CX210" i="9"/>
  <c r="CW202" i="9"/>
  <c r="CX202" i="9"/>
  <c r="CW194" i="9"/>
  <c r="CX194" i="9"/>
  <c r="CW186" i="9"/>
  <c r="CX186" i="9"/>
  <c r="CW178" i="9"/>
  <c r="CX178" i="9"/>
  <c r="CW170" i="9"/>
  <c r="CX170" i="9"/>
  <c r="CW162" i="9"/>
  <c r="CX162" i="9"/>
  <c r="CW154" i="9"/>
  <c r="CX154" i="9"/>
  <c r="CW98" i="9"/>
  <c r="CX98" i="9"/>
  <c r="CW90" i="9"/>
  <c r="CX90" i="9"/>
  <c r="CW82" i="9"/>
  <c r="CX82" i="9"/>
  <c r="CW74" i="9"/>
  <c r="CX74" i="9"/>
  <c r="CW66" i="9"/>
  <c r="CX66" i="9"/>
  <c r="CW58" i="9"/>
  <c r="CX58" i="9"/>
  <c r="CW50" i="9"/>
  <c r="CX50" i="9"/>
  <c r="CW42" i="9"/>
  <c r="CX42" i="9"/>
  <c r="CW34" i="9"/>
  <c r="CX34" i="9"/>
  <c r="BN34" i="9"/>
  <c r="E14" i="13" s="1"/>
  <c r="AI7" i="9"/>
  <c r="AH7" i="9"/>
  <c r="AI31" i="9"/>
  <c r="AH31" i="9"/>
  <c r="AI27" i="9"/>
  <c r="AH27" i="9"/>
  <c r="AI23" i="9"/>
  <c r="AH23" i="9"/>
  <c r="AI19" i="9"/>
  <c r="AH19" i="9"/>
  <c r="AI15" i="9"/>
  <c r="AH15" i="9"/>
  <c r="AI11" i="9"/>
  <c r="AH11" i="9"/>
  <c r="AI32" i="9"/>
  <c r="AH32" i="9"/>
  <c r="EL31" i="9"/>
  <c r="EM31" i="9"/>
  <c r="EN31" i="9"/>
  <c r="EL23" i="9"/>
  <c r="EM23" i="9"/>
  <c r="EN23" i="9"/>
  <c r="EL15" i="9"/>
  <c r="EM15" i="9"/>
  <c r="EN15" i="9"/>
  <c r="EL7" i="9"/>
  <c r="EM7" i="9"/>
  <c r="EN7" i="9"/>
  <c r="DL29" i="9"/>
  <c r="DK29" i="9"/>
  <c r="DJ29" i="9"/>
  <c r="DL21" i="9"/>
  <c r="DK21" i="9"/>
  <c r="DJ21" i="9"/>
  <c r="DL13" i="9"/>
  <c r="DK13" i="9"/>
  <c r="DJ13" i="9"/>
  <c r="DL5" i="9"/>
  <c r="DK5" i="9"/>
  <c r="DJ5" i="9"/>
  <c r="DK28" i="9"/>
  <c r="DJ28" i="9"/>
  <c r="DL28" i="9"/>
  <c r="DK20" i="9"/>
  <c r="DJ20" i="9"/>
  <c r="DL20" i="9"/>
  <c r="DK12" i="9"/>
  <c r="DJ12" i="9"/>
  <c r="DL12" i="9"/>
  <c r="DK4" i="9"/>
  <c r="DJ4" i="9"/>
  <c r="DL4" i="9"/>
  <c r="EN29" i="9"/>
  <c r="EL29" i="9"/>
  <c r="EM29" i="9"/>
  <c r="EN21" i="9"/>
  <c r="EM21" i="9"/>
  <c r="EL21" i="9"/>
  <c r="EN13" i="9"/>
  <c r="EL13" i="9"/>
  <c r="EM13" i="9"/>
  <c r="EN5" i="9"/>
  <c r="EM5" i="9"/>
  <c r="EL5" i="9"/>
  <c r="DJ27" i="9"/>
  <c r="DL27" i="9"/>
  <c r="DK27" i="9"/>
  <c r="DJ19" i="9"/>
  <c r="DL19" i="9"/>
  <c r="DK19" i="9"/>
  <c r="DJ11" i="9"/>
  <c r="DL11" i="9"/>
  <c r="DK11" i="9"/>
  <c r="DL30" i="9"/>
  <c r="DK30" i="9"/>
  <c r="DJ30" i="9"/>
  <c r="DL22" i="9"/>
  <c r="DK22" i="9"/>
  <c r="DJ22" i="9"/>
  <c r="DL14" i="9"/>
  <c r="DK14" i="9"/>
  <c r="DJ14" i="9"/>
  <c r="DL6" i="9"/>
  <c r="DK6" i="9"/>
  <c r="DJ6" i="9"/>
  <c r="EM30" i="9"/>
  <c r="EL30" i="9"/>
  <c r="EN30" i="9"/>
  <c r="EM22" i="9"/>
  <c r="EL22" i="9"/>
  <c r="EN22" i="9"/>
  <c r="EM14" i="9"/>
  <c r="EL14" i="9"/>
  <c r="EN14" i="9"/>
  <c r="EM6" i="9"/>
  <c r="EL6" i="9"/>
  <c r="EN6" i="9"/>
  <c r="EM32" i="9"/>
  <c r="EN32" i="9"/>
  <c r="EL32" i="9"/>
  <c r="EM24" i="9"/>
  <c r="EN24" i="9"/>
  <c r="EL24" i="9"/>
  <c r="EM16" i="9"/>
  <c r="EN16" i="9"/>
  <c r="EL16" i="9"/>
  <c r="EM8" i="9"/>
  <c r="EN8" i="9"/>
  <c r="EL8" i="9"/>
  <c r="FH33" i="9"/>
  <c r="FG33" i="9"/>
  <c r="FI33" i="9"/>
  <c r="FH25" i="9"/>
  <c r="FG25" i="9"/>
  <c r="FI25" i="9"/>
  <c r="FH17" i="9"/>
  <c r="FG17" i="9"/>
  <c r="FI17" i="9"/>
  <c r="FG9" i="9"/>
  <c r="FI9" i="9"/>
  <c r="FH9" i="9"/>
  <c r="FG32" i="9"/>
  <c r="FI32" i="9"/>
  <c r="FH32" i="9"/>
  <c r="FG24" i="9"/>
  <c r="FI24" i="9"/>
  <c r="FH24" i="9"/>
  <c r="FG16" i="9"/>
  <c r="FI16" i="9"/>
  <c r="FH16" i="9"/>
  <c r="FI8" i="9"/>
  <c r="FG8" i="9"/>
  <c r="FH8" i="9"/>
  <c r="FI31" i="9"/>
  <c r="FG31" i="9"/>
  <c r="FH31" i="9"/>
  <c r="FI23" i="9"/>
  <c r="FG23" i="9"/>
  <c r="FH23" i="9"/>
  <c r="FI15" i="9"/>
  <c r="FG15" i="9"/>
  <c r="FH15" i="9"/>
  <c r="FI7" i="9"/>
  <c r="FH7" i="9"/>
  <c r="FG7" i="9"/>
  <c r="FI26" i="9"/>
  <c r="FH26" i="9"/>
  <c r="FG26" i="9"/>
  <c r="FI18" i="9"/>
  <c r="FH18" i="9"/>
  <c r="FG18" i="9"/>
  <c r="FI10" i="9"/>
  <c r="FH10" i="9"/>
  <c r="FG10" i="9"/>
  <c r="CH33" i="9"/>
  <c r="CI33" i="9"/>
  <c r="CJ33" i="9"/>
  <c r="CH25" i="9"/>
  <c r="CI25" i="9"/>
  <c r="CJ25" i="9"/>
  <c r="CH17" i="9"/>
  <c r="CI17" i="9"/>
  <c r="CJ17" i="9"/>
  <c r="CH9" i="9"/>
  <c r="CI9" i="9"/>
  <c r="CJ9" i="9"/>
  <c r="CJ32" i="9"/>
  <c r="CI32" i="9"/>
  <c r="CH32" i="9"/>
  <c r="CJ24" i="9"/>
  <c r="CI24" i="9"/>
  <c r="CH24" i="9"/>
  <c r="CJ16" i="9"/>
  <c r="CI16" i="9"/>
  <c r="CH16" i="9"/>
  <c r="CJ8" i="9"/>
  <c r="CI8" i="9"/>
  <c r="CH8" i="9"/>
  <c r="CI31" i="9"/>
  <c r="CJ31" i="9"/>
  <c r="CH31" i="9"/>
  <c r="CI23" i="9"/>
  <c r="CJ23" i="9"/>
  <c r="CH23" i="9"/>
  <c r="CI15" i="9"/>
  <c r="CJ15" i="9"/>
  <c r="CH15" i="9"/>
  <c r="CI7" i="9"/>
  <c r="CJ7" i="9"/>
  <c r="CH7" i="9"/>
  <c r="CH26" i="9"/>
  <c r="CI26" i="9"/>
  <c r="CJ26" i="9"/>
  <c r="CH18" i="9"/>
  <c r="CI18" i="9"/>
  <c r="CJ18" i="9"/>
  <c r="CH10" i="9"/>
  <c r="CI10" i="9"/>
  <c r="CJ10" i="9"/>
  <c r="AH33" i="9"/>
  <c r="AI33" i="9"/>
  <c r="AH29" i="9"/>
  <c r="AI29" i="9"/>
  <c r="AH25" i="9"/>
  <c r="AI25" i="9"/>
  <c r="AH21" i="9"/>
  <c r="AI21" i="9"/>
  <c r="AH17" i="9"/>
  <c r="AI17" i="9"/>
  <c r="AH13" i="9"/>
  <c r="AI13" i="9"/>
  <c r="AH9" i="9"/>
  <c r="AI9" i="9"/>
  <c r="AH5" i="9"/>
  <c r="AI5" i="9"/>
  <c r="EL27" i="9"/>
  <c r="EN27" i="9"/>
  <c r="EM27" i="9"/>
  <c r="EL19" i="9"/>
  <c r="EN19" i="9"/>
  <c r="EM19" i="9"/>
  <c r="EL11" i="9"/>
  <c r="EN11" i="9"/>
  <c r="EM11" i="9"/>
  <c r="DL33" i="9"/>
  <c r="DK33" i="9"/>
  <c r="DJ33" i="9"/>
  <c r="DL25" i="9"/>
  <c r="DK25" i="9"/>
  <c r="DJ25" i="9"/>
  <c r="DL17" i="9"/>
  <c r="DK17" i="9"/>
  <c r="DJ17" i="9"/>
  <c r="DL9" i="9"/>
  <c r="DK9" i="9"/>
  <c r="DJ9" i="9"/>
  <c r="DK32" i="9"/>
  <c r="DJ32" i="9"/>
  <c r="DL32" i="9"/>
  <c r="DK24" i="9"/>
  <c r="DJ24" i="9"/>
  <c r="DL24" i="9"/>
  <c r="DK16" i="9"/>
  <c r="DJ16" i="9"/>
  <c r="DL16" i="9"/>
  <c r="DK8" i="9"/>
  <c r="DJ8" i="9"/>
  <c r="DL8" i="9"/>
  <c r="EN33" i="9"/>
  <c r="EL33" i="9"/>
  <c r="EM33" i="9"/>
  <c r="EN25" i="9"/>
  <c r="EL25" i="9"/>
  <c r="EM25" i="9"/>
  <c r="EN17" i="9"/>
  <c r="EL17" i="9"/>
  <c r="EM17" i="9"/>
  <c r="EN9" i="9"/>
  <c r="EL9" i="9"/>
  <c r="EM9" i="9"/>
  <c r="DJ31" i="9"/>
  <c r="DL31" i="9"/>
  <c r="DK31" i="9"/>
  <c r="DJ23" i="9"/>
  <c r="DL23" i="9"/>
  <c r="DK23" i="9"/>
  <c r="DJ15" i="9"/>
  <c r="DL15" i="9"/>
  <c r="DK15" i="9"/>
  <c r="DJ7" i="9"/>
  <c r="DL7" i="9"/>
  <c r="DK7" i="9"/>
  <c r="DL26" i="9"/>
  <c r="DK26" i="9"/>
  <c r="DJ26" i="9"/>
  <c r="DL18" i="9"/>
  <c r="DK18" i="9"/>
  <c r="DJ18" i="9"/>
  <c r="DL10" i="9"/>
  <c r="DK10" i="9"/>
  <c r="DJ10" i="9"/>
  <c r="EL26" i="9"/>
  <c r="EN26" i="9"/>
  <c r="EM26" i="9"/>
  <c r="EL18" i="9"/>
  <c r="EM18" i="9"/>
  <c r="EN18" i="9"/>
  <c r="EL10" i="9"/>
  <c r="EN10" i="9"/>
  <c r="EM10" i="9"/>
  <c r="EM28" i="9"/>
  <c r="EN28" i="9"/>
  <c r="EL28" i="9"/>
  <c r="EM20" i="9"/>
  <c r="EN20" i="9"/>
  <c r="EL20" i="9"/>
  <c r="EM12" i="9"/>
  <c r="EN12" i="9"/>
  <c r="EL12" i="9"/>
  <c r="EM4" i="9"/>
  <c r="EN4" i="9"/>
  <c r="EL4" i="9"/>
  <c r="FH29" i="9"/>
  <c r="FG29" i="9"/>
  <c r="FI29" i="9"/>
  <c r="FH21" i="9"/>
  <c r="FG21" i="9"/>
  <c r="FI21" i="9"/>
  <c r="FH13" i="9"/>
  <c r="FG13" i="9"/>
  <c r="FI13" i="9"/>
  <c r="FG5" i="9"/>
  <c r="FH5" i="9"/>
  <c r="FI5" i="9"/>
  <c r="FG28" i="9"/>
  <c r="FH28" i="9"/>
  <c r="FI28" i="9"/>
  <c r="FG20" i="9"/>
  <c r="FH20" i="9"/>
  <c r="FI20" i="9"/>
  <c r="FG12" i="9"/>
  <c r="FH12" i="9"/>
  <c r="FI12" i="9"/>
  <c r="FI4" i="9"/>
  <c r="FH4" i="9"/>
  <c r="FG4" i="9"/>
  <c r="FI27" i="9"/>
  <c r="FH27" i="9"/>
  <c r="FG27" i="9"/>
  <c r="FI19" i="9"/>
  <c r="FH19" i="9"/>
  <c r="FG19" i="9"/>
  <c r="FI11" i="9"/>
  <c r="FH11" i="9"/>
  <c r="FG11" i="9"/>
  <c r="FI30" i="9"/>
  <c r="FH30" i="9"/>
  <c r="FG30" i="9"/>
  <c r="FI22" i="9"/>
  <c r="FH22" i="9"/>
  <c r="FG22" i="9"/>
  <c r="FI14" i="9"/>
  <c r="FH14" i="9"/>
  <c r="FG14" i="9"/>
  <c r="FH6" i="9"/>
  <c r="FG6" i="9"/>
  <c r="FI6" i="9"/>
  <c r="CH29" i="9"/>
  <c r="CJ29" i="9"/>
  <c r="CI29" i="9"/>
  <c r="CH21" i="9"/>
  <c r="CJ21" i="9"/>
  <c r="CI21" i="9"/>
  <c r="CH13" i="9"/>
  <c r="CJ13" i="9"/>
  <c r="CI13" i="9"/>
  <c r="CH5" i="9"/>
  <c r="CJ5" i="9"/>
  <c r="CI5" i="9"/>
  <c r="CJ28" i="9"/>
  <c r="CH28" i="9"/>
  <c r="CI28" i="9"/>
  <c r="CJ20" i="9"/>
  <c r="CH20" i="9"/>
  <c r="CI20" i="9"/>
  <c r="CJ12" i="9"/>
  <c r="CH12" i="9"/>
  <c r="CI12" i="9"/>
  <c r="CJ4" i="9"/>
  <c r="CH4" i="9"/>
  <c r="CI4" i="9"/>
  <c r="CI27" i="9"/>
  <c r="CJ27" i="9"/>
  <c r="CH27" i="9"/>
  <c r="CI19" i="9"/>
  <c r="CJ19" i="9"/>
  <c r="CH19" i="9"/>
  <c r="CI11" i="9"/>
  <c r="CJ11" i="9"/>
  <c r="CH11" i="9"/>
  <c r="CH30" i="9"/>
  <c r="CI30" i="9"/>
  <c r="CJ30" i="9"/>
  <c r="CH22" i="9"/>
  <c r="CI22" i="9"/>
  <c r="CJ22" i="9"/>
  <c r="CH14" i="9"/>
  <c r="CI14" i="9"/>
  <c r="CJ14" i="9"/>
  <c r="CH6" i="9"/>
  <c r="CI6" i="9"/>
  <c r="CJ6" i="9"/>
  <c r="C35" i="13"/>
  <c r="E30" i="15" s="1"/>
  <c r="G30" i="15" s="1"/>
  <c r="I30" i="15" s="1"/>
  <c r="K30" i="15" s="1"/>
  <c r="E35" i="13"/>
  <c r="C30" i="15" s="1"/>
  <c r="E11" i="13"/>
  <c r="Q34" i="9"/>
  <c r="DZ34" i="9"/>
  <c r="BO34" i="9"/>
  <c r="C14" i="13" s="1"/>
  <c r="BV34" i="9"/>
  <c r="H4" i="9"/>
  <c r="H6" i="9"/>
  <c r="H5" i="9"/>
  <c r="AW33" i="9"/>
  <c r="AW31" i="9"/>
  <c r="AW29" i="9"/>
  <c r="AW27" i="9"/>
  <c r="AW25" i="9"/>
  <c r="AW23" i="9"/>
  <c r="AW21" i="9"/>
  <c r="AW19" i="9"/>
  <c r="AW17" i="9"/>
  <c r="AW15" i="9"/>
  <c r="AW13" i="9"/>
  <c r="AW11" i="9"/>
  <c r="AW9" i="9"/>
  <c r="AW7" i="9"/>
  <c r="AW5" i="9"/>
  <c r="AX33" i="9"/>
  <c r="AX31" i="9"/>
  <c r="AX29" i="9"/>
  <c r="AX27" i="9"/>
  <c r="AX25" i="9"/>
  <c r="AX23" i="9"/>
  <c r="AX21" i="9"/>
  <c r="AX19" i="9"/>
  <c r="AX17" i="9"/>
  <c r="AX15" i="9"/>
  <c r="AX13" i="9"/>
  <c r="AX11" i="9"/>
  <c r="AX9" i="9"/>
  <c r="AX7" i="9"/>
  <c r="AX5" i="9"/>
  <c r="AW32" i="9"/>
  <c r="AW30" i="9"/>
  <c r="AW28" i="9"/>
  <c r="AW26" i="9"/>
  <c r="AW24" i="9"/>
  <c r="AW22" i="9"/>
  <c r="AW20" i="9"/>
  <c r="AW18" i="9"/>
  <c r="AW16" i="9"/>
  <c r="AW14" i="9"/>
  <c r="AW12" i="9"/>
  <c r="AW10" i="9"/>
  <c r="AW8" i="9"/>
  <c r="AW6" i="9"/>
  <c r="AW4" i="9"/>
  <c r="AX32" i="9"/>
  <c r="AX30" i="9"/>
  <c r="AX28" i="9"/>
  <c r="AX26" i="9"/>
  <c r="AX24" i="9"/>
  <c r="AX22" i="9"/>
  <c r="AX20" i="9"/>
  <c r="AX18" i="9"/>
  <c r="AX16" i="9"/>
  <c r="AX14" i="9"/>
  <c r="AX12" i="9"/>
  <c r="AX10" i="9"/>
  <c r="AX8" i="9"/>
  <c r="AX6" i="9"/>
  <c r="AX4" i="9"/>
  <c r="BX33" i="9"/>
  <c r="BX31" i="9"/>
  <c r="BX29" i="9"/>
  <c r="BX27" i="9"/>
  <c r="BX25" i="9"/>
  <c r="BX23" i="9"/>
  <c r="BX21" i="9"/>
  <c r="BX19" i="9"/>
  <c r="BX17" i="9"/>
  <c r="BX15" i="9"/>
  <c r="BX13" i="9"/>
  <c r="BX11" i="9"/>
  <c r="BX9" i="9"/>
  <c r="BX7" i="9"/>
  <c r="BX5" i="9"/>
  <c r="BY33" i="9"/>
  <c r="BY31" i="9"/>
  <c r="BY29" i="9"/>
  <c r="BY27" i="9"/>
  <c r="BY25" i="9"/>
  <c r="BY23" i="9"/>
  <c r="BY21" i="9"/>
  <c r="BY19" i="9"/>
  <c r="BY17" i="9"/>
  <c r="BY15" i="9"/>
  <c r="BY13" i="9"/>
  <c r="BY11" i="9"/>
  <c r="BY9" i="9"/>
  <c r="BY7" i="9"/>
  <c r="BY5" i="9"/>
  <c r="BX32" i="9"/>
  <c r="BX30" i="9"/>
  <c r="BX28" i="9"/>
  <c r="BX26" i="9"/>
  <c r="BX24" i="9"/>
  <c r="BX22" i="9"/>
  <c r="BX20" i="9"/>
  <c r="BX18" i="9"/>
  <c r="BX16" i="9"/>
  <c r="BX14" i="9"/>
  <c r="BX12" i="9"/>
  <c r="BX10" i="9"/>
  <c r="BX8" i="9"/>
  <c r="BX6" i="9"/>
  <c r="BX4" i="9"/>
  <c r="BY32" i="9"/>
  <c r="BY30" i="9"/>
  <c r="BY28" i="9"/>
  <c r="BY26" i="9"/>
  <c r="BY24" i="9"/>
  <c r="BY22" i="9"/>
  <c r="BY20" i="9"/>
  <c r="BY18" i="9"/>
  <c r="BY16" i="9"/>
  <c r="BY14" i="9"/>
  <c r="BY12" i="9"/>
  <c r="BY10" i="9"/>
  <c r="BY8" i="9"/>
  <c r="BY6" i="9"/>
  <c r="BY4" i="9"/>
  <c r="CZ32" i="9"/>
  <c r="CZ30" i="9"/>
  <c r="CZ28" i="9"/>
  <c r="CZ26" i="9"/>
  <c r="CZ24" i="9"/>
  <c r="CZ22" i="9"/>
  <c r="CZ20" i="9"/>
  <c r="CZ18" i="9"/>
  <c r="CZ16" i="9"/>
  <c r="CZ14" i="9"/>
  <c r="CZ12" i="9"/>
  <c r="CZ10" i="9"/>
  <c r="CZ8" i="9"/>
  <c r="CZ6" i="9"/>
  <c r="CZ4" i="9"/>
  <c r="DA32" i="9"/>
  <c r="DA30" i="9"/>
  <c r="DA28" i="9"/>
  <c r="DA26" i="9"/>
  <c r="DA24" i="9"/>
  <c r="DA22" i="9"/>
  <c r="DA20" i="9"/>
  <c r="DA18" i="9"/>
  <c r="DA16" i="9"/>
  <c r="DA14" i="9"/>
  <c r="DA12" i="9"/>
  <c r="DA10" i="9"/>
  <c r="DA8" i="9"/>
  <c r="DA6" i="9"/>
  <c r="DA4" i="9"/>
  <c r="CZ33" i="9"/>
  <c r="CZ31" i="9"/>
  <c r="CZ29" i="9"/>
  <c r="CZ27" i="9"/>
  <c r="CZ25" i="9"/>
  <c r="CZ23" i="9"/>
  <c r="CZ21" i="9"/>
  <c r="CZ19" i="9"/>
  <c r="CZ17" i="9"/>
  <c r="CZ15" i="9"/>
  <c r="CZ13" i="9"/>
  <c r="CZ11" i="9"/>
  <c r="CZ9" i="9"/>
  <c r="CZ7" i="9"/>
  <c r="CZ5" i="9"/>
  <c r="DA33" i="9"/>
  <c r="DA31" i="9"/>
  <c r="DA29" i="9"/>
  <c r="DA27" i="9"/>
  <c r="DA25" i="9"/>
  <c r="DA23" i="9"/>
  <c r="DA21" i="9"/>
  <c r="DA19" i="9"/>
  <c r="DA17" i="9"/>
  <c r="DA15" i="9"/>
  <c r="DA13" i="9"/>
  <c r="DA11" i="9"/>
  <c r="DA9" i="9"/>
  <c r="DA7" i="9"/>
  <c r="DA5" i="9"/>
  <c r="EW33" i="9"/>
  <c r="EW31" i="9"/>
  <c r="EW29" i="9"/>
  <c r="EW27" i="9"/>
  <c r="EW25" i="9"/>
  <c r="EW23" i="9"/>
  <c r="EW21" i="9"/>
  <c r="EW19" i="9"/>
  <c r="EW17" i="9"/>
  <c r="EW15" i="9"/>
  <c r="EW13" i="9"/>
  <c r="EW11" i="9"/>
  <c r="EW9" i="9"/>
  <c r="EW7" i="9"/>
  <c r="EW5" i="9"/>
  <c r="EX33" i="9"/>
  <c r="EX31" i="9"/>
  <c r="EX29" i="9"/>
  <c r="EX27" i="9"/>
  <c r="EX25" i="9"/>
  <c r="EX23" i="9"/>
  <c r="EX21" i="9"/>
  <c r="EX19" i="9"/>
  <c r="EX17" i="9"/>
  <c r="EX15" i="9"/>
  <c r="EX13" i="9"/>
  <c r="EX11" i="9"/>
  <c r="EX9" i="9"/>
  <c r="EX7" i="9"/>
  <c r="EX5" i="9"/>
  <c r="EW32" i="9"/>
  <c r="EW30" i="9"/>
  <c r="EW28" i="9"/>
  <c r="EW26" i="9"/>
  <c r="EW24" i="9"/>
  <c r="EW22" i="9"/>
  <c r="EW20" i="9"/>
  <c r="EW18" i="9"/>
  <c r="EW16" i="9"/>
  <c r="EW14" i="9"/>
  <c r="EW12" i="9"/>
  <c r="EW10" i="9"/>
  <c r="EW8" i="9"/>
  <c r="EW6" i="9"/>
  <c r="EW4" i="9"/>
  <c r="EX32" i="9"/>
  <c r="EX30" i="9"/>
  <c r="EX28" i="9"/>
  <c r="EX26" i="9"/>
  <c r="EX24" i="9"/>
  <c r="EX22" i="9"/>
  <c r="EX20" i="9"/>
  <c r="EX18" i="9"/>
  <c r="EX16" i="9"/>
  <c r="EX14" i="9"/>
  <c r="EX12" i="9"/>
  <c r="EX10" i="9"/>
  <c r="EX8" i="9"/>
  <c r="EX6" i="9"/>
  <c r="EX4" i="9"/>
  <c r="H33" i="9"/>
  <c r="H31" i="9"/>
  <c r="H29" i="9"/>
  <c r="H27" i="9"/>
  <c r="H25" i="9"/>
  <c r="H23" i="9"/>
  <c r="H21" i="9"/>
  <c r="H19" i="9"/>
  <c r="H17" i="9"/>
  <c r="H15" i="9"/>
  <c r="H13" i="9"/>
  <c r="H11" i="9"/>
  <c r="H9" i="9"/>
  <c r="H7" i="9"/>
  <c r="G33" i="9"/>
  <c r="G31" i="9"/>
  <c r="G29" i="9"/>
  <c r="G27" i="9"/>
  <c r="G25" i="9"/>
  <c r="I25" i="9" s="1"/>
  <c r="G23" i="9"/>
  <c r="G21" i="9"/>
  <c r="G19" i="9"/>
  <c r="G17" i="9"/>
  <c r="G15" i="9"/>
  <c r="G13" i="9"/>
  <c r="G11" i="9"/>
  <c r="G9" i="9"/>
  <c r="G7" i="9"/>
  <c r="G5" i="9"/>
  <c r="H32" i="9"/>
  <c r="H30" i="9"/>
  <c r="H28" i="9"/>
  <c r="H26" i="9"/>
  <c r="H24" i="9"/>
  <c r="H22" i="9"/>
  <c r="H20" i="9"/>
  <c r="H18" i="9"/>
  <c r="H16" i="9"/>
  <c r="H14" i="9"/>
  <c r="H12" i="9"/>
  <c r="H10" i="9"/>
  <c r="H8" i="9"/>
  <c r="G32" i="9"/>
  <c r="G30" i="9"/>
  <c r="G28" i="9"/>
  <c r="G26" i="9"/>
  <c r="G24" i="9"/>
  <c r="G22" i="9"/>
  <c r="G20" i="9"/>
  <c r="G18" i="9"/>
  <c r="G16" i="9"/>
  <c r="G14" i="9"/>
  <c r="G12" i="9"/>
  <c r="G10" i="9"/>
  <c r="G8" i="9"/>
  <c r="G6" i="9"/>
  <c r="G4" i="9"/>
  <c r="AK32" i="9"/>
  <c r="AK30" i="9"/>
  <c r="AK28" i="9"/>
  <c r="AK26" i="9"/>
  <c r="AK24" i="9"/>
  <c r="AK22" i="9"/>
  <c r="AK20" i="9"/>
  <c r="AK18" i="9"/>
  <c r="AK16" i="9"/>
  <c r="AK14" i="9"/>
  <c r="AK12" i="9"/>
  <c r="AK10" i="9"/>
  <c r="AK8" i="9"/>
  <c r="AK6" i="9"/>
  <c r="AK4" i="9"/>
  <c r="AL32" i="9"/>
  <c r="AL30" i="9"/>
  <c r="AL28" i="9"/>
  <c r="AL26" i="9"/>
  <c r="AL24" i="9"/>
  <c r="AL22" i="9"/>
  <c r="AL20" i="9"/>
  <c r="AL18" i="9"/>
  <c r="AL16" i="9"/>
  <c r="AL14" i="9"/>
  <c r="AL12" i="9"/>
  <c r="AL10" i="9"/>
  <c r="AL8" i="9"/>
  <c r="AL6" i="9"/>
  <c r="AL4" i="9"/>
  <c r="AK33" i="9"/>
  <c r="AK31" i="9"/>
  <c r="AK29" i="9"/>
  <c r="AK27" i="9"/>
  <c r="AK25" i="9"/>
  <c r="AK23" i="9"/>
  <c r="AK21" i="9"/>
  <c r="AK19" i="9"/>
  <c r="AK17" i="9"/>
  <c r="AK15" i="9"/>
  <c r="AK13" i="9"/>
  <c r="AK11" i="9"/>
  <c r="AK9" i="9"/>
  <c r="AK7" i="9"/>
  <c r="AK5" i="9"/>
  <c r="AL33" i="9"/>
  <c r="AL31" i="9"/>
  <c r="AL29" i="9"/>
  <c r="AL27" i="9"/>
  <c r="AL25" i="9"/>
  <c r="AL23" i="9"/>
  <c r="AL21" i="9"/>
  <c r="AL19" i="9"/>
  <c r="AL17" i="9"/>
  <c r="AL15" i="9"/>
  <c r="AL13" i="9"/>
  <c r="AL11" i="9"/>
  <c r="AL9" i="9"/>
  <c r="AL7" i="9"/>
  <c r="AL5" i="9"/>
  <c r="T32" i="9"/>
  <c r="T30" i="9"/>
  <c r="T28" i="9"/>
  <c r="T26" i="9"/>
  <c r="T24" i="9"/>
  <c r="T22" i="9"/>
  <c r="T20" i="9"/>
  <c r="T18" i="9"/>
  <c r="T16" i="9"/>
  <c r="T14" i="9"/>
  <c r="T12" i="9"/>
  <c r="T10" i="9"/>
  <c r="T8" i="9"/>
  <c r="T6" i="9"/>
  <c r="T4" i="9"/>
  <c r="S32" i="9"/>
  <c r="S30" i="9"/>
  <c r="S28" i="9"/>
  <c r="S26" i="9"/>
  <c r="S24" i="9"/>
  <c r="S22" i="9"/>
  <c r="S20" i="9"/>
  <c r="S18" i="9"/>
  <c r="S16" i="9"/>
  <c r="S14" i="9"/>
  <c r="S12" i="9"/>
  <c r="S10" i="9"/>
  <c r="S8" i="9"/>
  <c r="S6" i="9"/>
  <c r="S4" i="9"/>
  <c r="T33" i="9"/>
  <c r="T31" i="9"/>
  <c r="T29" i="9"/>
  <c r="T27" i="9"/>
  <c r="T25" i="9"/>
  <c r="T23" i="9"/>
  <c r="T21" i="9"/>
  <c r="T19" i="9"/>
  <c r="T17" i="9"/>
  <c r="T15" i="9"/>
  <c r="T13" i="9"/>
  <c r="T11" i="9"/>
  <c r="T9" i="9"/>
  <c r="T7" i="9"/>
  <c r="T5" i="9"/>
  <c r="S33" i="9"/>
  <c r="S31" i="9"/>
  <c r="S29" i="9"/>
  <c r="S27" i="9"/>
  <c r="S25" i="9"/>
  <c r="S23" i="9"/>
  <c r="S21" i="9"/>
  <c r="S19" i="9"/>
  <c r="S17" i="9"/>
  <c r="S15" i="9"/>
  <c r="S13" i="9"/>
  <c r="S11" i="9"/>
  <c r="S9" i="9"/>
  <c r="S7" i="9"/>
  <c r="S5" i="9"/>
  <c r="AR32" i="9"/>
  <c r="AR30" i="9"/>
  <c r="AR28" i="9"/>
  <c r="AR26" i="9"/>
  <c r="AR24" i="9"/>
  <c r="AR22" i="9"/>
  <c r="AR20" i="9"/>
  <c r="AR18" i="9"/>
  <c r="AR16" i="9"/>
  <c r="AR14" i="9"/>
  <c r="AR12" i="9"/>
  <c r="AR10" i="9"/>
  <c r="AR8" i="9"/>
  <c r="AR6" i="9"/>
  <c r="AR4" i="9"/>
  <c r="AQ32" i="9"/>
  <c r="AQ30" i="9"/>
  <c r="AQ28" i="9"/>
  <c r="AQ26" i="9"/>
  <c r="AQ24" i="9"/>
  <c r="AQ22" i="9"/>
  <c r="AQ20" i="9"/>
  <c r="AQ18" i="9"/>
  <c r="AQ16" i="9"/>
  <c r="AQ14" i="9"/>
  <c r="AQ12" i="9"/>
  <c r="AQ10" i="9"/>
  <c r="AQ8" i="9"/>
  <c r="AQ6" i="9"/>
  <c r="AQ4" i="9"/>
  <c r="AR33" i="9"/>
  <c r="AR31" i="9"/>
  <c r="AR29" i="9"/>
  <c r="AR27" i="9"/>
  <c r="AR25" i="9"/>
  <c r="AR23" i="9"/>
  <c r="AR21" i="9"/>
  <c r="AR19" i="9"/>
  <c r="AR17" i="9"/>
  <c r="AR15" i="9"/>
  <c r="AR13" i="9"/>
  <c r="AR11" i="9"/>
  <c r="AR9" i="9"/>
  <c r="AR7" i="9"/>
  <c r="AR5" i="9"/>
  <c r="AQ33" i="9"/>
  <c r="AQ31" i="9"/>
  <c r="AQ29" i="9"/>
  <c r="AQ27" i="9"/>
  <c r="AQ25" i="9"/>
  <c r="AQ23" i="9"/>
  <c r="AQ21" i="9"/>
  <c r="AQ19" i="9"/>
  <c r="AQ17" i="9"/>
  <c r="AQ15" i="9"/>
  <c r="AQ13" i="9"/>
  <c r="AQ11" i="9"/>
  <c r="AQ9" i="9"/>
  <c r="AQ7" i="9"/>
  <c r="AQ5" i="9"/>
  <c r="BC33" i="9"/>
  <c r="BC31" i="9"/>
  <c r="BC29" i="9"/>
  <c r="BC27" i="9"/>
  <c r="BC25" i="9"/>
  <c r="BC23" i="9"/>
  <c r="BC21" i="9"/>
  <c r="BC19" i="9"/>
  <c r="BC17" i="9"/>
  <c r="BC15" i="9"/>
  <c r="BC13" i="9"/>
  <c r="BC11" i="9"/>
  <c r="BC9" i="9"/>
  <c r="BC7" i="9"/>
  <c r="BC5" i="9"/>
  <c r="BD33" i="9"/>
  <c r="BD31" i="9"/>
  <c r="BD29" i="9"/>
  <c r="BD27" i="9"/>
  <c r="BD25" i="9"/>
  <c r="BD23" i="9"/>
  <c r="BD21" i="9"/>
  <c r="BD19" i="9"/>
  <c r="BD17" i="9"/>
  <c r="BD15" i="9"/>
  <c r="BD13" i="9"/>
  <c r="BD11" i="9"/>
  <c r="BD9" i="9"/>
  <c r="BD7" i="9"/>
  <c r="BD5" i="9"/>
  <c r="BC32" i="9"/>
  <c r="BC30" i="9"/>
  <c r="BC28" i="9"/>
  <c r="BC26" i="9"/>
  <c r="BC24" i="9"/>
  <c r="BC22" i="9"/>
  <c r="BC20" i="9"/>
  <c r="BC18" i="9"/>
  <c r="BC16" i="9"/>
  <c r="BC14" i="9"/>
  <c r="BC12" i="9"/>
  <c r="BC10" i="9"/>
  <c r="BC8" i="9"/>
  <c r="BC6" i="9"/>
  <c r="BC4" i="9"/>
  <c r="BD32" i="9"/>
  <c r="BD30" i="9"/>
  <c r="BD28" i="9"/>
  <c r="BD26" i="9"/>
  <c r="BD24" i="9"/>
  <c r="BD22" i="9"/>
  <c r="BD20" i="9"/>
  <c r="BD18" i="9"/>
  <c r="BD16" i="9"/>
  <c r="BD14" i="9"/>
  <c r="BD12" i="9"/>
  <c r="BD10" i="9"/>
  <c r="BD8" i="9"/>
  <c r="BD6" i="9"/>
  <c r="BD4" i="9"/>
  <c r="CS32" i="9"/>
  <c r="CS30" i="9"/>
  <c r="CS28" i="9"/>
  <c r="CS26" i="9"/>
  <c r="CS24" i="9"/>
  <c r="CS22" i="9"/>
  <c r="CS20" i="9"/>
  <c r="CS18" i="9"/>
  <c r="CS16" i="9"/>
  <c r="CS14" i="9"/>
  <c r="CS12" i="9"/>
  <c r="CS10" i="9"/>
  <c r="CS8" i="9"/>
  <c r="CS6" i="9"/>
  <c r="CS4" i="9"/>
  <c r="CT32" i="9"/>
  <c r="CT30" i="9"/>
  <c r="CT28" i="9"/>
  <c r="CT26" i="9"/>
  <c r="CT24" i="9"/>
  <c r="CT22" i="9"/>
  <c r="CT20" i="9"/>
  <c r="CT18" i="9"/>
  <c r="CT16" i="9"/>
  <c r="CT14" i="9"/>
  <c r="CT12" i="9"/>
  <c r="CT10" i="9"/>
  <c r="CT8" i="9"/>
  <c r="CT6" i="9"/>
  <c r="CT4" i="9"/>
  <c r="CS33" i="9"/>
  <c r="CS31" i="9"/>
  <c r="CS29" i="9"/>
  <c r="CS27" i="9"/>
  <c r="CS25" i="9"/>
  <c r="CS23" i="9"/>
  <c r="CS21" i="9"/>
  <c r="CS19" i="9"/>
  <c r="CS17" i="9"/>
  <c r="CS15" i="9"/>
  <c r="CS13" i="9"/>
  <c r="CS11" i="9"/>
  <c r="CS9" i="9"/>
  <c r="CS7" i="9"/>
  <c r="CS5" i="9"/>
  <c r="CT33" i="9"/>
  <c r="CT31" i="9"/>
  <c r="CT29" i="9"/>
  <c r="CT27" i="9"/>
  <c r="CT25" i="9"/>
  <c r="CT23" i="9"/>
  <c r="CT21" i="9"/>
  <c r="CT19" i="9"/>
  <c r="CT17" i="9"/>
  <c r="CT15" i="9"/>
  <c r="CT13" i="9"/>
  <c r="CT11" i="9"/>
  <c r="CT9" i="9"/>
  <c r="CT7" i="9"/>
  <c r="CT5" i="9"/>
  <c r="DO33" i="9"/>
  <c r="DO31" i="9"/>
  <c r="DO29" i="9"/>
  <c r="DO27" i="9"/>
  <c r="DO25" i="9"/>
  <c r="DO23" i="9"/>
  <c r="DO21" i="9"/>
  <c r="DO19" i="9"/>
  <c r="DO17" i="9"/>
  <c r="DO15" i="9"/>
  <c r="DO13" i="9"/>
  <c r="DO11" i="9"/>
  <c r="DO9" i="9"/>
  <c r="DO7" i="9"/>
  <c r="DO5" i="9"/>
  <c r="DN33" i="9"/>
  <c r="DN31" i="9"/>
  <c r="DN29" i="9"/>
  <c r="DN27" i="9"/>
  <c r="DN25" i="9"/>
  <c r="DN23" i="9"/>
  <c r="DN21" i="9"/>
  <c r="DN19" i="9"/>
  <c r="DN17" i="9"/>
  <c r="DN15" i="9"/>
  <c r="DN13" i="9"/>
  <c r="DN11" i="9"/>
  <c r="DN9" i="9"/>
  <c r="DN7" i="9"/>
  <c r="DN5" i="9"/>
  <c r="DO32" i="9"/>
  <c r="DO30" i="9"/>
  <c r="DO28" i="9"/>
  <c r="DO26" i="9"/>
  <c r="DO24" i="9"/>
  <c r="DO22" i="9"/>
  <c r="DO20" i="9"/>
  <c r="DO18" i="9"/>
  <c r="DO16" i="9"/>
  <c r="DO14" i="9"/>
  <c r="DO12" i="9"/>
  <c r="DO10" i="9"/>
  <c r="DO8" i="9"/>
  <c r="DO6" i="9"/>
  <c r="DO4" i="9"/>
  <c r="DN32" i="9"/>
  <c r="DN30" i="9"/>
  <c r="DN28" i="9"/>
  <c r="DN26" i="9"/>
  <c r="DN24" i="9"/>
  <c r="DN22" i="9"/>
  <c r="DN20" i="9"/>
  <c r="DN18" i="9"/>
  <c r="DN16" i="9"/>
  <c r="DN14" i="9"/>
  <c r="DN12" i="9"/>
  <c r="DN10" i="9"/>
  <c r="DN8" i="9"/>
  <c r="DN6" i="9"/>
  <c r="DN4" i="9"/>
  <c r="EQ33" i="9"/>
  <c r="EQ31" i="9"/>
  <c r="EQ29" i="9"/>
  <c r="EQ32" i="9"/>
  <c r="EQ30" i="9"/>
  <c r="EQ28" i="9"/>
  <c r="EQ27" i="9"/>
  <c r="EQ25" i="9"/>
  <c r="EQ23" i="9"/>
  <c r="EQ21" i="9"/>
  <c r="EQ19" i="9"/>
  <c r="EQ17" i="9"/>
  <c r="EQ15" i="9"/>
  <c r="EQ13" i="9"/>
  <c r="EQ11" i="9"/>
  <c r="EQ9" i="9"/>
  <c r="EQ7" i="9"/>
  <c r="EQ5" i="9"/>
  <c r="EP33" i="9"/>
  <c r="ER33" i="9" s="1"/>
  <c r="EP31" i="9"/>
  <c r="ER31" i="9" s="1"/>
  <c r="EP29" i="9"/>
  <c r="ER29" i="9" s="1"/>
  <c r="EP27" i="9"/>
  <c r="EP25" i="9"/>
  <c r="EP23" i="9"/>
  <c r="EP21" i="9"/>
  <c r="EP19" i="9"/>
  <c r="EP17" i="9"/>
  <c r="EP15" i="9"/>
  <c r="EP13" i="9"/>
  <c r="EP11" i="9"/>
  <c r="EP9" i="9"/>
  <c r="EP7" i="9"/>
  <c r="EP5" i="9"/>
  <c r="EQ26" i="9"/>
  <c r="EQ24" i="9"/>
  <c r="EQ22" i="9"/>
  <c r="EQ20" i="9"/>
  <c r="EQ18" i="9"/>
  <c r="EQ16" i="9"/>
  <c r="EQ14" i="9"/>
  <c r="EQ12" i="9"/>
  <c r="EQ10" i="9"/>
  <c r="EQ8" i="9"/>
  <c r="EQ6" i="9"/>
  <c r="EQ4" i="9"/>
  <c r="EP32" i="9"/>
  <c r="ER32" i="9" s="1"/>
  <c r="EP30" i="9"/>
  <c r="ER30" i="9" s="1"/>
  <c r="EP28" i="9"/>
  <c r="ER28" i="9" s="1"/>
  <c r="EP26" i="9"/>
  <c r="EP24" i="9"/>
  <c r="EP22" i="9"/>
  <c r="EP20" i="9"/>
  <c r="EP18" i="9"/>
  <c r="EP16" i="9"/>
  <c r="EP14" i="9"/>
  <c r="EP12" i="9"/>
  <c r="EP10" i="9"/>
  <c r="EP8" i="9"/>
  <c r="EP6" i="9"/>
  <c r="EP4" i="9"/>
  <c r="FL33" i="9"/>
  <c r="FL31" i="9"/>
  <c r="FL29" i="9"/>
  <c r="FL27" i="9"/>
  <c r="FL25" i="9"/>
  <c r="FL23" i="9"/>
  <c r="FL21" i="9"/>
  <c r="FL19" i="9"/>
  <c r="FL17" i="9"/>
  <c r="FL15" i="9"/>
  <c r="FL13" i="9"/>
  <c r="FL11" i="9"/>
  <c r="FL9" i="9"/>
  <c r="FL7" i="9"/>
  <c r="FL5" i="9"/>
  <c r="FK33" i="9"/>
  <c r="FK31" i="9"/>
  <c r="FK29" i="9"/>
  <c r="FK27" i="9"/>
  <c r="FK25" i="9"/>
  <c r="FK23" i="9"/>
  <c r="FK21" i="9"/>
  <c r="FK19" i="9"/>
  <c r="FK17" i="9"/>
  <c r="FK15" i="9"/>
  <c r="FK13" i="9"/>
  <c r="FK11" i="9"/>
  <c r="FK9" i="9"/>
  <c r="FK7" i="9"/>
  <c r="FK5" i="9"/>
  <c r="FL32" i="9"/>
  <c r="FL30" i="9"/>
  <c r="FL28" i="9"/>
  <c r="FL26" i="9"/>
  <c r="FL24" i="9"/>
  <c r="FL22" i="9"/>
  <c r="FL20" i="9"/>
  <c r="FL18" i="9"/>
  <c r="FL16" i="9"/>
  <c r="FL14" i="9"/>
  <c r="FL12" i="9"/>
  <c r="FL10" i="9"/>
  <c r="FL8" i="9"/>
  <c r="FL6" i="9"/>
  <c r="FL4" i="9"/>
  <c r="FK32" i="9"/>
  <c r="FK30" i="9"/>
  <c r="FK28" i="9"/>
  <c r="FK26" i="9"/>
  <c r="FK24" i="9"/>
  <c r="FK22" i="9"/>
  <c r="FK20" i="9"/>
  <c r="FK18" i="9"/>
  <c r="FK16" i="9"/>
  <c r="FK14" i="9"/>
  <c r="FK12" i="9"/>
  <c r="FK10" i="9"/>
  <c r="FK8" i="9"/>
  <c r="FK6" i="9"/>
  <c r="FK4" i="9"/>
  <c r="AG28" i="9"/>
  <c r="AG24" i="9"/>
  <c r="AG20" i="9"/>
  <c r="AG16" i="9"/>
  <c r="AG12" i="9"/>
  <c r="AG8" i="9"/>
  <c r="AG4" i="9"/>
  <c r="AG30" i="9"/>
  <c r="AG26" i="9"/>
  <c r="AG22" i="9"/>
  <c r="AG18" i="9"/>
  <c r="AG14" i="9"/>
  <c r="AG10" i="9"/>
  <c r="AG6" i="9"/>
  <c r="B33" i="9"/>
  <c r="B31" i="9"/>
  <c r="B29" i="9"/>
  <c r="B27" i="9"/>
  <c r="B25" i="9"/>
  <c r="B23" i="9"/>
  <c r="B21" i="9"/>
  <c r="B19" i="9"/>
  <c r="B17" i="9"/>
  <c r="B15" i="9"/>
  <c r="B13" i="9"/>
  <c r="B11" i="9"/>
  <c r="B9" i="9"/>
  <c r="A32" i="9"/>
  <c r="A30" i="9"/>
  <c r="A28" i="9"/>
  <c r="A26" i="9"/>
  <c r="A24" i="9"/>
  <c r="A22" i="9"/>
  <c r="A20" i="9"/>
  <c r="A18" i="9"/>
  <c r="A16" i="9"/>
  <c r="A14" i="9"/>
  <c r="A12" i="9"/>
  <c r="A10" i="9"/>
  <c r="B8" i="9"/>
  <c r="B7" i="9"/>
  <c r="A7" i="9"/>
  <c r="A5" i="9"/>
  <c r="B5" i="9"/>
  <c r="B32" i="9"/>
  <c r="B30" i="9"/>
  <c r="B28" i="9"/>
  <c r="B26" i="9"/>
  <c r="B24" i="9"/>
  <c r="B22" i="9"/>
  <c r="B20" i="9"/>
  <c r="B18" i="9"/>
  <c r="B16" i="9"/>
  <c r="B14" i="9"/>
  <c r="B12" i="9"/>
  <c r="B10" i="9"/>
  <c r="A33" i="9"/>
  <c r="A31" i="9"/>
  <c r="C31" i="9" s="1"/>
  <c r="A29" i="9"/>
  <c r="C29" i="9" s="1"/>
  <c r="A27" i="9"/>
  <c r="C27" i="9" s="1"/>
  <c r="A25" i="9"/>
  <c r="C25" i="9" s="1"/>
  <c r="A23" i="9"/>
  <c r="C23" i="9" s="1"/>
  <c r="A21" i="9"/>
  <c r="C21" i="9" s="1"/>
  <c r="A19" i="9"/>
  <c r="C19" i="9" s="1"/>
  <c r="A17" i="9"/>
  <c r="C17" i="9" s="1"/>
  <c r="A15" i="9"/>
  <c r="C15" i="9" s="1"/>
  <c r="A13" i="9"/>
  <c r="C13" i="9" s="1"/>
  <c r="A11" i="9"/>
  <c r="C11" i="9" s="1"/>
  <c r="A9" i="9"/>
  <c r="C9" i="9" s="1"/>
  <c r="A8" i="9"/>
  <c r="B6" i="9"/>
  <c r="A6" i="9"/>
  <c r="A4" i="9"/>
  <c r="B4" i="9"/>
  <c r="C33" i="9"/>
  <c r="C8" i="9"/>
  <c r="C9" i="15" l="1"/>
  <c r="EN255" i="9"/>
  <c r="EM255" i="9"/>
  <c r="F30" i="13"/>
  <c r="C25" i="15"/>
  <c r="D25" i="15" s="1"/>
  <c r="FH34" i="9"/>
  <c r="E36" i="13" s="1"/>
  <c r="C31" i="15" s="1"/>
  <c r="DK34" i="9"/>
  <c r="CI34" i="9"/>
  <c r="E13" i="13" s="1"/>
  <c r="C11" i="15" s="1"/>
  <c r="E8" i="9"/>
  <c r="D8" i="9"/>
  <c r="E11" i="9"/>
  <c r="D11" i="9"/>
  <c r="E15" i="9"/>
  <c r="D15" i="9"/>
  <c r="E19" i="9"/>
  <c r="D19" i="9"/>
  <c r="E23" i="9"/>
  <c r="D23" i="9"/>
  <c r="E27" i="9"/>
  <c r="D27" i="9"/>
  <c r="E31" i="9"/>
  <c r="D31" i="9"/>
  <c r="AH6" i="9"/>
  <c r="AI6" i="9"/>
  <c r="AH14" i="9"/>
  <c r="AI14" i="9"/>
  <c r="AH22" i="9"/>
  <c r="AI22" i="9"/>
  <c r="AH30" i="9"/>
  <c r="AI30" i="9"/>
  <c r="AI8" i="9"/>
  <c r="AH8" i="9"/>
  <c r="AI16" i="9"/>
  <c r="AH16" i="9"/>
  <c r="AI24" i="9"/>
  <c r="AH24" i="9"/>
  <c r="ES28" i="9"/>
  <c r="EU28" i="9"/>
  <c r="ET28" i="9"/>
  <c r="ET32" i="9"/>
  <c r="ES32" i="9"/>
  <c r="EU32" i="9"/>
  <c r="EU31" i="9"/>
  <c r="ES31" i="9"/>
  <c r="ET31" i="9"/>
  <c r="J25" i="9"/>
  <c r="K25" i="9"/>
  <c r="D33" i="9"/>
  <c r="F33" i="9" s="1"/>
  <c r="E33" i="9"/>
  <c r="E9" i="9"/>
  <c r="D9" i="9"/>
  <c r="D13" i="9"/>
  <c r="E13" i="9"/>
  <c r="E17" i="9"/>
  <c r="D17" i="9"/>
  <c r="D21" i="9"/>
  <c r="E21" i="9"/>
  <c r="E25" i="9"/>
  <c r="D25" i="9"/>
  <c r="D29" i="9"/>
  <c r="E29" i="9"/>
  <c r="AH10" i="9"/>
  <c r="AI10" i="9"/>
  <c r="AH18" i="9"/>
  <c r="AI18" i="9"/>
  <c r="AH26" i="9"/>
  <c r="AI26" i="9"/>
  <c r="AI4" i="9"/>
  <c r="AH4" i="9"/>
  <c r="AI12" i="9"/>
  <c r="AH12" i="9"/>
  <c r="AI20" i="9"/>
  <c r="AH20" i="9"/>
  <c r="AI28" i="9"/>
  <c r="AH28" i="9"/>
  <c r="ET30" i="9"/>
  <c r="EU30" i="9"/>
  <c r="ES30" i="9"/>
  <c r="ES29" i="9"/>
  <c r="EU29" i="9"/>
  <c r="ET29" i="9"/>
  <c r="ES33" i="9"/>
  <c r="ET33" i="9"/>
  <c r="EU33" i="9"/>
  <c r="E34" i="13"/>
  <c r="C29" i="15" s="1"/>
  <c r="C30" i="13"/>
  <c r="C11" i="13"/>
  <c r="E9" i="15" s="1"/>
  <c r="E33" i="13"/>
  <c r="C28" i="15" s="1"/>
  <c r="FI34" i="9"/>
  <c r="CJ34" i="9"/>
  <c r="DL34" i="9"/>
  <c r="CU21" i="9"/>
  <c r="CU25" i="9"/>
  <c r="CU29" i="9"/>
  <c r="CU33" i="9"/>
  <c r="CU20" i="9"/>
  <c r="CU24" i="9"/>
  <c r="CU28" i="9"/>
  <c r="CU32" i="9"/>
  <c r="CU23" i="9"/>
  <c r="CU27" i="9"/>
  <c r="CU31" i="9"/>
  <c r="CU22" i="9"/>
  <c r="CU26" i="9"/>
  <c r="CU30" i="9"/>
  <c r="I22" i="9"/>
  <c r="I32" i="9"/>
  <c r="I6" i="9"/>
  <c r="I10" i="9"/>
  <c r="I14" i="9"/>
  <c r="I18" i="9"/>
  <c r="I26" i="9"/>
  <c r="I30" i="9"/>
  <c r="I16" i="9"/>
  <c r="I7" i="9"/>
  <c r="I11" i="9"/>
  <c r="I15" i="9"/>
  <c r="I19" i="9"/>
  <c r="I23" i="9"/>
  <c r="I27" i="9"/>
  <c r="I31" i="9"/>
  <c r="I9" i="9"/>
  <c r="I8" i="9"/>
  <c r="I12" i="9"/>
  <c r="I20" i="9"/>
  <c r="I24" i="9"/>
  <c r="I28" i="9"/>
  <c r="I5" i="9"/>
  <c r="I13" i="9"/>
  <c r="I17" i="9"/>
  <c r="I21" i="9"/>
  <c r="I29" i="9"/>
  <c r="C14" i="9"/>
  <c r="C4" i="9"/>
  <c r="C6" i="9"/>
  <c r="C12" i="9"/>
  <c r="C16" i="9"/>
  <c r="C20" i="9"/>
  <c r="C24" i="9"/>
  <c r="C28" i="9"/>
  <c r="C32" i="9"/>
  <c r="C5" i="9"/>
  <c r="C7" i="9"/>
  <c r="C30" i="9"/>
  <c r="ER4" i="9"/>
  <c r="ER8" i="9"/>
  <c r="ER12" i="9"/>
  <c r="ER16" i="9"/>
  <c r="ER20" i="9"/>
  <c r="ER24" i="9"/>
  <c r="ER7" i="9"/>
  <c r="ER11" i="9"/>
  <c r="ER15" i="9"/>
  <c r="ER19" i="9"/>
  <c r="ER23" i="9"/>
  <c r="ER27" i="9"/>
  <c r="DP4" i="9"/>
  <c r="DP8" i="9"/>
  <c r="DP12" i="9"/>
  <c r="DP16" i="9"/>
  <c r="DP20" i="9"/>
  <c r="DP24" i="9"/>
  <c r="DP28" i="9"/>
  <c r="DP32" i="9"/>
  <c r="DP5" i="9"/>
  <c r="DP9" i="9"/>
  <c r="DP13" i="9"/>
  <c r="DP17" i="9"/>
  <c r="DP21" i="9"/>
  <c r="DP25" i="9"/>
  <c r="DP29" i="9"/>
  <c r="DP33" i="9"/>
  <c r="DP7" i="9"/>
  <c r="DP11" i="9"/>
  <c r="DP15" i="9"/>
  <c r="DP19" i="9"/>
  <c r="DP23" i="9"/>
  <c r="DP27" i="9"/>
  <c r="DP31" i="9"/>
  <c r="CU7" i="9"/>
  <c r="CU11" i="9"/>
  <c r="CU15" i="9"/>
  <c r="CU19" i="9"/>
  <c r="CU6" i="9"/>
  <c r="CU10" i="9"/>
  <c r="CU14" i="9"/>
  <c r="CU18" i="9"/>
  <c r="BE6" i="9"/>
  <c r="BE10" i="9"/>
  <c r="BE14" i="9"/>
  <c r="BE18" i="9"/>
  <c r="BE22" i="9"/>
  <c r="BE26" i="9"/>
  <c r="BE30" i="9"/>
  <c r="BE7" i="9"/>
  <c r="BE11" i="9"/>
  <c r="BE15" i="9"/>
  <c r="BE19" i="9"/>
  <c r="BE23" i="9"/>
  <c r="BE27" i="9"/>
  <c r="BE31" i="9"/>
  <c r="AS5" i="9"/>
  <c r="AS9" i="9"/>
  <c r="AS13" i="9"/>
  <c r="AS17" i="9"/>
  <c r="AS21" i="9"/>
  <c r="AS25" i="9"/>
  <c r="AS29" i="9"/>
  <c r="AS33" i="9"/>
  <c r="AS10" i="9"/>
  <c r="AS14" i="9"/>
  <c r="AS18" i="9"/>
  <c r="AS22" i="9"/>
  <c r="AS26" i="9"/>
  <c r="AS30" i="9"/>
  <c r="U5" i="9"/>
  <c r="U9" i="9"/>
  <c r="U13" i="9"/>
  <c r="U17" i="9"/>
  <c r="U21" i="9"/>
  <c r="U25" i="9"/>
  <c r="U29" i="9"/>
  <c r="U33" i="9"/>
  <c r="U4" i="9"/>
  <c r="U8" i="9"/>
  <c r="U12" i="9"/>
  <c r="U16" i="9"/>
  <c r="U20" i="9"/>
  <c r="U24" i="9"/>
  <c r="U28" i="9"/>
  <c r="U32" i="9"/>
  <c r="AM7" i="9"/>
  <c r="AM11" i="9"/>
  <c r="AM15" i="9"/>
  <c r="AM19" i="9"/>
  <c r="AM23" i="9"/>
  <c r="AM27" i="9"/>
  <c r="AM31" i="9"/>
  <c r="AM6" i="9"/>
  <c r="AM10" i="9"/>
  <c r="AM14" i="9"/>
  <c r="AM18" i="9"/>
  <c r="AM22" i="9"/>
  <c r="AM26" i="9"/>
  <c r="AM30" i="9"/>
  <c r="I4" i="9"/>
  <c r="I33" i="9"/>
  <c r="EY4" i="9"/>
  <c r="EY8" i="9"/>
  <c r="EY12" i="9"/>
  <c r="EY16" i="9"/>
  <c r="EY20" i="9"/>
  <c r="EY24" i="9"/>
  <c r="EY28" i="9"/>
  <c r="EY32" i="9"/>
  <c r="EY5" i="9"/>
  <c r="EY9" i="9"/>
  <c r="EY13" i="9"/>
  <c r="EY17" i="9"/>
  <c r="EY21" i="9"/>
  <c r="EY25" i="9"/>
  <c r="EY29" i="9"/>
  <c r="EY33" i="9"/>
  <c r="C10" i="9"/>
  <c r="C18" i="9"/>
  <c r="C22" i="9"/>
  <c r="C26" i="9"/>
  <c r="FM4" i="9"/>
  <c r="FM8" i="9"/>
  <c r="FM12" i="9"/>
  <c r="FM16" i="9"/>
  <c r="FM20" i="9"/>
  <c r="FM24" i="9"/>
  <c r="FM28" i="9"/>
  <c r="FM32" i="9"/>
  <c r="FM5" i="9"/>
  <c r="FM9" i="9"/>
  <c r="FM13" i="9"/>
  <c r="FM17" i="9"/>
  <c r="FM21" i="9"/>
  <c r="FM25" i="9"/>
  <c r="FM29" i="9"/>
  <c r="FM33" i="9"/>
  <c r="FM7" i="9"/>
  <c r="FM11" i="9"/>
  <c r="FM15" i="9"/>
  <c r="FM19" i="9"/>
  <c r="FM23" i="9"/>
  <c r="FM27" i="9"/>
  <c r="FM31" i="9"/>
  <c r="FM6" i="9"/>
  <c r="FM10" i="9"/>
  <c r="FM14" i="9"/>
  <c r="FM18" i="9"/>
  <c r="FM22" i="9"/>
  <c r="FM26" i="9"/>
  <c r="FM30" i="9"/>
  <c r="ER6" i="9"/>
  <c r="ER10" i="9"/>
  <c r="ER14" i="9"/>
  <c r="ER18" i="9"/>
  <c r="ER22" i="9"/>
  <c r="ER26" i="9"/>
  <c r="ER5" i="9"/>
  <c r="ER9" i="9"/>
  <c r="ER13" i="9"/>
  <c r="ER17" i="9"/>
  <c r="ER21" i="9"/>
  <c r="ER25" i="9"/>
  <c r="DP6" i="9"/>
  <c r="DP10" i="9"/>
  <c r="DP14" i="9"/>
  <c r="DP18" i="9"/>
  <c r="DP22" i="9"/>
  <c r="DP26" i="9"/>
  <c r="DP30" i="9"/>
  <c r="CU5" i="9"/>
  <c r="CU9" i="9"/>
  <c r="CU13" i="9"/>
  <c r="CU17" i="9"/>
  <c r="CU4" i="9"/>
  <c r="CU8" i="9"/>
  <c r="CU12" i="9"/>
  <c r="CU16" i="9"/>
  <c r="BE4" i="9"/>
  <c r="BE8" i="9"/>
  <c r="BE12" i="9"/>
  <c r="BE16" i="9"/>
  <c r="BE20" i="9"/>
  <c r="BE24" i="9"/>
  <c r="BE28" i="9"/>
  <c r="BE32" i="9"/>
  <c r="BE5" i="9"/>
  <c r="BE9" i="9"/>
  <c r="BE13" i="9"/>
  <c r="BE17" i="9"/>
  <c r="BE21" i="9"/>
  <c r="BE25" i="9"/>
  <c r="BE29" i="9"/>
  <c r="BE33" i="9"/>
  <c r="AS7" i="9"/>
  <c r="AS11" i="9"/>
  <c r="AS15" i="9"/>
  <c r="AS19" i="9"/>
  <c r="AS23" i="9"/>
  <c r="AS27" i="9"/>
  <c r="AS31" i="9"/>
  <c r="AS6" i="9"/>
  <c r="AS4" i="9"/>
  <c r="AS8" i="9"/>
  <c r="AS12" i="9"/>
  <c r="AS16" i="9"/>
  <c r="AS20" i="9"/>
  <c r="AS24" i="9"/>
  <c r="AS28" i="9"/>
  <c r="AS32" i="9"/>
  <c r="U7" i="9"/>
  <c r="U11" i="9"/>
  <c r="U15" i="9"/>
  <c r="U19" i="9"/>
  <c r="U23" i="9"/>
  <c r="U27" i="9"/>
  <c r="U31" i="9"/>
  <c r="U6" i="9"/>
  <c r="U10" i="9"/>
  <c r="U14" i="9"/>
  <c r="U18" i="9"/>
  <c r="U22" i="9"/>
  <c r="U26" i="9"/>
  <c r="U30" i="9"/>
  <c r="AM5" i="9"/>
  <c r="AM9" i="9"/>
  <c r="AM13" i="9"/>
  <c r="AM17" i="9"/>
  <c r="AM21" i="9"/>
  <c r="AM25" i="9"/>
  <c r="AM29" i="9"/>
  <c r="AM33" i="9"/>
  <c r="AM4" i="9"/>
  <c r="AM8" i="9"/>
  <c r="AM12" i="9"/>
  <c r="AM16" i="9"/>
  <c r="AM20" i="9"/>
  <c r="AM24" i="9"/>
  <c r="AM28" i="9"/>
  <c r="AM32" i="9"/>
  <c r="EY6" i="9"/>
  <c r="EY10" i="9"/>
  <c r="EY14" i="9"/>
  <c r="EY18" i="9"/>
  <c r="EY22" i="9"/>
  <c r="EY26" i="9"/>
  <c r="EY30" i="9"/>
  <c r="EY7" i="9"/>
  <c r="EY11" i="9"/>
  <c r="EY15" i="9"/>
  <c r="EY19" i="9"/>
  <c r="EY23" i="9"/>
  <c r="EY27" i="9"/>
  <c r="EY31" i="9"/>
  <c r="DB7" i="9"/>
  <c r="DB11" i="9"/>
  <c r="DB15" i="9"/>
  <c r="DB19" i="9"/>
  <c r="DB23" i="9"/>
  <c r="DB27" i="9"/>
  <c r="DB31" i="9"/>
  <c r="DB6" i="9"/>
  <c r="DB10" i="9"/>
  <c r="DB14" i="9"/>
  <c r="DB18" i="9"/>
  <c r="DB22" i="9"/>
  <c r="DB26" i="9"/>
  <c r="DB30" i="9"/>
  <c r="BZ6" i="9"/>
  <c r="BZ10" i="9"/>
  <c r="BZ14" i="9"/>
  <c r="BZ18" i="9"/>
  <c r="BZ22" i="9"/>
  <c r="BZ26" i="9"/>
  <c r="BZ30" i="9"/>
  <c r="BZ7" i="9"/>
  <c r="BZ11" i="9"/>
  <c r="BZ15" i="9"/>
  <c r="BZ19" i="9"/>
  <c r="BZ23" i="9"/>
  <c r="BZ27" i="9"/>
  <c r="BZ31" i="9"/>
  <c r="AY6" i="9"/>
  <c r="AY10" i="9"/>
  <c r="AY14" i="9"/>
  <c r="AY18" i="9"/>
  <c r="AY22" i="9"/>
  <c r="AY26" i="9"/>
  <c r="AY30" i="9"/>
  <c r="AY7" i="9"/>
  <c r="AY11" i="9"/>
  <c r="AY15" i="9"/>
  <c r="AY19" i="9"/>
  <c r="AY23" i="9"/>
  <c r="AY27" i="9"/>
  <c r="AY31" i="9"/>
  <c r="DB5" i="9"/>
  <c r="DB9" i="9"/>
  <c r="DB13" i="9"/>
  <c r="DB17" i="9"/>
  <c r="DB21" i="9"/>
  <c r="DB25" i="9"/>
  <c r="DB29" i="9"/>
  <c r="DB33" i="9"/>
  <c r="DB4" i="9"/>
  <c r="DB8" i="9"/>
  <c r="DB12" i="9"/>
  <c r="DB16" i="9"/>
  <c r="DB20" i="9"/>
  <c r="DB24" i="9"/>
  <c r="DB28" i="9"/>
  <c r="DB32" i="9"/>
  <c r="BZ4" i="9"/>
  <c r="BZ8" i="9"/>
  <c r="BZ12" i="9"/>
  <c r="BZ16" i="9"/>
  <c r="BZ20" i="9"/>
  <c r="BZ24" i="9"/>
  <c r="BZ28" i="9"/>
  <c r="BZ32" i="9"/>
  <c r="BZ5" i="9"/>
  <c r="BZ9" i="9"/>
  <c r="BZ13" i="9"/>
  <c r="BZ17" i="9"/>
  <c r="BZ21" i="9"/>
  <c r="BZ25" i="9"/>
  <c r="BZ29" i="9"/>
  <c r="BZ33" i="9"/>
  <c r="AY4" i="9"/>
  <c r="AY8" i="9"/>
  <c r="AY12" i="9"/>
  <c r="AY16" i="9"/>
  <c r="AY20" i="9"/>
  <c r="AY24" i="9"/>
  <c r="AY28" i="9"/>
  <c r="AY32" i="9"/>
  <c r="AY5" i="9"/>
  <c r="AY9" i="9"/>
  <c r="AY13" i="9"/>
  <c r="AY17" i="9"/>
  <c r="AY21" i="9"/>
  <c r="AY25" i="9"/>
  <c r="AY29" i="9"/>
  <c r="AY33" i="9"/>
  <c r="D30" i="13" l="1"/>
  <c r="E25" i="15"/>
  <c r="F25" i="15" s="1"/>
  <c r="E20" i="13"/>
  <c r="C17" i="15" s="1"/>
  <c r="AZ33" i="9"/>
  <c r="BA33" i="9"/>
  <c r="AZ25" i="9"/>
  <c r="BA25" i="9"/>
  <c r="AZ17" i="9"/>
  <c r="BA17" i="9"/>
  <c r="AZ9" i="9"/>
  <c r="BA9" i="9"/>
  <c r="BA32" i="9"/>
  <c r="AZ32" i="9"/>
  <c r="BA24" i="9"/>
  <c r="AZ24" i="9"/>
  <c r="BA16" i="9"/>
  <c r="AZ16" i="9"/>
  <c r="BA8" i="9"/>
  <c r="AZ8" i="9"/>
  <c r="CB33" i="9"/>
  <c r="CC33" i="9"/>
  <c r="CA33" i="9"/>
  <c r="CB25" i="9"/>
  <c r="CC25" i="9"/>
  <c r="CA25" i="9"/>
  <c r="CB17" i="9"/>
  <c r="CC17" i="9"/>
  <c r="CA17" i="9"/>
  <c r="CB9" i="9"/>
  <c r="CC9" i="9"/>
  <c r="CA9" i="9"/>
  <c r="CA32" i="9"/>
  <c r="CB32" i="9"/>
  <c r="CC32" i="9"/>
  <c r="CA24" i="9"/>
  <c r="CB24" i="9"/>
  <c r="CC24" i="9"/>
  <c r="CA16" i="9"/>
  <c r="CB16" i="9"/>
  <c r="CC16" i="9"/>
  <c r="CA8" i="9"/>
  <c r="CB8" i="9"/>
  <c r="CC8" i="9"/>
  <c r="DE32" i="9"/>
  <c r="DD32" i="9"/>
  <c r="DC32" i="9"/>
  <c r="DE24" i="9"/>
  <c r="DD24" i="9"/>
  <c r="DC24" i="9"/>
  <c r="DD16" i="9"/>
  <c r="DC16" i="9"/>
  <c r="DE16" i="9"/>
  <c r="DD8" i="9"/>
  <c r="DC8" i="9"/>
  <c r="DE8" i="9"/>
  <c r="DC33" i="9"/>
  <c r="DE33" i="9"/>
  <c r="DD33" i="9"/>
  <c r="DC25" i="9"/>
  <c r="DE25" i="9"/>
  <c r="DD25" i="9"/>
  <c r="DE17" i="9"/>
  <c r="DD17" i="9"/>
  <c r="DC17" i="9"/>
  <c r="DE9" i="9"/>
  <c r="DD9" i="9"/>
  <c r="DC9" i="9"/>
  <c r="BA31" i="9"/>
  <c r="AZ31" i="9"/>
  <c r="BA23" i="9"/>
  <c r="AZ23" i="9"/>
  <c r="BA15" i="9"/>
  <c r="AZ15" i="9"/>
  <c r="BA7" i="9"/>
  <c r="AZ7" i="9"/>
  <c r="AZ26" i="9"/>
  <c r="BA26" i="9"/>
  <c r="AZ18" i="9"/>
  <c r="BA18" i="9"/>
  <c r="AZ10" i="9"/>
  <c r="BA10" i="9"/>
  <c r="CA31" i="9"/>
  <c r="CB31" i="9"/>
  <c r="CC31" i="9"/>
  <c r="CA23" i="9"/>
  <c r="CB23" i="9"/>
  <c r="CC23" i="9"/>
  <c r="CA15" i="9"/>
  <c r="CB15" i="9"/>
  <c r="CC15" i="9"/>
  <c r="CA7" i="9"/>
  <c r="CB7" i="9"/>
  <c r="CC7" i="9"/>
  <c r="CC26" i="9"/>
  <c r="CA26" i="9"/>
  <c r="CB26" i="9"/>
  <c r="CC18" i="9"/>
  <c r="CA18" i="9"/>
  <c r="CB18" i="9"/>
  <c r="CC10" i="9"/>
  <c r="CA10" i="9"/>
  <c r="CB10" i="9"/>
  <c r="DD30" i="9"/>
  <c r="DC30" i="9"/>
  <c r="DE30" i="9"/>
  <c r="DE22" i="9"/>
  <c r="DC22" i="9"/>
  <c r="DD22" i="9"/>
  <c r="DE14" i="9"/>
  <c r="DD14" i="9"/>
  <c r="DC14" i="9"/>
  <c r="DE6" i="9"/>
  <c r="DC6" i="9"/>
  <c r="DD6" i="9"/>
  <c r="DE27" i="9"/>
  <c r="DD27" i="9"/>
  <c r="DC27" i="9"/>
  <c r="DC19" i="9"/>
  <c r="DE19" i="9"/>
  <c r="DD19" i="9"/>
  <c r="DC11" i="9"/>
  <c r="DD11" i="9"/>
  <c r="DE11" i="9"/>
  <c r="EZ31" i="9"/>
  <c r="FB31" i="9"/>
  <c r="FA31" i="9"/>
  <c r="EZ23" i="9"/>
  <c r="FB23" i="9"/>
  <c r="FA23" i="9"/>
  <c r="EZ15" i="9"/>
  <c r="FB15" i="9"/>
  <c r="FA15" i="9"/>
  <c r="EZ7" i="9"/>
  <c r="FB7" i="9"/>
  <c r="FA7" i="9"/>
  <c r="FB26" i="9"/>
  <c r="FA26" i="9"/>
  <c r="EZ26" i="9"/>
  <c r="FA18" i="9"/>
  <c r="EZ18" i="9"/>
  <c r="FB18" i="9"/>
  <c r="FA10" i="9"/>
  <c r="EZ10" i="9"/>
  <c r="FB10" i="9"/>
  <c r="AO32" i="9"/>
  <c r="AN32" i="9"/>
  <c r="AO24" i="9"/>
  <c r="AN24" i="9"/>
  <c r="AO16" i="9"/>
  <c r="AN16" i="9"/>
  <c r="AO8" i="9"/>
  <c r="AN8" i="9"/>
  <c r="AN33" i="9"/>
  <c r="AO33" i="9"/>
  <c r="AN25" i="9"/>
  <c r="AO25" i="9"/>
  <c r="AN17" i="9"/>
  <c r="AO17" i="9"/>
  <c r="AN9" i="9"/>
  <c r="AO9" i="9"/>
  <c r="V30" i="9"/>
  <c r="W30" i="9"/>
  <c r="V22" i="9"/>
  <c r="W22" i="9"/>
  <c r="V14" i="9"/>
  <c r="W14" i="9"/>
  <c r="V6" i="9"/>
  <c r="W6" i="9"/>
  <c r="W27" i="9"/>
  <c r="V27" i="9"/>
  <c r="W19" i="9"/>
  <c r="V19" i="9"/>
  <c r="W11" i="9"/>
  <c r="V11" i="9"/>
  <c r="AU32" i="9"/>
  <c r="AT32" i="9"/>
  <c r="AU24" i="9"/>
  <c r="AT24" i="9"/>
  <c r="AU16" i="9"/>
  <c r="AT16" i="9"/>
  <c r="AU8" i="9"/>
  <c r="AT8" i="9"/>
  <c r="AT6" i="9"/>
  <c r="AU6" i="9"/>
  <c r="AU27" i="9"/>
  <c r="AT27" i="9"/>
  <c r="AU19" i="9"/>
  <c r="AT19" i="9"/>
  <c r="AU11" i="9"/>
  <c r="AT11" i="9"/>
  <c r="BH33" i="9"/>
  <c r="BF33" i="9"/>
  <c r="BG33" i="9"/>
  <c r="BH25" i="9"/>
  <c r="BF25" i="9"/>
  <c r="BG25" i="9"/>
  <c r="BH17" i="9"/>
  <c r="BF17" i="9"/>
  <c r="BG17" i="9"/>
  <c r="BH9" i="9"/>
  <c r="BF9" i="9"/>
  <c r="BG9" i="9"/>
  <c r="BG32" i="9"/>
  <c r="BH32" i="9"/>
  <c r="BF32" i="9"/>
  <c r="BG24" i="9"/>
  <c r="BH24" i="9"/>
  <c r="BF24" i="9"/>
  <c r="BG16" i="9"/>
  <c r="BH16" i="9"/>
  <c r="BF16" i="9"/>
  <c r="BG8" i="9"/>
  <c r="BH8" i="9"/>
  <c r="BF8" i="9"/>
  <c r="CX16" i="9"/>
  <c r="CW16" i="9"/>
  <c r="CV16" i="9"/>
  <c r="CX8" i="9"/>
  <c r="CW8" i="9"/>
  <c r="CV8" i="9"/>
  <c r="CV17" i="9"/>
  <c r="CW17" i="9"/>
  <c r="CX17" i="9"/>
  <c r="CV9" i="9"/>
  <c r="CW9" i="9"/>
  <c r="CX9" i="9"/>
  <c r="DR30" i="9"/>
  <c r="DQ30" i="9"/>
  <c r="DS30" i="9"/>
  <c r="DR22" i="9"/>
  <c r="DQ22" i="9"/>
  <c r="DS22" i="9"/>
  <c r="DR14" i="9"/>
  <c r="DQ14" i="9"/>
  <c r="DS14" i="9"/>
  <c r="DR6" i="9"/>
  <c r="DQ6" i="9"/>
  <c r="DS6" i="9"/>
  <c r="ES21" i="9"/>
  <c r="EU21" i="9"/>
  <c r="ET21" i="9"/>
  <c r="ES13" i="9"/>
  <c r="EU13" i="9"/>
  <c r="ET13" i="9"/>
  <c r="ES5" i="9"/>
  <c r="EU5" i="9"/>
  <c r="ET5" i="9"/>
  <c r="ET22" i="9"/>
  <c r="EU22" i="9"/>
  <c r="ES22" i="9"/>
  <c r="ET14" i="9"/>
  <c r="EU14" i="9"/>
  <c r="ES14" i="9"/>
  <c r="ET6" i="9"/>
  <c r="EU6" i="9"/>
  <c r="ES6" i="9"/>
  <c r="FN26" i="9"/>
  <c r="FP26" i="9"/>
  <c r="FO26" i="9"/>
  <c r="FN18" i="9"/>
  <c r="FP18" i="9"/>
  <c r="FO18" i="9"/>
  <c r="FN10" i="9"/>
  <c r="FP10" i="9"/>
  <c r="FO10" i="9"/>
  <c r="FO31" i="9"/>
  <c r="FN31" i="9"/>
  <c r="FP31" i="9"/>
  <c r="FO23" i="9"/>
  <c r="FN23" i="9"/>
  <c r="FP23" i="9"/>
  <c r="FO15" i="9"/>
  <c r="FN15" i="9"/>
  <c r="FP15" i="9"/>
  <c r="FO7" i="9"/>
  <c r="FN7" i="9"/>
  <c r="FP7" i="9"/>
  <c r="FP29" i="9"/>
  <c r="FO29" i="9"/>
  <c r="FN29" i="9"/>
  <c r="FP21" i="9"/>
  <c r="FO21" i="9"/>
  <c r="FN21" i="9"/>
  <c r="FP13" i="9"/>
  <c r="FO13" i="9"/>
  <c r="FN13" i="9"/>
  <c r="FP5" i="9"/>
  <c r="FO5" i="9"/>
  <c r="FN5" i="9"/>
  <c r="FP28" i="9"/>
  <c r="FO28" i="9"/>
  <c r="FN28" i="9"/>
  <c r="FP20" i="9"/>
  <c r="FO20" i="9"/>
  <c r="FN20" i="9"/>
  <c r="FP12" i="9"/>
  <c r="FO12" i="9"/>
  <c r="FN12" i="9"/>
  <c r="FP4" i="9"/>
  <c r="FO4" i="9"/>
  <c r="FN4" i="9"/>
  <c r="D22" i="9"/>
  <c r="E22" i="9"/>
  <c r="D10" i="9"/>
  <c r="E10" i="9"/>
  <c r="FB29" i="9"/>
  <c r="FA29" i="9"/>
  <c r="EZ29" i="9"/>
  <c r="FB21" i="9"/>
  <c r="FA21" i="9"/>
  <c r="EZ21" i="9"/>
  <c r="FB13" i="9"/>
  <c r="EZ13" i="9"/>
  <c r="FA13" i="9"/>
  <c r="FB5" i="9"/>
  <c r="EZ5" i="9"/>
  <c r="FA5" i="9"/>
  <c r="FA28" i="9"/>
  <c r="EZ28" i="9"/>
  <c r="FB28" i="9"/>
  <c r="FA20" i="9"/>
  <c r="EZ20" i="9"/>
  <c r="FB20" i="9"/>
  <c r="FA12" i="9"/>
  <c r="FB12" i="9"/>
  <c r="EZ12" i="9"/>
  <c r="FA4" i="9"/>
  <c r="FB4" i="9"/>
  <c r="EZ4" i="9"/>
  <c r="K4" i="9"/>
  <c r="J4" i="9"/>
  <c r="AN26" i="9"/>
  <c r="AO26" i="9"/>
  <c r="AN18" i="9"/>
  <c r="AO18" i="9"/>
  <c r="AN10" i="9"/>
  <c r="AO10" i="9"/>
  <c r="AO31" i="9"/>
  <c r="AN31" i="9"/>
  <c r="AO23" i="9"/>
  <c r="AN23" i="9"/>
  <c r="AO15" i="9"/>
  <c r="AN15" i="9"/>
  <c r="AO7" i="9"/>
  <c r="AN7" i="9"/>
  <c r="W28" i="9"/>
  <c r="V28" i="9"/>
  <c r="W20" i="9"/>
  <c r="V20" i="9"/>
  <c r="W12" i="9"/>
  <c r="V12" i="9"/>
  <c r="W4" i="9"/>
  <c r="V4" i="9"/>
  <c r="V29" i="9"/>
  <c r="W29" i="9"/>
  <c r="V21" i="9"/>
  <c r="W21" i="9"/>
  <c r="V13" i="9"/>
  <c r="W13" i="9"/>
  <c r="V5" i="9"/>
  <c r="W5" i="9"/>
  <c r="AT26" i="9"/>
  <c r="AU26" i="9"/>
  <c r="AT18" i="9"/>
  <c r="AU18" i="9"/>
  <c r="AT10" i="9"/>
  <c r="AU10" i="9"/>
  <c r="AT29" i="9"/>
  <c r="AU29" i="9"/>
  <c r="AT21" i="9"/>
  <c r="AU21" i="9"/>
  <c r="AT13" i="9"/>
  <c r="AU13" i="9"/>
  <c r="AT5" i="9"/>
  <c r="AU5" i="9"/>
  <c r="BG27" i="9"/>
  <c r="BH27" i="9"/>
  <c r="BF27" i="9"/>
  <c r="BG19" i="9"/>
  <c r="BH19" i="9"/>
  <c r="BF19" i="9"/>
  <c r="BG11" i="9"/>
  <c r="BH11" i="9"/>
  <c r="BF11" i="9"/>
  <c r="BH30" i="9"/>
  <c r="BF30" i="9"/>
  <c r="BG30" i="9"/>
  <c r="BH22" i="9"/>
  <c r="BF22" i="9"/>
  <c r="BG22" i="9"/>
  <c r="BH14" i="9"/>
  <c r="BF14" i="9"/>
  <c r="BG14" i="9"/>
  <c r="BH6" i="9"/>
  <c r="BF6" i="9"/>
  <c r="BG6" i="9"/>
  <c r="CV14" i="9"/>
  <c r="CW14" i="9"/>
  <c r="CX14" i="9"/>
  <c r="CV6" i="9"/>
  <c r="CW6" i="9"/>
  <c r="CX6" i="9"/>
  <c r="CW15" i="9"/>
  <c r="CX15" i="9"/>
  <c r="CV15" i="9"/>
  <c r="CW7" i="9"/>
  <c r="CX7" i="9"/>
  <c r="CV7" i="9"/>
  <c r="DS27" i="9"/>
  <c r="DR27" i="9"/>
  <c r="DQ27" i="9"/>
  <c r="DS19" i="9"/>
  <c r="DR19" i="9"/>
  <c r="DQ19" i="9"/>
  <c r="DS11" i="9"/>
  <c r="DR11" i="9"/>
  <c r="DQ11" i="9"/>
  <c r="DQ33" i="9"/>
  <c r="DS33" i="9"/>
  <c r="DR33" i="9"/>
  <c r="DQ25" i="9"/>
  <c r="DS25" i="9"/>
  <c r="DR25" i="9"/>
  <c r="DQ17" i="9"/>
  <c r="DS17" i="9"/>
  <c r="DR17" i="9"/>
  <c r="DQ9" i="9"/>
  <c r="DS9" i="9"/>
  <c r="DR9" i="9"/>
  <c r="DS32" i="9"/>
  <c r="DR32" i="9"/>
  <c r="DQ32" i="9"/>
  <c r="DS24" i="9"/>
  <c r="DR24" i="9"/>
  <c r="DQ24" i="9"/>
  <c r="DS16" i="9"/>
  <c r="DR16" i="9"/>
  <c r="DQ16" i="9"/>
  <c r="DS8" i="9"/>
  <c r="DR8" i="9"/>
  <c r="DQ8" i="9"/>
  <c r="EU27" i="9"/>
  <c r="ES27" i="9"/>
  <c r="ET27" i="9"/>
  <c r="EU19" i="9"/>
  <c r="ES19" i="9"/>
  <c r="ET19" i="9"/>
  <c r="EU11" i="9"/>
  <c r="ES11" i="9"/>
  <c r="ET11" i="9"/>
  <c r="ET24" i="9"/>
  <c r="ES24" i="9"/>
  <c r="EU24" i="9"/>
  <c r="ET16" i="9"/>
  <c r="ES16" i="9"/>
  <c r="EU16" i="9"/>
  <c r="ET8" i="9"/>
  <c r="ES8" i="9"/>
  <c r="EU8" i="9"/>
  <c r="D30" i="9"/>
  <c r="F30" i="9" s="1"/>
  <c r="E30" i="9"/>
  <c r="D5" i="9"/>
  <c r="E5" i="9"/>
  <c r="E28" i="9"/>
  <c r="D28" i="9"/>
  <c r="F28" i="9" s="1"/>
  <c r="E20" i="9"/>
  <c r="D20" i="9"/>
  <c r="F20" i="9" s="1"/>
  <c r="E12" i="9"/>
  <c r="D12" i="9"/>
  <c r="F12" i="9" s="1"/>
  <c r="E4" i="9"/>
  <c r="D4" i="9"/>
  <c r="J29" i="9"/>
  <c r="K29" i="9"/>
  <c r="J17" i="9"/>
  <c r="K17" i="9"/>
  <c r="J5" i="9"/>
  <c r="K5" i="9"/>
  <c r="K24" i="9"/>
  <c r="J24" i="9"/>
  <c r="K12" i="9"/>
  <c r="J12" i="9"/>
  <c r="J9" i="9"/>
  <c r="K9" i="9"/>
  <c r="K27" i="9"/>
  <c r="J27" i="9"/>
  <c r="K19" i="9"/>
  <c r="J19" i="9"/>
  <c r="K11" i="9"/>
  <c r="J11" i="9"/>
  <c r="K16" i="9"/>
  <c r="J16" i="9"/>
  <c r="J26" i="9"/>
  <c r="K26" i="9"/>
  <c r="J14" i="9"/>
  <c r="K14" i="9"/>
  <c r="J6" i="9"/>
  <c r="K6" i="9"/>
  <c r="J22" i="9"/>
  <c r="K22" i="9"/>
  <c r="CV26" i="9"/>
  <c r="CW26" i="9"/>
  <c r="CX26" i="9"/>
  <c r="CW31" i="9"/>
  <c r="CX31" i="9"/>
  <c r="CV31" i="9"/>
  <c r="CW23" i="9"/>
  <c r="CX23" i="9"/>
  <c r="CV23" i="9"/>
  <c r="CX28" i="9"/>
  <c r="CV28" i="9"/>
  <c r="CW28" i="9"/>
  <c r="CX20" i="9"/>
  <c r="CV20" i="9"/>
  <c r="CW20" i="9"/>
  <c r="CV29" i="9"/>
  <c r="CX29" i="9"/>
  <c r="CW29" i="9"/>
  <c r="CV21" i="9"/>
  <c r="CX21" i="9"/>
  <c r="CW21" i="9"/>
  <c r="AZ29" i="9"/>
  <c r="BA29" i="9"/>
  <c r="AZ21" i="9"/>
  <c r="BA21" i="9"/>
  <c r="AZ13" i="9"/>
  <c r="BA13" i="9"/>
  <c r="AZ5" i="9"/>
  <c r="BA5" i="9"/>
  <c r="BA28" i="9"/>
  <c r="AZ28" i="9"/>
  <c r="BA20" i="9"/>
  <c r="AZ20" i="9"/>
  <c r="BA12" i="9"/>
  <c r="AZ12" i="9"/>
  <c r="BA4" i="9"/>
  <c r="AZ4" i="9"/>
  <c r="CB29" i="9"/>
  <c r="CC29" i="9"/>
  <c r="CA29" i="9"/>
  <c r="CB21" i="9"/>
  <c r="CC21" i="9"/>
  <c r="CA21" i="9"/>
  <c r="CB13" i="9"/>
  <c r="CC13" i="9"/>
  <c r="CA13" i="9"/>
  <c r="CB5" i="9"/>
  <c r="CC5" i="9"/>
  <c r="CA5" i="9"/>
  <c r="CA28" i="9"/>
  <c r="CB28" i="9"/>
  <c r="CC28" i="9"/>
  <c r="CA20" i="9"/>
  <c r="CB20" i="9"/>
  <c r="CC20" i="9"/>
  <c r="CA12" i="9"/>
  <c r="CB12" i="9"/>
  <c r="CC12" i="9"/>
  <c r="CA4" i="9"/>
  <c r="CB4" i="9"/>
  <c r="CC4" i="9"/>
  <c r="DE28" i="9"/>
  <c r="DD28" i="9"/>
  <c r="DC28" i="9"/>
  <c r="DD20" i="9"/>
  <c r="DC20" i="9"/>
  <c r="DE20" i="9"/>
  <c r="DD12" i="9"/>
  <c r="DC12" i="9"/>
  <c r="DE12" i="9"/>
  <c r="DD4" i="9"/>
  <c r="DC4" i="9"/>
  <c r="DE4" i="9"/>
  <c r="DC29" i="9"/>
  <c r="DE29" i="9"/>
  <c r="DD29" i="9"/>
  <c r="DE21" i="9"/>
  <c r="DC21" i="9"/>
  <c r="DD21" i="9"/>
  <c r="DE13" i="9"/>
  <c r="DC13" i="9"/>
  <c r="DD13" i="9"/>
  <c r="DE5" i="9"/>
  <c r="DC5" i="9"/>
  <c r="DD5" i="9"/>
  <c r="BA27" i="9"/>
  <c r="AZ27" i="9"/>
  <c r="BA19" i="9"/>
  <c r="AZ19" i="9"/>
  <c r="BA11" i="9"/>
  <c r="AZ11" i="9"/>
  <c r="AZ30" i="9"/>
  <c r="BA30" i="9"/>
  <c r="AZ22" i="9"/>
  <c r="BA22" i="9"/>
  <c r="AZ14" i="9"/>
  <c r="BA14" i="9"/>
  <c r="AZ6" i="9"/>
  <c r="BA6" i="9"/>
  <c r="CA27" i="9"/>
  <c r="CC27" i="9"/>
  <c r="CB27" i="9"/>
  <c r="CA19" i="9"/>
  <c r="CC19" i="9"/>
  <c r="CB19" i="9"/>
  <c r="CA11" i="9"/>
  <c r="CC11" i="9"/>
  <c r="CB11" i="9"/>
  <c r="CC30" i="9"/>
  <c r="CB30" i="9"/>
  <c r="CA30" i="9"/>
  <c r="CC22" i="9"/>
  <c r="CB22" i="9"/>
  <c r="CA22" i="9"/>
  <c r="CC14" i="9"/>
  <c r="CB14" i="9"/>
  <c r="CA14" i="9"/>
  <c r="CC6" i="9"/>
  <c r="CB6" i="9"/>
  <c r="CA6" i="9"/>
  <c r="DD26" i="9"/>
  <c r="DC26" i="9"/>
  <c r="DE26" i="9"/>
  <c r="DD18" i="9"/>
  <c r="DE18" i="9"/>
  <c r="DC18" i="9"/>
  <c r="DD10" i="9"/>
  <c r="DE10" i="9"/>
  <c r="DC10" i="9"/>
  <c r="DE31" i="9"/>
  <c r="DD31" i="9"/>
  <c r="DC31" i="9"/>
  <c r="DE23" i="9"/>
  <c r="DC23" i="9"/>
  <c r="DD23" i="9"/>
  <c r="DC15" i="9"/>
  <c r="DE15" i="9"/>
  <c r="DD15" i="9"/>
  <c r="DC7" i="9"/>
  <c r="DE7" i="9"/>
  <c r="DD7" i="9"/>
  <c r="EZ27" i="9"/>
  <c r="FA27" i="9"/>
  <c r="FB27" i="9"/>
  <c r="EZ19" i="9"/>
  <c r="FA19" i="9"/>
  <c r="FB19" i="9"/>
  <c r="EZ11" i="9"/>
  <c r="FA11" i="9"/>
  <c r="FB11" i="9"/>
  <c r="FB30" i="9"/>
  <c r="EZ30" i="9"/>
  <c r="FA30" i="9"/>
  <c r="FB22" i="9"/>
  <c r="EZ22" i="9"/>
  <c r="FA22" i="9"/>
  <c r="EZ14" i="9"/>
  <c r="FB14" i="9"/>
  <c r="FA14" i="9"/>
  <c r="EZ6" i="9"/>
  <c r="FA6" i="9"/>
  <c r="FB6" i="9"/>
  <c r="AO28" i="9"/>
  <c r="AN28" i="9"/>
  <c r="AO20" i="9"/>
  <c r="AN20" i="9"/>
  <c r="AO12" i="9"/>
  <c r="AN12" i="9"/>
  <c r="AO4" i="9"/>
  <c r="AN4" i="9"/>
  <c r="AO29" i="9"/>
  <c r="AN29" i="9"/>
  <c r="AO21" i="9"/>
  <c r="AN21" i="9"/>
  <c r="AN13" i="9"/>
  <c r="AO13" i="9"/>
  <c r="AN5" i="9"/>
  <c r="AO5" i="9"/>
  <c r="V26" i="9"/>
  <c r="W26" i="9"/>
  <c r="V18" i="9"/>
  <c r="W18" i="9"/>
  <c r="V10" i="9"/>
  <c r="W10" i="9"/>
  <c r="W31" i="9"/>
  <c r="V31" i="9"/>
  <c r="W23" i="9"/>
  <c r="V23" i="9"/>
  <c r="W15" i="9"/>
  <c r="V15" i="9"/>
  <c r="W7" i="9"/>
  <c r="V7" i="9"/>
  <c r="AU28" i="9"/>
  <c r="AT28" i="9"/>
  <c r="AU20" i="9"/>
  <c r="AT20" i="9"/>
  <c r="AU12" i="9"/>
  <c r="AT12" i="9"/>
  <c r="AU4" i="9"/>
  <c r="AT4" i="9"/>
  <c r="AU31" i="9"/>
  <c r="AT31" i="9"/>
  <c r="AU23" i="9"/>
  <c r="AT23" i="9"/>
  <c r="AU15" i="9"/>
  <c r="AT15" i="9"/>
  <c r="AU7" i="9"/>
  <c r="AT7" i="9"/>
  <c r="BH29" i="9"/>
  <c r="BF29" i="9"/>
  <c r="BG29" i="9"/>
  <c r="BH21" i="9"/>
  <c r="BF21" i="9"/>
  <c r="BG21" i="9"/>
  <c r="BH13" i="9"/>
  <c r="BF13" i="9"/>
  <c r="BG13" i="9"/>
  <c r="BH5" i="9"/>
  <c r="BF5" i="9"/>
  <c r="BG5" i="9"/>
  <c r="BG28" i="9"/>
  <c r="BF28" i="9"/>
  <c r="BH28" i="9"/>
  <c r="BG20" i="9"/>
  <c r="BF20" i="9"/>
  <c r="BH20" i="9"/>
  <c r="BG12" i="9"/>
  <c r="BF12" i="9"/>
  <c r="BH12" i="9"/>
  <c r="BG4" i="9"/>
  <c r="BF4" i="9"/>
  <c r="BH4" i="9"/>
  <c r="CX12" i="9"/>
  <c r="CV12" i="9"/>
  <c r="CW12" i="9"/>
  <c r="CX4" i="9"/>
  <c r="CV4" i="9"/>
  <c r="CW4" i="9"/>
  <c r="CV13" i="9"/>
  <c r="CX13" i="9"/>
  <c r="CW13" i="9"/>
  <c r="CV5" i="9"/>
  <c r="CX5" i="9"/>
  <c r="CW5" i="9"/>
  <c r="DR26" i="9"/>
  <c r="DQ26" i="9"/>
  <c r="DS26" i="9"/>
  <c r="DR18" i="9"/>
  <c r="DQ18" i="9"/>
  <c r="DS18" i="9"/>
  <c r="DR10" i="9"/>
  <c r="DQ10" i="9"/>
  <c r="DS10" i="9"/>
  <c r="ES25" i="9"/>
  <c r="ET25" i="9"/>
  <c r="EU25" i="9"/>
  <c r="ES17" i="9"/>
  <c r="ET17" i="9"/>
  <c r="EU17" i="9"/>
  <c r="ES9" i="9"/>
  <c r="ET9" i="9"/>
  <c r="EU9" i="9"/>
  <c r="ET26" i="9"/>
  <c r="EU26" i="9"/>
  <c r="ES26" i="9"/>
  <c r="ET18" i="9"/>
  <c r="EU18" i="9"/>
  <c r="ES18" i="9"/>
  <c r="ET10" i="9"/>
  <c r="EU10" i="9"/>
  <c r="ES10" i="9"/>
  <c r="FN30" i="9"/>
  <c r="FO30" i="9"/>
  <c r="FP30" i="9"/>
  <c r="FN22" i="9"/>
  <c r="FO22" i="9"/>
  <c r="FP22" i="9"/>
  <c r="FN14" i="9"/>
  <c r="FO14" i="9"/>
  <c r="FP14" i="9"/>
  <c r="FN6" i="9"/>
  <c r="FO6" i="9"/>
  <c r="FP6" i="9"/>
  <c r="FO27" i="9"/>
  <c r="FN27" i="9"/>
  <c r="FP27" i="9"/>
  <c r="FO19" i="9"/>
  <c r="FN19" i="9"/>
  <c r="FP19" i="9"/>
  <c r="FO11" i="9"/>
  <c r="FN11" i="9"/>
  <c r="FP11" i="9"/>
  <c r="FP33" i="9"/>
  <c r="FN33" i="9"/>
  <c r="FO33" i="9"/>
  <c r="FP25" i="9"/>
  <c r="FN25" i="9"/>
  <c r="FO25" i="9"/>
  <c r="FP17" i="9"/>
  <c r="FN17" i="9"/>
  <c r="FO17" i="9"/>
  <c r="FP9" i="9"/>
  <c r="FN9" i="9"/>
  <c r="FO9" i="9"/>
  <c r="FP32" i="9"/>
  <c r="FO32" i="9"/>
  <c r="FN32" i="9"/>
  <c r="FP24" i="9"/>
  <c r="FO24" i="9"/>
  <c r="FN24" i="9"/>
  <c r="FP16" i="9"/>
  <c r="FO16" i="9"/>
  <c r="FN16" i="9"/>
  <c r="FP8" i="9"/>
  <c r="FO8" i="9"/>
  <c r="FN8" i="9"/>
  <c r="D26" i="9"/>
  <c r="F26" i="9" s="1"/>
  <c r="E26" i="9"/>
  <c r="D18" i="9"/>
  <c r="E18" i="9"/>
  <c r="FB33" i="9"/>
  <c r="FA33" i="9"/>
  <c r="EZ33" i="9"/>
  <c r="FB25" i="9"/>
  <c r="FA25" i="9"/>
  <c r="EZ25" i="9"/>
  <c r="FB17" i="9"/>
  <c r="EZ17" i="9"/>
  <c r="FA17" i="9"/>
  <c r="FB9" i="9"/>
  <c r="FA9" i="9"/>
  <c r="EZ9" i="9"/>
  <c r="FA32" i="9"/>
  <c r="EZ32" i="9"/>
  <c r="FB32" i="9"/>
  <c r="FA24" i="9"/>
  <c r="EZ24" i="9"/>
  <c r="FB24" i="9"/>
  <c r="FA16" i="9"/>
  <c r="FB16" i="9"/>
  <c r="EZ16" i="9"/>
  <c r="FA8" i="9"/>
  <c r="FB8" i="9"/>
  <c r="EZ8" i="9"/>
  <c r="J33" i="9"/>
  <c r="K33" i="9"/>
  <c r="AN30" i="9"/>
  <c r="AO30" i="9"/>
  <c r="AN22" i="9"/>
  <c r="AO22" i="9"/>
  <c r="AN14" i="9"/>
  <c r="AO14" i="9"/>
  <c r="AN6" i="9"/>
  <c r="AO6" i="9"/>
  <c r="AO27" i="9"/>
  <c r="AN27" i="9"/>
  <c r="AO19" i="9"/>
  <c r="AN19" i="9"/>
  <c r="AO11" i="9"/>
  <c r="AN11" i="9"/>
  <c r="W32" i="9"/>
  <c r="V32" i="9"/>
  <c r="W24" i="9"/>
  <c r="V24" i="9"/>
  <c r="W16" i="9"/>
  <c r="V16" i="9"/>
  <c r="W8" i="9"/>
  <c r="V8" i="9"/>
  <c r="V33" i="9"/>
  <c r="W33" i="9"/>
  <c r="V25" i="9"/>
  <c r="W25" i="9"/>
  <c r="V17" i="9"/>
  <c r="W17" i="9"/>
  <c r="V9" i="9"/>
  <c r="W9" i="9"/>
  <c r="AT30" i="9"/>
  <c r="AU30" i="9"/>
  <c r="AT22" i="9"/>
  <c r="AU22" i="9"/>
  <c r="AT14" i="9"/>
  <c r="AU14" i="9"/>
  <c r="AT33" i="9"/>
  <c r="AU33" i="9"/>
  <c r="AT25" i="9"/>
  <c r="AU25" i="9"/>
  <c r="AT17" i="9"/>
  <c r="AU17" i="9"/>
  <c r="AT9" i="9"/>
  <c r="AU9" i="9"/>
  <c r="BG31" i="9"/>
  <c r="BF31" i="9"/>
  <c r="BH31" i="9"/>
  <c r="BG23" i="9"/>
  <c r="BF23" i="9"/>
  <c r="BH23" i="9"/>
  <c r="BG15" i="9"/>
  <c r="BF15" i="9"/>
  <c r="BH15" i="9"/>
  <c r="BG7" i="9"/>
  <c r="BF7" i="9"/>
  <c r="BH7" i="9"/>
  <c r="BH26" i="9"/>
  <c r="BF26" i="9"/>
  <c r="BG26" i="9"/>
  <c r="BH18" i="9"/>
  <c r="BF18" i="9"/>
  <c r="BG18" i="9"/>
  <c r="BH10" i="9"/>
  <c r="BF10" i="9"/>
  <c r="BG10" i="9"/>
  <c r="CV18" i="9"/>
  <c r="CW18" i="9"/>
  <c r="CX18" i="9"/>
  <c r="CV10" i="9"/>
  <c r="CW10" i="9"/>
  <c r="CX10" i="9"/>
  <c r="CW19" i="9"/>
  <c r="CX19" i="9"/>
  <c r="CV19" i="9"/>
  <c r="CW11" i="9"/>
  <c r="CX11" i="9"/>
  <c r="CV11" i="9"/>
  <c r="DS31" i="9"/>
  <c r="DR31" i="9"/>
  <c r="DQ31" i="9"/>
  <c r="DS23" i="9"/>
  <c r="DR23" i="9"/>
  <c r="DQ23" i="9"/>
  <c r="DS15" i="9"/>
  <c r="DR15" i="9"/>
  <c r="DQ15" i="9"/>
  <c r="DS7" i="9"/>
  <c r="DR7" i="9"/>
  <c r="DQ7" i="9"/>
  <c r="DQ29" i="9"/>
  <c r="DS29" i="9"/>
  <c r="DR29" i="9"/>
  <c r="DQ21" i="9"/>
  <c r="DS21" i="9"/>
  <c r="DR21" i="9"/>
  <c r="DQ13" i="9"/>
  <c r="DS13" i="9"/>
  <c r="DR13" i="9"/>
  <c r="DQ5" i="9"/>
  <c r="DS5" i="9"/>
  <c r="DR5" i="9"/>
  <c r="DS28" i="9"/>
  <c r="DR28" i="9"/>
  <c r="DQ28" i="9"/>
  <c r="DS20" i="9"/>
  <c r="DR20" i="9"/>
  <c r="DQ20" i="9"/>
  <c r="DS12" i="9"/>
  <c r="DR12" i="9"/>
  <c r="DQ12" i="9"/>
  <c r="DS4" i="9"/>
  <c r="DR4" i="9"/>
  <c r="DQ4" i="9"/>
  <c r="EU23" i="9"/>
  <c r="ET23" i="9"/>
  <c r="ES23" i="9"/>
  <c r="EU15" i="9"/>
  <c r="ES15" i="9"/>
  <c r="ET15" i="9"/>
  <c r="EU7" i="9"/>
  <c r="ET7" i="9"/>
  <c r="ES7" i="9"/>
  <c r="ES20" i="9"/>
  <c r="ET20" i="9"/>
  <c r="EU20" i="9"/>
  <c r="ES12" i="9"/>
  <c r="EU12" i="9"/>
  <c r="ET12" i="9"/>
  <c r="ES4" i="9"/>
  <c r="ET4" i="9"/>
  <c r="EU4" i="9"/>
  <c r="E7" i="9"/>
  <c r="D7" i="9"/>
  <c r="E32" i="9"/>
  <c r="D32" i="9"/>
  <c r="F32" i="9" s="1"/>
  <c r="E24" i="9"/>
  <c r="D24" i="9"/>
  <c r="E16" i="9"/>
  <c r="D16" i="9"/>
  <c r="F16" i="9" s="1"/>
  <c r="D6" i="9"/>
  <c r="E6" i="9"/>
  <c r="D14" i="9"/>
  <c r="E14" i="9"/>
  <c r="J21" i="9"/>
  <c r="K21" i="9"/>
  <c r="J13" i="9"/>
  <c r="K13" i="9"/>
  <c r="K28" i="9"/>
  <c r="J28" i="9"/>
  <c r="K20" i="9"/>
  <c r="J20" i="9"/>
  <c r="K8" i="9"/>
  <c r="J8" i="9"/>
  <c r="K31" i="9"/>
  <c r="J31" i="9"/>
  <c r="K23" i="9"/>
  <c r="J23" i="9"/>
  <c r="K15" i="9"/>
  <c r="J15" i="9"/>
  <c r="K7" i="9"/>
  <c r="J7" i="9"/>
  <c r="J30" i="9"/>
  <c r="K30" i="9"/>
  <c r="J18" i="9"/>
  <c r="K18" i="9"/>
  <c r="J10" i="9"/>
  <c r="K10" i="9"/>
  <c r="K32" i="9"/>
  <c r="J32" i="9"/>
  <c r="CV30" i="9"/>
  <c r="CW30" i="9"/>
  <c r="CX30" i="9"/>
  <c r="CV22" i="9"/>
  <c r="CW22" i="9"/>
  <c r="CX22" i="9"/>
  <c r="CW27" i="9"/>
  <c r="CX27" i="9"/>
  <c r="CV27" i="9"/>
  <c r="CX32" i="9"/>
  <c r="CW32" i="9"/>
  <c r="CV32" i="9"/>
  <c r="CX24" i="9"/>
  <c r="CW24" i="9"/>
  <c r="CV24" i="9"/>
  <c r="CV33" i="9"/>
  <c r="CW33" i="9"/>
  <c r="CX33" i="9"/>
  <c r="CV25" i="9"/>
  <c r="CW25" i="9"/>
  <c r="CX25" i="9"/>
  <c r="C36" i="13"/>
  <c r="E31" i="15" s="1"/>
  <c r="G31" i="15" s="1"/>
  <c r="I31" i="15" s="1"/>
  <c r="K31" i="15" s="1"/>
  <c r="C20" i="13"/>
  <c r="E17" i="15" s="1"/>
  <c r="G17" i="15" s="1"/>
  <c r="I17" i="15" s="1"/>
  <c r="K17" i="15" s="1"/>
  <c r="C13" i="13"/>
  <c r="E11" i="15" s="1"/>
  <c r="G11" i="15" s="1"/>
  <c r="I11" i="15" s="1"/>
  <c r="K11" i="15" s="1"/>
  <c r="G9" i="15"/>
  <c r="AI34" i="9"/>
  <c r="F11" i="9"/>
  <c r="F15" i="9"/>
  <c r="F19" i="9"/>
  <c r="F23" i="9"/>
  <c r="F27" i="9"/>
  <c r="F31" i="9"/>
  <c r="F13" i="9"/>
  <c r="F17" i="9"/>
  <c r="F21" i="9"/>
  <c r="F25" i="9"/>
  <c r="F29" i="9"/>
  <c r="G25" i="15" l="1"/>
  <c r="H25" i="15" s="1"/>
  <c r="ET34" i="9"/>
  <c r="DR34" i="9"/>
  <c r="C27" i="13" s="1"/>
  <c r="BG34" i="9"/>
  <c r="E6" i="13" s="1"/>
  <c r="DD34" i="9"/>
  <c r="CB34" i="9"/>
  <c r="E12" i="13" s="1"/>
  <c r="F10" i="13" s="1"/>
  <c r="I25" i="15"/>
  <c r="I9" i="15"/>
  <c r="FO34" i="9"/>
  <c r="E22" i="13" s="1"/>
  <c r="FA34" i="9"/>
  <c r="CW255" i="9"/>
  <c r="CX255" i="9"/>
  <c r="E34" i="9"/>
  <c r="D5" i="12" s="1"/>
  <c r="F18" i="9"/>
  <c r="F14" i="9"/>
  <c r="F22" i="9"/>
  <c r="FP34" i="9"/>
  <c r="C22" i="13" s="1"/>
  <c r="F24" i="9"/>
  <c r="EU34" i="9"/>
  <c r="K34" i="9"/>
  <c r="DS34" i="9"/>
  <c r="D11" i="12" s="1"/>
  <c r="AU34" i="9"/>
  <c r="DE34" i="9"/>
  <c r="FB34" i="9"/>
  <c r="BH34" i="9"/>
  <c r="AO34" i="9"/>
  <c r="CC34" i="9"/>
  <c r="BA34" i="9"/>
  <c r="W34" i="9"/>
  <c r="D12" i="12" l="1"/>
  <c r="D10" i="12"/>
  <c r="F11" i="14" s="1"/>
  <c r="H11" i="14" s="1"/>
  <c r="J11" i="14" s="1"/>
  <c r="L11" i="14" s="1"/>
  <c r="E37" i="13"/>
  <c r="C32" i="15" s="1"/>
  <c r="E27" i="13"/>
  <c r="F26" i="13" s="1"/>
  <c r="F13" i="14"/>
  <c r="H13" i="14" s="1"/>
  <c r="J13" i="14" s="1"/>
  <c r="L13" i="14" s="1"/>
  <c r="F5" i="13"/>
  <c r="C7" i="15"/>
  <c r="D6" i="15" s="1"/>
  <c r="C10" i="15"/>
  <c r="D8" i="15" s="1"/>
  <c r="E19" i="13"/>
  <c r="C16" i="15" s="1"/>
  <c r="D27" i="15"/>
  <c r="C34" i="13"/>
  <c r="E29" i="15" s="1"/>
  <c r="G29" i="15" s="1"/>
  <c r="I29" i="15" s="1"/>
  <c r="K29" i="15" s="1"/>
  <c r="K25" i="15"/>
  <c r="L25" i="15" s="1"/>
  <c r="J25" i="15"/>
  <c r="C19" i="13"/>
  <c r="E16" i="15" s="1"/>
  <c r="G16" i="15" s="1"/>
  <c r="I16" i="15" s="1"/>
  <c r="K16" i="15" s="1"/>
  <c r="E17" i="13"/>
  <c r="C17" i="13"/>
  <c r="D16" i="13" s="1"/>
  <c r="C12" i="13"/>
  <c r="D10" i="13" s="1"/>
  <c r="K9" i="15"/>
  <c r="C6" i="13"/>
  <c r="D6" i="12"/>
  <c r="F7" i="14" s="1"/>
  <c r="H7" i="14" s="1"/>
  <c r="J7" i="14" s="1"/>
  <c r="L7" i="14" s="1"/>
  <c r="C33" i="13"/>
  <c r="E28" i="15" s="1"/>
  <c r="D9" i="12"/>
  <c r="C37" i="13"/>
  <c r="E32" i="15" s="1"/>
  <c r="G32" i="15" s="1"/>
  <c r="I32" i="15" s="1"/>
  <c r="K32" i="15" s="1"/>
  <c r="F16" i="13" l="1"/>
  <c r="C23" i="15"/>
  <c r="D22" i="15" s="1"/>
  <c r="F32" i="13"/>
  <c r="F38" i="13" s="1"/>
  <c r="C28" i="13"/>
  <c r="D26" i="13" s="1"/>
  <c r="F12" i="14"/>
  <c r="H12" i="14" s="1"/>
  <c r="J12" i="14" s="1"/>
  <c r="L12" i="14" s="1"/>
  <c r="D13" i="12"/>
  <c r="F10" i="14"/>
  <c r="F14" i="14" s="1"/>
  <c r="D5" i="13"/>
  <c r="E7" i="15"/>
  <c r="F6" i="15" s="1"/>
  <c r="E10" i="15"/>
  <c r="G10" i="15" s="1"/>
  <c r="E23" i="15"/>
  <c r="G23" i="15" s="1"/>
  <c r="D33" i="15"/>
  <c r="D7" i="12"/>
  <c r="F6" i="14"/>
  <c r="F8" i="14" s="1"/>
  <c r="E14" i="15"/>
  <c r="F13" i="15" s="1"/>
  <c r="F24" i="13"/>
  <c r="C14" i="15"/>
  <c r="D13" i="15" s="1"/>
  <c r="D20" i="15" s="1"/>
  <c r="D32" i="13"/>
  <c r="G14" i="15"/>
  <c r="F8" i="15"/>
  <c r="G28" i="15"/>
  <c r="F27" i="15"/>
  <c r="H6" i="14" l="1"/>
  <c r="H8" i="14" s="1"/>
  <c r="D14" i="12"/>
  <c r="D16" i="12" s="1"/>
  <c r="D18" i="12" s="1"/>
  <c r="D22" i="12" s="1"/>
  <c r="D26" i="12" s="1"/>
  <c r="H10" i="14"/>
  <c r="J10" i="14" s="1"/>
  <c r="D38" i="13"/>
  <c r="G7" i="15"/>
  <c r="H6" i="15" s="1"/>
  <c r="F22" i="15"/>
  <c r="F33" i="15" s="1"/>
  <c r="F15" i="14"/>
  <c r="F17" i="14" s="1"/>
  <c r="F19" i="14" s="1"/>
  <c r="F23" i="14" s="1"/>
  <c r="F27" i="14" s="1"/>
  <c r="I23" i="15"/>
  <c r="H22" i="15"/>
  <c r="I14" i="15"/>
  <c r="H13" i="15"/>
  <c r="F20" i="15"/>
  <c r="I10" i="15"/>
  <c r="H8" i="15"/>
  <c r="I28" i="15"/>
  <c r="H27" i="15"/>
  <c r="H14" i="14"/>
  <c r="J6" i="14"/>
  <c r="D7" i="13" l="1"/>
  <c r="D24" i="13" s="1"/>
  <c r="I7" i="15"/>
  <c r="J6" i="15" s="1"/>
  <c r="H33" i="15"/>
  <c r="J22" i="15"/>
  <c r="K23" i="15"/>
  <c r="L22" i="15" s="1"/>
  <c r="K14" i="15"/>
  <c r="L13" i="15" s="1"/>
  <c r="J13" i="15"/>
  <c r="H20" i="15"/>
  <c r="K10" i="15"/>
  <c r="L8" i="15" s="1"/>
  <c r="J8" i="15"/>
  <c r="K7" i="15"/>
  <c r="L6" i="15" s="1"/>
  <c r="J27" i="15"/>
  <c r="K28" i="15"/>
  <c r="L27" i="15" s="1"/>
  <c r="H15" i="14"/>
  <c r="H17" i="14" s="1"/>
  <c r="H19" i="14" s="1"/>
  <c r="H23" i="14" s="1"/>
  <c r="H27" i="14" s="1"/>
  <c r="L10" i="14"/>
  <c r="L14" i="14" s="1"/>
  <c r="J14" i="14"/>
  <c r="J8" i="14"/>
  <c r="L6" i="14"/>
  <c r="L8" i="14" s="1"/>
  <c r="L33" i="15" l="1"/>
  <c r="J33" i="15"/>
  <c r="L20" i="15"/>
  <c r="J20" i="15"/>
  <c r="J15" i="14"/>
  <c r="J17" i="14" s="1"/>
  <c r="J19" i="14" s="1"/>
  <c r="J23" i="14" s="1"/>
  <c r="J27" i="14" s="1"/>
  <c r="L15" i="14"/>
  <c r="L17" i="14" s="1"/>
  <c r="L19" i="14" s="1"/>
  <c r="L23" i="14" s="1"/>
  <c r="L27" i="14" s="1"/>
</calcChain>
</file>

<file path=xl/comments1.xml><?xml version="1.0" encoding="utf-8"?>
<comments xmlns="http://schemas.openxmlformats.org/spreadsheetml/2006/main">
  <authors>
    <author>Author</author>
  </authors>
  <commentList>
    <comment ref="E5" authorId="0">
      <text>
        <r>
          <rPr>
            <b/>
            <sz val="9"/>
            <color indexed="81"/>
            <rFont val="Tahoma"/>
            <charset val="1"/>
          </rPr>
          <t>Kindly Insert only Previous Year Figures Manually</t>
        </r>
      </text>
    </comment>
  </commentList>
</comments>
</file>

<file path=xl/comments2.xml><?xml version="1.0" encoding="utf-8"?>
<comments xmlns="http://schemas.openxmlformats.org/spreadsheetml/2006/main">
  <authors>
    <author>Author</author>
  </authors>
  <commentList>
    <comment ref="C6" authorId="0">
      <text>
        <r>
          <rPr>
            <b/>
            <sz val="9"/>
            <color indexed="81"/>
            <rFont val="Tahoma"/>
            <charset val="1"/>
          </rPr>
          <t>You have to insert Previous Year Figure in P &amp; l Sheet First</t>
        </r>
      </text>
    </comment>
  </commentList>
</comments>
</file>

<file path=xl/connections.xml><?xml version="1.0" encoding="utf-8"?>
<connections xmlns="http://schemas.openxmlformats.org/spreadsheetml/2006/main">
  <connection id="1" name="Query from TallyODBC_9000" type="1" refreshedVersion="4" background="1" saveData="1">
    <dbPr connection="DRIVER={Tally ODBC Driver};SERVER=(local);PORT=9000;" command="SELECT Ledger.`$Parent`, Ledger.`$Name`, Ledger.`$OpeningBalance`, Ledger.`$_ClosingBalance`_x000d__x000a_FROM `M/sHiyaEnterprises`.TallyUser.Ledger Ledger"/>
  </connection>
</connections>
</file>

<file path=xl/sharedStrings.xml><?xml version="1.0" encoding="utf-8"?>
<sst xmlns="http://schemas.openxmlformats.org/spreadsheetml/2006/main" count="666" uniqueCount="204">
  <si>
    <t>Purpose of Report</t>
  </si>
  <si>
    <t>Cash Credit Amount</t>
  </si>
  <si>
    <t>Period of Project Report</t>
  </si>
  <si>
    <t>Name of the Bank</t>
  </si>
  <si>
    <t>Proprietor/Authorised Person Names</t>
  </si>
  <si>
    <t>PAN No of Firm</t>
  </si>
  <si>
    <t>New Application /Renewal of Cash Credit</t>
  </si>
  <si>
    <t>UDIN No</t>
  </si>
  <si>
    <t>Particulars</t>
  </si>
  <si>
    <t>Closing Stock</t>
  </si>
  <si>
    <t>Opening Stock</t>
  </si>
  <si>
    <t>Secured Loans</t>
  </si>
  <si>
    <t>Unsecured Loans</t>
  </si>
  <si>
    <t>Investments</t>
  </si>
  <si>
    <t>Current Assets</t>
  </si>
  <si>
    <t>Sundry Debtors</t>
  </si>
  <si>
    <t>PROJECT REPORT OF M/S.ABC CO</t>
  </si>
  <si>
    <t>From 2013-14 to 2017-18</t>
  </si>
  <si>
    <t>Ledger.`$Name`</t>
  </si>
  <si>
    <t>Ledger.`$Parent`</t>
  </si>
  <si>
    <t>Ledger.`$OpeningBalance`</t>
  </si>
  <si>
    <t>Ledger.`$_ClosingBalance`</t>
  </si>
  <si>
    <t>Sundry Creditors</t>
  </si>
  <si>
    <t>Indirect Expenses</t>
  </si>
  <si>
    <t>Cash</t>
  </si>
  <si>
    <t>Cash-in-hand</t>
  </si>
  <si>
    <t>Duties &amp; Taxes</t>
  </si>
  <si>
    <t>Stock-in-hand</t>
  </si>
  <si>
    <t>Indirect Incomes</t>
  </si>
  <si>
    <t>Capital Account</t>
  </si>
  <si>
    <t>Profit &amp; Loss A/c</t>
  </si>
  <si>
    <t>_x0004_ Primary</t>
  </si>
  <si>
    <t>Purchase Accounts</t>
  </si>
  <si>
    <t>Sales Accounts</t>
  </si>
  <si>
    <t>Fixed Assets</t>
  </si>
  <si>
    <t>Suspense A/c</t>
  </si>
  <si>
    <t>Bank Accounts</t>
  </si>
  <si>
    <t>Direct Expenses</t>
  </si>
  <si>
    <t>Sub Head</t>
  </si>
  <si>
    <t>Amount</t>
  </si>
  <si>
    <t>Count</t>
  </si>
  <si>
    <t>Combine</t>
  </si>
  <si>
    <t>Total</t>
  </si>
  <si>
    <t>Provisions</t>
  </si>
  <si>
    <t>Bank OD A/c</t>
  </si>
  <si>
    <t>Loans &amp; Advances (Asset)</t>
  </si>
  <si>
    <t>Loans (Liability)</t>
  </si>
  <si>
    <t>Deposits (Asset)</t>
  </si>
  <si>
    <t>Current Liabiliities</t>
  </si>
  <si>
    <t>Branch / Divisions</t>
  </si>
  <si>
    <t>Cash-in-Hand</t>
  </si>
  <si>
    <t>Stock-in-Hand</t>
  </si>
  <si>
    <t>M/s. ABC Co</t>
  </si>
  <si>
    <t>Statement of Profit and Loss for the year ended 31-Mar-2015</t>
  </si>
  <si>
    <t>In ₹ (Rupees)</t>
  </si>
  <si>
    <t/>
  </si>
  <si>
    <t>1-Apr-2014 to</t>
  </si>
  <si>
    <t>1-Apr-2013 to</t>
  </si>
  <si>
    <t>31-Mar-2015</t>
  </si>
  <si>
    <t>31-Mar-2014</t>
  </si>
  <si>
    <t>I</t>
  </si>
  <si>
    <t>Revenue from Operations</t>
  </si>
  <si>
    <t>II</t>
  </si>
  <si>
    <t>Other Income</t>
  </si>
  <si>
    <t>III</t>
  </si>
  <si>
    <t>TOTAL REVENUE (I + II)</t>
  </si>
  <si>
    <t>IV</t>
  </si>
  <si>
    <t>EXPENSES</t>
  </si>
  <si>
    <t>Purchases of Stock-in-Trade</t>
  </si>
  <si>
    <t>Changes in Inventories</t>
  </si>
  <si>
    <t>Other Expenses</t>
  </si>
  <si>
    <t>TOTAL EXPENSES</t>
  </si>
  <si>
    <t>V</t>
  </si>
  <si>
    <t>Profit before Exceptional and Extraordinary Items and Tax (III-IV)</t>
  </si>
  <si>
    <t>VI</t>
  </si>
  <si>
    <t>Exceptional Items</t>
  </si>
  <si>
    <t>-</t>
  </si>
  <si>
    <t>VII</t>
  </si>
  <si>
    <t>Profit before Extraordinary Items and Tax</t>
  </si>
  <si>
    <t>VIII</t>
  </si>
  <si>
    <t>Extraordinary Items</t>
  </si>
  <si>
    <t>IX</t>
  </si>
  <si>
    <t>Profit Before Tax</t>
  </si>
  <si>
    <t>X</t>
  </si>
  <si>
    <t>Tax Expense</t>
  </si>
  <si>
    <t>Current Tax</t>
  </si>
  <si>
    <t>Deferred Tax</t>
  </si>
  <si>
    <t>XI</t>
  </si>
  <si>
    <t>Profit/(Loss) for the period from Continuing Operations(IX-X)</t>
  </si>
  <si>
    <t>XII</t>
  </si>
  <si>
    <t>Profit/(Loss) from Discontinuing Operations</t>
  </si>
  <si>
    <t>XIII</t>
  </si>
  <si>
    <t>Tax Expense of Discontinuing Operations</t>
  </si>
  <si>
    <t>XIV</t>
  </si>
  <si>
    <t>Profit/(Loss) from Discontinuing Operations (after tax)(XII-XIII)</t>
  </si>
  <si>
    <t>XV</t>
  </si>
  <si>
    <t>Profit(Loss) for the Period(XI+XIV)</t>
  </si>
  <si>
    <t>XVI</t>
  </si>
  <si>
    <t>Earnings per Equity Share</t>
  </si>
  <si>
    <t>-Basic</t>
  </si>
  <si>
    <t>-Diluted</t>
  </si>
  <si>
    <t>The Notes referred to above form an integral part of the Statement of Profit and Loss</t>
  </si>
  <si>
    <t>As per our report of even date</t>
  </si>
  <si>
    <t>For</t>
  </si>
  <si>
    <t>M/s.XYZ &amp; Co</t>
  </si>
  <si>
    <t>Chartered Accountants</t>
  </si>
  <si>
    <t>Firm Reg. No  :  00000</t>
  </si>
  <si>
    <t>Proprietor</t>
  </si>
  <si>
    <t>Partner</t>
  </si>
  <si>
    <t>Membership No. :  000000</t>
  </si>
  <si>
    <t>ABC</t>
  </si>
  <si>
    <t>Address : Xyz</t>
  </si>
  <si>
    <t>Place:</t>
  </si>
  <si>
    <t>Mumbai</t>
  </si>
  <si>
    <t>CBA</t>
  </si>
  <si>
    <t>Date:</t>
  </si>
  <si>
    <t>2-Jul-2020</t>
  </si>
  <si>
    <t xml:space="preserve">              XYZ</t>
  </si>
  <si>
    <t>Balance Sheet as at 31-Mar-2015</t>
  </si>
  <si>
    <t>as at 31-Mar-2015</t>
  </si>
  <si>
    <t>as at 31-Mar-2014</t>
  </si>
  <si>
    <t>I.</t>
  </si>
  <si>
    <t>EQUITY AND LIABILITIES</t>
  </si>
  <si>
    <t>1</t>
  </si>
  <si>
    <t>Shareholders' Funds</t>
  </si>
  <si>
    <t>(a) Share Capital</t>
  </si>
  <si>
    <t>2</t>
  </si>
  <si>
    <t>Current Liabilities</t>
  </si>
  <si>
    <t>(a) Trade Payables</t>
  </si>
  <si>
    <t>(b) Other Current Liabilities</t>
  </si>
  <si>
    <t>II.</t>
  </si>
  <si>
    <t>ASSETS</t>
  </si>
  <si>
    <t>Non-Current Assets</t>
  </si>
  <si>
    <t>(a) Fixed Assets</t>
  </si>
  <si>
    <t>(a) Inventories</t>
  </si>
  <si>
    <t>(b) Trade receivables</t>
  </si>
  <si>
    <t>Depreciation Cost</t>
  </si>
  <si>
    <t>(a) Secured Loans</t>
  </si>
  <si>
    <t>(a) Unsecured Loans</t>
  </si>
  <si>
    <t>Other Liabilities</t>
  </si>
  <si>
    <t>(c) Bank OD</t>
  </si>
  <si>
    <t>(d) Loans and Advances (Asset)</t>
  </si>
  <si>
    <t>(e) Cash and Cash Equivalents</t>
  </si>
  <si>
    <t>(c) Other Assets</t>
  </si>
  <si>
    <t>as at 31-Mar-2016</t>
  </si>
  <si>
    <t>as at 31-Mar-2017</t>
  </si>
  <si>
    <t>as at 31-Mar-2018</t>
  </si>
  <si>
    <t>1-Apr-2015 to</t>
  </si>
  <si>
    <t>31-Mar-2016</t>
  </si>
  <si>
    <t>1-Apr-2016 to</t>
  </si>
  <si>
    <t>31-Mar-2017</t>
  </si>
  <si>
    <t>1-Apr-2017 to</t>
  </si>
  <si>
    <t>31-Mar-2018</t>
  </si>
  <si>
    <t>Profit before Exceptional Items (III-IV)</t>
  </si>
  <si>
    <t>Profit/(Loss) from Continuing Operations(IX-X)</t>
  </si>
  <si>
    <t>Profit/(Loss) from Discontinuing Operations ((XII-XIII)</t>
  </si>
  <si>
    <t>3</t>
  </si>
  <si>
    <t>Audited</t>
  </si>
  <si>
    <t>Projected</t>
  </si>
  <si>
    <t>Reserves &amp; Surplus</t>
  </si>
  <si>
    <t>4</t>
  </si>
  <si>
    <t>(d) Provisions</t>
  </si>
  <si>
    <t xml:space="preserve"> (c ) Duties &amp; Taxes</t>
  </si>
  <si>
    <t>(e )Other Liabilities</t>
  </si>
  <si>
    <t>(f)  Suspense</t>
  </si>
  <si>
    <t>Less :- Depreciation</t>
  </si>
  <si>
    <t>(d) Loans</t>
  </si>
  <si>
    <t>Sales</t>
  </si>
  <si>
    <t>Direct Incomes</t>
  </si>
  <si>
    <t>Bank Balance</t>
  </si>
  <si>
    <t>Capital</t>
  </si>
  <si>
    <t>Commission on Sales,</t>
  </si>
  <si>
    <t>Computer</t>
  </si>
  <si>
    <t>Creditors</t>
  </si>
  <si>
    <t>Debtors</t>
  </si>
  <si>
    <t>Depreciation</t>
  </si>
  <si>
    <t>Drawings</t>
  </si>
  <si>
    <t>Factory Electricity</t>
  </si>
  <si>
    <t>Factory Wages</t>
  </si>
  <si>
    <t>Fd</t>
  </si>
  <si>
    <t>Furniture</t>
  </si>
  <si>
    <t>Incentives</t>
  </si>
  <si>
    <t>Income Tax</t>
  </si>
  <si>
    <t>Interest Income on Fd</t>
  </si>
  <si>
    <t>Interest on Other Loans</t>
  </si>
  <si>
    <t>Lic &amp; Mediclaim</t>
  </si>
  <si>
    <t>Loading</t>
  </si>
  <si>
    <t>Loan</t>
  </si>
  <si>
    <t>Loans</t>
  </si>
  <si>
    <t>Loans &amp; Advances</t>
  </si>
  <si>
    <t>Machinery</t>
  </si>
  <si>
    <t>Office</t>
  </si>
  <si>
    <t>O/s Income Tax</t>
  </si>
  <si>
    <t>O/s Wages</t>
  </si>
  <si>
    <t>Other Assets</t>
  </si>
  <si>
    <t>Property</t>
  </si>
  <si>
    <t>Purchase</t>
  </si>
  <si>
    <t>Refreshment</t>
  </si>
  <si>
    <t>Rent</t>
  </si>
  <si>
    <t>Salaries</t>
  </si>
  <si>
    <t>Stationery</t>
  </si>
  <si>
    <t>TDS</t>
  </si>
  <si>
    <t>Transportation</t>
  </si>
  <si>
    <t>Unloading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</si>
</sst>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&quot;&quot;0"/>
    <numFmt numFmtId="166" formatCode="&quot;&quot;0.00"/>
    <numFmt numFmtId="167" formatCode="&quot;&quot;0.000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Times New Roman"/>
      <family val="1"/>
    </font>
    <font>
      <u/>
      <sz val="28"/>
      <color theme="1"/>
      <name val="Monotype Corsiva"/>
      <family val="4"/>
    </font>
    <font>
      <u/>
      <sz val="16"/>
      <color theme="1"/>
      <name val="Times New Roman"/>
      <family val="1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Rupakara"/>
    </font>
    <font>
      <i/>
      <sz val="9"/>
      <color theme="1"/>
      <name val="Arial"/>
      <family val="2"/>
    </font>
    <font>
      <b/>
      <i/>
      <sz val="9"/>
      <color theme="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color indexed="81"/>
      <name val="Tahoma"/>
      <charset val="1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34">
    <xf numFmtId="0" fontId="0" fillId="0" borderId="0" xfId="0"/>
    <xf numFmtId="0" fontId="2" fillId="0" borderId="0" xfId="0" applyFont="1"/>
    <xf numFmtId="0" fontId="2" fillId="0" borderId="7" xfId="0" applyFont="1" applyBorder="1"/>
    <xf numFmtId="0" fontId="2" fillId="0" borderId="0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3" xfId="0" applyFont="1" applyBorder="1"/>
    <xf numFmtId="0" fontId="2" fillId="0" borderId="10" xfId="0" applyFont="1" applyBorder="1"/>
    <xf numFmtId="0" fontId="2" fillId="0" borderId="3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3" xfId="1" applyNumberFormat="1" applyFont="1" applyBorder="1" applyAlignment="1">
      <alignment horizontal="left"/>
    </xf>
    <xf numFmtId="0" fontId="3" fillId="2" borderId="5" xfId="0" applyFont="1" applyFill="1" applyBorder="1"/>
    <xf numFmtId="0" fontId="4" fillId="2" borderId="2" xfId="0" applyFont="1" applyFill="1" applyBorder="1"/>
    <xf numFmtId="0" fontId="4" fillId="2" borderId="6" xfId="0" applyFont="1" applyFill="1" applyBorder="1"/>
    <xf numFmtId="0" fontId="0" fillId="3" borderId="14" xfId="0" applyFont="1" applyFill="1" applyBorder="1"/>
    <xf numFmtId="0" fontId="0" fillId="0" borderId="14" xfId="0" applyFont="1" applyBorder="1"/>
    <xf numFmtId="0" fontId="0" fillId="3" borderId="0" xfId="0" applyFont="1" applyFill="1" applyBorder="1"/>
    <xf numFmtId="0" fontId="0" fillId="0" borderId="4" xfId="0" applyBorder="1"/>
    <xf numFmtId="0" fontId="0" fillId="3" borderId="4" xfId="0" applyFont="1" applyFill="1" applyBorder="1"/>
    <xf numFmtId="0" fontId="0" fillId="0" borderId="0" xfId="0" applyBorder="1" applyAlignment="1"/>
    <xf numFmtId="0" fontId="0" fillId="0" borderId="0" xfId="0" applyFont="1" applyFill="1" applyBorder="1"/>
    <xf numFmtId="0" fontId="0" fillId="0" borderId="0" xfId="0" applyBorder="1"/>
    <xf numFmtId="0" fontId="0" fillId="0" borderId="0" xfId="0" applyAlignment="1">
      <alignment horizontal="left"/>
    </xf>
    <xf numFmtId="0" fontId="0" fillId="0" borderId="0" xfId="0" applyFont="1" applyBorder="1" applyAlignment="1">
      <alignment horizontal="center"/>
    </xf>
    <xf numFmtId="0" fontId="0" fillId="0" borderId="0" xfId="0"/>
    <xf numFmtId="0" fontId="5" fillId="0" borderId="0" xfId="0" applyFont="1" applyAlignment="1">
      <alignment vertical="top"/>
    </xf>
    <xf numFmtId="49" fontId="9" fillId="0" borderId="0" xfId="0" applyNumberFormat="1" applyFont="1" applyAlignment="1">
      <alignment horizontal="right" vertical="top"/>
    </xf>
    <xf numFmtId="49" fontId="8" fillId="0" borderId="5" xfId="0" applyNumberFormat="1" applyFont="1" applyBorder="1" applyAlignment="1">
      <alignment horizontal="right" vertical="top"/>
    </xf>
    <xf numFmtId="49" fontId="8" fillId="0" borderId="5" xfId="0" applyNumberFormat="1" applyFont="1" applyBorder="1" applyAlignment="1">
      <alignment vertical="top"/>
    </xf>
    <xf numFmtId="165" fontId="7" fillId="0" borderId="5" xfId="0" applyNumberFormat="1" applyFont="1" applyBorder="1" applyAlignment="1">
      <alignment horizontal="right" vertical="top"/>
    </xf>
    <xf numFmtId="166" fontId="8" fillId="0" borderId="6" xfId="0" applyNumberFormat="1" applyFont="1" applyBorder="1" applyAlignment="1">
      <alignment horizontal="right" vertical="top"/>
    </xf>
    <xf numFmtId="49" fontId="8" fillId="0" borderId="7" xfId="0" applyNumberFormat="1" applyFont="1" applyBorder="1" applyAlignment="1">
      <alignment horizontal="right" vertical="top"/>
    </xf>
    <xf numFmtId="49" fontId="8" fillId="0" borderId="7" xfId="0" applyNumberFormat="1" applyFont="1" applyBorder="1" applyAlignment="1">
      <alignment vertical="top"/>
    </xf>
    <xf numFmtId="165" fontId="7" fillId="0" borderId="7" xfId="0" applyNumberFormat="1" applyFont="1" applyBorder="1" applyAlignment="1">
      <alignment horizontal="right" vertical="top"/>
    </xf>
    <xf numFmtId="166" fontId="8" fillId="0" borderId="8" xfId="0" applyNumberFormat="1" applyFont="1" applyBorder="1" applyAlignment="1">
      <alignment horizontal="right" vertical="top"/>
    </xf>
    <xf numFmtId="165" fontId="7" fillId="0" borderId="12" xfId="0" applyNumberFormat="1" applyFont="1" applyBorder="1" applyAlignment="1">
      <alignment horizontal="right" vertical="top"/>
    </xf>
    <xf numFmtId="166" fontId="8" fillId="0" borderId="11" xfId="0" applyNumberFormat="1" applyFont="1" applyBorder="1" applyAlignment="1">
      <alignment horizontal="right" vertical="top"/>
    </xf>
    <xf numFmtId="49" fontId="8" fillId="0" borderId="6" xfId="0" applyNumberFormat="1" applyFont="1" applyBorder="1" applyAlignment="1">
      <alignment horizontal="center" vertical="top"/>
    </xf>
    <xf numFmtId="49" fontId="7" fillId="0" borderId="7" xfId="0" applyNumberFormat="1" applyFont="1" applyBorder="1" applyAlignment="1">
      <alignment horizontal="right" vertical="top"/>
    </xf>
    <xf numFmtId="49" fontId="7" fillId="0" borderId="7" xfId="0" applyNumberFormat="1" applyFont="1" applyBorder="1" applyAlignment="1">
      <alignment vertical="top"/>
    </xf>
    <xf numFmtId="166" fontId="7" fillId="0" borderId="8" xfId="0" applyNumberFormat="1" applyFont="1" applyBorder="1" applyAlignment="1">
      <alignment horizontal="right" vertical="top"/>
    </xf>
    <xf numFmtId="167" fontId="7" fillId="0" borderId="8" xfId="0" applyNumberFormat="1" applyFont="1" applyBorder="1" applyAlignment="1">
      <alignment horizontal="right" vertical="top"/>
    </xf>
    <xf numFmtId="49" fontId="7" fillId="0" borderId="8" xfId="0" applyNumberFormat="1" applyFont="1" applyBorder="1" applyAlignment="1">
      <alignment horizontal="center" vertical="top"/>
    </xf>
    <xf numFmtId="49" fontId="8" fillId="0" borderId="8" xfId="0" applyNumberFormat="1" applyFont="1" applyBorder="1" applyAlignment="1">
      <alignment horizontal="center" vertical="top"/>
    </xf>
    <xf numFmtId="49" fontId="8" fillId="0" borderId="9" xfId="0" applyNumberFormat="1" applyFont="1" applyBorder="1" applyAlignment="1">
      <alignment horizontal="right" vertical="top"/>
    </xf>
    <xf numFmtId="49" fontId="7" fillId="0" borderId="9" xfId="0" applyNumberFormat="1" applyFont="1" applyBorder="1" applyAlignment="1">
      <alignment vertical="top"/>
    </xf>
    <xf numFmtId="165" fontId="7" fillId="0" borderId="9" xfId="0" applyNumberFormat="1" applyFont="1" applyBorder="1" applyAlignment="1">
      <alignment horizontal="right" vertical="top"/>
    </xf>
    <xf numFmtId="49" fontId="7" fillId="0" borderId="10" xfId="0" applyNumberFormat="1" applyFont="1" applyBorder="1" applyAlignment="1">
      <alignment horizontal="center" vertical="top"/>
    </xf>
    <xf numFmtId="49" fontId="7" fillId="0" borderId="0" xfId="0" applyNumberFormat="1" applyFont="1" applyAlignment="1">
      <alignment vertical="top"/>
    </xf>
    <xf numFmtId="49" fontId="8" fillId="0" borderId="0" xfId="0" applyNumberFormat="1" applyFont="1" applyAlignment="1">
      <alignment horizontal="center" vertical="top"/>
    </xf>
    <xf numFmtId="49" fontId="10" fillId="0" borderId="0" xfId="0" applyNumberFormat="1" applyFont="1" applyAlignment="1">
      <alignment horizontal="center" vertical="top"/>
    </xf>
    <xf numFmtId="49" fontId="8" fillId="0" borderId="0" xfId="0" applyNumberFormat="1" applyFont="1" applyAlignment="1">
      <alignment vertical="top"/>
    </xf>
    <xf numFmtId="49" fontId="7" fillId="0" borderId="0" xfId="0" applyNumberFormat="1" applyFont="1" applyAlignment="1">
      <alignment vertical="top" wrapText="1"/>
    </xf>
    <xf numFmtId="49" fontId="7" fillId="0" borderId="0" xfId="0" applyNumberFormat="1" applyFont="1" applyAlignment="1">
      <alignment horizontal="right" vertical="top"/>
    </xf>
    <xf numFmtId="49" fontId="7" fillId="0" borderId="0" xfId="0" applyNumberFormat="1" applyFont="1" applyAlignment="1">
      <alignment horizontal="center" vertical="top"/>
    </xf>
    <xf numFmtId="49" fontId="11" fillId="0" borderId="0" xfId="0" applyNumberFormat="1" applyFont="1" applyAlignment="1">
      <alignment horizontal="center" vertical="top"/>
    </xf>
    <xf numFmtId="0" fontId="0" fillId="0" borderId="0" xfId="0"/>
    <xf numFmtId="0" fontId="5" fillId="0" borderId="0" xfId="0" applyFont="1" applyAlignment="1">
      <alignment vertical="top"/>
    </xf>
    <xf numFmtId="49" fontId="9" fillId="0" borderId="0" xfId="0" applyNumberFormat="1" applyFont="1" applyAlignment="1">
      <alignment horizontal="right" vertical="top"/>
    </xf>
    <xf numFmtId="49" fontId="8" fillId="0" borderId="5" xfId="0" applyNumberFormat="1" applyFont="1" applyBorder="1" applyAlignment="1">
      <alignment vertical="top"/>
    </xf>
    <xf numFmtId="49" fontId="8" fillId="0" borderId="7" xfId="0" applyNumberFormat="1" applyFont="1" applyBorder="1" applyAlignment="1">
      <alignment horizontal="right" vertical="top"/>
    </xf>
    <xf numFmtId="49" fontId="8" fillId="0" borderId="7" xfId="0" applyNumberFormat="1" applyFont="1" applyBorder="1" applyAlignment="1">
      <alignment vertical="top"/>
    </xf>
    <xf numFmtId="165" fontId="7" fillId="0" borderId="7" xfId="0" applyNumberFormat="1" applyFont="1" applyBorder="1" applyAlignment="1">
      <alignment horizontal="right" vertical="top"/>
    </xf>
    <xf numFmtId="166" fontId="8" fillId="0" borderId="8" xfId="0" applyNumberFormat="1" applyFont="1" applyBorder="1" applyAlignment="1">
      <alignment horizontal="right" vertical="top"/>
    </xf>
    <xf numFmtId="166" fontId="7" fillId="0" borderId="7" xfId="0" applyNumberFormat="1" applyFont="1" applyBorder="1" applyAlignment="1">
      <alignment horizontal="right" vertical="top"/>
    </xf>
    <xf numFmtId="165" fontId="8" fillId="0" borderId="8" xfId="0" applyNumberFormat="1" applyFont="1" applyBorder="1" applyAlignment="1">
      <alignment horizontal="right" vertical="top"/>
    </xf>
    <xf numFmtId="165" fontId="7" fillId="0" borderId="12" xfId="0" applyNumberFormat="1" applyFont="1" applyBorder="1" applyAlignment="1">
      <alignment horizontal="right" vertical="top"/>
    </xf>
    <xf numFmtId="166" fontId="8" fillId="0" borderId="11" xfId="0" applyNumberFormat="1" applyFont="1" applyBorder="1" applyAlignment="1">
      <alignment horizontal="right" vertical="top"/>
    </xf>
    <xf numFmtId="49" fontId="8" fillId="0" borderId="9" xfId="0" applyNumberFormat="1" applyFont="1" applyBorder="1" applyAlignment="1">
      <alignment horizontal="right" vertical="top"/>
    </xf>
    <xf numFmtId="49" fontId="8" fillId="0" borderId="9" xfId="0" applyNumberFormat="1" applyFont="1" applyBorder="1" applyAlignment="1">
      <alignment vertical="top"/>
    </xf>
    <xf numFmtId="49" fontId="7" fillId="0" borderId="0" xfId="0" applyNumberFormat="1" applyFont="1" applyAlignment="1">
      <alignment vertical="top"/>
    </xf>
    <xf numFmtId="49" fontId="8" fillId="0" borderId="0" xfId="0" applyNumberFormat="1" applyFont="1" applyAlignment="1">
      <alignment horizontal="center" vertical="top"/>
    </xf>
    <xf numFmtId="49" fontId="10" fillId="0" borderId="0" xfId="0" applyNumberFormat="1" applyFont="1" applyAlignment="1">
      <alignment horizontal="center" vertical="top"/>
    </xf>
    <xf numFmtId="49" fontId="8" fillId="0" borderId="0" xfId="0" applyNumberFormat="1" applyFont="1" applyAlignment="1">
      <alignment vertical="top"/>
    </xf>
    <xf numFmtId="49" fontId="7" fillId="0" borderId="0" xfId="0" applyNumberFormat="1" applyFont="1" applyAlignment="1">
      <alignment vertical="top" wrapText="1"/>
    </xf>
    <xf numFmtId="49" fontId="7" fillId="0" borderId="0" xfId="0" applyNumberFormat="1" applyFont="1" applyAlignment="1">
      <alignment horizontal="right" vertical="top"/>
    </xf>
    <xf numFmtId="0" fontId="8" fillId="0" borderId="6" xfId="0" applyNumberFormat="1" applyFont="1" applyBorder="1" applyAlignment="1">
      <alignment horizontal="right" vertical="top"/>
    </xf>
    <xf numFmtId="49" fontId="12" fillId="0" borderId="7" xfId="0" applyNumberFormat="1" applyFont="1" applyBorder="1" applyAlignment="1">
      <alignment horizontal="left" vertical="top" indent="2"/>
    </xf>
    <xf numFmtId="49" fontId="13" fillId="0" borderId="7" xfId="0" applyNumberFormat="1" applyFont="1" applyBorder="1" applyAlignment="1">
      <alignment vertical="top"/>
    </xf>
    <xf numFmtId="49" fontId="12" fillId="0" borderId="7" xfId="0" applyNumberFormat="1" applyFont="1" applyBorder="1" applyAlignment="1">
      <alignment vertical="top"/>
    </xf>
    <xf numFmtId="166" fontId="8" fillId="4" borderId="6" xfId="0" applyNumberFormat="1" applyFont="1" applyFill="1" applyBorder="1" applyAlignment="1">
      <alignment horizontal="right" vertical="top"/>
    </xf>
    <xf numFmtId="166" fontId="8" fillId="4" borderId="8" xfId="0" applyNumberFormat="1" applyFont="1" applyFill="1" applyBorder="1" applyAlignment="1">
      <alignment horizontal="right" vertical="top"/>
    </xf>
    <xf numFmtId="166" fontId="8" fillId="4" borderId="11" xfId="0" applyNumberFormat="1" applyFont="1" applyFill="1" applyBorder="1" applyAlignment="1">
      <alignment horizontal="right" vertical="top"/>
    </xf>
    <xf numFmtId="49" fontId="8" fillId="4" borderId="6" xfId="0" applyNumberFormat="1" applyFont="1" applyFill="1" applyBorder="1" applyAlignment="1">
      <alignment horizontal="center" vertical="top"/>
    </xf>
    <xf numFmtId="166" fontId="7" fillId="4" borderId="8" xfId="0" applyNumberFormat="1" applyFont="1" applyFill="1" applyBorder="1" applyAlignment="1">
      <alignment horizontal="right" vertical="top"/>
    </xf>
    <xf numFmtId="167" fontId="7" fillId="4" borderId="8" xfId="0" applyNumberFormat="1" applyFont="1" applyFill="1" applyBorder="1" applyAlignment="1">
      <alignment horizontal="right" vertical="top"/>
    </xf>
    <xf numFmtId="49" fontId="7" fillId="4" borderId="8" xfId="0" applyNumberFormat="1" applyFont="1" applyFill="1" applyBorder="1" applyAlignment="1">
      <alignment horizontal="center" vertical="top"/>
    </xf>
    <xf numFmtId="0" fontId="8" fillId="4" borderId="6" xfId="0" applyNumberFormat="1" applyFont="1" applyFill="1" applyBorder="1" applyAlignment="1">
      <alignment horizontal="right" vertical="top"/>
    </xf>
    <xf numFmtId="49" fontId="8" fillId="4" borderId="8" xfId="0" applyNumberFormat="1" applyFont="1" applyFill="1" applyBorder="1" applyAlignment="1">
      <alignment horizontal="center" vertical="top"/>
    </xf>
    <xf numFmtId="49" fontId="7" fillId="4" borderId="10" xfId="0" applyNumberFormat="1" applyFont="1" applyFill="1" applyBorder="1" applyAlignment="1">
      <alignment horizontal="center" vertical="top"/>
    </xf>
    <xf numFmtId="165" fontId="7" fillId="4" borderId="5" xfId="0" applyNumberFormat="1" applyFont="1" applyFill="1" applyBorder="1" applyAlignment="1">
      <alignment horizontal="right" vertical="top"/>
    </xf>
    <xf numFmtId="165" fontId="7" fillId="4" borderId="7" xfId="0" applyNumberFormat="1" applyFont="1" applyFill="1" applyBorder="1" applyAlignment="1">
      <alignment horizontal="right" vertical="top"/>
    </xf>
    <xf numFmtId="165" fontId="7" fillId="4" borderId="12" xfId="0" applyNumberFormat="1" applyFont="1" applyFill="1" applyBorder="1" applyAlignment="1">
      <alignment horizontal="right" vertical="top"/>
    </xf>
    <xf numFmtId="165" fontId="7" fillId="4" borderId="9" xfId="0" applyNumberFormat="1" applyFont="1" applyFill="1" applyBorder="1" applyAlignment="1">
      <alignment horizontal="right" vertical="top"/>
    </xf>
    <xf numFmtId="49" fontId="7" fillId="5" borderId="12" xfId="0" applyNumberFormat="1" applyFont="1" applyFill="1" applyBorder="1" applyAlignment="1">
      <alignment vertical="top"/>
    </xf>
    <xf numFmtId="49" fontId="8" fillId="5" borderId="12" xfId="0" applyNumberFormat="1" applyFont="1" applyFill="1" applyBorder="1" applyAlignment="1">
      <alignment vertical="top"/>
    </xf>
    <xf numFmtId="49" fontId="8" fillId="5" borderId="5" xfId="0" applyNumberFormat="1" applyFont="1" applyFill="1" applyBorder="1" applyAlignment="1">
      <alignment horizontal="center" vertical="top" wrapText="1"/>
    </xf>
    <xf numFmtId="49" fontId="8" fillId="5" borderId="5" xfId="0" applyNumberFormat="1" applyFont="1" applyFill="1" applyBorder="1" applyAlignment="1">
      <alignment vertical="top" wrapText="1"/>
    </xf>
    <xf numFmtId="49" fontId="8" fillId="5" borderId="9" xfId="0" applyNumberFormat="1" applyFont="1" applyFill="1" applyBorder="1" applyAlignment="1">
      <alignment horizontal="center" vertical="top" wrapText="1"/>
    </xf>
    <xf numFmtId="49" fontId="8" fillId="5" borderId="9" xfId="0" applyNumberFormat="1" applyFont="1" applyFill="1" applyBorder="1" applyAlignment="1">
      <alignment vertical="top" wrapText="1"/>
    </xf>
    <xf numFmtId="0" fontId="0" fillId="0" borderId="1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49" fontId="7" fillId="0" borderId="0" xfId="0" applyNumberFormat="1" applyFont="1" applyAlignment="1">
      <alignment vertical="top"/>
    </xf>
    <xf numFmtId="49" fontId="6" fillId="0" borderId="0" xfId="0" applyNumberFormat="1" applyFont="1" applyAlignment="1">
      <alignment vertical="top"/>
    </xf>
    <xf numFmtId="49" fontId="8" fillId="0" borderId="0" xfId="0" applyNumberFormat="1" applyFont="1" applyAlignment="1">
      <alignment vertical="top"/>
    </xf>
    <xf numFmtId="49" fontId="8" fillId="5" borderId="5" xfId="0" applyNumberFormat="1" applyFont="1" applyFill="1" applyBorder="1" applyAlignment="1">
      <alignment horizontal="center" vertical="top" wrapText="1"/>
    </xf>
    <xf numFmtId="49" fontId="8" fillId="5" borderId="6" xfId="0" applyNumberFormat="1" applyFont="1" applyFill="1" applyBorder="1" applyAlignment="1">
      <alignment horizontal="center" vertical="top" wrapText="1"/>
    </xf>
    <xf numFmtId="49" fontId="8" fillId="5" borderId="9" xfId="0" applyNumberFormat="1" applyFont="1" applyFill="1" applyBorder="1" applyAlignment="1">
      <alignment horizontal="center" vertical="top" wrapText="1"/>
    </xf>
    <xf numFmtId="49" fontId="8" fillId="5" borderId="10" xfId="0" applyNumberFormat="1" applyFont="1" applyFill="1" applyBorder="1" applyAlignment="1">
      <alignment horizontal="center" vertical="top" wrapText="1"/>
    </xf>
    <xf numFmtId="49" fontId="7" fillId="0" borderId="2" xfId="0" applyNumberFormat="1" applyFont="1" applyBorder="1" applyAlignment="1">
      <alignment vertical="top"/>
    </xf>
    <xf numFmtId="49" fontId="7" fillId="0" borderId="0" xfId="0" applyNumberFormat="1" applyFont="1" applyAlignment="1">
      <alignment vertical="top" wrapText="1"/>
    </xf>
    <xf numFmtId="49" fontId="7" fillId="0" borderId="0" xfId="0" applyNumberFormat="1" applyFont="1" applyAlignment="1">
      <alignment horizontal="right" vertical="top"/>
    </xf>
    <xf numFmtId="49" fontId="10" fillId="0" borderId="0" xfId="0" applyNumberFormat="1" applyFont="1" applyAlignment="1">
      <alignment vertical="top"/>
    </xf>
    <xf numFmtId="49" fontId="8" fillId="0" borderId="5" xfId="0" applyNumberFormat="1" applyFont="1" applyBorder="1" applyAlignment="1">
      <alignment horizontal="center" vertical="top" wrapText="1"/>
    </xf>
    <xf numFmtId="49" fontId="8" fillId="0" borderId="6" xfId="0" applyNumberFormat="1" applyFont="1" applyBorder="1" applyAlignment="1">
      <alignment horizontal="center" vertical="top" wrapText="1"/>
    </xf>
    <xf numFmtId="49" fontId="8" fillId="5" borderId="12" xfId="0" applyNumberFormat="1" applyFont="1" applyFill="1" applyBorder="1" applyAlignment="1">
      <alignment horizontal="center" vertical="top" wrapText="1"/>
    </xf>
    <xf numFmtId="49" fontId="8" fillId="5" borderId="11" xfId="0" applyNumberFormat="1" applyFont="1" applyFill="1" applyBorder="1" applyAlignment="1">
      <alignment horizontal="center" vertical="top" wrapText="1"/>
    </xf>
    <xf numFmtId="49" fontId="8" fillId="2" borderId="18" xfId="0" applyNumberFormat="1" applyFont="1" applyFill="1" applyBorder="1" applyAlignment="1">
      <alignment horizontal="center" vertical="top"/>
    </xf>
    <xf numFmtId="49" fontId="8" fillId="2" borderId="17" xfId="0" applyNumberFormat="1" applyFont="1" applyFill="1" applyBorder="1" applyAlignment="1">
      <alignment horizontal="center" vertical="top"/>
    </xf>
    <xf numFmtId="49" fontId="8" fillId="2" borderId="15" xfId="0" applyNumberFormat="1" applyFont="1" applyFill="1" applyBorder="1" applyAlignment="1">
      <alignment horizontal="center" vertical="top"/>
    </xf>
    <xf numFmtId="49" fontId="8" fillId="5" borderId="7" xfId="0" applyNumberFormat="1" applyFont="1" applyFill="1" applyBorder="1" applyAlignment="1">
      <alignment horizontal="center" vertical="top" wrapText="1"/>
    </xf>
    <xf numFmtId="49" fontId="8" fillId="5" borderId="8" xfId="0" applyNumberFormat="1" applyFont="1" applyFill="1" applyBorder="1" applyAlignment="1">
      <alignment horizontal="center" vertical="top" wrapText="1"/>
    </xf>
    <xf numFmtId="49" fontId="8" fillId="2" borderId="13" xfId="0" applyNumberFormat="1" applyFont="1" applyFill="1" applyBorder="1" applyAlignment="1">
      <alignment horizontal="center" vertical="top"/>
    </xf>
    <xf numFmtId="166" fontId="7" fillId="0" borderId="9" xfId="0" applyNumberFormat="1" applyFont="1" applyBorder="1" applyAlignment="1">
      <alignment horizontal="right" vertical="top"/>
    </xf>
    <xf numFmtId="0" fontId="0" fillId="0" borderId="0" xfId="0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Query from TallyODBC_9000" connectionId="1" autoFormatId="16" applyNumberFormats="0" applyBorderFormats="0" applyFontFormats="0" applyPatternFormats="0" applyAlignmentFormats="0" applyWidthHeightFormats="0">
  <queryTableRefresh nextId="5">
    <queryTableFields count="4">
      <queryTableField id="1" name="Ledger.`$Parent`" tableColumnId="1"/>
      <queryTableField id="2" name="Ledger.`$Name`" tableColumnId="2"/>
      <queryTableField id="3" name="Ledger.`$OpeningBalance`" tableColumnId="3"/>
      <queryTableField id="4" name="Ledger.`$_ClosingBalance`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6" name="Table_Query_from_TallyODBC_9000" displayName="Table_Query_from_TallyODBC_9000" ref="C2:F42" tableType="queryTable" totalsRowShown="0">
  <autoFilter ref="C2:F42"/>
  <tableColumns count="4">
    <tableColumn id="1" uniqueName="1" name="Ledger.`$Parent`" queryTableFieldId="1"/>
    <tableColumn id="2" uniqueName="2" name="Ledger.`$Name`" queryTableFieldId="2"/>
    <tableColumn id="3" uniqueName="3" name="Ledger.`$OpeningBalance`" queryTableFieldId="3"/>
    <tableColumn id="4" uniqueName="4" name="Ledger.`$_ClosingBalance`" queryTableFieldId="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7"/>
  <sheetViews>
    <sheetView showGridLines="0" view="pageBreakPreview" zoomScale="60" zoomScaleNormal="100" workbookViewId="0">
      <selection activeCell="G12" sqref="G12"/>
    </sheetView>
  </sheetViews>
  <sheetFormatPr defaultRowHeight="20.25"/>
  <cols>
    <col min="1" max="1" width="1.140625" style="1" customWidth="1"/>
    <col min="2" max="5" width="9.140625" style="1"/>
    <col min="6" max="6" width="12.42578125" style="1" customWidth="1"/>
    <col min="7" max="7" width="56" style="1" customWidth="1"/>
    <col min="8" max="8" width="14.42578125" style="1" customWidth="1"/>
    <col min="9" max="9" width="3.140625" style="1" customWidth="1"/>
    <col min="10" max="16384" width="9.140625" style="1"/>
  </cols>
  <sheetData>
    <row r="2" spans="2:8" ht="36.75">
      <c r="B2" s="12" t="s">
        <v>16</v>
      </c>
      <c r="C2" s="13"/>
      <c r="D2" s="13"/>
      <c r="E2" s="13"/>
      <c r="F2" s="13"/>
      <c r="G2" s="13"/>
      <c r="H2" s="14"/>
    </row>
    <row r="3" spans="2:8">
      <c r="B3" s="2"/>
      <c r="C3" s="3"/>
      <c r="D3" s="3"/>
      <c r="E3" s="3"/>
      <c r="F3" s="3"/>
      <c r="G3" s="3"/>
      <c r="H3" s="4"/>
    </row>
    <row r="4" spans="2:8">
      <c r="B4" s="2" t="s">
        <v>4</v>
      </c>
      <c r="C4" s="3"/>
      <c r="G4" s="8"/>
      <c r="H4" s="4"/>
    </row>
    <row r="5" spans="2:8">
      <c r="B5" s="2"/>
      <c r="C5" s="3"/>
      <c r="D5" s="3"/>
      <c r="E5" s="3"/>
      <c r="F5" s="3"/>
      <c r="G5" s="9"/>
      <c r="H5" s="4"/>
    </row>
    <row r="6" spans="2:8">
      <c r="B6" s="2" t="s">
        <v>5</v>
      </c>
      <c r="G6" s="8"/>
      <c r="H6" s="4"/>
    </row>
    <row r="7" spans="2:8">
      <c r="B7" s="2"/>
      <c r="G7" s="10"/>
      <c r="H7" s="4"/>
    </row>
    <row r="8" spans="2:8">
      <c r="B8" s="2" t="s">
        <v>0</v>
      </c>
      <c r="C8" s="3"/>
      <c r="D8" s="3"/>
      <c r="G8" s="8" t="s">
        <v>6</v>
      </c>
      <c r="H8" s="4"/>
    </row>
    <row r="9" spans="2:8">
      <c r="B9" s="2"/>
      <c r="C9" s="3"/>
      <c r="D9" s="3"/>
      <c r="G9" s="9"/>
      <c r="H9" s="4"/>
    </row>
    <row r="10" spans="2:8">
      <c r="B10" s="2" t="s">
        <v>1</v>
      </c>
      <c r="C10" s="3"/>
      <c r="D10" s="3"/>
      <c r="G10" s="11">
        <v>200000</v>
      </c>
      <c r="H10" s="4"/>
    </row>
    <row r="11" spans="2:8">
      <c r="B11" s="2"/>
      <c r="C11" s="3"/>
      <c r="D11" s="3"/>
      <c r="E11" s="3"/>
      <c r="G11" s="9"/>
      <c r="H11" s="4"/>
    </row>
    <row r="12" spans="2:8">
      <c r="B12" s="2" t="s">
        <v>2</v>
      </c>
      <c r="C12" s="3"/>
      <c r="D12" s="3"/>
      <c r="E12" s="3"/>
      <c r="G12" s="8" t="s">
        <v>17</v>
      </c>
      <c r="H12" s="4"/>
    </row>
    <row r="13" spans="2:8">
      <c r="B13" s="2"/>
      <c r="C13" s="3"/>
      <c r="D13" s="3"/>
      <c r="E13" s="3"/>
      <c r="G13" s="9"/>
      <c r="H13" s="4"/>
    </row>
    <row r="14" spans="2:8">
      <c r="B14" s="2" t="s">
        <v>3</v>
      </c>
      <c r="C14" s="3"/>
      <c r="D14" s="3"/>
      <c r="E14" s="3"/>
      <c r="G14" s="8"/>
      <c r="H14" s="4"/>
    </row>
    <row r="15" spans="2:8">
      <c r="B15" s="2"/>
      <c r="C15" s="3"/>
      <c r="D15" s="3"/>
      <c r="E15" s="3"/>
      <c r="F15" s="3"/>
      <c r="G15" s="9"/>
      <c r="H15" s="4"/>
    </row>
    <row r="16" spans="2:8">
      <c r="B16" s="2" t="s">
        <v>7</v>
      </c>
      <c r="C16" s="3"/>
      <c r="D16" s="3"/>
      <c r="E16" s="3"/>
      <c r="G16" s="8"/>
      <c r="H16" s="4"/>
    </row>
    <row r="17" spans="2:8">
      <c r="B17" s="5"/>
      <c r="C17" s="6"/>
      <c r="D17" s="6"/>
      <c r="E17" s="6"/>
      <c r="F17" s="6"/>
      <c r="G17" s="6"/>
      <c r="H17" s="7"/>
    </row>
  </sheetData>
  <pageMargins left="0.7" right="0.7" top="0.75" bottom="0.75" header="0.3" footer="0.3"/>
  <pageSetup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5"/>
  <sheetViews>
    <sheetView showGridLines="0" topLeftCell="C2" workbookViewId="0">
      <selection activeCell="E11" sqref="E11"/>
    </sheetView>
  </sheetViews>
  <sheetFormatPr defaultRowHeight="15"/>
  <cols>
    <col min="1" max="1" width="0" hidden="1" customWidth="1"/>
    <col min="2" max="2" width="18.7109375" hidden="1" customWidth="1"/>
    <col min="3" max="3" width="23.85546875" customWidth="1"/>
    <col min="4" max="4" width="22.140625" customWidth="1"/>
    <col min="5" max="5" width="27.140625" customWidth="1"/>
    <col min="6" max="6" width="27" customWidth="1"/>
    <col min="7" max="7" width="7.5703125" customWidth="1"/>
    <col min="8" max="8" width="22.85546875" customWidth="1"/>
    <col min="9" max="9" width="10.7109375" customWidth="1"/>
    <col min="10" max="10" width="27" bestFit="1" customWidth="1"/>
    <col min="12" max="12" width="26.28515625" customWidth="1"/>
    <col min="13" max="14" width="4" customWidth="1"/>
  </cols>
  <sheetData>
    <row r="1" spans="1:9">
      <c r="H1" s="16" t="s">
        <v>33</v>
      </c>
      <c r="I1" s="23">
        <f>COUNTIF(Table_Query_from_TallyODBC_9000[[#All],[Ledger.`$Parent`]],$H$1)</f>
        <v>1</v>
      </c>
    </row>
    <row r="2" spans="1:9">
      <c r="A2" t="s">
        <v>40</v>
      </c>
      <c r="B2" t="s">
        <v>41</v>
      </c>
      <c r="C2" t="s">
        <v>19</v>
      </c>
      <c r="D2" t="s">
        <v>18</v>
      </c>
      <c r="E2" t="s">
        <v>20</v>
      </c>
      <c r="F2" t="s">
        <v>21</v>
      </c>
      <c r="H2" s="15" t="s">
        <v>32</v>
      </c>
      <c r="I2" s="23">
        <f>COUNTIF(Table_Query_from_TallyODBC_9000[[#All],[Ledger.`$Parent`]],$H$2)</f>
        <v>1</v>
      </c>
    </row>
    <row r="3" spans="1:9">
      <c r="A3">
        <f>COUNTIF($C$2:Table_Query_from_TallyODBC_9000[[#This Row],[Ledger.`$Parent`]],Table_Query_from_TallyODBC_9000[[#This Row],[Ledger.`$Parent`]])</f>
        <v>1</v>
      </c>
      <c r="B3" t="str">
        <f>CONCATENATE(Table_Query_from_TallyODBC_9000[[#This Row],[Ledger.`$Parent`]],A3)</f>
        <v>Bank Accounts1</v>
      </c>
      <c r="C3" t="s">
        <v>36</v>
      </c>
      <c r="D3" t="s">
        <v>169</v>
      </c>
      <c r="E3">
        <v>-10910</v>
      </c>
      <c r="F3">
        <v>-15650</v>
      </c>
      <c r="H3" s="15" t="s">
        <v>27</v>
      </c>
      <c r="I3" s="23">
        <f>COUNTIF(Table_Query_from_TallyODBC_9000[[#All],[Ledger.`$Parent`]],$H$3)</f>
        <v>1</v>
      </c>
    </row>
    <row r="4" spans="1:9">
      <c r="A4">
        <f>COUNTIF($C$2:Table_Query_from_TallyODBC_9000[[#This Row],[Ledger.`$Parent`]],Table_Query_from_TallyODBC_9000[[#This Row],[Ledger.`$Parent`]])</f>
        <v>1</v>
      </c>
      <c r="B4" t="str">
        <f>CONCATENATE(Table_Query_from_TallyODBC_9000[[#This Row],[Ledger.`$Parent`]],A4)</f>
        <v>Capital Account1</v>
      </c>
      <c r="C4" t="s">
        <v>29</v>
      </c>
      <c r="D4" t="s">
        <v>170</v>
      </c>
      <c r="E4">
        <v>770000</v>
      </c>
      <c r="F4">
        <v>770000</v>
      </c>
      <c r="H4" s="15" t="s">
        <v>168</v>
      </c>
      <c r="I4" s="23">
        <f>COUNTIF(Table_Query_from_TallyODBC_9000[[#All],[Ledger.`$Parent`]],$H$4)</f>
        <v>0</v>
      </c>
    </row>
    <row r="5" spans="1:9">
      <c r="A5">
        <f>COUNTIF($C$2:Table_Query_from_TallyODBC_9000[[#This Row],[Ledger.`$Parent`]],Table_Query_from_TallyODBC_9000[[#This Row],[Ledger.`$Parent`]])</f>
        <v>1</v>
      </c>
      <c r="B5" t="str">
        <f>CONCATENATE(Table_Query_from_TallyODBC_9000[[#This Row],[Ledger.`$Parent`]],A5)</f>
        <v>Cash-in-Hand1</v>
      </c>
      <c r="C5" t="s">
        <v>50</v>
      </c>
      <c r="D5" t="s">
        <v>24</v>
      </c>
      <c r="E5">
        <v>-19999</v>
      </c>
      <c r="F5">
        <v>-9997</v>
      </c>
      <c r="H5" s="16" t="s">
        <v>37</v>
      </c>
      <c r="I5" s="23">
        <f>COUNTIF(Table_Query_from_TallyODBC_9000[[#All],[Ledger.`$Parent`]],$H$5)</f>
        <v>6</v>
      </c>
    </row>
    <row r="6" spans="1:9">
      <c r="A6">
        <f>COUNTIF($C$2:Table_Query_from_TallyODBC_9000[[#This Row],[Ledger.`$Parent`]],Table_Query_from_TallyODBC_9000[[#This Row],[Ledger.`$Parent`]])</f>
        <v>1</v>
      </c>
      <c r="B6" t="str">
        <f>CONCATENATE(Table_Query_from_TallyODBC_9000[[#This Row],[Ledger.`$Parent`]],A6)</f>
        <v>Stock-in-Hand1</v>
      </c>
      <c r="C6" t="s">
        <v>51</v>
      </c>
      <c r="D6" t="s">
        <v>9</v>
      </c>
      <c r="E6">
        <v>-202625</v>
      </c>
      <c r="F6">
        <v>-212756</v>
      </c>
      <c r="H6" s="15" t="s">
        <v>23</v>
      </c>
      <c r="I6" s="23">
        <f>COUNTIF(Table_Query_from_TallyODBC_9000[[#All],[Ledger.`$Parent`]],$H$6)</f>
        <v>8</v>
      </c>
    </row>
    <row r="7" spans="1:9">
      <c r="A7">
        <f>COUNTIF($C$2:Table_Query_from_TallyODBC_9000[[#This Row],[Ledger.`$Parent`]],Table_Query_from_TallyODBC_9000[[#This Row],[Ledger.`$Parent`]])</f>
        <v>1</v>
      </c>
      <c r="B7" t="str">
        <f>CONCATENATE(Table_Query_from_TallyODBC_9000[[#This Row],[Ledger.`$Parent`]],A7)</f>
        <v>Direct Expenses1</v>
      </c>
      <c r="C7" t="s">
        <v>37</v>
      </c>
      <c r="D7" t="s">
        <v>171</v>
      </c>
      <c r="F7">
        <v>-8510</v>
      </c>
      <c r="H7" s="15" t="s">
        <v>28</v>
      </c>
      <c r="I7" s="23">
        <f>COUNTIF(Table_Query_from_TallyODBC_9000[[#All],[Ledger.`$Parent`]],$H$7)</f>
        <v>1</v>
      </c>
    </row>
    <row r="8" spans="1:9">
      <c r="A8">
        <f>COUNTIF($C$2:Table_Query_from_TallyODBC_9000[[#This Row],[Ledger.`$Parent`]],Table_Query_from_TallyODBC_9000[[#This Row],[Ledger.`$Parent`]])</f>
        <v>1</v>
      </c>
      <c r="B8" t="str">
        <f>CONCATENATE(Table_Query_from_TallyODBC_9000[[#This Row],[Ledger.`$Parent`]],A8)</f>
        <v>Fixed Assets1</v>
      </c>
      <c r="C8" t="s">
        <v>34</v>
      </c>
      <c r="D8" t="s">
        <v>172</v>
      </c>
      <c r="E8">
        <v>-13575</v>
      </c>
      <c r="F8">
        <v>-10181</v>
      </c>
      <c r="H8" s="16" t="s">
        <v>31</v>
      </c>
      <c r="I8" s="23">
        <f>COUNTIF(Table_Query_from_TallyODBC_9000[[#All],[Ledger.`$Parent`]],$H$8)</f>
        <v>1</v>
      </c>
    </row>
    <row r="9" spans="1:9">
      <c r="A9">
        <f>COUNTIF($C$2:Table_Query_from_TallyODBC_9000[[#This Row],[Ledger.`$Parent`]],Table_Query_from_TallyODBC_9000[[#This Row],[Ledger.`$Parent`]])</f>
        <v>1</v>
      </c>
      <c r="B9" t="str">
        <f>CONCATENATE(Table_Query_from_TallyODBC_9000[[#This Row],[Ledger.`$Parent`]],A9)</f>
        <v>Sundry Creditors1</v>
      </c>
      <c r="C9" t="s">
        <v>22</v>
      </c>
      <c r="D9" t="s">
        <v>173</v>
      </c>
      <c r="E9">
        <v>114821</v>
      </c>
      <c r="F9">
        <v>120562</v>
      </c>
      <c r="H9" s="16" t="s">
        <v>29</v>
      </c>
      <c r="I9" s="23">
        <f>COUNTIF(Table_Query_from_TallyODBC_9000[[#All],[Ledger.`$Parent`]],$H$9)</f>
        <v>5</v>
      </c>
    </row>
    <row r="10" spans="1:9">
      <c r="A10">
        <f>COUNTIF($C$2:Table_Query_from_TallyODBC_9000[[#This Row],[Ledger.`$Parent`]],Table_Query_from_TallyODBC_9000[[#This Row],[Ledger.`$Parent`]])</f>
        <v>1</v>
      </c>
      <c r="B10" t="str">
        <f>CONCATENATE(Table_Query_from_TallyODBC_9000[[#This Row],[Ledger.`$Parent`]],A10)</f>
        <v>Sundry Debtors1</v>
      </c>
      <c r="C10" t="s">
        <v>15</v>
      </c>
      <c r="D10" t="s">
        <v>174</v>
      </c>
      <c r="E10">
        <v>-168854</v>
      </c>
      <c r="F10">
        <v>-177297</v>
      </c>
      <c r="H10" s="15" t="s">
        <v>46</v>
      </c>
      <c r="I10" s="23">
        <f>COUNTIF(Table_Query_from_TallyODBC_9000[[#All],[Ledger.`$Parent`]],$H$10)</f>
        <v>0</v>
      </c>
    </row>
    <row r="11" spans="1:9">
      <c r="A11">
        <f>COUNTIF($C$2:Table_Query_from_TallyODBC_9000[[#This Row],[Ledger.`$Parent`]],Table_Query_from_TallyODBC_9000[[#This Row],[Ledger.`$Parent`]])</f>
        <v>1</v>
      </c>
      <c r="B11" t="str">
        <f>CONCATENATE(Table_Query_from_TallyODBC_9000[[#This Row],[Ledger.`$Parent`]],A11)</f>
        <v>Indirect Expenses1</v>
      </c>
      <c r="C11" t="s">
        <v>23</v>
      </c>
      <c r="D11" t="s">
        <v>175</v>
      </c>
      <c r="F11">
        <v>-36639</v>
      </c>
      <c r="H11" s="15" t="s">
        <v>11</v>
      </c>
      <c r="I11" s="23">
        <f>COUNTIF(Table_Query_from_TallyODBC_9000[[#All],[Ledger.`$Parent`]],$H$11)</f>
        <v>1</v>
      </c>
    </row>
    <row r="12" spans="1:9">
      <c r="A12">
        <f>COUNTIF($C$2:Table_Query_from_TallyODBC_9000[[#This Row],[Ledger.`$Parent`]],Table_Query_from_TallyODBC_9000[[#This Row],[Ledger.`$Parent`]])</f>
        <v>2</v>
      </c>
      <c r="B12" t="str">
        <f>CONCATENATE(Table_Query_from_TallyODBC_9000[[#This Row],[Ledger.`$Parent`]],A12)</f>
        <v>Capital Account2</v>
      </c>
      <c r="C12" t="s">
        <v>29</v>
      </c>
      <c r="D12" t="s">
        <v>176</v>
      </c>
      <c r="E12">
        <v>-2400</v>
      </c>
      <c r="F12">
        <v>-5040</v>
      </c>
      <c r="H12" s="15" t="s">
        <v>12</v>
      </c>
      <c r="I12" s="23">
        <f>COUNTIF(Table_Query_from_TallyODBC_9000[[#All],[Ledger.`$Parent`]],$H$12)</f>
        <v>1</v>
      </c>
    </row>
    <row r="13" spans="1:9">
      <c r="A13">
        <f>COUNTIF($C$2:Table_Query_from_TallyODBC_9000[[#This Row],[Ledger.`$Parent`]],Table_Query_from_TallyODBC_9000[[#This Row],[Ledger.`$Parent`]])</f>
        <v>2</v>
      </c>
      <c r="B13" t="str">
        <f>CONCATENATE(Table_Query_from_TallyODBC_9000[[#This Row],[Ledger.`$Parent`]],A13)</f>
        <v>Indirect Expenses2</v>
      </c>
      <c r="C13" t="s">
        <v>23</v>
      </c>
      <c r="D13" t="s">
        <v>177</v>
      </c>
      <c r="F13">
        <v>-25531</v>
      </c>
      <c r="H13" s="15" t="s">
        <v>44</v>
      </c>
      <c r="I13" s="23">
        <f>COUNTIF(Table_Query_from_TallyODBC_9000[[#All],[Ledger.`$Parent`]],$H$13)</f>
        <v>0</v>
      </c>
    </row>
    <row r="14" spans="1:9">
      <c r="A14">
        <f>COUNTIF($C$2:Table_Query_from_TallyODBC_9000[[#This Row],[Ledger.`$Parent`]],Table_Query_from_TallyODBC_9000[[#This Row],[Ledger.`$Parent`]])</f>
        <v>3</v>
      </c>
      <c r="B14" t="str">
        <f>CONCATENATE(Table_Query_from_TallyODBC_9000[[#This Row],[Ledger.`$Parent`]],A14)</f>
        <v>Indirect Expenses3</v>
      </c>
      <c r="C14" t="s">
        <v>23</v>
      </c>
      <c r="D14" t="s">
        <v>178</v>
      </c>
      <c r="F14">
        <v>-29786</v>
      </c>
      <c r="H14" s="15" t="s">
        <v>127</v>
      </c>
      <c r="I14" s="23">
        <f>COUNTIF(Table_Query_from_TallyODBC_9000[[#All],[Ledger.`$Parent`]],$H$14)</f>
        <v>0</v>
      </c>
    </row>
    <row r="15" spans="1:9">
      <c r="A15">
        <f>COUNTIF($C$2:Table_Query_from_TallyODBC_9000[[#This Row],[Ledger.`$Parent`]],Table_Query_from_TallyODBC_9000[[#This Row],[Ledger.`$Parent`]])</f>
        <v>1</v>
      </c>
      <c r="B15" t="str">
        <f>CONCATENATE(Table_Query_from_TallyODBC_9000[[#This Row],[Ledger.`$Parent`]],A15)</f>
        <v>Investments1</v>
      </c>
      <c r="C15" t="s">
        <v>13</v>
      </c>
      <c r="D15" t="s">
        <v>179</v>
      </c>
      <c r="H15" s="16" t="s">
        <v>22</v>
      </c>
      <c r="I15" s="23">
        <f>COUNTIF(Table_Query_from_TallyODBC_9000[[#All],[Ledger.`$Parent`]],$H$15)</f>
        <v>1</v>
      </c>
    </row>
    <row r="16" spans="1:9">
      <c r="A16">
        <f>COUNTIF($C$2:Table_Query_from_TallyODBC_9000[[#This Row],[Ledger.`$Parent`]],Table_Query_from_TallyODBC_9000[[#This Row],[Ledger.`$Parent`]])</f>
        <v>2</v>
      </c>
      <c r="B16" t="str">
        <f>CONCATENATE(Table_Query_from_TallyODBC_9000[[#This Row],[Ledger.`$Parent`]],A16)</f>
        <v>Fixed Assets2</v>
      </c>
      <c r="C16" t="s">
        <v>34</v>
      </c>
      <c r="D16" t="s">
        <v>180</v>
      </c>
      <c r="E16">
        <v>-139590</v>
      </c>
      <c r="F16">
        <v>-125631</v>
      </c>
      <c r="H16" s="15" t="s">
        <v>26</v>
      </c>
      <c r="I16" s="23">
        <f>COUNTIF(Table_Query_from_TallyODBC_9000[[#All],[Ledger.`$Parent`]],$H$16)</f>
        <v>1</v>
      </c>
    </row>
    <row r="17" spans="1:9">
      <c r="A17">
        <f>COUNTIF($C$2:Table_Query_from_TallyODBC_9000[[#This Row],[Ledger.`$Parent`]],Table_Query_from_TallyODBC_9000[[#This Row],[Ledger.`$Parent`]])</f>
        <v>4</v>
      </c>
      <c r="B17" t="str">
        <f>CONCATENATE(Table_Query_from_TallyODBC_9000[[#This Row],[Ledger.`$Parent`]],A17)</f>
        <v>Indirect Expenses4</v>
      </c>
      <c r="C17" t="s">
        <v>23</v>
      </c>
      <c r="D17" t="s">
        <v>181</v>
      </c>
      <c r="H17" s="15" t="s">
        <v>43</v>
      </c>
      <c r="I17" s="23">
        <f>COUNTIF(Table_Query_from_TallyODBC_9000[[#All],[Ledger.`$Parent`]],$H$17)</f>
        <v>1</v>
      </c>
    </row>
    <row r="18" spans="1:9">
      <c r="A18">
        <f>COUNTIF($C$2:Table_Query_from_TallyODBC_9000[[#This Row],[Ledger.`$Parent`]],Table_Query_from_TallyODBC_9000[[#This Row],[Ledger.`$Parent`]])</f>
        <v>3</v>
      </c>
      <c r="B18" t="str">
        <f>CONCATENATE(Table_Query_from_TallyODBC_9000[[#This Row],[Ledger.`$Parent`]],A18)</f>
        <v>Capital Account3</v>
      </c>
      <c r="C18" t="s">
        <v>29</v>
      </c>
      <c r="D18" t="s">
        <v>182</v>
      </c>
      <c r="E18">
        <v>-1234</v>
      </c>
      <c r="F18">
        <v>-2841</v>
      </c>
      <c r="H18" s="16" t="s">
        <v>34</v>
      </c>
      <c r="I18" s="23">
        <f>COUNTIF(Table_Query_from_TallyODBC_9000[[#All],[Ledger.`$Parent`]],$H$18)</f>
        <v>4</v>
      </c>
    </row>
    <row r="19" spans="1:9">
      <c r="A19">
        <f>COUNTIF($C$2:Table_Query_from_TallyODBC_9000[[#This Row],[Ledger.`$Parent`]],Table_Query_from_TallyODBC_9000[[#This Row],[Ledger.`$Parent`]])</f>
        <v>1</v>
      </c>
      <c r="B19" t="str">
        <f>CONCATENATE(Table_Query_from_TallyODBC_9000[[#This Row],[Ledger.`$Parent`]],A19)</f>
        <v>Indirect Incomes1</v>
      </c>
      <c r="C19" t="s">
        <v>28</v>
      </c>
      <c r="D19" t="s">
        <v>183</v>
      </c>
      <c r="F19">
        <v>1925</v>
      </c>
      <c r="H19" s="15" t="s">
        <v>13</v>
      </c>
      <c r="I19" s="23">
        <f>COUNTIF(Table_Query_from_TallyODBC_9000[[#All],[Ledger.`$Parent`]],$H$19)</f>
        <v>2</v>
      </c>
    </row>
    <row r="20" spans="1:9">
      <c r="A20">
        <f>COUNTIF($C$2:Table_Query_from_TallyODBC_9000[[#This Row],[Ledger.`$Parent`]],Table_Query_from_TallyODBC_9000[[#This Row],[Ledger.`$Parent`]])</f>
        <v>5</v>
      </c>
      <c r="B20" t="str">
        <f>CONCATENATE(Table_Query_from_TallyODBC_9000[[#This Row],[Ledger.`$Parent`]],A20)</f>
        <v>Indirect Expenses5</v>
      </c>
      <c r="C20" t="s">
        <v>23</v>
      </c>
      <c r="D20" t="s">
        <v>184</v>
      </c>
      <c r="F20">
        <v>-2815</v>
      </c>
      <c r="H20" s="15" t="s">
        <v>14</v>
      </c>
      <c r="I20" s="23">
        <f>COUNTIF(Table_Query_from_TallyODBC_9000[[#All],[Ledger.`$Parent`]],$H$20)</f>
        <v>1</v>
      </c>
    </row>
    <row r="21" spans="1:9">
      <c r="A21">
        <f>COUNTIF($C$2:Table_Query_from_TallyODBC_9000[[#This Row],[Ledger.`$Parent`]],Table_Query_from_TallyODBC_9000[[#This Row],[Ledger.`$Parent`]])</f>
        <v>2</v>
      </c>
      <c r="B21" t="str">
        <f>CONCATENATE(Table_Query_from_TallyODBC_9000[[#This Row],[Ledger.`$Parent`]],A21)</f>
        <v>Investments2</v>
      </c>
      <c r="C21" t="s">
        <v>13</v>
      </c>
      <c r="D21" t="s">
        <v>13</v>
      </c>
      <c r="E21">
        <v>-25000</v>
      </c>
      <c r="F21">
        <v>-27500</v>
      </c>
      <c r="H21" s="15" t="s">
        <v>15</v>
      </c>
      <c r="I21" s="23">
        <f>COUNTIF(Table_Query_from_TallyODBC_9000[[#All],[Ledger.`$Parent`]],$H$21)</f>
        <v>1</v>
      </c>
    </row>
    <row r="22" spans="1:9">
      <c r="A22">
        <f>COUNTIF($C$2:Table_Query_from_TallyODBC_9000[[#This Row],[Ledger.`$Parent`]],Table_Query_from_TallyODBC_9000[[#This Row],[Ledger.`$Parent`]])</f>
        <v>4</v>
      </c>
      <c r="B22" t="str">
        <f>CONCATENATE(Table_Query_from_TallyODBC_9000[[#This Row],[Ledger.`$Parent`]],A22)</f>
        <v>Capital Account4</v>
      </c>
      <c r="C22" t="s">
        <v>29</v>
      </c>
      <c r="D22" t="s">
        <v>185</v>
      </c>
      <c r="E22">
        <v>-3200</v>
      </c>
      <c r="F22">
        <v>-6720</v>
      </c>
      <c r="H22" s="16" t="s">
        <v>25</v>
      </c>
      <c r="I22" s="23">
        <f>COUNTIF(Table_Query_from_TallyODBC_9000[[#All],[Ledger.`$Parent`]],$H$22)</f>
        <v>1</v>
      </c>
    </row>
    <row r="23" spans="1:9">
      <c r="A23">
        <f>COUNTIF($C$2:Table_Query_from_TallyODBC_9000[[#This Row],[Ledger.`$Parent`]],Table_Query_from_TallyODBC_9000[[#This Row],[Ledger.`$Parent`]])</f>
        <v>2</v>
      </c>
      <c r="B23" t="str">
        <f>CONCATENATE(Table_Query_from_TallyODBC_9000[[#This Row],[Ledger.`$Parent`]],A23)</f>
        <v>Direct Expenses2</v>
      </c>
      <c r="C23" t="s">
        <v>37</v>
      </c>
      <c r="D23" t="s">
        <v>186</v>
      </c>
      <c r="F23">
        <v>-1500</v>
      </c>
      <c r="H23" s="15" t="s">
        <v>36</v>
      </c>
      <c r="I23" s="23">
        <f>COUNTIF(Table_Query_from_TallyODBC_9000[[#All],[Ledger.`$Parent`]],$H$23)</f>
        <v>1</v>
      </c>
    </row>
    <row r="24" spans="1:9">
      <c r="A24">
        <f>COUNTIF($C$2:Table_Query_from_TallyODBC_9000[[#This Row],[Ledger.`$Parent`]],Table_Query_from_TallyODBC_9000[[#This Row],[Ledger.`$Parent`]])</f>
        <v>1</v>
      </c>
      <c r="B24" t="str">
        <f>CONCATENATE(Table_Query_from_TallyODBC_9000[[#This Row],[Ledger.`$Parent`]],A24)</f>
        <v>Secured Loans1</v>
      </c>
      <c r="C24" t="s">
        <v>11</v>
      </c>
      <c r="D24" t="s">
        <v>187</v>
      </c>
      <c r="E24">
        <v>13500</v>
      </c>
      <c r="F24">
        <v>11475</v>
      </c>
      <c r="H24" s="15" t="s">
        <v>45</v>
      </c>
      <c r="I24" s="23">
        <f>COUNTIF(Table_Query_from_TallyODBC_9000[[#All],[Ledger.`$Parent`]],$H$24)</f>
        <v>1</v>
      </c>
    </row>
    <row r="25" spans="1:9">
      <c r="A25">
        <f>COUNTIF($C$2:Table_Query_from_TallyODBC_9000[[#This Row],[Ledger.`$Parent`]],Table_Query_from_TallyODBC_9000[[#This Row],[Ledger.`$Parent`]])</f>
        <v>1</v>
      </c>
      <c r="B25" t="str">
        <f>CONCATENATE(Table_Query_from_TallyODBC_9000[[#This Row],[Ledger.`$Parent`]],A25)</f>
        <v>Unsecured Loans1</v>
      </c>
      <c r="C25" t="s">
        <v>12</v>
      </c>
      <c r="D25" t="s">
        <v>188</v>
      </c>
      <c r="E25">
        <v>14100</v>
      </c>
      <c r="F25">
        <v>11985</v>
      </c>
      <c r="H25" s="15" t="s">
        <v>35</v>
      </c>
      <c r="I25" s="23">
        <f>COUNTIF(Table_Query_from_TallyODBC_9000[[#All],[Ledger.`$Parent`]],$H$25)</f>
        <v>0</v>
      </c>
    </row>
    <row r="26" spans="1:9">
      <c r="A26">
        <f>COUNTIF($C$2:Table_Query_from_TallyODBC_9000[[#This Row],[Ledger.`$Parent`]],Table_Query_from_TallyODBC_9000[[#This Row],[Ledger.`$Parent`]])</f>
        <v>1</v>
      </c>
      <c r="B26" t="str">
        <f>CONCATENATE(Table_Query_from_TallyODBC_9000[[#This Row],[Ledger.`$Parent`]],A26)</f>
        <v>Loans &amp; Advances (Asset)1</v>
      </c>
      <c r="C26" t="s">
        <v>45</v>
      </c>
      <c r="D26" t="s">
        <v>189</v>
      </c>
      <c r="E26">
        <v>-15000</v>
      </c>
      <c r="F26">
        <v>-15750</v>
      </c>
      <c r="H26" s="15" t="s">
        <v>47</v>
      </c>
      <c r="I26" s="23">
        <f>COUNTIF(Table_Query_from_TallyODBC_9000[[#All],[Ledger.`$Parent`]],$H$26)</f>
        <v>0</v>
      </c>
    </row>
    <row r="27" spans="1:9">
      <c r="A27">
        <f>COUNTIF($C$2:Table_Query_from_TallyODBC_9000[[#This Row],[Ledger.`$Parent`]],Table_Query_from_TallyODBC_9000[[#This Row],[Ledger.`$Parent`]])</f>
        <v>3</v>
      </c>
      <c r="B27" t="str">
        <f>CONCATENATE(Table_Query_from_TallyODBC_9000[[#This Row],[Ledger.`$Parent`]],A27)</f>
        <v>Fixed Assets3</v>
      </c>
      <c r="C27" t="s">
        <v>34</v>
      </c>
      <c r="D27" t="s">
        <v>190</v>
      </c>
      <c r="E27">
        <v>-108575</v>
      </c>
      <c r="F27">
        <v>-114289</v>
      </c>
      <c r="H27" s="15" t="s">
        <v>49</v>
      </c>
      <c r="I27" s="23">
        <f>COUNTIF(Table_Query_from_TallyODBC_9000[[#All],[Ledger.`$Parent`]],$H$27)</f>
        <v>0</v>
      </c>
    </row>
    <row r="28" spans="1:9">
      <c r="A28">
        <f>COUNTIF($C$2:Table_Query_from_TallyODBC_9000[[#This Row],[Ledger.`$Parent`]],Table_Query_from_TallyODBC_9000[[#This Row],[Ledger.`$Parent`]])</f>
        <v>6</v>
      </c>
      <c r="B28" t="str">
        <f>CONCATENATE(Table_Query_from_TallyODBC_9000[[#This Row],[Ledger.`$Parent`]],A28)</f>
        <v>Indirect Expenses6</v>
      </c>
      <c r="C28" s="57" t="s">
        <v>23</v>
      </c>
      <c r="D28" s="57" t="s">
        <v>191</v>
      </c>
      <c r="E28" s="57"/>
      <c r="F28" s="57">
        <v>-3150</v>
      </c>
    </row>
    <row r="29" spans="1:9">
      <c r="A29">
        <f>COUNTIF($C$2:Table_Query_from_TallyODBC_9000[[#This Row],[Ledger.`$Parent`]],Table_Query_from_TallyODBC_9000[[#This Row],[Ledger.`$Parent`]])</f>
        <v>1</v>
      </c>
      <c r="B29" t="str">
        <f>CONCATENATE(Table_Query_from_TallyODBC_9000[[#This Row],[Ledger.`$Parent`]],A29)</f>
        <v>Duties &amp; Taxes1</v>
      </c>
      <c r="C29" s="57" t="s">
        <v>26</v>
      </c>
      <c r="D29" s="57" t="s">
        <v>192</v>
      </c>
      <c r="E29" s="57">
        <v>411</v>
      </c>
      <c r="F29" s="57">
        <v>622</v>
      </c>
    </row>
    <row r="30" spans="1:9">
      <c r="A30">
        <f>COUNTIF($C$2:Table_Query_from_TallyODBC_9000[[#This Row],[Ledger.`$Parent`]],Table_Query_from_TallyODBC_9000[[#This Row],[Ledger.`$Parent`]])</f>
        <v>1</v>
      </c>
      <c r="B30" t="str">
        <f>CONCATENATE(Table_Query_from_TallyODBC_9000[[#This Row],[Ledger.`$Parent`]],A30)</f>
        <v>Provisions1</v>
      </c>
      <c r="C30" s="57" t="s">
        <v>43</v>
      </c>
      <c r="D30" s="57" t="s">
        <v>193</v>
      </c>
      <c r="E30" s="57">
        <v>2261</v>
      </c>
      <c r="F30" s="57">
        <v>2261</v>
      </c>
    </row>
    <row r="31" spans="1:9">
      <c r="A31">
        <f>COUNTIF($C$2:Table_Query_from_TallyODBC_9000[[#This Row],[Ledger.`$Parent`]],Table_Query_from_TallyODBC_9000[[#This Row],[Ledger.`$Parent`]])</f>
        <v>1</v>
      </c>
      <c r="B31" t="str">
        <f>CONCATENATE(Table_Query_from_TallyODBC_9000[[#This Row],[Ledger.`$Parent`]],A31)</f>
        <v>Current Assets1</v>
      </c>
      <c r="C31" s="57" t="s">
        <v>14</v>
      </c>
      <c r="D31" s="57" t="s">
        <v>194</v>
      </c>
      <c r="E31" s="57">
        <v>-13500</v>
      </c>
      <c r="F31" s="57">
        <v>-14175</v>
      </c>
    </row>
    <row r="32" spans="1:9">
      <c r="A32">
        <f>COUNTIF($C$2:Table_Query_from_TallyODBC_9000[[#This Row],[Ledger.`$Parent`]],Table_Query_from_TallyODBC_9000[[#This Row],[Ledger.`$Parent`]])</f>
        <v>1</v>
      </c>
      <c r="B32" t="str">
        <f>CONCATENATE(Table_Query_from_TallyODBC_9000[[#This Row],[Ledger.`$Parent`]],A32)</f>
        <v>_x0004_ Primary1</v>
      </c>
      <c r="C32" s="57" t="s">
        <v>31</v>
      </c>
      <c r="D32" s="57" t="s">
        <v>30</v>
      </c>
      <c r="E32" s="57">
        <v>9369</v>
      </c>
      <c r="F32" s="57">
        <v>20922</v>
      </c>
    </row>
    <row r="33" spans="1:6">
      <c r="A33">
        <f>COUNTIF($C$2:Table_Query_from_TallyODBC_9000[[#This Row],[Ledger.`$Parent`]],Table_Query_from_TallyODBC_9000[[#This Row],[Ledger.`$Parent`]])</f>
        <v>4</v>
      </c>
      <c r="B33" t="str">
        <f>CONCATENATE(Table_Query_from_TallyODBC_9000[[#This Row],[Ledger.`$Parent`]],A33)</f>
        <v>Fixed Assets4</v>
      </c>
      <c r="C33" s="57" t="s">
        <v>34</v>
      </c>
      <c r="D33" s="57" t="s">
        <v>195</v>
      </c>
      <c r="E33" s="57">
        <v>-200000</v>
      </c>
      <c r="F33" s="57">
        <v>-200000</v>
      </c>
    </row>
    <row r="34" spans="1:6">
      <c r="A34">
        <f>COUNTIF($C$2:Table_Query_from_TallyODBC_9000[[#This Row],[Ledger.`$Parent`]],Table_Query_from_TallyODBC_9000[[#This Row],[Ledger.`$Parent`]])</f>
        <v>1</v>
      </c>
      <c r="B34" t="str">
        <f>CONCATENATE(Table_Query_from_TallyODBC_9000[[#This Row],[Ledger.`$Parent`]],A34)</f>
        <v>Purchase Accounts1</v>
      </c>
      <c r="C34" s="57" t="s">
        <v>32</v>
      </c>
      <c r="D34" s="57" t="s">
        <v>196</v>
      </c>
      <c r="E34" s="57"/>
      <c r="F34" s="57">
        <v>-723371</v>
      </c>
    </row>
    <row r="35" spans="1:6">
      <c r="A35">
        <f>COUNTIF($C$2:Table_Query_from_TallyODBC_9000[[#This Row],[Ledger.`$Parent`]],Table_Query_from_TallyODBC_9000[[#This Row],[Ledger.`$Parent`]])</f>
        <v>7</v>
      </c>
      <c r="B35" t="str">
        <f>CONCATENATE(Table_Query_from_TallyODBC_9000[[#This Row],[Ledger.`$Parent`]],A35)</f>
        <v>Indirect Expenses7</v>
      </c>
      <c r="C35" s="57" t="s">
        <v>23</v>
      </c>
      <c r="D35" s="57" t="s">
        <v>197</v>
      </c>
      <c r="E35" s="57"/>
      <c r="F35" s="57">
        <v>-2950</v>
      </c>
    </row>
    <row r="36" spans="1:6">
      <c r="A36">
        <f>COUNTIF($C$2:Table_Query_from_TallyODBC_9000[[#This Row],[Ledger.`$Parent`]],Table_Query_from_TallyODBC_9000[[#This Row],[Ledger.`$Parent`]])</f>
        <v>3</v>
      </c>
      <c r="B36" t="str">
        <f>CONCATENATE(Table_Query_from_TallyODBC_9000[[#This Row],[Ledger.`$Parent`]],A36)</f>
        <v>Direct Expenses3</v>
      </c>
      <c r="C36" s="57" t="s">
        <v>37</v>
      </c>
      <c r="D36" s="57" t="s">
        <v>198</v>
      </c>
      <c r="E36" s="57"/>
      <c r="F36" s="57">
        <v>-4150</v>
      </c>
    </row>
    <row r="37" spans="1:6">
      <c r="A37">
        <f>COUNTIF($C$2:Table_Query_from_TallyODBC_9000[[#This Row],[Ledger.`$Parent`]],Table_Query_from_TallyODBC_9000[[#This Row],[Ledger.`$Parent`]])</f>
        <v>4</v>
      </c>
      <c r="B37" t="str">
        <f>CONCATENATE(Table_Query_from_TallyODBC_9000[[#This Row],[Ledger.`$Parent`]],A37)</f>
        <v>Direct Expenses4</v>
      </c>
      <c r="C37" s="57" t="s">
        <v>37</v>
      </c>
      <c r="D37" s="57" t="s">
        <v>199</v>
      </c>
      <c r="E37" s="57"/>
      <c r="F37" s="57">
        <v>-5200</v>
      </c>
    </row>
    <row r="38" spans="1:6">
      <c r="A38">
        <f>COUNTIF($C$2:Table_Query_from_TallyODBC_9000[[#This Row],[Ledger.`$Parent`]],Table_Query_from_TallyODBC_9000[[#This Row],[Ledger.`$Parent`]])</f>
        <v>1</v>
      </c>
      <c r="B38" t="str">
        <f>CONCATENATE(Table_Query_from_TallyODBC_9000[[#This Row],[Ledger.`$Parent`]],A38)</f>
        <v>Sales Accounts1</v>
      </c>
      <c r="C38" s="57" t="s">
        <v>33</v>
      </c>
      <c r="D38" s="57" t="s">
        <v>167</v>
      </c>
      <c r="E38" s="57"/>
      <c r="F38" s="57">
        <v>851025</v>
      </c>
    </row>
    <row r="39" spans="1:6">
      <c r="A39">
        <f>COUNTIF($C$2:Table_Query_from_TallyODBC_9000[[#This Row],[Ledger.`$Parent`]],Table_Query_from_TallyODBC_9000[[#This Row],[Ledger.`$Parent`]])</f>
        <v>8</v>
      </c>
      <c r="B39" t="str">
        <f>CONCATENATE(Table_Query_from_TallyODBC_9000[[#This Row],[Ledger.`$Parent`]],A39)</f>
        <v>Indirect Expenses8</v>
      </c>
      <c r="C39" s="57" t="s">
        <v>23</v>
      </c>
      <c r="D39" s="57" t="s">
        <v>200</v>
      </c>
      <c r="E39" s="57"/>
      <c r="F39" s="57"/>
    </row>
    <row r="40" spans="1:6">
      <c r="A40">
        <f>COUNTIF($C$2:Table_Query_from_TallyODBC_9000[[#This Row],[Ledger.`$Parent`]],Table_Query_from_TallyODBC_9000[[#This Row],[Ledger.`$Parent`]])</f>
        <v>5</v>
      </c>
      <c r="B40" t="str">
        <f>CONCATENATE(Table_Query_from_TallyODBC_9000[[#This Row],[Ledger.`$Parent`]],A40)</f>
        <v>Capital Account5</v>
      </c>
      <c r="C40" s="57" t="s">
        <v>29</v>
      </c>
      <c r="D40" s="57" t="s">
        <v>201</v>
      </c>
      <c r="E40" s="57"/>
      <c r="F40" s="57"/>
    </row>
    <row r="41" spans="1:6">
      <c r="A41">
        <f>COUNTIF($C$2:Table_Query_from_TallyODBC_9000[[#This Row],[Ledger.`$Parent`]],Table_Query_from_TallyODBC_9000[[#This Row],[Ledger.`$Parent`]])</f>
        <v>5</v>
      </c>
      <c r="B41" t="str">
        <f>CONCATENATE(Table_Query_from_TallyODBC_9000[[#This Row],[Ledger.`$Parent`]],A41)</f>
        <v>Direct Expenses5</v>
      </c>
      <c r="C41" s="57" t="s">
        <v>37</v>
      </c>
      <c r="D41" s="57" t="s">
        <v>202</v>
      </c>
      <c r="E41" s="57"/>
      <c r="F41" s="57">
        <v>-4510</v>
      </c>
    </row>
    <row r="42" spans="1:6">
      <c r="A42">
        <f>COUNTIF($C$2:Table_Query_from_TallyODBC_9000[[#This Row],[Ledger.`$Parent`]],Table_Query_from_TallyODBC_9000[[#This Row],[Ledger.`$Parent`]])</f>
        <v>6</v>
      </c>
      <c r="B42" t="str">
        <f>CONCATENATE(Table_Query_from_TallyODBC_9000[[#This Row],[Ledger.`$Parent`]],A42)</f>
        <v>Direct Expenses6</v>
      </c>
      <c r="C42" s="57" t="s">
        <v>37</v>
      </c>
      <c r="D42" s="57" t="s">
        <v>203</v>
      </c>
      <c r="E42" s="57"/>
      <c r="F42" s="57">
        <v>-3416</v>
      </c>
    </row>
    <row r="43" spans="1:6">
      <c r="A43" t="e">
        <f>COUNTIF($C$2:Table_Query_from_TallyODBC_9000[[#This Row],[Ledger.`$Parent`]],Table_Query_from_TallyODBC_9000[[#This Row],[Ledger.`$Parent`]])</f>
        <v>#VALUE!</v>
      </c>
      <c r="B43" t="e">
        <f>CONCATENATE(Table_Query_from_TallyODBC_9000[[#This Row],[Ledger.`$Parent`]],A43)</f>
        <v>#VALUE!</v>
      </c>
    </row>
    <row r="44" spans="1:6">
      <c r="A44" t="e">
        <f>COUNTIF($C$2:Table_Query_from_TallyODBC_9000[[#This Row],[Ledger.`$Parent`]],Table_Query_from_TallyODBC_9000[[#This Row],[Ledger.`$Parent`]])</f>
        <v>#VALUE!</v>
      </c>
      <c r="B44" t="e">
        <f>CONCATENATE(Table_Query_from_TallyODBC_9000[[#This Row],[Ledger.`$Parent`]],A44)</f>
        <v>#VALUE!</v>
      </c>
    </row>
    <row r="45" spans="1:6">
      <c r="A45" t="e">
        <f>COUNTIF($C$2:Table_Query_from_TallyODBC_9000[[#This Row],[Ledger.`$Parent`]],Table_Query_from_TallyODBC_9000[[#This Row],[Ledger.`$Parent`]])</f>
        <v>#VALUE!</v>
      </c>
      <c r="B45" t="e">
        <f>CONCATENATE(Table_Query_from_TallyODBC_9000[[#This Row],[Ledger.`$Parent`]],A45)</f>
        <v>#VALUE!</v>
      </c>
    </row>
    <row r="46" spans="1:6">
      <c r="A46" t="e">
        <f>COUNTIF($C$2:Table_Query_from_TallyODBC_9000[[#This Row],[Ledger.`$Parent`]],Table_Query_from_TallyODBC_9000[[#This Row],[Ledger.`$Parent`]])</f>
        <v>#VALUE!</v>
      </c>
      <c r="B46" t="e">
        <f>CONCATENATE(Table_Query_from_TallyODBC_9000[[#This Row],[Ledger.`$Parent`]],A46)</f>
        <v>#VALUE!</v>
      </c>
    </row>
    <row r="47" spans="1:6">
      <c r="A47" t="e">
        <f>COUNTIF($C$2:Table_Query_from_TallyODBC_9000[[#This Row],[Ledger.`$Parent`]],Table_Query_from_TallyODBC_9000[[#This Row],[Ledger.`$Parent`]])</f>
        <v>#VALUE!</v>
      </c>
      <c r="B47" t="e">
        <f>CONCATENATE(Table_Query_from_TallyODBC_9000[[#This Row],[Ledger.`$Parent`]],A47)</f>
        <v>#VALUE!</v>
      </c>
    </row>
    <row r="48" spans="1:6">
      <c r="A48" t="e">
        <f>COUNTIF($C$2:Table_Query_from_TallyODBC_9000[[#This Row],[Ledger.`$Parent`]],Table_Query_from_TallyODBC_9000[[#This Row],[Ledger.`$Parent`]])</f>
        <v>#VALUE!</v>
      </c>
      <c r="B48" t="e">
        <f>CONCATENATE(Table_Query_from_TallyODBC_9000[[#This Row],[Ledger.`$Parent`]],A48)</f>
        <v>#VALUE!</v>
      </c>
    </row>
    <row r="49" spans="1:2">
      <c r="A49" t="e">
        <f>COUNTIF($C$2:Table_Query_from_TallyODBC_9000[[#This Row],[Ledger.`$Parent`]],Table_Query_from_TallyODBC_9000[[#This Row],[Ledger.`$Parent`]])</f>
        <v>#VALUE!</v>
      </c>
      <c r="B49" t="e">
        <f>CONCATENATE(Table_Query_from_TallyODBC_9000[[#This Row],[Ledger.`$Parent`]],A49)</f>
        <v>#VALUE!</v>
      </c>
    </row>
    <row r="50" spans="1:2">
      <c r="A50" t="e">
        <f>COUNTIF($C$2:Table_Query_from_TallyODBC_9000[[#This Row],[Ledger.`$Parent`]],Table_Query_from_TallyODBC_9000[[#This Row],[Ledger.`$Parent`]])</f>
        <v>#VALUE!</v>
      </c>
      <c r="B50" t="e">
        <f>CONCATENATE(Table_Query_from_TallyODBC_9000[[#This Row],[Ledger.`$Parent`]],A50)</f>
        <v>#VALUE!</v>
      </c>
    </row>
    <row r="51" spans="1:2">
      <c r="A51" t="e">
        <f>COUNTIF($C$2:Table_Query_from_TallyODBC_9000[[#This Row],[Ledger.`$Parent`]],Table_Query_from_TallyODBC_9000[[#This Row],[Ledger.`$Parent`]])</f>
        <v>#VALUE!</v>
      </c>
      <c r="B51" t="e">
        <f>CONCATENATE(Table_Query_from_TallyODBC_9000[[#This Row],[Ledger.`$Parent`]],A51)</f>
        <v>#VALUE!</v>
      </c>
    </row>
    <row r="52" spans="1:2">
      <c r="A52" t="e">
        <f>COUNTIF($C$2:Table_Query_from_TallyODBC_9000[[#This Row],[Ledger.`$Parent`]],Table_Query_from_TallyODBC_9000[[#This Row],[Ledger.`$Parent`]])</f>
        <v>#VALUE!</v>
      </c>
      <c r="B52" t="e">
        <f>CONCATENATE(Table_Query_from_TallyODBC_9000[[#This Row],[Ledger.`$Parent`]],A52)</f>
        <v>#VALUE!</v>
      </c>
    </row>
    <row r="53" spans="1:2">
      <c r="A53" t="e">
        <f>COUNTIF($C$2:Table_Query_from_TallyODBC_9000[[#This Row],[Ledger.`$Parent`]],Table_Query_from_TallyODBC_9000[[#This Row],[Ledger.`$Parent`]])</f>
        <v>#VALUE!</v>
      </c>
      <c r="B53" t="e">
        <f>CONCATENATE(Table_Query_from_TallyODBC_9000[[#This Row],[Ledger.`$Parent`]],A53)</f>
        <v>#VALUE!</v>
      </c>
    </row>
    <row r="54" spans="1:2">
      <c r="A54" t="e">
        <f>COUNTIF($C$2:Table_Query_from_TallyODBC_9000[[#This Row],[Ledger.`$Parent`]],Table_Query_from_TallyODBC_9000[[#This Row],[Ledger.`$Parent`]])</f>
        <v>#VALUE!</v>
      </c>
      <c r="B54" t="e">
        <f>CONCATENATE(Table_Query_from_TallyODBC_9000[[#This Row],[Ledger.`$Parent`]],A54)</f>
        <v>#VALUE!</v>
      </c>
    </row>
    <row r="55" spans="1:2">
      <c r="A55" t="e">
        <f>COUNTIF($C$2:Table_Query_from_TallyODBC_9000[[#This Row],[Ledger.`$Parent`]],Table_Query_from_TallyODBC_9000[[#This Row],[Ledger.`$Parent`]])</f>
        <v>#VALUE!</v>
      </c>
      <c r="B55" t="e">
        <f>CONCATENATE(Table_Query_from_TallyODBC_9000[[#This Row],[Ledger.`$Parent`]],A55)</f>
        <v>#VALUE!</v>
      </c>
    </row>
    <row r="56" spans="1:2">
      <c r="A56" t="e">
        <f>COUNTIF($C$2:Table_Query_from_TallyODBC_9000[[#This Row],[Ledger.`$Parent`]],Table_Query_from_TallyODBC_9000[[#This Row],[Ledger.`$Parent`]])</f>
        <v>#VALUE!</v>
      </c>
      <c r="B56" t="e">
        <f>CONCATENATE(Table_Query_from_TallyODBC_9000[[#This Row],[Ledger.`$Parent`]],A56)</f>
        <v>#VALUE!</v>
      </c>
    </row>
    <row r="57" spans="1:2">
      <c r="A57" t="e">
        <f>COUNTIF($C$2:Table_Query_from_TallyODBC_9000[[#This Row],[Ledger.`$Parent`]],Table_Query_from_TallyODBC_9000[[#This Row],[Ledger.`$Parent`]])</f>
        <v>#VALUE!</v>
      </c>
      <c r="B57" t="e">
        <f>CONCATENATE(Table_Query_from_TallyODBC_9000[[#This Row],[Ledger.`$Parent`]],A57)</f>
        <v>#VALUE!</v>
      </c>
    </row>
    <row r="58" spans="1:2">
      <c r="A58" t="e">
        <f>COUNTIF($C$2:Table_Query_from_TallyODBC_9000[[#This Row],[Ledger.`$Parent`]],Table_Query_from_TallyODBC_9000[[#This Row],[Ledger.`$Parent`]])</f>
        <v>#VALUE!</v>
      </c>
      <c r="B58" t="e">
        <f>CONCATENATE(Table_Query_from_TallyODBC_9000[[#This Row],[Ledger.`$Parent`]],A58)</f>
        <v>#VALUE!</v>
      </c>
    </row>
    <row r="59" spans="1:2">
      <c r="A59" t="e">
        <f>COUNTIF($C$2:Table_Query_from_TallyODBC_9000[[#This Row],[Ledger.`$Parent`]],Table_Query_from_TallyODBC_9000[[#This Row],[Ledger.`$Parent`]])</f>
        <v>#VALUE!</v>
      </c>
      <c r="B59" t="e">
        <f>CONCATENATE(Table_Query_from_TallyODBC_9000[[#This Row],[Ledger.`$Parent`]],A59)</f>
        <v>#VALUE!</v>
      </c>
    </row>
    <row r="60" spans="1:2">
      <c r="A60" t="e">
        <f>COUNTIF($C$2:Table_Query_from_TallyODBC_9000[[#This Row],[Ledger.`$Parent`]],Table_Query_from_TallyODBC_9000[[#This Row],[Ledger.`$Parent`]])</f>
        <v>#VALUE!</v>
      </c>
      <c r="B60" t="e">
        <f>CONCATENATE(Table_Query_from_TallyODBC_9000[[#This Row],[Ledger.`$Parent`]],A60)</f>
        <v>#VALUE!</v>
      </c>
    </row>
    <row r="61" spans="1:2">
      <c r="A61" t="e">
        <f>COUNTIF($C$2:Table_Query_from_TallyODBC_9000[[#This Row],[Ledger.`$Parent`]],Table_Query_from_TallyODBC_9000[[#This Row],[Ledger.`$Parent`]])</f>
        <v>#VALUE!</v>
      </c>
      <c r="B61" t="e">
        <f>CONCATENATE(Table_Query_from_TallyODBC_9000[[#This Row],[Ledger.`$Parent`]],A61)</f>
        <v>#VALUE!</v>
      </c>
    </row>
    <row r="62" spans="1:2">
      <c r="A62" t="e">
        <f>COUNTIF($C$2:Table_Query_from_TallyODBC_9000[[#This Row],[Ledger.`$Parent`]],Table_Query_from_TallyODBC_9000[[#This Row],[Ledger.`$Parent`]])</f>
        <v>#VALUE!</v>
      </c>
      <c r="B62" t="e">
        <f>CONCATENATE(Table_Query_from_TallyODBC_9000[[#This Row],[Ledger.`$Parent`]],A62)</f>
        <v>#VALUE!</v>
      </c>
    </row>
    <row r="63" spans="1:2">
      <c r="A63" t="e">
        <f>COUNTIF($C$2:Table_Query_from_TallyODBC_9000[[#This Row],[Ledger.`$Parent`]],Table_Query_from_TallyODBC_9000[[#This Row],[Ledger.`$Parent`]])</f>
        <v>#VALUE!</v>
      </c>
      <c r="B63" t="e">
        <f>CONCATENATE(Table_Query_from_TallyODBC_9000[[#This Row],[Ledger.`$Parent`]],A63)</f>
        <v>#VALUE!</v>
      </c>
    </row>
    <row r="64" spans="1:2">
      <c r="A64" t="e">
        <f>COUNTIF($C$2:Table_Query_from_TallyODBC_9000[[#This Row],[Ledger.`$Parent`]],Table_Query_from_TallyODBC_9000[[#This Row],[Ledger.`$Parent`]])</f>
        <v>#VALUE!</v>
      </c>
      <c r="B64" t="e">
        <f>CONCATENATE(Table_Query_from_TallyODBC_9000[[#This Row],[Ledger.`$Parent`]],A64)</f>
        <v>#VALUE!</v>
      </c>
    </row>
    <row r="65" spans="1:2">
      <c r="A65" t="e">
        <f>COUNTIF($C$2:Table_Query_from_TallyODBC_9000[[#This Row],[Ledger.`$Parent`]],Table_Query_from_TallyODBC_9000[[#This Row],[Ledger.`$Parent`]])</f>
        <v>#VALUE!</v>
      </c>
      <c r="B65" t="e">
        <f>CONCATENATE(Table_Query_from_TallyODBC_9000[[#This Row],[Ledger.`$Parent`]],A65)</f>
        <v>#VALUE!</v>
      </c>
    </row>
    <row r="66" spans="1:2">
      <c r="A66" t="e">
        <f>COUNTIF($C$2:Table_Query_from_TallyODBC_9000[[#This Row],[Ledger.`$Parent`]],Table_Query_from_TallyODBC_9000[[#This Row],[Ledger.`$Parent`]])</f>
        <v>#VALUE!</v>
      </c>
      <c r="B66" t="e">
        <f>CONCATENATE(Table_Query_from_TallyODBC_9000[[#This Row],[Ledger.`$Parent`]],A66)</f>
        <v>#VALUE!</v>
      </c>
    </row>
    <row r="67" spans="1:2">
      <c r="A67" t="e">
        <f>COUNTIF($C$2:Table_Query_from_TallyODBC_9000[[#This Row],[Ledger.`$Parent`]],Table_Query_from_TallyODBC_9000[[#This Row],[Ledger.`$Parent`]])</f>
        <v>#VALUE!</v>
      </c>
      <c r="B67" t="e">
        <f>CONCATENATE(Table_Query_from_TallyODBC_9000[[#This Row],[Ledger.`$Parent`]],A67)</f>
        <v>#VALUE!</v>
      </c>
    </row>
    <row r="68" spans="1:2">
      <c r="A68" t="e">
        <f>COUNTIF($C$2:Table_Query_from_TallyODBC_9000[[#This Row],[Ledger.`$Parent`]],Table_Query_from_TallyODBC_9000[[#This Row],[Ledger.`$Parent`]])</f>
        <v>#VALUE!</v>
      </c>
      <c r="B68" t="e">
        <f>CONCATENATE(Table_Query_from_TallyODBC_9000[[#This Row],[Ledger.`$Parent`]],A68)</f>
        <v>#VALUE!</v>
      </c>
    </row>
    <row r="69" spans="1:2">
      <c r="A69" t="e">
        <f>COUNTIF($C$2:Table_Query_from_TallyODBC_9000[[#This Row],[Ledger.`$Parent`]],Table_Query_from_TallyODBC_9000[[#This Row],[Ledger.`$Parent`]])</f>
        <v>#VALUE!</v>
      </c>
      <c r="B69" t="e">
        <f>CONCATENATE(Table_Query_from_TallyODBC_9000[[#This Row],[Ledger.`$Parent`]],A69)</f>
        <v>#VALUE!</v>
      </c>
    </row>
    <row r="70" spans="1:2">
      <c r="A70" t="e">
        <f>COUNTIF($C$2:Table_Query_from_TallyODBC_9000[[#This Row],[Ledger.`$Parent`]],Table_Query_from_TallyODBC_9000[[#This Row],[Ledger.`$Parent`]])</f>
        <v>#VALUE!</v>
      </c>
      <c r="B70" t="e">
        <f>CONCATENATE(Table_Query_from_TallyODBC_9000[[#This Row],[Ledger.`$Parent`]],A70)</f>
        <v>#VALUE!</v>
      </c>
    </row>
    <row r="71" spans="1:2">
      <c r="A71" t="e">
        <f>COUNTIF($C$2:Table_Query_from_TallyODBC_9000[[#This Row],[Ledger.`$Parent`]],Table_Query_from_TallyODBC_9000[[#This Row],[Ledger.`$Parent`]])</f>
        <v>#VALUE!</v>
      </c>
      <c r="B71" t="e">
        <f>CONCATENATE(Table_Query_from_TallyODBC_9000[[#This Row],[Ledger.`$Parent`]],A71)</f>
        <v>#VALUE!</v>
      </c>
    </row>
    <row r="72" spans="1:2">
      <c r="A72" t="e">
        <f>COUNTIF($C$2:Table_Query_from_TallyODBC_9000[[#This Row],[Ledger.`$Parent`]],Table_Query_from_TallyODBC_9000[[#This Row],[Ledger.`$Parent`]])</f>
        <v>#VALUE!</v>
      </c>
      <c r="B72" t="e">
        <f>CONCATENATE(Table_Query_from_TallyODBC_9000[[#This Row],[Ledger.`$Parent`]],A72)</f>
        <v>#VALUE!</v>
      </c>
    </row>
    <row r="73" spans="1:2">
      <c r="A73" t="e">
        <f>COUNTIF($C$2:Table_Query_from_TallyODBC_9000[[#This Row],[Ledger.`$Parent`]],Table_Query_from_TallyODBC_9000[[#This Row],[Ledger.`$Parent`]])</f>
        <v>#VALUE!</v>
      </c>
      <c r="B73" t="e">
        <f>CONCATENATE(Table_Query_from_TallyODBC_9000[[#This Row],[Ledger.`$Parent`]],A73)</f>
        <v>#VALUE!</v>
      </c>
    </row>
    <row r="74" spans="1:2">
      <c r="A74" t="e">
        <f>COUNTIF($C$2:Table_Query_from_TallyODBC_9000[[#This Row],[Ledger.`$Parent`]],Table_Query_from_TallyODBC_9000[[#This Row],[Ledger.`$Parent`]])</f>
        <v>#VALUE!</v>
      </c>
      <c r="B74" t="e">
        <f>CONCATENATE(Table_Query_from_TallyODBC_9000[[#This Row],[Ledger.`$Parent`]],A74)</f>
        <v>#VALUE!</v>
      </c>
    </row>
    <row r="75" spans="1:2">
      <c r="A75" t="e">
        <f>COUNTIF($C$2:Table_Query_from_TallyODBC_9000[[#This Row],[Ledger.`$Parent`]],Table_Query_from_TallyODBC_9000[[#This Row],[Ledger.`$Parent`]])</f>
        <v>#VALUE!</v>
      </c>
      <c r="B75" t="e">
        <f>CONCATENATE(Table_Query_from_TallyODBC_9000[[#This Row],[Ledger.`$Parent`]],A75)</f>
        <v>#VALUE!</v>
      </c>
    </row>
    <row r="76" spans="1:2">
      <c r="A76" t="e">
        <f>COUNTIF($C$2:Table_Query_from_TallyODBC_9000[[#This Row],[Ledger.`$Parent`]],Table_Query_from_TallyODBC_9000[[#This Row],[Ledger.`$Parent`]])</f>
        <v>#VALUE!</v>
      </c>
      <c r="B76" t="e">
        <f>CONCATENATE(Table_Query_from_TallyODBC_9000[[#This Row],[Ledger.`$Parent`]],A76)</f>
        <v>#VALUE!</v>
      </c>
    </row>
    <row r="77" spans="1:2">
      <c r="A77" t="e">
        <f>COUNTIF($C$2:Table_Query_from_TallyODBC_9000[[#This Row],[Ledger.`$Parent`]],Table_Query_from_TallyODBC_9000[[#This Row],[Ledger.`$Parent`]])</f>
        <v>#VALUE!</v>
      </c>
      <c r="B77" t="e">
        <f>CONCATENATE(Table_Query_from_TallyODBC_9000[[#This Row],[Ledger.`$Parent`]],A77)</f>
        <v>#VALUE!</v>
      </c>
    </row>
    <row r="78" spans="1:2">
      <c r="A78" t="e">
        <f>COUNTIF($C$2:Table_Query_from_TallyODBC_9000[[#This Row],[Ledger.`$Parent`]],Table_Query_from_TallyODBC_9000[[#This Row],[Ledger.`$Parent`]])</f>
        <v>#VALUE!</v>
      </c>
      <c r="B78" t="e">
        <f>CONCATENATE(Table_Query_from_TallyODBC_9000[[#This Row],[Ledger.`$Parent`]],A78)</f>
        <v>#VALUE!</v>
      </c>
    </row>
    <row r="79" spans="1:2">
      <c r="A79" t="e">
        <f>COUNTIF($C$2:Table_Query_from_TallyODBC_9000[[#This Row],[Ledger.`$Parent`]],Table_Query_from_TallyODBC_9000[[#This Row],[Ledger.`$Parent`]])</f>
        <v>#VALUE!</v>
      </c>
      <c r="B79" t="e">
        <f>CONCATENATE(Table_Query_from_TallyODBC_9000[[#This Row],[Ledger.`$Parent`]],A79)</f>
        <v>#VALUE!</v>
      </c>
    </row>
    <row r="80" spans="1:2">
      <c r="A80" t="e">
        <f>COUNTIF($C$2:Table_Query_from_TallyODBC_9000[[#This Row],[Ledger.`$Parent`]],Table_Query_from_TallyODBC_9000[[#This Row],[Ledger.`$Parent`]])</f>
        <v>#VALUE!</v>
      </c>
      <c r="B80" t="e">
        <f>CONCATENATE(Table_Query_from_TallyODBC_9000[[#This Row],[Ledger.`$Parent`]],A80)</f>
        <v>#VALUE!</v>
      </c>
    </row>
    <row r="81" spans="1:2">
      <c r="A81" t="e">
        <f>COUNTIF($C$2:Table_Query_from_TallyODBC_9000[[#This Row],[Ledger.`$Parent`]],Table_Query_from_TallyODBC_9000[[#This Row],[Ledger.`$Parent`]])</f>
        <v>#VALUE!</v>
      </c>
      <c r="B81" t="e">
        <f>CONCATENATE(Table_Query_from_TallyODBC_9000[[#This Row],[Ledger.`$Parent`]],A81)</f>
        <v>#VALUE!</v>
      </c>
    </row>
    <row r="82" spans="1:2">
      <c r="A82" t="e">
        <f>COUNTIF($C$2:Table_Query_from_TallyODBC_9000[[#This Row],[Ledger.`$Parent`]],Table_Query_from_TallyODBC_9000[[#This Row],[Ledger.`$Parent`]])</f>
        <v>#VALUE!</v>
      </c>
      <c r="B82" t="e">
        <f>CONCATENATE(Table_Query_from_TallyODBC_9000[[#This Row],[Ledger.`$Parent`]],A82)</f>
        <v>#VALUE!</v>
      </c>
    </row>
    <row r="83" spans="1:2">
      <c r="A83" t="e">
        <f>COUNTIF($C$2:Table_Query_from_TallyODBC_9000[[#This Row],[Ledger.`$Parent`]],Table_Query_from_TallyODBC_9000[[#This Row],[Ledger.`$Parent`]])</f>
        <v>#VALUE!</v>
      </c>
      <c r="B83" t="e">
        <f>CONCATENATE(Table_Query_from_TallyODBC_9000[[#This Row],[Ledger.`$Parent`]],A83)</f>
        <v>#VALUE!</v>
      </c>
    </row>
    <row r="84" spans="1:2">
      <c r="A84" t="e">
        <f>COUNTIF($C$2:Table_Query_from_TallyODBC_9000[[#This Row],[Ledger.`$Parent`]],Table_Query_from_TallyODBC_9000[[#This Row],[Ledger.`$Parent`]])</f>
        <v>#VALUE!</v>
      </c>
      <c r="B84" t="e">
        <f>CONCATENATE(Table_Query_from_TallyODBC_9000[[#This Row],[Ledger.`$Parent`]],A84)</f>
        <v>#VALUE!</v>
      </c>
    </row>
    <row r="85" spans="1:2">
      <c r="A85" t="e">
        <f>COUNTIF($C$2:Table_Query_from_TallyODBC_9000[[#This Row],[Ledger.`$Parent`]],Table_Query_from_TallyODBC_9000[[#This Row],[Ledger.`$Parent`]])</f>
        <v>#VALUE!</v>
      </c>
      <c r="B85" t="e">
        <f>CONCATENATE(Table_Query_from_TallyODBC_9000[[#This Row],[Ledger.`$Parent`]],A85)</f>
        <v>#VALUE!</v>
      </c>
    </row>
    <row r="86" spans="1:2">
      <c r="A86" t="e">
        <f>COUNTIF($C$2:Table_Query_from_TallyODBC_9000[[#This Row],[Ledger.`$Parent`]],Table_Query_from_TallyODBC_9000[[#This Row],[Ledger.`$Parent`]])</f>
        <v>#VALUE!</v>
      </c>
      <c r="B86" t="e">
        <f>CONCATENATE(Table_Query_from_TallyODBC_9000[[#This Row],[Ledger.`$Parent`]],A86)</f>
        <v>#VALUE!</v>
      </c>
    </row>
    <row r="87" spans="1:2">
      <c r="A87" t="e">
        <f>COUNTIF($C$2:Table_Query_from_TallyODBC_9000[[#This Row],[Ledger.`$Parent`]],Table_Query_from_TallyODBC_9000[[#This Row],[Ledger.`$Parent`]])</f>
        <v>#VALUE!</v>
      </c>
      <c r="B87" t="e">
        <f>CONCATENATE(Table_Query_from_TallyODBC_9000[[#This Row],[Ledger.`$Parent`]],A87)</f>
        <v>#VALUE!</v>
      </c>
    </row>
    <row r="88" spans="1:2">
      <c r="A88" t="e">
        <f>COUNTIF($C$2:Table_Query_from_TallyODBC_9000[[#This Row],[Ledger.`$Parent`]],Table_Query_from_TallyODBC_9000[[#This Row],[Ledger.`$Parent`]])</f>
        <v>#VALUE!</v>
      </c>
      <c r="B88" t="e">
        <f>CONCATENATE(Table_Query_from_TallyODBC_9000[[#This Row],[Ledger.`$Parent`]],A88)</f>
        <v>#VALUE!</v>
      </c>
    </row>
    <row r="89" spans="1:2">
      <c r="A89" t="e">
        <f>COUNTIF($C$2:Table_Query_from_TallyODBC_9000[[#This Row],[Ledger.`$Parent`]],Table_Query_from_TallyODBC_9000[[#This Row],[Ledger.`$Parent`]])</f>
        <v>#VALUE!</v>
      </c>
      <c r="B89" t="e">
        <f>CONCATENATE(Table_Query_from_TallyODBC_9000[[#This Row],[Ledger.`$Parent`]],A89)</f>
        <v>#VALUE!</v>
      </c>
    </row>
    <row r="90" spans="1:2">
      <c r="A90" t="e">
        <f>COUNTIF($C$2:Table_Query_from_TallyODBC_9000[[#This Row],[Ledger.`$Parent`]],Table_Query_from_TallyODBC_9000[[#This Row],[Ledger.`$Parent`]])</f>
        <v>#VALUE!</v>
      </c>
      <c r="B90" t="e">
        <f>CONCATENATE(Table_Query_from_TallyODBC_9000[[#This Row],[Ledger.`$Parent`]],A90)</f>
        <v>#VALUE!</v>
      </c>
    </row>
    <row r="91" spans="1:2">
      <c r="A91" t="e">
        <f>COUNTIF($C$2:Table_Query_from_TallyODBC_9000[[#This Row],[Ledger.`$Parent`]],Table_Query_from_TallyODBC_9000[[#This Row],[Ledger.`$Parent`]])</f>
        <v>#VALUE!</v>
      </c>
      <c r="B91" t="e">
        <f>CONCATENATE(Table_Query_from_TallyODBC_9000[[#This Row],[Ledger.`$Parent`]],A91)</f>
        <v>#VALUE!</v>
      </c>
    </row>
    <row r="92" spans="1:2">
      <c r="A92" t="e">
        <f>COUNTIF($C$2:Table_Query_from_TallyODBC_9000[[#This Row],[Ledger.`$Parent`]],Table_Query_from_TallyODBC_9000[[#This Row],[Ledger.`$Parent`]])</f>
        <v>#VALUE!</v>
      </c>
      <c r="B92" t="e">
        <f>CONCATENATE(Table_Query_from_TallyODBC_9000[[#This Row],[Ledger.`$Parent`]],A92)</f>
        <v>#VALUE!</v>
      </c>
    </row>
    <row r="93" spans="1:2">
      <c r="A93" t="e">
        <f>COUNTIF($C$2:Table_Query_from_TallyODBC_9000[[#This Row],[Ledger.`$Parent`]],Table_Query_from_TallyODBC_9000[[#This Row],[Ledger.`$Parent`]])</f>
        <v>#VALUE!</v>
      </c>
      <c r="B93" t="e">
        <f>CONCATENATE(Table_Query_from_TallyODBC_9000[[#This Row],[Ledger.`$Parent`]],A93)</f>
        <v>#VALUE!</v>
      </c>
    </row>
    <row r="94" spans="1:2">
      <c r="A94" t="e">
        <f>COUNTIF($C$2:Table_Query_from_TallyODBC_9000[[#This Row],[Ledger.`$Parent`]],Table_Query_from_TallyODBC_9000[[#This Row],[Ledger.`$Parent`]])</f>
        <v>#VALUE!</v>
      </c>
      <c r="B94" t="e">
        <f>CONCATENATE(Table_Query_from_TallyODBC_9000[[#This Row],[Ledger.`$Parent`]],A94)</f>
        <v>#VALUE!</v>
      </c>
    </row>
    <row r="95" spans="1:2">
      <c r="A95" t="e">
        <f>COUNTIF($C$2:Table_Query_from_TallyODBC_9000[[#This Row],[Ledger.`$Parent`]],Table_Query_from_TallyODBC_9000[[#This Row],[Ledger.`$Parent`]])</f>
        <v>#VALUE!</v>
      </c>
      <c r="B95" t="e">
        <f>CONCATENATE(Table_Query_from_TallyODBC_9000[[#This Row],[Ledger.`$Parent`]],A95)</f>
        <v>#VALUE!</v>
      </c>
    </row>
    <row r="96" spans="1:2">
      <c r="A96" t="e">
        <f>COUNTIF($C$2:Table_Query_from_TallyODBC_9000[[#This Row],[Ledger.`$Parent`]],Table_Query_from_TallyODBC_9000[[#This Row],[Ledger.`$Parent`]])</f>
        <v>#VALUE!</v>
      </c>
      <c r="B96" t="e">
        <f>CONCATENATE(Table_Query_from_TallyODBC_9000[[#This Row],[Ledger.`$Parent`]],A96)</f>
        <v>#VALUE!</v>
      </c>
    </row>
    <row r="97" spans="1:2">
      <c r="A97" t="e">
        <f>COUNTIF($C$2:Table_Query_from_TallyODBC_9000[[#This Row],[Ledger.`$Parent`]],Table_Query_from_TallyODBC_9000[[#This Row],[Ledger.`$Parent`]])</f>
        <v>#VALUE!</v>
      </c>
      <c r="B97" t="e">
        <f>CONCATENATE(Table_Query_from_TallyODBC_9000[[#This Row],[Ledger.`$Parent`]],A97)</f>
        <v>#VALUE!</v>
      </c>
    </row>
    <row r="98" spans="1:2">
      <c r="A98" t="e">
        <f>COUNTIF($C$2:Table_Query_from_TallyODBC_9000[[#This Row],[Ledger.`$Parent`]],Table_Query_from_TallyODBC_9000[[#This Row],[Ledger.`$Parent`]])</f>
        <v>#VALUE!</v>
      </c>
      <c r="B98" t="e">
        <f>CONCATENATE(Table_Query_from_TallyODBC_9000[[#This Row],[Ledger.`$Parent`]],A98)</f>
        <v>#VALUE!</v>
      </c>
    </row>
    <row r="99" spans="1:2">
      <c r="A99" t="e">
        <f>COUNTIF($C$2:Table_Query_from_TallyODBC_9000[[#This Row],[Ledger.`$Parent`]],Table_Query_from_TallyODBC_9000[[#This Row],[Ledger.`$Parent`]])</f>
        <v>#VALUE!</v>
      </c>
      <c r="B99" t="e">
        <f>CONCATENATE(Table_Query_from_TallyODBC_9000[[#This Row],[Ledger.`$Parent`]],A99)</f>
        <v>#VALUE!</v>
      </c>
    </row>
    <row r="100" spans="1:2">
      <c r="A100" t="e">
        <f>COUNTIF($C$2:Table_Query_from_TallyODBC_9000[[#This Row],[Ledger.`$Parent`]],Table_Query_from_TallyODBC_9000[[#This Row],[Ledger.`$Parent`]])</f>
        <v>#VALUE!</v>
      </c>
      <c r="B100" t="e">
        <f>CONCATENATE(Table_Query_from_TallyODBC_9000[[#This Row],[Ledger.`$Parent`]],A100)</f>
        <v>#VALUE!</v>
      </c>
    </row>
    <row r="101" spans="1:2">
      <c r="A101" t="e">
        <f>COUNTIF($C$2:Table_Query_from_TallyODBC_9000[[#This Row],[Ledger.`$Parent`]],Table_Query_from_TallyODBC_9000[[#This Row],[Ledger.`$Parent`]])</f>
        <v>#VALUE!</v>
      </c>
      <c r="B101" t="e">
        <f>CONCATENATE(Table_Query_from_TallyODBC_9000[[#This Row],[Ledger.`$Parent`]],A101)</f>
        <v>#VALUE!</v>
      </c>
    </row>
    <row r="102" spans="1:2">
      <c r="A102" t="e">
        <f>COUNTIF($C$2:Table_Query_from_TallyODBC_9000[[#This Row],[Ledger.`$Parent`]],Table_Query_from_TallyODBC_9000[[#This Row],[Ledger.`$Parent`]])</f>
        <v>#VALUE!</v>
      </c>
      <c r="B102" t="e">
        <f>CONCATENATE(Table_Query_from_TallyODBC_9000[[#This Row],[Ledger.`$Parent`]],A102)</f>
        <v>#VALUE!</v>
      </c>
    </row>
    <row r="103" spans="1:2">
      <c r="A103" t="e">
        <f>COUNTIF($C$2:Table_Query_from_TallyODBC_9000[[#This Row],[Ledger.`$Parent`]],Table_Query_from_TallyODBC_9000[[#This Row],[Ledger.`$Parent`]])</f>
        <v>#VALUE!</v>
      </c>
      <c r="B103" t="e">
        <f>CONCATENATE(Table_Query_from_TallyODBC_9000[[#This Row],[Ledger.`$Parent`]],A103)</f>
        <v>#VALUE!</v>
      </c>
    </row>
    <row r="104" spans="1:2">
      <c r="A104" t="e">
        <f>COUNTIF($C$2:Table_Query_from_TallyODBC_9000[[#This Row],[Ledger.`$Parent`]],Table_Query_from_TallyODBC_9000[[#This Row],[Ledger.`$Parent`]])</f>
        <v>#VALUE!</v>
      </c>
      <c r="B104" t="e">
        <f>CONCATENATE(Table_Query_from_TallyODBC_9000[[#This Row],[Ledger.`$Parent`]],A104)</f>
        <v>#VALUE!</v>
      </c>
    </row>
    <row r="105" spans="1:2">
      <c r="A105" t="e">
        <f>COUNTIF($C$2:Table_Query_from_TallyODBC_9000[[#This Row],[Ledger.`$Parent`]],Table_Query_from_TallyODBC_9000[[#This Row],[Ledger.`$Parent`]])</f>
        <v>#VALUE!</v>
      </c>
      <c r="B105" t="e">
        <f>CONCATENATE(Table_Query_from_TallyODBC_9000[[#This Row],[Ledger.`$Parent`]],A105)</f>
        <v>#VALUE!</v>
      </c>
    </row>
    <row r="106" spans="1:2">
      <c r="A106" t="e">
        <f>COUNTIF($C$2:Table_Query_from_TallyODBC_9000[[#This Row],[Ledger.`$Parent`]],Table_Query_from_TallyODBC_9000[[#This Row],[Ledger.`$Parent`]])</f>
        <v>#VALUE!</v>
      </c>
      <c r="B106" t="e">
        <f>CONCATENATE(Table_Query_from_TallyODBC_9000[[#This Row],[Ledger.`$Parent`]],A106)</f>
        <v>#VALUE!</v>
      </c>
    </row>
    <row r="107" spans="1:2">
      <c r="A107" t="e">
        <f>COUNTIF($C$2:Table_Query_from_TallyODBC_9000[[#This Row],[Ledger.`$Parent`]],Table_Query_from_TallyODBC_9000[[#This Row],[Ledger.`$Parent`]])</f>
        <v>#VALUE!</v>
      </c>
      <c r="B107" t="e">
        <f>CONCATENATE(Table_Query_from_TallyODBC_9000[[#This Row],[Ledger.`$Parent`]],A107)</f>
        <v>#VALUE!</v>
      </c>
    </row>
    <row r="108" spans="1:2">
      <c r="A108" t="e">
        <f>COUNTIF($C$2:Table_Query_from_TallyODBC_9000[[#This Row],[Ledger.`$Parent`]],Table_Query_from_TallyODBC_9000[[#This Row],[Ledger.`$Parent`]])</f>
        <v>#VALUE!</v>
      </c>
      <c r="B108" t="e">
        <f>CONCATENATE(Table_Query_from_TallyODBC_9000[[#This Row],[Ledger.`$Parent`]],A108)</f>
        <v>#VALUE!</v>
      </c>
    </row>
    <row r="109" spans="1:2">
      <c r="A109" t="e">
        <f>COUNTIF($C$2:Table_Query_from_TallyODBC_9000[[#This Row],[Ledger.`$Parent`]],Table_Query_from_TallyODBC_9000[[#This Row],[Ledger.`$Parent`]])</f>
        <v>#VALUE!</v>
      </c>
      <c r="B109" t="e">
        <f>CONCATENATE(Table_Query_from_TallyODBC_9000[[#This Row],[Ledger.`$Parent`]],A109)</f>
        <v>#VALUE!</v>
      </c>
    </row>
    <row r="110" spans="1:2">
      <c r="A110" t="e">
        <f>COUNTIF($C$2:Table_Query_from_TallyODBC_9000[[#This Row],[Ledger.`$Parent`]],Table_Query_from_TallyODBC_9000[[#This Row],[Ledger.`$Parent`]])</f>
        <v>#VALUE!</v>
      </c>
      <c r="B110" t="e">
        <f>CONCATENATE(Table_Query_from_TallyODBC_9000[[#This Row],[Ledger.`$Parent`]],A110)</f>
        <v>#VALUE!</v>
      </c>
    </row>
    <row r="111" spans="1:2">
      <c r="A111" t="e">
        <f>COUNTIF($C$2:Table_Query_from_TallyODBC_9000[[#This Row],[Ledger.`$Parent`]],Table_Query_from_TallyODBC_9000[[#This Row],[Ledger.`$Parent`]])</f>
        <v>#VALUE!</v>
      </c>
      <c r="B111" t="e">
        <f>CONCATENATE(Table_Query_from_TallyODBC_9000[[#This Row],[Ledger.`$Parent`]],A111)</f>
        <v>#VALUE!</v>
      </c>
    </row>
    <row r="112" spans="1:2">
      <c r="A112" t="e">
        <f>COUNTIF($C$2:Table_Query_from_TallyODBC_9000[[#This Row],[Ledger.`$Parent`]],Table_Query_from_TallyODBC_9000[[#This Row],[Ledger.`$Parent`]])</f>
        <v>#VALUE!</v>
      </c>
      <c r="B112" t="e">
        <f>CONCATENATE(Table_Query_from_TallyODBC_9000[[#This Row],[Ledger.`$Parent`]],A112)</f>
        <v>#VALUE!</v>
      </c>
    </row>
    <row r="113" spans="1:2">
      <c r="A113" t="e">
        <f>COUNTIF($C$2:Table_Query_from_TallyODBC_9000[[#This Row],[Ledger.`$Parent`]],Table_Query_from_TallyODBC_9000[[#This Row],[Ledger.`$Parent`]])</f>
        <v>#VALUE!</v>
      </c>
      <c r="B113" t="e">
        <f>CONCATENATE(Table_Query_from_TallyODBC_9000[[#This Row],[Ledger.`$Parent`]],A113)</f>
        <v>#VALUE!</v>
      </c>
    </row>
    <row r="114" spans="1:2">
      <c r="A114" t="e">
        <f>COUNTIF($C$2:Table_Query_from_TallyODBC_9000[[#This Row],[Ledger.`$Parent`]],Table_Query_from_TallyODBC_9000[[#This Row],[Ledger.`$Parent`]])</f>
        <v>#VALUE!</v>
      </c>
      <c r="B114" t="e">
        <f>CONCATENATE(Table_Query_from_TallyODBC_9000[[#This Row],[Ledger.`$Parent`]],A114)</f>
        <v>#VALUE!</v>
      </c>
    </row>
    <row r="115" spans="1:2">
      <c r="A115" t="e">
        <f>COUNTIF($C$2:Table_Query_from_TallyODBC_9000[[#This Row],[Ledger.`$Parent`]],Table_Query_from_TallyODBC_9000[[#This Row],[Ledger.`$Parent`]])</f>
        <v>#VALUE!</v>
      </c>
      <c r="B115" t="e">
        <f>CONCATENATE(Table_Query_from_TallyODBC_9000[[#This Row],[Ledger.`$Parent`]],A115)</f>
        <v>#VALUE!</v>
      </c>
    </row>
    <row r="116" spans="1:2">
      <c r="A116" t="e">
        <f>COUNTIF($C$2:Table_Query_from_TallyODBC_9000[[#This Row],[Ledger.`$Parent`]],Table_Query_from_TallyODBC_9000[[#This Row],[Ledger.`$Parent`]])</f>
        <v>#VALUE!</v>
      </c>
      <c r="B116" t="e">
        <f>CONCATENATE(Table_Query_from_TallyODBC_9000[[#This Row],[Ledger.`$Parent`]],A116)</f>
        <v>#VALUE!</v>
      </c>
    </row>
    <row r="117" spans="1:2">
      <c r="A117" t="e">
        <f>COUNTIF($C$2:Table_Query_from_TallyODBC_9000[[#This Row],[Ledger.`$Parent`]],Table_Query_from_TallyODBC_9000[[#This Row],[Ledger.`$Parent`]])</f>
        <v>#VALUE!</v>
      </c>
      <c r="B117" t="e">
        <f>CONCATENATE(Table_Query_from_TallyODBC_9000[[#This Row],[Ledger.`$Parent`]],A117)</f>
        <v>#VALUE!</v>
      </c>
    </row>
    <row r="118" spans="1:2">
      <c r="A118" t="e">
        <f>COUNTIF($C$2:Table_Query_from_TallyODBC_9000[[#This Row],[Ledger.`$Parent`]],Table_Query_from_TallyODBC_9000[[#This Row],[Ledger.`$Parent`]])</f>
        <v>#VALUE!</v>
      </c>
      <c r="B118" t="e">
        <f>CONCATENATE(Table_Query_from_TallyODBC_9000[[#This Row],[Ledger.`$Parent`]],A118)</f>
        <v>#VALUE!</v>
      </c>
    </row>
    <row r="119" spans="1:2">
      <c r="A119" t="e">
        <f>COUNTIF($C$2:Table_Query_from_TallyODBC_9000[[#This Row],[Ledger.`$Parent`]],Table_Query_from_TallyODBC_9000[[#This Row],[Ledger.`$Parent`]])</f>
        <v>#VALUE!</v>
      </c>
      <c r="B119" t="e">
        <f>CONCATENATE(Table_Query_from_TallyODBC_9000[[#This Row],[Ledger.`$Parent`]],A119)</f>
        <v>#VALUE!</v>
      </c>
    </row>
    <row r="120" spans="1:2">
      <c r="A120" t="e">
        <f>COUNTIF($C$2:Table_Query_from_TallyODBC_9000[[#This Row],[Ledger.`$Parent`]],Table_Query_from_TallyODBC_9000[[#This Row],[Ledger.`$Parent`]])</f>
        <v>#VALUE!</v>
      </c>
      <c r="B120" t="e">
        <f>CONCATENATE(Table_Query_from_TallyODBC_9000[[#This Row],[Ledger.`$Parent`]],A120)</f>
        <v>#VALUE!</v>
      </c>
    </row>
    <row r="121" spans="1:2">
      <c r="A121" t="e">
        <f>COUNTIF($C$2:Table_Query_from_TallyODBC_9000[[#This Row],[Ledger.`$Parent`]],Table_Query_from_TallyODBC_9000[[#This Row],[Ledger.`$Parent`]])</f>
        <v>#VALUE!</v>
      </c>
      <c r="B121" t="e">
        <f>CONCATENATE(Table_Query_from_TallyODBC_9000[[#This Row],[Ledger.`$Parent`]],A121)</f>
        <v>#VALUE!</v>
      </c>
    </row>
    <row r="122" spans="1:2">
      <c r="A122" t="e">
        <f>COUNTIF($C$2:Table_Query_from_TallyODBC_9000[[#This Row],[Ledger.`$Parent`]],Table_Query_from_TallyODBC_9000[[#This Row],[Ledger.`$Parent`]])</f>
        <v>#VALUE!</v>
      </c>
      <c r="B122" t="e">
        <f>CONCATENATE(Table_Query_from_TallyODBC_9000[[#This Row],[Ledger.`$Parent`]],A122)</f>
        <v>#VALUE!</v>
      </c>
    </row>
    <row r="123" spans="1:2">
      <c r="A123" t="e">
        <f>COUNTIF($C$2:Table_Query_from_TallyODBC_9000[[#This Row],[Ledger.`$Parent`]],Table_Query_from_TallyODBC_9000[[#This Row],[Ledger.`$Parent`]])</f>
        <v>#VALUE!</v>
      </c>
      <c r="B123" t="e">
        <f>CONCATENATE(Table_Query_from_TallyODBC_9000[[#This Row],[Ledger.`$Parent`]],A123)</f>
        <v>#VALUE!</v>
      </c>
    </row>
    <row r="124" spans="1:2">
      <c r="A124" t="e">
        <f>COUNTIF($C$2:Table_Query_from_TallyODBC_9000[[#This Row],[Ledger.`$Parent`]],Table_Query_from_TallyODBC_9000[[#This Row],[Ledger.`$Parent`]])</f>
        <v>#VALUE!</v>
      </c>
      <c r="B124" t="e">
        <f>CONCATENATE(Table_Query_from_TallyODBC_9000[[#This Row],[Ledger.`$Parent`]],A124)</f>
        <v>#VALUE!</v>
      </c>
    </row>
    <row r="125" spans="1:2">
      <c r="A125" t="e">
        <f>COUNTIF($C$2:Table_Query_from_TallyODBC_9000[[#This Row],[Ledger.`$Parent`]],Table_Query_from_TallyODBC_9000[[#This Row],[Ledger.`$Parent`]])</f>
        <v>#VALUE!</v>
      </c>
      <c r="B125" t="e">
        <f>CONCATENATE(Table_Query_from_TallyODBC_9000[[#This Row],[Ledger.`$Parent`]],A125)</f>
        <v>#VALUE!</v>
      </c>
    </row>
    <row r="126" spans="1:2">
      <c r="A126" t="e">
        <f>COUNTIF($C$2:Table_Query_from_TallyODBC_9000[[#This Row],[Ledger.`$Parent`]],Table_Query_from_TallyODBC_9000[[#This Row],[Ledger.`$Parent`]])</f>
        <v>#VALUE!</v>
      </c>
      <c r="B126" t="e">
        <f>CONCATENATE(Table_Query_from_TallyODBC_9000[[#This Row],[Ledger.`$Parent`]],A126)</f>
        <v>#VALUE!</v>
      </c>
    </row>
    <row r="127" spans="1:2">
      <c r="A127" t="e">
        <f>COUNTIF($C$2:Table_Query_from_TallyODBC_9000[[#This Row],[Ledger.`$Parent`]],Table_Query_from_TallyODBC_9000[[#This Row],[Ledger.`$Parent`]])</f>
        <v>#VALUE!</v>
      </c>
      <c r="B127" t="e">
        <f>CONCATENATE(Table_Query_from_TallyODBC_9000[[#This Row],[Ledger.`$Parent`]],A127)</f>
        <v>#VALUE!</v>
      </c>
    </row>
    <row r="128" spans="1:2">
      <c r="A128" t="e">
        <f>COUNTIF($C$2:Table_Query_from_TallyODBC_9000[[#This Row],[Ledger.`$Parent`]],Table_Query_from_TallyODBC_9000[[#This Row],[Ledger.`$Parent`]])</f>
        <v>#VALUE!</v>
      </c>
      <c r="B128" t="e">
        <f>CONCATENATE(Table_Query_from_TallyODBC_9000[[#This Row],[Ledger.`$Parent`]],A128)</f>
        <v>#VALUE!</v>
      </c>
    </row>
    <row r="129" spans="1:2">
      <c r="A129" t="e">
        <f>COUNTIF($C$2:Table_Query_from_TallyODBC_9000[[#This Row],[Ledger.`$Parent`]],Table_Query_from_TallyODBC_9000[[#This Row],[Ledger.`$Parent`]])</f>
        <v>#VALUE!</v>
      </c>
      <c r="B129" t="e">
        <f>CONCATENATE(Table_Query_from_TallyODBC_9000[[#This Row],[Ledger.`$Parent`]],A129)</f>
        <v>#VALUE!</v>
      </c>
    </row>
    <row r="130" spans="1:2">
      <c r="A130" t="e">
        <f>COUNTIF($C$2:Table_Query_from_TallyODBC_9000[[#This Row],[Ledger.`$Parent`]],Table_Query_from_TallyODBC_9000[[#This Row],[Ledger.`$Parent`]])</f>
        <v>#VALUE!</v>
      </c>
      <c r="B130" t="e">
        <f>CONCATENATE(Table_Query_from_TallyODBC_9000[[#This Row],[Ledger.`$Parent`]],A130)</f>
        <v>#VALUE!</v>
      </c>
    </row>
    <row r="131" spans="1:2">
      <c r="A131" t="e">
        <f>COUNTIF($C$2:Table_Query_from_TallyODBC_9000[[#This Row],[Ledger.`$Parent`]],Table_Query_from_TallyODBC_9000[[#This Row],[Ledger.`$Parent`]])</f>
        <v>#VALUE!</v>
      </c>
      <c r="B131" t="e">
        <f>CONCATENATE(Table_Query_from_TallyODBC_9000[[#This Row],[Ledger.`$Parent`]],A131)</f>
        <v>#VALUE!</v>
      </c>
    </row>
    <row r="132" spans="1:2">
      <c r="A132" t="e">
        <f>COUNTIF($C$2:Table_Query_from_TallyODBC_9000[[#This Row],[Ledger.`$Parent`]],Table_Query_from_TallyODBC_9000[[#This Row],[Ledger.`$Parent`]])</f>
        <v>#VALUE!</v>
      </c>
      <c r="B132" t="e">
        <f>CONCATENATE(Table_Query_from_TallyODBC_9000[[#This Row],[Ledger.`$Parent`]],A132)</f>
        <v>#VALUE!</v>
      </c>
    </row>
    <row r="133" spans="1:2">
      <c r="A133" t="e">
        <f>COUNTIF($C$2:Table_Query_from_TallyODBC_9000[[#This Row],[Ledger.`$Parent`]],Table_Query_from_TallyODBC_9000[[#This Row],[Ledger.`$Parent`]])</f>
        <v>#VALUE!</v>
      </c>
      <c r="B133" t="e">
        <f>CONCATENATE(Table_Query_from_TallyODBC_9000[[#This Row],[Ledger.`$Parent`]],A133)</f>
        <v>#VALUE!</v>
      </c>
    </row>
    <row r="134" spans="1:2">
      <c r="A134" t="e">
        <f>COUNTIF($C$2:Table_Query_from_TallyODBC_9000[[#This Row],[Ledger.`$Parent`]],Table_Query_from_TallyODBC_9000[[#This Row],[Ledger.`$Parent`]])</f>
        <v>#VALUE!</v>
      </c>
      <c r="B134" t="e">
        <f>CONCATENATE(Table_Query_from_TallyODBC_9000[[#This Row],[Ledger.`$Parent`]],A134)</f>
        <v>#VALUE!</v>
      </c>
    </row>
    <row r="135" spans="1:2">
      <c r="A135" t="e">
        <f>COUNTIF($C$2:Table_Query_from_TallyODBC_9000[[#This Row],[Ledger.`$Parent`]],Table_Query_from_TallyODBC_9000[[#This Row],[Ledger.`$Parent`]])</f>
        <v>#VALUE!</v>
      </c>
      <c r="B135" t="e">
        <f>CONCATENATE(Table_Query_from_TallyODBC_9000[[#This Row],[Ledger.`$Parent`]],A135)</f>
        <v>#VALUE!</v>
      </c>
    </row>
    <row r="136" spans="1:2">
      <c r="A136" t="e">
        <f>COUNTIF($C$2:Table_Query_from_TallyODBC_9000[[#This Row],[Ledger.`$Parent`]],Table_Query_from_TallyODBC_9000[[#This Row],[Ledger.`$Parent`]])</f>
        <v>#VALUE!</v>
      </c>
      <c r="B136" t="e">
        <f>CONCATENATE(Table_Query_from_TallyODBC_9000[[#This Row],[Ledger.`$Parent`]],A136)</f>
        <v>#VALUE!</v>
      </c>
    </row>
    <row r="137" spans="1:2">
      <c r="A137" t="e">
        <f>COUNTIF($C$2:Table_Query_from_TallyODBC_9000[[#This Row],[Ledger.`$Parent`]],Table_Query_from_TallyODBC_9000[[#This Row],[Ledger.`$Parent`]])</f>
        <v>#VALUE!</v>
      </c>
      <c r="B137" t="e">
        <f>CONCATENATE(Table_Query_from_TallyODBC_9000[[#This Row],[Ledger.`$Parent`]],A137)</f>
        <v>#VALUE!</v>
      </c>
    </row>
    <row r="138" spans="1:2">
      <c r="A138" t="e">
        <f>COUNTIF($C$2:Table_Query_from_TallyODBC_9000[[#This Row],[Ledger.`$Parent`]],Table_Query_from_TallyODBC_9000[[#This Row],[Ledger.`$Parent`]])</f>
        <v>#VALUE!</v>
      </c>
      <c r="B138" t="e">
        <f>CONCATENATE(Table_Query_from_TallyODBC_9000[[#This Row],[Ledger.`$Parent`]],A138)</f>
        <v>#VALUE!</v>
      </c>
    </row>
    <row r="139" spans="1:2">
      <c r="A139" t="e">
        <f>COUNTIF($C$2:Table_Query_from_TallyODBC_9000[[#This Row],[Ledger.`$Parent`]],Table_Query_from_TallyODBC_9000[[#This Row],[Ledger.`$Parent`]])</f>
        <v>#VALUE!</v>
      </c>
      <c r="B139" t="e">
        <f>CONCATENATE(Table_Query_from_TallyODBC_9000[[#This Row],[Ledger.`$Parent`]],A139)</f>
        <v>#VALUE!</v>
      </c>
    </row>
    <row r="140" spans="1:2">
      <c r="A140" t="e">
        <f>COUNTIF($C$2:Table_Query_from_TallyODBC_9000[[#This Row],[Ledger.`$Parent`]],Table_Query_from_TallyODBC_9000[[#This Row],[Ledger.`$Parent`]])</f>
        <v>#VALUE!</v>
      </c>
      <c r="B140" t="e">
        <f>CONCATENATE(Table_Query_from_TallyODBC_9000[[#This Row],[Ledger.`$Parent`]],A140)</f>
        <v>#VALUE!</v>
      </c>
    </row>
    <row r="141" spans="1:2">
      <c r="A141" t="e">
        <f>COUNTIF($C$2:Table_Query_from_TallyODBC_9000[[#This Row],[Ledger.`$Parent`]],Table_Query_from_TallyODBC_9000[[#This Row],[Ledger.`$Parent`]])</f>
        <v>#VALUE!</v>
      </c>
      <c r="B141" t="e">
        <f>CONCATENATE(Table_Query_from_TallyODBC_9000[[#This Row],[Ledger.`$Parent`]],A141)</f>
        <v>#VALUE!</v>
      </c>
    </row>
    <row r="142" spans="1:2">
      <c r="A142" t="e">
        <f>COUNTIF($C$2:Table_Query_from_TallyODBC_9000[[#This Row],[Ledger.`$Parent`]],Table_Query_from_TallyODBC_9000[[#This Row],[Ledger.`$Parent`]])</f>
        <v>#VALUE!</v>
      </c>
      <c r="B142" t="e">
        <f>CONCATENATE(Table_Query_from_TallyODBC_9000[[#This Row],[Ledger.`$Parent`]],A142)</f>
        <v>#VALUE!</v>
      </c>
    </row>
    <row r="143" spans="1:2">
      <c r="A143" t="e">
        <f>COUNTIF($C$2:Table_Query_from_TallyODBC_9000[[#This Row],[Ledger.`$Parent`]],Table_Query_from_TallyODBC_9000[[#This Row],[Ledger.`$Parent`]])</f>
        <v>#VALUE!</v>
      </c>
      <c r="B143" t="e">
        <f>CONCATENATE(Table_Query_from_TallyODBC_9000[[#This Row],[Ledger.`$Parent`]],A143)</f>
        <v>#VALUE!</v>
      </c>
    </row>
    <row r="144" spans="1:2">
      <c r="A144" t="e">
        <f>COUNTIF($C$2:Table_Query_from_TallyODBC_9000[[#This Row],[Ledger.`$Parent`]],Table_Query_from_TallyODBC_9000[[#This Row],[Ledger.`$Parent`]])</f>
        <v>#VALUE!</v>
      </c>
      <c r="B144" t="e">
        <f>CONCATENATE(Table_Query_from_TallyODBC_9000[[#This Row],[Ledger.`$Parent`]],A144)</f>
        <v>#VALUE!</v>
      </c>
    </row>
    <row r="145" spans="1:2">
      <c r="A145" t="e">
        <f>COUNTIF($C$2:Table_Query_from_TallyODBC_9000[[#This Row],[Ledger.`$Parent`]],Table_Query_from_TallyODBC_9000[[#This Row],[Ledger.`$Parent`]])</f>
        <v>#VALUE!</v>
      </c>
      <c r="B145" t="e">
        <f>CONCATENATE(Table_Query_from_TallyODBC_9000[[#This Row],[Ledger.`$Parent`]],A145)</f>
        <v>#VALUE!</v>
      </c>
    </row>
    <row r="146" spans="1:2">
      <c r="A146" t="e">
        <f>COUNTIF($C$2:Table_Query_from_TallyODBC_9000[[#This Row],[Ledger.`$Parent`]],Table_Query_from_TallyODBC_9000[[#This Row],[Ledger.`$Parent`]])</f>
        <v>#VALUE!</v>
      </c>
      <c r="B146" t="e">
        <f>CONCATENATE(Table_Query_from_TallyODBC_9000[[#This Row],[Ledger.`$Parent`]],A146)</f>
        <v>#VALUE!</v>
      </c>
    </row>
    <row r="147" spans="1:2">
      <c r="A147" t="e">
        <f>COUNTIF($C$2:Table_Query_from_TallyODBC_9000[[#This Row],[Ledger.`$Parent`]],Table_Query_from_TallyODBC_9000[[#This Row],[Ledger.`$Parent`]])</f>
        <v>#VALUE!</v>
      </c>
      <c r="B147" t="e">
        <f>CONCATENATE(Table_Query_from_TallyODBC_9000[[#This Row],[Ledger.`$Parent`]],A147)</f>
        <v>#VALUE!</v>
      </c>
    </row>
    <row r="148" spans="1:2">
      <c r="A148" t="e">
        <f>COUNTIF($C$2:Table_Query_from_TallyODBC_9000[[#This Row],[Ledger.`$Parent`]],Table_Query_from_TallyODBC_9000[[#This Row],[Ledger.`$Parent`]])</f>
        <v>#VALUE!</v>
      </c>
      <c r="B148" t="e">
        <f>CONCATENATE(Table_Query_from_TallyODBC_9000[[#This Row],[Ledger.`$Parent`]],A148)</f>
        <v>#VALUE!</v>
      </c>
    </row>
    <row r="149" spans="1:2">
      <c r="A149" t="e">
        <f>COUNTIF($C$2:Table_Query_from_TallyODBC_9000[[#This Row],[Ledger.`$Parent`]],Table_Query_from_TallyODBC_9000[[#This Row],[Ledger.`$Parent`]])</f>
        <v>#VALUE!</v>
      </c>
      <c r="B149" t="e">
        <f>CONCATENATE(Table_Query_from_TallyODBC_9000[[#This Row],[Ledger.`$Parent`]],A149)</f>
        <v>#VALUE!</v>
      </c>
    </row>
    <row r="150" spans="1:2">
      <c r="A150" t="e">
        <f>COUNTIF($C$2:Table_Query_from_TallyODBC_9000[[#This Row],[Ledger.`$Parent`]],Table_Query_from_TallyODBC_9000[[#This Row],[Ledger.`$Parent`]])</f>
        <v>#VALUE!</v>
      </c>
      <c r="B150" t="e">
        <f>CONCATENATE(Table_Query_from_TallyODBC_9000[[#This Row],[Ledger.`$Parent`]],A150)</f>
        <v>#VALUE!</v>
      </c>
    </row>
    <row r="151" spans="1:2">
      <c r="A151" t="e">
        <f>COUNTIF($C$2:Table_Query_from_TallyODBC_9000[[#This Row],[Ledger.`$Parent`]],Table_Query_from_TallyODBC_9000[[#This Row],[Ledger.`$Parent`]])</f>
        <v>#VALUE!</v>
      </c>
      <c r="B151" t="e">
        <f>CONCATENATE(Table_Query_from_TallyODBC_9000[[#This Row],[Ledger.`$Parent`]],A151)</f>
        <v>#VALUE!</v>
      </c>
    </row>
    <row r="152" spans="1:2">
      <c r="A152" t="e">
        <f>COUNTIF($C$2:Table_Query_from_TallyODBC_9000[[#This Row],[Ledger.`$Parent`]],Table_Query_from_TallyODBC_9000[[#This Row],[Ledger.`$Parent`]])</f>
        <v>#VALUE!</v>
      </c>
      <c r="B152" t="e">
        <f>CONCATENATE(Table_Query_from_TallyODBC_9000[[#This Row],[Ledger.`$Parent`]],A152)</f>
        <v>#VALUE!</v>
      </c>
    </row>
    <row r="153" spans="1:2">
      <c r="A153" t="e">
        <f>COUNTIF($C$2:Table_Query_from_TallyODBC_9000[[#This Row],[Ledger.`$Parent`]],Table_Query_from_TallyODBC_9000[[#This Row],[Ledger.`$Parent`]])</f>
        <v>#VALUE!</v>
      </c>
      <c r="B153" t="e">
        <f>CONCATENATE(Table_Query_from_TallyODBC_9000[[#This Row],[Ledger.`$Parent`]],A153)</f>
        <v>#VALUE!</v>
      </c>
    </row>
    <row r="154" spans="1:2">
      <c r="A154" t="e">
        <f>COUNTIF($C$2:Table_Query_from_TallyODBC_9000[[#This Row],[Ledger.`$Parent`]],Table_Query_from_TallyODBC_9000[[#This Row],[Ledger.`$Parent`]])</f>
        <v>#VALUE!</v>
      </c>
      <c r="B154" t="e">
        <f>CONCATENATE(Table_Query_from_TallyODBC_9000[[#This Row],[Ledger.`$Parent`]],A154)</f>
        <v>#VALUE!</v>
      </c>
    </row>
    <row r="155" spans="1:2">
      <c r="A155" t="e">
        <f>COUNTIF($C$2:Table_Query_from_TallyODBC_9000[[#This Row],[Ledger.`$Parent`]],Table_Query_from_TallyODBC_9000[[#This Row],[Ledger.`$Parent`]])</f>
        <v>#VALUE!</v>
      </c>
      <c r="B155" t="e">
        <f>CONCATENATE(Table_Query_from_TallyODBC_9000[[#This Row],[Ledger.`$Parent`]],A155)</f>
        <v>#VALUE!</v>
      </c>
    </row>
    <row r="156" spans="1:2">
      <c r="A156" t="e">
        <f>COUNTIF($C$2:Table_Query_from_TallyODBC_9000[[#This Row],[Ledger.`$Parent`]],Table_Query_from_TallyODBC_9000[[#This Row],[Ledger.`$Parent`]])</f>
        <v>#VALUE!</v>
      </c>
      <c r="B156" t="e">
        <f>CONCATENATE(Table_Query_from_TallyODBC_9000[[#This Row],[Ledger.`$Parent`]],A156)</f>
        <v>#VALUE!</v>
      </c>
    </row>
    <row r="157" spans="1:2">
      <c r="A157" t="e">
        <f>COUNTIF($C$2:Table_Query_from_TallyODBC_9000[[#This Row],[Ledger.`$Parent`]],Table_Query_from_TallyODBC_9000[[#This Row],[Ledger.`$Parent`]])</f>
        <v>#VALUE!</v>
      </c>
      <c r="B157" t="e">
        <f>CONCATENATE(Table_Query_from_TallyODBC_9000[[#This Row],[Ledger.`$Parent`]],A157)</f>
        <v>#VALUE!</v>
      </c>
    </row>
    <row r="158" spans="1:2">
      <c r="A158" t="e">
        <f>COUNTIF($C$2:Table_Query_from_TallyODBC_9000[[#This Row],[Ledger.`$Parent`]],Table_Query_from_TallyODBC_9000[[#This Row],[Ledger.`$Parent`]])</f>
        <v>#VALUE!</v>
      </c>
      <c r="B158" t="e">
        <f>CONCATENATE(Table_Query_from_TallyODBC_9000[[#This Row],[Ledger.`$Parent`]],A158)</f>
        <v>#VALUE!</v>
      </c>
    </row>
    <row r="159" spans="1:2">
      <c r="A159" t="e">
        <f>COUNTIF($C$2:Table_Query_from_TallyODBC_9000[[#This Row],[Ledger.`$Parent`]],Table_Query_from_TallyODBC_9000[[#This Row],[Ledger.`$Parent`]])</f>
        <v>#VALUE!</v>
      </c>
      <c r="B159" t="e">
        <f>CONCATENATE(Table_Query_from_TallyODBC_9000[[#This Row],[Ledger.`$Parent`]],A159)</f>
        <v>#VALUE!</v>
      </c>
    </row>
    <row r="160" spans="1:2">
      <c r="A160" t="e">
        <f>COUNTIF($C$2:Table_Query_from_TallyODBC_9000[[#This Row],[Ledger.`$Parent`]],Table_Query_from_TallyODBC_9000[[#This Row],[Ledger.`$Parent`]])</f>
        <v>#VALUE!</v>
      </c>
      <c r="B160" t="e">
        <f>CONCATENATE(Table_Query_from_TallyODBC_9000[[#This Row],[Ledger.`$Parent`]],A160)</f>
        <v>#VALUE!</v>
      </c>
    </row>
    <row r="161" spans="1:2">
      <c r="A161" t="e">
        <f>COUNTIF($C$2:Table_Query_from_TallyODBC_9000[[#This Row],[Ledger.`$Parent`]],Table_Query_from_TallyODBC_9000[[#This Row],[Ledger.`$Parent`]])</f>
        <v>#VALUE!</v>
      </c>
      <c r="B161" t="e">
        <f>CONCATENATE(Table_Query_from_TallyODBC_9000[[#This Row],[Ledger.`$Parent`]],A161)</f>
        <v>#VALUE!</v>
      </c>
    </row>
    <row r="162" spans="1:2">
      <c r="A162" t="e">
        <f>COUNTIF($C$2:Table_Query_from_TallyODBC_9000[[#This Row],[Ledger.`$Parent`]],Table_Query_from_TallyODBC_9000[[#This Row],[Ledger.`$Parent`]])</f>
        <v>#VALUE!</v>
      </c>
      <c r="B162" t="e">
        <f>CONCATENATE(Table_Query_from_TallyODBC_9000[[#This Row],[Ledger.`$Parent`]],A162)</f>
        <v>#VALUE!</v>
      </c>
    </row>
    <row r="163" spans="1:2">
      <c r="A163" t="e">
        <f>COUNTIF($C$2:Table_Query_from_TallyODBC_9000[[#This Row],[Ledger.`$Parent`]],Table_Query_from_TallyODBC_9000[[#This Row],[Ledger.`$Parent`]])</f>
        <v>#VALUE!</v>
      </c>
      <c r="B163" t="e">
        <f>CONCATENATE(Table_Query_from_TallyODBC_9000[[#This Row],[Ledger.`$Parent`]],A163)</f>
        <v>#VALUE!</v>
      </c>
    </row>
    <row r="164" spans="1:2">
      <c r="A164" t="e">
        <f>COUNTIF($C$2:Table_Query_from_TallyODBC_9000[[#This Row],[Ledger.`$Parent`]],Table_Query_from_TallyODBC_9000[[#This Row],[Ledger.`$Parent`]])</f>
        <v>#VALUE!</v>
      </c>
      <c r="B164" t="e">
        <f>CONCATENATE(Table_Query_from_TallyODBC_9000[[#This Row],[Ledger.`$Parent`]],A164)</f>
        <v>#VALUE!</v>
      </c>
    </row>
    <row r="165" spans="1:2">
      <c r="A165" t="e">
        <f>COUNTIF($C$2:Table_Query_from_TallyODBC_9000[[#This Row],[Ledger.`$Parent`]],Table_Query_from_TallyODBC_9000[[#This Row],[Ledger.`$Parent`]])</f>
        <v>#VALUE!</v>
      </c>
      <c r="B165" t="e">
        <f>CONCATENATE(Table_Query_from_TallyODBC_9000[[#This Row],[Ledger.`$Parent`]],A165)</f>
        <v>#VALUE!</v>
      </c>
    </row>
    <row r="166" spans="1:2">
      <c r="A166" t="e">
        <f>COUNTIF($C$2:Table_Query_from_TallyODBC_9000[[#This Row],[Ledger.`$Parent`]],Table_Query_from_TallyODBC_9000[[#This Row],[Ledger.`$Parent`]])</f>
        <v>#VALUE!</v>
      </c>
      <c r="B166" t="e">
        <f>CONCATENATE(Table_Query_from_TallyODBC_9000[[#This Row],[Ledger.`$Parent`]],A166)</f>
        <v>#VALUE!</v>
      </c>
    </row>
    <row r="167" spans="1:2">
      <c r="A167" t="e">
        <f>COUNTIF($C$2:Table_Query_from_TallyODBC_9000[[#This Row],[Ledger.`$Parent`]],Table_Query_from_TallyODBC_9000[[#This Row],[Ledger.`$Parent`]])</f>
        <v>#VALUE!</v>
      </c>
      <c r="B167" t="e">
        <f>CONCATENATE(Table_Query_from_TallyODBC_9000[[#This Row],[Ledger.`$Parent`]],A167)</f>
        <v>#VALUE!</v>
      </c>
    </row>
    <row r="168" spans="1:2">
      <c r="A168" t="e">
        <f>COUNTIF($C$2:Table_Query_from_TallyODBC_9000[[#This Row],[Ledger.`$Parent`]],Table_Query_from_TallyODBC_9000[[#This Row],[Ledger.`$Parent`]])</f>
        <v>#VALUE!</v>
      </c>
      <c r="B168" t="e">
        <f>CONCATENATE(Table_Query_from_TallyODBC_9000[[#This Row],[Ledger.`$Parent`]],A168)</f>
        <v>#VALUE!</v>
      </c>
    </row>
    <row r="169" spans="1:2">
      <c r="A169" t="e">
        <f>COUNTIF($C$2:Table_Query_from_TallyODBC_9000[[#This Row],[Ledger.`$Parent`]],Table_Query_from_TallyODBC_9000[[#This Row],[Ledger.`$Parent`]])</f>
        <v>#VALUE!</v>
      </c>
      <c r="B169" t="e">
        <f>CONCATENATE(Table_Query_from_TallyODBC_9000[[#This Row],[Ledger.`$Parent`]],A169)</f>
        <v>#VALUE!</v>
      </c>
    </row>
    <row r="170" spans="1:2">
      <c r="A170" t="e">
        <f>COUNTIF($C$2:Table_Query_from_TallyODBC_9000[[#This Row],[Ledger.`$Parent`]],Table_Query_from_TallyODBC_9000[[#This Row],[Ledger.`$Parent`]])</f>
        <v>#VALUE!</v>
      </c>
      <c r="B170" t="e">
        <f>CONCATENATE(Table_Query_from_TallyODBC_9000[[#This Row],[Ledger.`$Parent`]],A170)</f>
        <v>#VALUE!</v>
      </c>
    </row>
    <row r="171" spans="1:2">
      <c r="A171" t="e">
        <f>COUNTIF($C$2:Table_Query_from_TallyODBC_9000[[#This Row],[Ledger.`$Parent`]],Table_Query_from_TallyODBC_9000[[#This Row],[Ledger.`$Parent`]])</f>
        <v>#VALUE!</v>
      </c>
      <c r="B171" t="e">
        <f>CONCATENATE(Table_Query_from_TallyODBC_9000[[#This Row],[Ledger.`$Parent`]],A171)</f>
        <v>#VALUE!</v>
      </c>
    </row>
    <row r="172" spans="1:2">
      <c r="A172" t="e">
        <f>COUNTIF($C$2:Table_Query_from_TallyODBC_9000[[#This Row],[Ledger.`$Parent`]],Table_Query_from_TallyODBC_9000[[#This Row],[Ledger.`$Parent`]])</f>
        <v>#VALUE!</v>
      </c>
      <c r="B172" t="e">
        <f>CONCATENATE(Table_Query_from_TallyODBC_9000[[#This Row],[Ledger.`$Parent`]],A172)</f>
        <v>#VALUE!</v>
      </c>
    </row>
    <row r="173" spans="1:2">
      <c r="A173" t="e">
        <f>COUNTIF($C$2:Table_Query_from_TallyODBC_9000[[#This Row],[Ledger.`$Parent`]],Table_Query_from_TallyODBC_9000[[#This Row],[Ledger.`$Parent`]])</f>
        <v>#VALUE!</v>
      </c>
      <c r="B173" t="e">
        <f>CONCATENATE(Table_Query_from_TallyODBC_9000[[#This Row],[Ledger.`$Parent`]],A173)</f>
        <v>#VALUE!</v>
      </c>
    </row>
    <row r="174" spans="1:2">
      <c r="A174" t="e">
        <f>COUNTIF($C$2:Table_Query_from_TallyODBC_9000[[#This Row],[Ledger.`$Parent`]],Table_Query_from_TallyODBC_9000[[#This Row],[Ledger.`$Parent`]])</f>
        <v>#VALUE!</v>
      </c>
      <c r="B174" t="e">
        <f>CONCATENATE(Table_Query_from_TallyODBC_9000[[#This Row],[Ledger.`$Parent`]],A174)</f>
        <v>#VALUE!</v>
      </c>
    </row>
    <row r="175" spans="1:2">
      <c r="A175" t="e">
        <f>COUNTIF($C$2:Table_Query_from_TallyODBC_9000[[#This Row],[Ledger.`$Parent`]],Table_Query_from_TallyODBC_9000[[#This Row],[Ledger.`$Parent`]])</f>
        <v>#VALUE!</v>
      </c>
      <c r="B175" t="e">
        <f>CONCATENATE(Table_Query_from_TallyODBC_9000[[#This Row],[Ledger.`$Parent`]],A175)</f>
        <v>#VALUE!</v>
      </c>
    </row>
    <row r="176" spans="1:2">
      <c r="A176" t="e">
        <f>COUNTIF($C$2:Table_Query_from_TallyODBC_9000[[#This Row],[Ledger.`$Parent`]],Table_Query_from_TallyODBC_9000[[#This Row],[Ledger.`$Parent`]])</f>
        <v>#VALUE!</v>
      </c>
      <c r="B176" t="e">
        <f>CONCATENATE(Table_Query_from_TallyODBC_9000[[#This Row],[Ledger.`$Parent`]],A176)</f>
        <v>#VALUE!</v>
      </c>
    </row>
    <row r="177" spans="1:2">
      <c r="A177" t="e">
        <f>COUNTIF($C$2:Table_Query_from_TallyODBC_9000[[#This Row],[Ledger.`$Parent`]],Table_Query_from_TallyODBC_9000[[#This Row],[Ledger.`$Parent`]])</f>
        <v>#VALUE!</v>
      </c>
      <c r="B177" t="e">
        <f>CONCATENATE(Table_Query_from_TallyODBC_9000[[#This Row],[Ledger.`$Parent`]],A177)</f>
        <v>#VALUE!</v>
      </c>
    </row>
    <row r="178" spans="1:2">
      <c r="A178" t="e">
        <f>COUNTIF($C$2:Table_Query_from_TallyODBC_9000[[#This Row],[Ledger.`$Parent`]],Table_Query_from_TallyODBC_9000[[#This Row],[Ledger.`$Parent`]])</f>
        <v>#VALUE!</v>
      </c>
      <c r="B178" t="e">
        <f>CONCATENATE(Table_Query_from_TallyODBC_9000[[#This Row],[Ledger.`$Parent`]],A178)</f>
        <v>#VALUE!</v>
      </c>
    </row>
    <row r="179" spans="1:2">
      <c r="A179" t="e">
        <f>COUNTIF($C$2:Table_Query_from_TallyODBC_9000[[#This Row],[Ledger.`$Parent`]],Table_Query_from_TallyODBC_9000[[#This Row],[Ledger.`$Parent`]])</f>
        <v>#VALUE!</v>
      </c>
      <c r="B179" t="e">
        <f>CONCATENATE(Table_Query_from_TallyODBC_9000[[#This Row],[Ledger.`$Parent`]],A179)</f>
        <v>#VALUE!</v>
      </c>
    </row>
    <row r="180" spans="1:2">
      <c r="A180" t="e">
        <f>COUNTIF($C$2:Table_Query_from_TallyODBC_9000[[#This Row],[Ledger.`$Parent`]],Table_Query_from_TallyODBC_9000[[#This Row],[Ledger.`$Parent`]])</f>
        <v>#VALUE!</v>
      </c>
      <c r="B180" t="e">
        <f>CONCATENATE(Table_Query_from_TallyODBC_9000[[#This Row],[Ledger.`$Parent`]],A180)</f>
        <v>#VALUE!</v>
      </c>
    </row>
    <row r="181" spans="1:2">
      <c r="A181" t="e">
        <f>COUNTIF($C$2:Table_Query_from_TallyODBC_9000[[#This Row],[Ledger.`$Parent`]],Table_Query_from_TallyODBC_9000[[#This Row],[Ledger.`$Parent`]])</f>
        <v>#VALUE!</v>
      </c>
      <c r="B181" t="e">
        <f>CONCATENATE(Table_Query_from_TallyODBC_9000[[#This Row],[Ledger.`$Parent`]],A181)</f>
        <v>#VALUE!</v>
      </c>
    </row>
    <row r="182" spans="1:2">
      <c r="A182" t="e">
        <f>COUNTIF($C$2:Table_Query_from_TallyODBC_9000[[#This Row],[Ledger.`$Parent`]],Table_Query_from_TallyODBC_9000[[#This Row],[Ledger.`$Parent`]])</f>
        <v>#VALUE!</v>
      </c>
      <c r="B182" t="e">
        <f>CONCATENATE(Table_Query_from_TallyODBC_9000[[#This Row],[Ledger.`$Parent`]],A182)</f>
        <v>#VALUE!</v>
      </c>
    </row>
    <row r="183" spans="1:2">
      <c r="A183" t="e">
        <f>COUNTIF($C$2:Table_Query_from_TallyODBC_9000[[#This Row],[Ledger.`$Parent`]],Table_Query_from_TallyODBC_9000[[#This Row],[Ledger.`$Parent`]])</f>
        <v>#VALUE!</v>
      </c>
      <c r="B183" t="e">
        <f>CONCATENATE(Table_Query_from_TallyODBC_9000[[#This Row],[Ledger.`$Parent`]],A183)</f>
        <v>#VALUE!</v>
      </c>
    </row>
    <row r="184" spans="1:2">
      <c r="A184" t="e">
        <f>COUNTIF($C$2:Table_Query_from_TallyODBC_9000[[#This Row],[Ledger.`$Parent`]],Table_Query_from_TallyODBC_9000[[#This Row],[Ledger.`$Parent`]])</f>
        <v>#VALUE!</v>
      </c>
      <c r="B184" t="e">
        <f>CONCATENATE(Table_Query_from_TallyODBC_9000[[#This Row],[Ledger.`$Parent`]],A184)</f>
        <v>#VALUE!</v>
      </c>
    </row>
    <row r="185" spans="1:2">
      <c r="A185" t="e">
        <f>COUNTIF($C$2:Table_Query_from_TallyODBC_9000[[#This Row],[Ledger.`$Parent`]],Table_Query_from_TallyODBC_9000[[#This Row],[Ledger.`$Parent`]])</f>
        <v>#VALUE!</v>
      </c>
      <c r="B185" t="e">
        <f>CONCATENATE(Table_Query_from_TallyODBC_9000[[#This Row],[Ledger.`$Parent`]],A185)</f>
        <v>#VALUE!</v>
      </c>
    </row>
    <row r="186" spans="1:2">
      <c r="A186" t="e">
        <f>COUNTIF($C$2:Table_Query_from_TallyODBC_9000[[#This Row],[Ledger.`$Parent`]],Table_Query_from_TallyODBC_9000[[#This Row],[Ledger.`$Parent`]])</f>
        <v>#VALUE!</v>
      </c>
      <c r="B186" t="e">
        <f>CONCATENATE(Table_Query_from_TallyODBC_9000[[#This Row],[Ledger.`$Parent`]],A186)</f>
        <v>#VALUE!</v>
      </c>
    </row>
    <row r="187" spans="1:2">
      <c r="A187" t="e">
        <f>COUNTIF($C$2:Table_Query_from_TallyODBC_9000[[#This Row],[Ledger.`$Parent`]],Table_Query_from_TallyODBC_9000[[#This Row],[Ledger.`$Parent`]])</f>
        <v>#VALUE!</v>
      </c>
      <c r="B187" t="e">
        <f>CONCATENATE(Table_Query_from_TallyODBC_9000[[#This Row],[Ledger.`$Parent`]],A187)</f>
        <v>#VALUE!</v>
      </c>
    </row>
    <row r="188" spans="1:2">
      <c r="A188" t="e">
        <f>COUNTIF($C$2:Table_Query_from_TallyODBC_9000[[#This Row],[Ledger.`$Parent`]],Table_Query_from_TallyODBC_9000[[#This Row],[Ledger.`$Parent`]])</f>
        <v>#VALUE!</v>
      </c>
      <c r="B188" t="e">
        <f>CONCATENATE(Table_Query_from_TallyODBC_9000[[#This Row],[Ledger.`$Parent`]],A188)</f>
        <v>#VALUE!</v>
      </c>
    </row>
    <row r="189" spans="1:2">
      <c r="A189" t="e">
        <f>COUNTIF($C$2:Table_Query_from_TallyODBC_9000[[#This Row],[Ledger.`$Parent`]],Table_Query_from_TallyODBC_9000[[#This Row],[Ledger.`$Parent`]])</f>
        <v>#VALUE!</v>
      </c>
      <c r="B189" t="e">
        <f>CONCATENATE(Table_Query_from_TallyODBC_9000[[#This Row],[Ledger.`$Parent`]],A189)</f>
        <v>#VALUE!</v>
      </c>
    </row>
    <row r="190" spans="1:2">
      <c r="A190" t="e">
        <f>COUNTIF($C$2:Table_Query_from_TallyODBC_9000[[#This Row],[Ledger.`$Parent`]],Table_Query_from_TallyODBC_9000[[#This Row],[Ledger.`$Parent`]])</f>
        <v>#VALUE!</v>
      </c>
      <c r="B190" t="e">
        <f>CONCATENATE(Table_Query_from_TallyODBC_9000[[#This Row],[Ledger.`$Parent`]],A190)</f>
        <v>#VALUE!</v>
      </c>
    </row>
    <row r="191" spans="1:2">
      <c r="A191" t="e">
        <f>COUNTIF($C$2:Table_Query_from_TallyODBC_9000[[#This Row],[Ledger.`$Parent`]],Table_Query_from_TallyODBC_9000[[#This Row],[Ledger.`$Parent`]])</f>
        <v>#VALUE!</v>
      </c>
      <c r="B191" t="e">
        <f>CONCATENATE(Table_Query_from_TallyODBC_9000[[#This Row],[Ledger.`$Parent`]],A191)</f>
        <v>#VALUE!</v>
      </c>
    </row>
    <row r="192" spans="1:2">
      <c r="A192" t="e">
        <f>COUNTIF($C$2:Table_Query_from_TallyODBC_9000[[#This Row],[Ledger.`$Parent`]],Table_Query_from_TallyODBC_9000[[#This Row],[Ledger.`$Parent`]])</f>
        <v>#VALUE!</v>
      </c>
      <c r="B192" t="e">
        <f>CONCATENATE(Table_Query_from_TallyODBC_9000[[#This Row],[Ledger.`$Parent`]],A192)</f>
        <v>#VALUE!</v>
      </c>
    </row>
    <row r="193" spans="1:2">
      <c r="A193" t="e">
        <f>COUNTIF($C$2:Table_Query_from_TallyODBC_9000[[#This Row],[Ledger.`$Parent`]],Table_Query_from_TallyODBC_9000[[#This Row],[Ledger.`$Parent`]])</f>
        <v>#VALUE!</v>
      </c>
      <c r="B193" t="e">
        <f>CONCATENATE(Table_Query_from_TallyODBC_9000[[#This Row],[Ledger.`$Parent`]],A193)</f>
        <v>#VALUE!</v>
      </c>
    </row>
    <row r="194" spans="1:2">
      <c r="A194" t="e">
        <f>COUNTIF($C$2:Table_Query_from_TallyODBC_9000[[#This Row],[Ledger.`$Parent`]],Table_Query_from_TallyODBC_9000[[#This Row],[Ledger.`$Parent`]])</f>
        <v>#VALUE!</v>
      </c>
      <c r="B194" t="e">
        <f>CONCATENATE(Table_Query_from_TallyODBC_9000[[#This Row],[Ledger.`$Parent`]],A194)</f>
        <v>#VALUE!</v>
      </c>
    </row>
    <row r="195" spans="1:2">
      <c r="A195" t="e">
        <f>COUNTIF($C$2:Table_Query_from_TallyODBC_9000[[#This Row],[Ledger.`$Parent`]],Table_Query_from_TallyODBC_9000[[#This Row],[Ledger.`$Parent`]])</f>
        <v>#VALUE!</v>
      </c>
      <c r="B195" t="e">
        <f>CONCATENATE(Table_Query_from_TallyODBC_9000[[#This Row],[Ledger.`$Parent`]],A195)</f>
        <v>#VALUE!</v>
      </c>
    </row>
    <row r="196" spans="1:2">
      <c r="A196" t="e">
        <f>COUNTIF($C$2:Table_Query_from_TallyODBC_9000[[#This Row],[Ledger.`$Parent`]],Table_Query_from_TallyODBC_9000[[#This Row],[Ledger.`$Parent`]])</f>
        <v>#VALUE!</v>
      </c>
      <c r="B196" t="e">
        <f>CONCATENATE(Table_Query_from_TallyODBC_9000[[#This Row],[Ledger.`$Parent`]],A196)</f>
        <v>#VALUE!</v>
      </c>
    </row>
    <row r="197" spans="1:2">
      <c r="A197" t="e">
        <f>COUNTIF($C$2:Table_Query_from_TallyODBC_9000[[#This Row],[Ledger.`$Parent`]],Table_Query_from_TallyODBC_9000[[#This Row],[Ledger.`$Parent`]])</f>
        <v>#VALUE!</v>
      </c>
      <c r="B197" t="e">
        <f>CONCATENATE(Table_Query_from_TallyODBC_9000[[#This Row],[Ledger.`$Parent`]],A197)</f>
        <v>#VALUE!</v>
      </c>
    </row>
    <row r="198" spans="1:2">
      <c r="A198" t="e">
        <f>COUNTIF($C$2:Table_Query_from_TallyODBC_9000[[#This Row],[Ledger.`$Parent`]],Table_Query_from_TallyODBC_9000[[#This Row],[Ledger.`$Parent`]])</f>
        <v>#VALUE!</v>
      </c>
      <c r="B198" t="e">
        <f>CONCATENATE(Table_Query_from_TallyODBC_9000[[#This Row],[Ledger.`$Parent`]],A198)</f>
        <v>#VALUE!</v>
      </c>
    </row>
    <row r="199" spans="1:2">
      <c r="A199" t="e">
        <f>COUNTIF($C$2:Table_Query_from_TallyODBC_9000[[#This Row],[Ledger.`$Parent`]],Table_Query_from_TallyODBC_9000[[#This Row],[Ledger.`$Parent`]])</f>
        <v>#VALUE!</v>
      </c>
      <c r="B199" t="e">
        <f>CONCATENATE(Table_Query_from_TallyODBC_9000[[#This Row],[Ledger.`$Parent`]],A199)</f>
        <v>#VALUE!</v>
      </c>
    </row>
    <row r="200" spans="1:2">
      <c r="A200" t="e">
        <f>COUNTIF($C$2:Table_Query_from_TallyODBC_9000[[#This Row],[Ledger.`$Parent`]],Table_Query_from_TallyODBC_9000[[#This Row],[Ledger.`$Parent`]])</f>
        <v>#VALUE!</v>
      </c>
      <c r="B200" t="e">
        <f>CONCATENATE(Table_Query_from_TallyODBC_9000[[#This Row],[Ledger.`$Parent`]],A200)</f>
        <v>#VALUE!</v>
      </c>
    </row>
    <row r="201" spans="1:2">
      <c r="A201" t="e">
        <f>COUNTIF($C$2:Table_Query_from_TallyODBC_9000[[#This Row],[Ledger.`$Parent`]],Table_Query_from_TallyODBC_9000[[#This Row],[Ledger.`$Parent`]])</f>
        <v>#VALUE!</v>
      </c>
      <c r="B201" t="e">
        <f>CONCATENATE(Table_Query_from_TallyODBC_9000[[#This Row],[Ledger.`$Parent`]],A201)</f>
        <v>#VALUE!</v>
      </c>
    </row>
    <row r="202" spans="1:2">
      <c r="A202" t="e">
        <f>COUNTIF($C$2:Table_Query_from_TallyODBC_9000[[#This Row],[Ledger.`$Parent`]],Table_Query_from_TallyODBC_9000[[#This Row],[Ledger.`$Parent`]])</f>
        <v>#VALUE!</v>
      </c>
      <c r="B202" t="e">
        <f>CONCATENATE(Table_Query_from_TallyODBC_9000[[#This Row],[Ledger.`$Parent`]],A202)</f>
        <v>#VALUE!</v>
      </c>
    </row>
    <row r="203" spans="1:2">
      <c r="A203" t="e">
        <f>COUNTIF($C$2:Table_Query_from_TallyODBC_9000[[#This Row],[Ledger.`$Parent`]],Table_Query_from_TallyODBC_9000[[#This Row],[Ledger.`$Parent`]])</f>
        <v>#VALUE!</v>
      </c>
      <c r="B203" t="e">
        <f>CONCATENATE(Table_Query_from_TallyODBC_9000[[#This Row],[Ledger.`$Parent`]],A203)</f>
        <v>#VALUE!</v>
      </c>
    </row>
    <row r="204" spans="1:2">
      <c r="A204" t="e">
        <f>COUNTIF($C$2:Table_Query_from_TallyODBC_9000[[#This Row],[Ledger.`$Parent`]],Table_Query_from_TallyODBC_9000[[#This Row],[Ledger.`$Parent`]])</f>
        <v>#VALUE!</v>
      </c>
      <c r="B204" t="e">
        <f>CONCATENATE(Table_Query_from_TallyODBC_9000[[#This Row],[Ledger.`$Parent`]],A204)</f>
        <v>#VALUE!</v>
      </c>
    </row>
    <row r="205" spans="1:2">
      <c r="A205" t="e">
        <f>COUNTIF($C$2:Table_Query_from_TallyODBC_9000[[#This Row],[Ledger.`$Parent`]],Table_Query_from_TallyODBC_9000[[#This Row],[Ledger.`$Parent`]])</f>
        <v>#VALUE!</v>
      </c>
      <c r="B205" t="e">
        <f>CONCATENATE(Table_Query_from_TallyODBC_9000[[#This Row],[Ledger.`$Parent`]],A205)</f>
        <v>#VALUE!</v>
      </c>
    </row>
    <row r="206" spans="1:2">
      <c r="A206" t="e">
        <f>COUNTIF($C$2:Table_Query_from_TallyODBC_9000[[#This Row],[Ledger.`$Parent`]],Table_Query_from_TallyODBC_9000[[#This Row],[Ledger.`$Parent`]])</f>
        <v>#VALUE!</v>
      </c>
      <c r="B206" t="e">
        <f>CONCATENATE(Table_Query_from_TallyODBC_9000[[#This Row],[Ledger.`$Parent`]],A206)</f>
        <v>#VALUE!</v>
      </c>
    </row>
    <row r="207" spans="1:2">
      <c r="A207" t="e">
        <f>COUNTIF($C$2:Table_Query_from_TallyODBC_9000[[#This Row],[Ledger.`$Parent`]],Table_Query_from_TallyODBC_9000[[#This Row],[Ledger.`$Parent`]])</f>
        <v>#VALUE!</v>
      </c>
      <c r="B207" t="e">
        <f>CONCATENATE(Table_Query_from_TallyODBC_9000[[#This Row],[Ledger.`$Parent`]],A207)</f>
        <v>#VALUE!</v>
      </c>
    </row>
    <row r="208" spans="1:2">
      <c r="A208" t="e">
        <f>COUNTIF($C$2:Table_Query_from_TallyODBC_9000[[#This Row],[Ledger.`$Parent`]],Table_Query_from_TallyODBC_9000[[#This Row],[Ledger.`$Parent`]])</f>
        <v>#VALUE!</v>
      </c>
      <c r="B208" t="e">
        <f>CONCATENATE(Table_Query_from_TallyODBC_9000[[#This Row],[Ledger.`$Parent`]],A208)</f>
        <v>#VALUE!</v>
      </c>
    </row>
    <row r="209" spans="1:2">
      <c r="A209" t="e">
        <f>COUNTIF($C$2:Table_Query_from_TallyODBC_9000[[#This Row],[Ledger.`$Parent`]],Table_Query_from_TallyODBC_9000[[#This Row],[Ledger.`$Parent`]])</f>
        <v>#VALUE!</v>
      </c>
      <c r="B209" t="e">
        <f>CONCATENATE(Table_Query_from_TallyODBC_9000[[#This Row],[Ledger.`$Parent`]],A209)</f>
        <v>#VALUE!</v>
      </c>
    </row>
    <row r="210" spans="1:2">
      <c r="A210" t="e">
        <f>COUNTIF($C$2:Table_Query_from_TallyODBC_9000[[#This Row],[Ledger.`$Parent`]],Table_Query_from_TallyODBC_9000[[#This Row],[Ledger.`$Parent`]])</f>
        <v>#VALUE!</v>
      </c>
      <c r="B210" t="e">
        <f>CONCATENATE(Table_Query_from_TallyODBC_9000[[#This Row],[Ledger.`$Parent`]],A210)</f>
        <v>#VALUE!</v>
      </c>
    </row>
    <row r="211" spans="1:2">
      <c r="A211" t="e">
        <f>COUNTIF($C$2:Table_Query_from_TallyODBC_9000[[#This Row],[Ledger.`$Parent`]],Table_Query_from_TallyODBC_9000[[#This Row],[Ledger.`$Parent`]])</f>
        <v>#VALUE!</v>
      </c>
      <c r="B211" t="e">
        <f>CONCATENATE(Table_Query_from_TallyODBC_9000[[#This Row],[Ledger.`$Parent`]],A211)</f>
        <v>#VALUE!</v>
      </c>
    </row>
    <row r="212" spans="1:2">
      <c r="A212" t="e">
        <f>COUNTIF($C$2:Table_Query_from_TallyODBC_9000[[#This Row],[Ledger.`$Parent`]],Table_Query_from_TallyODBC_9000[[#This Row],[Ledger.`$Parent`]])</f>
        <v>#VALUE!</v>
      </c>
      <c r="B212" t="e">
        <f>CONCATENATE(Table_Query_from_TallyODBC_9000[[#This Row],[Ledger.`$Parent`]],A212)</f>
        <v>#VALUE!</v>
      </c>
    </row>
    <row r="213" spans="1:2">
      <c r="A213" t="e">
        <f>COUNTIF($C$2:Table_Query_from_TallyODBC_9000[[#This Row],[Ledger.`$Parent`]],Table_Query_from_TallyODBC_9000[[#This Row],[Ledger.`$Parent`]])</f>
        <v>#VALUE!</v>
      </c>
      <c r="B213" t="e">
        <f>CONCATENATE(Table_Query_from_TallyODBC_9000[[#This Row],[Ledger.`$Parent`]],A213)</f>
        <v>#VALUE!</v>
      </c>
    </row>
    <row r="214" spans="1:2">
      <c r="A214" t="e">
        <f>COUNTIF($C$2:Table_Query_from_TallyODBC_9000[[#This Row],[Ledger.`$Parent`]],Table_Query_from_TallyODBC_9000[[#This Row],[Ledger.`$Parent`]])</f>
        <v>#VALUE!</v>
      </c>
      <c r="B214" t="e">
        <f>CONCATENATE(Table_Query_from_TallyODBC_9000[[#This Row],[Ledger.`$Parent`]],A214)</f>
        <v>#VALUE!</v>
      </c>
    </row>
    <row r="215" spans="1:2">
      <c r="A215" t="e">
        <f>COUNTIF($C$2:Table_Query_from_TallyODBC_9000[[#This Row],[Ledger.`$Parent`]],Table_Query_from_TallyODBC_9000[[#This Row],[Ledger.`$Parent`]])</f>
        <v>#VALUE!</v>
      </c>
      <c r="B215" t="e">
        <f>CONCATENATE(Table_Query_from_TallyODBC_9000[[#This Row],[Ledger.`$Parent`]],A215)</f>
        <v>#VALUE!</v>
      </c>
    </row>
    <row r="216" spans="1:2">
      <c r="A216" t="e">
        <f>COUNTIF($C$2:Table_Query_from_TallyODBC_9000[[#This Row],[Ledger.`$Parent`]],Table_Query_from_TallyODBC_9000[[#This Row],[Ledger.`$Parent`]])</f>
        <v>#VALUE!</v>
      </c>
      <c r="B216" t="e">
        <f>CONCATENATE(Table_Query_from_TallyODBC_9000[[#This Row],[Ledger.`$Parent`]],A216)</f>
        <v>#VALUE!</v>
      </c>
    </row>
    <row r="217" spans="1:2">
      <c r="A217" t="e">
        <f>COUNTIF($C$2:Table_Query_from_TallyODBC_9000[[#This Row],[Ledger.`$Parent`]],Table_Query_from_TallyODBC_9000[[#This Row],[Ledger.`$Parent`]])</f>
        <v>#VALUE!</v>
      </c>
      <c r="B217" t="e">
        <f>CONCATENATE(Table_Query_from_TallyODBC_9000[[#This Row],[Ledger.`$Parent`]],A217)</f>
        <v>#VALUE!</v>
      </c>
    </row>
    <row r="218" spans="1:2">
      <c r="A218" t="e">
        <f>COUNTIF($C$2:Table_Query_from_TallyODBC_9000[[#This Row],[Ledger.`$Parent`]],Table_Query_from_TallyODBC_9000[[#This Row],[Ledger.`$Parent`]])</f>
        <v>#VALUE!</v>
      </c>
      <c r="B218" t="e">
        <f>CONCATENATE(Table_Query_from_TallyODBC_9000[[#This Row],[Ledger.`$Parent`]],A218)</f>
        <v>#VALUE!</v>
      </c>
    </row>
    <row r="219" spans="1:2">
      <c r="A219" t="e">
        <f>COUNTIF($C$2:Table_Query_from_TallyODBC_9000[[#This Row],[Ledger.`$Parent`]],Table_Query_from_TallyODBC_9000[[#This Row],[Ledger.`$Parent`]])</f>
        <v>#VALUE!</v>
      </c>
      <c r="B219" t="e">
        <f>CONCATENATE(Table_Query_from_TallyODBC_9000[[#This Row],[Ledger.`$Parent`]],A219)</f>
        <v>#VALUE!</v>
      </c>
    </row>
    <row r="220" spans="1:2">
      <c r="A220" t="e">
        <f>COUNTIF($C$2:Table_Query_from_TallyODBC_9000[[#This Row],[Ledger.`$Parent`]],Table_Query_from_TallyODBC_9000[[#This Row],[Ledger.`$Parent`]])</f>
        <v>#VALUE!</v>
      </c>
      <c r="B220" t="e">
        <f>CONCATENATE(Table_Query_from_TallyODBC_9000[[#This Row],[Ledger.`$Parent`]],A220)</f>
        <v>#VALUE!</v>
      </c>
    </row>
    <row r="221" spans="1:2">
      <c r="A221" t="e">
        <f>COUNTIF($C$2:Table_Query_from_TallyODBC_9000[[#This Row],[Ledger.`$Parent`]],Table_Query_from_TallyODBC_9000[[#This Row],[Ledger.`$Parent`]])</f>
        <v>#VALUE!</v>
      </c>
      <c r="B221" t="e">
        <f>CONCATENATE(Table_Query_from_TallyODBC_9000[[#This Row],[Ledger.`$Parent`]],A221)</f>
        <v>#VALUE!</v>
      </c>
    </row>
    <row r="222" spans="1:2">
      <c r="A222" t="e">
        <f>COUNTIF($C$2:Table_Query_from_TallyODBC_9000[[#This Row],[Ledger.`$Parent`]],Table_Query_from_TallyODBC_9000[[#This Row],[Ledger.`$Parent`]])</f>
        <v>#VALUE!</v>
      </c>
      <c r="B222" t="e">
        <f>CONCATENATE(Table_Query_from_TallyODBC_9000[[#This Row],[Ledger.`$Parent`]],A222)</f>
        <v>#VALUE!</v>
      </c>
    </row>
    <row r="223" spans="1:2">
      <c r="A223" t="e">
        <f>COUNTIF($C$2:Table_Query_from_TallyODBC_9000[[#This Row],[Ledger.`$Parent`]],Table_Query_from_TallyODBC_9000[[#This Row],[Ledger.`$Parent`]])</f>
        <v>#VALUE!</v>
      </c>
      <c r="B223" t="e">
        <f>CONCATENATE(Table_Query_from_TallyODBC_9000[[#This Row],[Ledger.`$Parent`]],A223)</f>
        <v>#VALUE!</v>
      </c>
    </row>
    <row r="224" spans="1:2">
      <c r="A224" t="e">
        <f>COUNTIF($C$2:Table_Query_from_TallyODBC_9000[[#This Row],[Ledger.`$Parent`]],Table_Query_from_TallyODBC_9000[[#This Row],[Ledger.`$Parent`]])</f>
        <v>#VALUE!</v>
      </c>
      <c r="B224" t="e">
        <f>CONCATENATE(Table_Query_from_TallyODBC_9000[[#This Row],[Ledger.`$Parent`]],A224)</f>
        <v>#VALUE!</v>
      </c>
    </row>
    <row r="225" spans="1:2">
      <c r="A225" t="e">
        <f>COUNTIF($C$2:Table_Query_from_TallyODBC_9000[[#This Row],[Ledger.`$Parent`]],Table_Query_from_TallyODBC_9000[[#This Row],[Ledger.`$Parent`]])</f>
        <v>#VALUE!</v>
      </c>
      <c r="B225" t="e">
        <f>CONCATENATE(Table_Query_from_TallyODBC_9000[[#This Row],[Ledger.`$Parent`]],A225)</f>
        <v>#VALUE!</v>
      </c>
    </row>
    <row r="226" spans="1:2">
      <c r="A226" t="e">
        <f>COUNTIF($C$2:Table_Query_from_TallyODBC_9000[[#This Row],[Ledger.`$Parent`]],Table_Query_from_TallyODBC_9000[[#This Row],[Ledger.`$Parent`]])</f>
        <v>#VALUE!</v>
      </c>
      <c r="B226" t="e">
        <f>CONCATENATE(Table_Query_from_TallyODBC_9000[[#This Row],[Ledger.`$Parent`]],A226)</f>
        <v>#VALUE!</v>
      </c>
    </row>
    <row r="227" spans="1:2">
      <c r="A227" t="e">
        <f>COUNTIF($C$2:Table_Query_from_TallyODBC_9000[[#This Row],[Ledger.`$Parent`]],Table_Query_from_TallyODBC_9000[[#This Row],[Ledger.`$Parent`]])</f>
        <v>#VALUE!</v>
      </c>
      <c r="B227" t="e">
        <f>CONCATENATE(Table_Query_from_TallyODBC_9000[[#This Row],[Ledger.`$Parent`]],A227)</f>
        <v>#VALUE!</v>
      </c>
    </row>
    <row r="228" spans="1:2">
      <c r="A228" t="e">
        <f>COUNTIF($C$2:Table_Query_from_TallyODBC_9000[[#This Row],[Ledger.`$Parent`]],Table_Query_from_TallyODBC_9000[[#This Row],[Ledger.`$Parent`]])</f>
        <v>#VALUE!</v>
      </c>
      <c r="B228" t="e">
        <f>CONCATENATE(Table_Query_from_TallyODBC_9000[[#This Row],[Ledger.`$Parent`]],A228)</f>
        <v>#VALUE!</v>
      </c>
    </row>
    <row r="229" spans="1:2">
      <c r="A229" t="e">
        <f>COUNTIF($C$2:Table_Query_from_TallyODBC_9000[[#This Row],[Ledger.`$Parent`]],Table_Query_from_TallyODBC_9000[[#This Row],[Ledger.`$Parent`]])</f>
        <v>#VALUE!</v>
      </c>
      <c r="B229" t="e">
        <f>CONCATENATE(Table_Query_from_TallyODBC_9000[[#This Row],[Ledger.`$Parent`]],A229)</f>
        <v>#VALUE!</v>
      </c>
    </row>
    <row r="230" spans="1:2">
      <c r="A230" t="e">
        <f>COUNTIF($C$2:Table_Query_from_TallyODBC_9000[[#This Row],[Ledger.`$Parent`]],Table_Query_from_TallyODBC_9000[[#This Row],[Ledger.`$Parent`]])</f>
        <v>#VALUE!</v>
      </c>
      <c r="B230" t="e">
        <f>CONCATENATE(Table_Query_from_TallyODBC_9000[[#This Row],[Ledger.`$Parent`]],A230)</f>
        <v>#VALUE!</v>
      </c>
    </row>
    <row r="231" spans="1:2">
      <c r="A231" t="e">
        <f>COUNTIF($C$2:Table_Query_from_TallyODBC_9000[[#This Row],[Ledger.`$Parent`]],Table_Query_from_TallyODBC_9000[[#This Row],[Ledger.`$Parent`]])</f>
        <v>#VALUE!</v>
      </c>
      <c r="B231" t="e">
        <f>CONCATENATE(Table_Query_from_TallyODBC_9000[[#This Row],[Ledger.`$Parent`]],A231)</f>
        <v>#VALUE!</v>
      </c>
    </row>
    <row r="232" spans="1:2">
      <c r="A232" t="e">
        <f>COUNTIF($C$2:Table_Query_from_TallyODBC_9000[[#This Row],[Ledger.`$Parent`]],Table_Query_from_TallyODBC_9000[[#This Row],[Ledger.`$Parent`]])</f>
        <v>#VALUE!</v>
      </c>
      <c r="B232" t="e">
        <f>CONCATENATE(Table_Query_from_TallyODBC_9000[[#This Row],[Ledger.`$Parent`]],A232)</f>
        <v>#VALUE!</v>
      </c>
    </row>
    <row r="233" spans="1:2">
      <c r="A233" t="e">
        <f>COUNTIF($C$2:Table_Query_from_TallyODBC_9000[[#This Row],[Ledger.`$Parent`]],Table_Query_from_TallyODBC_9000[[#This Row],[Ledger.`$Parent`]])</f>
        <v>#VALUE!</v>
      </c>
      <c r="B233" t="e">
        <f>CONCATENATE(Table_Query_from_TallyODBC_9000[[#This Row],[Ledger.`$Parent`]],A233)</f>
        <v>#VALUE!</v>
      </c>
    </row>
    <row r="234" spans="1:2">
      <c r="A234" t="e">
        <f>COUNTIF($C$2:Table_Query_from_TallyODBC_9000[[#This Row],[Ledger.`$Parent`]],Table_Query_from_TallyODBC_9000[[#This Row],[Ledger.`$Parent`]])</f>
        <v>#VALUE!</v>
      </c>
      <c r="B234" t="e">
        <f>CONCATENATE(Table_Query_from_TallyODBC_9000[[#This Row],[Ledger.`$Parent`]],A234)</f>
        <v>#VALUE!</v>
      </c>
    </row>
    <row r="235" spans="1:2">
      <c r="A235" t="e">
        <f>COUNTIF($C$2:Table_Query_from_TallyODBC_9000[[#This Row],[Ledger.`$Parent`]],Table_Query_from_TallyODBC_9000[[#This Row],[Ledger.`$Parent`]])</f>
        <v>#VALUE!</v>
      </c>
      <c r="B235" t="e">
        <f>CONCATENATE(Table_Query_from_TallyODBC_9000[[#This Row],[Ledger.`$Parent`]],A235)</f>
        <v>#VALUE!</v>
      </c>
    </row>
    <row r="236" spans="1:2">
      <c r="A236" t="e">
        <f>COUNTIF($C$2:Table_Query_from_TallyODBC_9000[[#This Row],[Ledger.`$Parent`]],Table_Query_from_TallyODBC_9000[[#This Row],[Ledger.`$Parent`]])</f>
        <v>#VALUE!</v>
      </c>
      <c r="B236" t="e">
        <f>CONCATENATE(Table_Query_from_TallyODBC_9000[[#This Row],[Ledger.`$Parent`]],A236)</f>
        <v>#VALUE!</v>
      </c>
    </row>
    <row r="237" spans="1:2">
      <c r="A237" t="e">
        <f>COUNTIF($C$2:Table_Query_from_TallyODBC_9000[[#This Row],[Ledger.`$Parent`]],Table_Query_from_TallyODBC_9000[[#This Row],[Ledger.`$Parent`]])</f>
        <v>#VALUE!</v>
      </c>
      <c r="B237" t="e">
        <f>CONCATENATE(Table_Query_from_TallyODBC_9000[[#This Row],[Ledger.`$Parent`]],A237)</f>
        <v>#VALUE!</v>
      </c>
    </row>
    <row r="238" spans="1:2">
      <c r="A238" t="e">
        <f>COUNTIF($C$2:Table_Query_from_TallyODBC_9000[[#This Row],[Ledger.`$Parent`]],Table_Query_from_TallyODBC_9000[[#This Row],[Ledger.`$Parent`]])</f>
        <v>#VALUE!</v>
      </c>
      <c r="B238" t="e">
        <f>CONCATENATE(Table_Query_from_TallyODBC_9000[[#This Row],[Ledger.`$Parent`]],A238)</f>
        <v>#VALUE!</v>
      </c>
    </row>
    <row r="239" spans="1:2">
      <c r="A239" t="e">
        <f>COUNTIF($C$2:Table_Query_from_TallyODBC_9000[[#This Row],[Ledger.`$Parent`]],Table_Query_from_TallyODBC_9000[[#This Row],[Ledger.`$Parent`]])</f>
        <v>#VALUE!</v>
      </c>
      <c r="B239" t="e">
        <f>CONCATENATE(Table_Query_from_TallyODBC_9000[[#This Row],[Ledger.`$Parent`]],A239)</f>
        <v>#VALUE!</v>
      </c>
    </row>
    <row r="240" spans="1:2">
      <c r="A240" t="e">
        <f>COUNTIF($C$2:Table_Query_from_TallyODBC_9000[[#This Row],[Ledger.`$Parent`]],Table_Query_from_TallyODBC_9000[[#This Row],[Ledger.`$Parent`]])</f>
        <v>#VALUE!</v>
      </c>
      <c r="B240" t="e">
        <f>CONCATENATE(Table_Query_from_TallyODBC_9000[[#This Row],[Ledger.`$Parent`]],A240)</f>
        <v>#VALUE!</v>
      </c>
    </row>
    <row r="241" spans="1:2">
      <c r="A241" t="e">
        <f>COUNTIF($C$2:Table_Query_from_TallyODBC_9000[[#This Row],[Ledger.`$Parent`]],Table_Query_from_TallyODBC_9000[[#This Row],[Ledger.`$Parent`]])</f>
        <v>#VALUE!</v>
      </c>
      <c r="B241" t="e">
        <f>CONCATENATE(Table_Query_from_TallyODBC_9000[[#This Row],[Ledger.`$Parent`]],A241)</f>
        <v>#VALUE!</v>
      </c>
    </row>
    <row r="242" spans="1:2">
      <c r="A242" t="e">
        <f>COUNTIF($C$2:Table_Query_from_TallyODBC_9000[[#This Row],[Ledger.`$Parent`]],Table_Query_from_TallyODBC_9000[[#This Row],[Ledger.`$Parent`]])</f>
        <v>#VALUE!</v>
      </c>
      <c r="B242" t="e">
        <f>CONCATENATE(Table_Query_from_TallyODBC_9000[[#This Row],[Ledger.`$Parent`]],A242)</f>
        <v>#VALUE!</v>
      </c>
    </row>
    <row r="243" spans="1:2">
      <c r="A243" t="e">
        <f>COUNTIF($C$2:Table_Query_from_TallyODBC_9000[[#This Row],[Ledger.`$Parent`]],Table_Query_from_TallyODBC_9000[[#This Row],[Ledger.`$Parent`]])</f>
        <v>#VALUE!</v>
      </c>
      <c r="B243" t="e">
        <f>CONCATENATE(Table_Query_from_TallyODBC_9000[[#This Row],[Ledger.`$Parent`]],A243)</f>
        <v>#VALUE!</v>
      </c>
    </row>
    <row r="244" spans="1:2">
      <c r="A244" s="57" t="e">
        <f>COUNTIF($C$2:Table_Query_from_TallyODBC_9000[[#This Row],[Ledger.`$Parent`]],Table_Query_from_TallyODBC_9000[[#This Row],[Ledger.`$Parent`]])</f>
        <v>#VALUE!</v>
      </c>
      <c r="B244" s="57" t="e">
        <f>CONCATENATE(Table_Query_from_TallyODBC_9000[[#This Row],[Ledger.`$Parent`]],A244)</f>
        <v>#VALUE!</v>
      </c>
    </row>
    <row r="245" spans="1:2">
      <c r="A245" s="57" t="e">
        <f>COUNTIF($C$2:Table_Query_from_TallyODBC_9000[[#This Row],[Ledger.`$Parent`]],Table_Query_from_TallyODBC_9000[[#This Row],[Ledger.`$Parent`]])</f>
        <v>#VALUE!</v>
      </c>
      <c r="B245" s="57" t="e">
        <f>CONCATENATE(Table_Query_from_TallyODBC_9000[[#This Row],[Ledger.`$Parent`]],A245)</f>
        <v>#VALUE!</v>
      </c>
    </row>
    <row r="246" spans="1:2">
      <c r="A246" s="57" t="e">
        <f>COUNTIF($C$2:Table_Query_from_TallyODBC_9000[[#This Row],[Ledger.`$Parent`]],Table_Query_from_TallyODBC_9000[[#This Row],[Ledger.`$Parent`]])</f>
        <v>#VALUE!</v>
      </c>
      <c r="B246" s="57" t="e">
        <f>CONCATENATE(Table_Query_from_TallyODBC_9000[[#This Row],[Ledger.`$Parent`]],A246)</f>
        <v>#VALUE!</v>
      </c>
    </row>
    <row r="247" spans="1:2">
      <c r="A247" s="57" t="e">
        <f>COUNTIF($C$2:Table_Query_from_TallyODBC_9000[[#This Row],[Ledger.`$Parent`]],Table_Query_from_TallyODBC_9000[[#This Row],[Ledger.`$Parent`]])</f>
        <v>#VALUE!</v>
      </c>
      <c r="B247" s="57" t="e">
        <f>CONCATENATE(Table_Query_from_TallyODBC_9000[[#This Row],[Ledger.`$Parent`]],A247)</f>
        <v>#VALUE!</v>
      </c>
    </row>
    <row r="248" spans="1:2">
      <c r="A248" s="57" t="e">
        <f>COUNTIF($C$2:Table_Query_from_TallyODBC_9000[[#This Row],[Ledger.`$Parent`]],Table_Query_from_TallyODBC_9000[[#This Row],[Ledger.`$Parent`]])</f>
        <v>#VALUE!</v>
      </c>
      <c r="B248" s="57" t="e">
        <f>CONCATENATE(Table_Query_from_TallyODBC_9000[[#This Row],[Ledger.`$Parent`]],A248)</f>
        <v>#VALUE!</v>
      </c>
    </row>
    <row r="249" spans="1:2">
      <c r="A249" s="57" t="e">
        <f>COUNTIF($C$2:Table_Query_from_TallyODBC_9000[[#This Row],[Ledger.`$Parent`]],Table_Query_from_TallyODBC_9000[[#This Row],[Ledger.`$Parent`]])</f>
        <v>#VALUE!</v>
      </c>
      <c r="B249" s="57" t="e">
        <f>CONCATENATE(Table_Query_from_TallyODBC_9000[[#This Row],[Ledger.`$Parent`]],A249)</f>
        <v>#VALUE!</v>
      </c>
    </row>
    <row r="250" spans="1:2">
      <c r="A250" s="57" t="e">
        <f>COUNTIF($C$2:Table_Query_from_TallyODBC_9000[[#This Row],[Ledger.`$Parent`]],Table_Query_from_TallyODBC_9000[[#This Row],[Ledger.`$Parent`]])</f>
        <v>#VALUE!</v>
      </c>
      <c r="B250" s="57" t="e">
        <f>CONCATENATE(Table_Query_from_TallyODBC_9000[[#This Row],[Ledger.`$Parent`]],A250)</f>
        <v>#VALUE!</v>
      </c>
    </row>
    <row r="251" spans="1:2">
      <c r="A251" s="57" t="e">
        <f>COUNTIF($C$2:Table_Query_from_TallyODBC_9000[[#This Row],[Ledger.`$Parent`]],Table_Query_from_TallyODBC_9000[[#This Row],[Ledger.`$Parent`]])</f>
        <v>#VALUE!</v>
      </c>
      <c r="B251" s="57" t="e">
        <f>CONCATENATE(Table_Query_from_TallyODBC_9000[[#This Row],[Ledger.`$Parent`]],A251)</f>
        <v>#VALUE!</v>
      </c>
    </row>
    <row r="252" spans="1:2">
      <c r="A252" s="57" t="e">
        <f>COUNTIF($C$2:Table_Query_from_TallyODBC_9000[[#This Row],[Ledger.`$Parent`]],Table_Query_from_TallyODBC_9000[[#This Row],[Ledger.`$Parent`]])</f>
        <v>#VALUE!</v>
      </c>
      <c r="B252" s="57" t="e">
        <f>CONCATENATE(Table_Query_from_TallyODBC_9000[[#This Row],[Ledger.`$Parent`]],A252)</f>
        <v>#VALUE!</v>
      </c>
    </row>
    <row r="253" spans="1:2">
      <c r="A253" s="57" t="e">
        <f>COUNTIF($C$2:Table_Query_from_TallyODBC_9000[[#This Row],[Ledger.`$Parent`]],Table_Query_from_TallyODBC_9000[[#This Row],[Ledger.`$Parent`]])</f>
        <v>#VALUE!</v>
      </c>
      <c r="B253" s="57" t="e">
        <f>CONCATENATE(Table_Query_from_TallyODBC_9000[[#This Row],[Ledger.`$Parent`]],A253)</f>
        <v>#VALUE!</v>
      </c>
    </row>
    <row r="254" spans="1:2">
      <c r="A254" s="57" t="e">
        <f>COUNTIF($C$2:Table_Query_from_TallyODBC_9000[[#This Row],[Ledger.`$Parent`]],Table_Query_from_TallyODBC_9000[[#This Row],[Ledger.`$Parent`]])</f>
        <v>#VALUE!</v>
      </c>
      <c r="B254" s="57" t="e">
        <f>CONCATENATE(Table_Query_from_TallyODBC_9000[[#This Row],[Ledger.`$Parent`]],A254)</f>
        <v>#VALUE!</v>
      </c>
    </row>
    <row r="255" spans="1:2">
      <c r="A255" s="57" t="e">
        <f>COUNTIF($C$2:Table_Query_from_TallyODBC_9000[[#This Row],[Ledger.`$Parent`]],Table_Query_from_TallyODBC_9000[[#This Row],[Ledger.`$Parent`]])</f>
        <v>#VALUE!</v>
      </c>
      <c r="B255" s="57" t="e">
        <f>CONCATENATE(Table_Query_from_TallyODBC_9000[[#This Row],[Ledger.`$Parent`]],A255)</f>
        <v>#VALUE!</v>
      </c>
    </row>
    <row r="256" spans="1:2">
      <c r="A256" s="57" t="e">
        <f>COUNTIF($C$2:Table_Query_from_TallyODBC_9000[[#This Row],[Ledger.`$Parent`]],Table_Query_from_TallyODBC_9000[[#This Row],[Ledger.`$Parent`]])</f>
        <v>#VALUE!</v>
      </c>
      <c r="B256" s="57" t="e">
        <f>CONCATENATE(Table_Query_from_TallyODBC_9000[[#This Row],[Ledger.`$Parent`]],A256)</f>
        <v>#VALUE!</v>
      </c>
    </row>
    <row r="257" spans="1:2">
      <c r="A257" s="57" t="e">
        <f>COUNTIF($C$2:Table_Query_from_TallyODBC_9000[[#This Row],[Ledger.`$Parent`]],Table_Query_from_TallyODBC_9000[[#This Row],[Ledger.`$Parent`]])</f>
        <v>#VALUE!</v>
      </c>
      <c r="B257" s="57" t="e">
        <f>CONCATENATE(Table_Query_from_TallyODBC_9000[[#This Row],[Ledger.`$Parent`]],A257)</f>
        <v>#VALUE!</v>
      </c>
    </row>
    <row r="258" spans="1:2">
      <c r="A258" s="57" t="e">
        <f>COUNTIF($C$2:Table_Query_from_TallyODBC_9000[[#This Row],[Ledger.`$Parent`]],Table_Query_from_TallyODBC_9000[[#This Row],[Ledger.`$Parent`]])</f>
        <v>#VALUE!</v>
      </c>
      <c r="B258" s="57" t="e">
        <f>CONCATENATE(Table_Query_from_TallyODBC_9000[[#This Row],[Ledger.`$Parent`]],A258)</f>
        <v>#VALUE!</v>
      </c>
    </row>
    <row r="259" spans="1:2">
      <c r="A259" s="57" t="e">
        <f>COUNTIF($C$2:Table_Query_from_TallyODBC_9000[[#This Row],[Ledger.`$Parent`]],Table_Query_from_TallyODBC_9000[[#This Row],[Ledger.`$Parent`]])</f>
        <v>#VALUE!</v>
      </c>
      <c r="B259" s="57" t="e">
        <f>CONCATENATE(Table_Query_from_TallyODBC_9000[[#This Row],[Ledger.`$Parent`]],A259)</f>
        <v>#VALUE!</v>
      </c>
    </row>
    <row r="260" spans="1:2">
      <c r="A260" s="57" t="e">
        <f>COUNTIF($C$2:Table_Query_from_TallyODBC_9000[[#This Row],[Ledger.`$Parent`]],Table_Query_from_TallyODBC_9000[[#This Row],[Ledger.`$Parent`]])</f>
        <v>#VALUE!</v>
      </c>
      <c r="B260" s="57" t="e">
        <f>CONCATENATE(Table_Query_from_TallyODBC_9000[[#This Row],[Ledger.`$Parent`]],A260)</f>
        <v>#VALUE!</v>
      </c>
    </row>
    <row r="261" spans="1:2">
      <c r="A261" s="57" t="e">
        <f>COUNTIF($C$2:Table_Query_from_TallyODBC_9000[[#This Row],[Ledger.`$Parent`]],Table_Query_from_TallyODBC_9000[[#This Row],[Ledger.`$Parent`]])</f>
        <v>#VALUE!</v>
      </c>
      <c r="B261" s="57" t="e">
        <f>CONCATENATE(Table_Query_from_TallyODBC_9000[[#This Row],[Ledger.`$Parent`]],A261)</f>
        <v>#VALUE!</v>
      </c>
    </row>
    <row r="262" spans="1:2">
      <c r="A262" s="57" t="e">
        <f>COUNTIF($C$2:Table_Query_from_TallyODBC_9000[[#This Row],[Ledger.`$Parent`]],Table_Query_from_TallyODBC_9000[[#This Row],[Ledger.`$Parent`]])</f>
        <v>#VALUE!</v>
      </c>
      <c r="B262" s="57" t="e">
        <f>CONCATENATE(Table_Query_from_TallyODBC_9000[[#This Row],[Ledger.`$Parent`]],A262)</f>
        <v>#VALUE!</v>
      </c>
    </row>
    <row r="263" spans="1:2">
      <c r="A263" s="57" t="e">
        <f>COUNTIF($C$2:Table_Query_from_TallyODBC_9000[[#This Row],[Ledger.`$Parent`]],Table_Query_from_TallyODBC_9000[[#This Row],[Ledger.`$Parent`]])</f>
        <v>#VALUE!</v>
      </c>
      <c r="B263" s="57" t="e">
        <f>CONCATENATE(Table_Query_from_TallyODBC_9000[[#This Row],[Ledger.`$Parent`]],A263)</f>
        <v>#VALUE!</v>
      </c>
    </row>
    <row r="264" spans="1:2">
      <c r="A264" s="57" t="e">
        <f>COUNTIF($C$2:Table_Query_from_TallyODBC_9000[[#This Row],[Ledger.`$Parent`]],Table_Query_from_TallyODBC_9000[[#This Row],[Ledger.`$Parent`]])</f>
        <v>#VALUE!</v>
      </c>
      <c r="B264" s="57" t="e">
        <f>CONCATENATE(Table_Query_from_TallyODBC_9000[[#This Row],[Ledger.`$Parent`]],A264)</f>
        <v>#VALUE!</v>
      </c>
    </row>
    <row r="265" spans="1:2">
      <c r="A265" s="57" t="e">
        <f>COUNTIF($C$2:Table_Query_from_TallyODBC_9000[[#This Row],[Ledger.`$Parent`]],Table_Query_from_TallyODBC_9000[[#This Row],[Ledger.`$Parent`]])</f>
        <v>#VALUE!</v>
      </c>
      <c r="B265" s="57" t="e">
        <f>CONCATENATE(Table_Query_from_TallyODBC_9000[[#This Row],[Ledger.`$Parent`]],A265)</f>
        <v>#VALUE!</v>
      </c>
    </row>
    <row r="266" spans="1:2">
      <c r="A266" s="57" t="e">
        <f>COUNTIF($C$2:Table_Query_from_TallyODBC_9000[[#This Row],[Ledger.`$Parent`]],Table_Query_from_TallyODBC_9000[[#This Row],[Ledger.`$Parent`]])</f>
        <v>#VALUE!</v>
      </c>
      <c r="B266" s="57" t="e">
        <f>CONCATENATE(Table_Query_from_TallyODBC_9000[[#This Row],[Ledger.`$Parent`]],A266)</f>
        <v>#VALUE!</v>
      </c>
    </row>
    <row r="267" spans="1:2">
      <c r="A267" s="57" t="e">
        <f>COUNTIF($C$2:Table_Query_from_TallyODBC_9000[[#This Row],[Ledger.`$Parent`]],Table_Query_from_TallyODBC_9000[[#This Row],[Ledger.`$Parent`]])</f>
        <v>#VALUE!</v>
      </c>
      <c r="B267" s="57" t="e">
        <f>CONCATENATE(Table_Query_from_TallyODBC_9000[[#This Row],[Ledger.`$Parent`]],A267)</f>
        <v>#VALUE!</v>
      </c>
    </row>
    <row r="268" spans="1:2">
      <c r="A268" s="57" t="e">
        <f>COUNTIF($C$2:Table_Query_from_TallyODBC_9000[[#This Row],[Ledger.`$Parent`]],Table_Query_from_TallyODBC_9000[[#This Row],[Ledger.`$Parent`]])</f>
        <v>#VALUE!</v>
      </c>
      <c r="B268" s="57" t="e">
        <f>CONCATENATE(Table_Query_from_TallyODBC_9000[[#This Row],[Ledger.`$Parent`]],A268)</f>
        <v>#VALUE!</v>
      </c>
    </row>
    <row r="269" spans="1:2">
      <c r="A269" s="57" t="e">
        <f>COUNTIF($C$2:Table_Query_from_TallyODBC_9000[[#This Row],[Ledger.`$Parent`]],Table_Query_from_TallyODBC_9000[[#This Row],[Ledger.`$Parent`]])</f>
        <v>#VALUE!</v>
      </c>
      <c r="B269" s="57" t="e">
        <f>CONCATENATE(Table_Query_from_TallyODBC_9000[[#This Row],[Ledger.`$Parent`]],A269)</f>
        <v>#VALUE!</v>
      </c>
    </row>
    <row r="270" spans="1:2">
      <c r="A270" s="57" t="e">
        <f>COUNTIF($C$2:Table_Query_from_TallyODBC_9000[[#This Row],[Ledger.`$Parent`]],Table_Query_from_TallyODBC_9000[[#This Row],[Ledger.`$Parent`]])</f>
        <v>#VALUE!</v>
      </c>
      <c r="B270" s="57" t="e">
        <f>CONCATENATE(Table_Query_from_TallyODBC_9000[[#This Row],[Ledger.`$Parent`]],A270)</f>
        <v>#VALUE!</v>
      </c>
    </row>
    <row r="271" spans="1:2">
      <c r="A271" s="57" t="e">
        <f>COUNTIF($C$2:Table_Query_from_TallyODBC_9000[[#This Row],[Ledger.`$Parent`]],Table_Query_from_TallyODBC_9000[[#This Row],[Ledger.`$Parent`]])</f>
        <v>#VALUE!</v>
      </c>
      <c r="B271" s="57" t="e">
        <f>CONCATENATE(Table_Query_from_TallyODBC_9000[[#This Row],[Ledger.`$Parent`]],A271)</f>
        <v>#VALUE!</v>
      </c>
    </row>
    <row r="272" spans="1:2">
      <c r="A272" s="57" t="e">
        <f>COUNTIF($C$2:Table_Query_from_TallyODBC_9000[[#This Row],[Ledger.`$Parent`]],Table_Query_from_TallyODBC_9000[[#This Row],[Ledger.`$Parent`]])</f>
        <v>#VALUE!</v>
      </c>
      <c r="B272" s="57" t="e">
        <f>CONCATENATE(Table_Query_from_TallyODBC_9000[[#This Row],[Ledger.`$Parent`]],A272)</f>
        <v>#VALUE!</v>
      </c>
    </row>
    <row r="273" spans="1:2">
      <c r="A273" s="57" t="e">
        <f>COUNTIF($C$2:Table_Query_from_TallyODBC_9000[[#This Row],[Ledger.`$Parent`]],Table_Query_from_TallyODBC_9000[[#This Row],[Ledger.`$Parent`]])</f>
        <v>#VALUE!</v>
      </c>
      <c r="B273" s="57" t="e">
        <f>CONCATENATE(Table_Query_from_TallyODBC_9000[[#This Row],[Ledger.`$Parent`]],A273)</f>
        <v>#VALUE!</v>
      </c>
    </row>
    <row r="274" spans="1:2">
      <c r="A274" s="57" t="e">
        <f>COUNTIF($C$2:Table_Query_from_TallyODBC_9000[[#This Row],[Ledger.`$Parent`]],Table_Query_from_TallyODBC_9000[[#This Row],[Ledger.`$Parent`]])</f>
        <v>#VALUE!</v>
      </c>
      <c r="B274" s="57" t="e">
        <f>CONCATENATE(Table_Query_from_TallyODBC_9000[[#This Row],[Ledger.`$Parent`]],A274)</f>
        <v>#VALUE!</v>
      </c>
    </row>
    <row r="275" spans="1:2">
      <c r="A275" s="57" t="e">
        <f>COUNTIF($C$2:Table_Query_from_TallyODBC_9000[[#This Row],[Ledger.`$Parent`]],Table_Query_from_TallyODBC_9000[[#This Row],[Ledger.`$Parent`]])</f>
        <v>#VALUE!</v>
      </c>
      <c r="B275" s="57" t="e">
        <f>CONCATENATE(Table_Query_from_TallyODBC_9000[[#This Row],[Ledger.`$Parent`]],A275)</f>
        <v>#VALUE!</v>
      </c>
    </row>
    <row r="276" spans="1:2">
      <c r="A276" s="57" t="e">
        <f>COUNTIF($C$2:Table_Query_from_TallyODBC_9000[[#This Row],[Ledger.`$Parent`]],Table_Query_from_TallyODBC_9000[[#This Row],[Ledger.`$Parent`]])</f>
        <v>#VALUE!</v>
      </c>
      <c r="B276" s="57" t="e">
        <f>CONCATENATE(Table_Query_from_TallyODBC_9000[[#This Row],[Ledger.`$Parent`]],A276)</f>
        <v>#VALUE!</v>
      </c>
    </row>
    <row r="277" spans="1:2">
      <c r="A277" s="57" t="e">
        <f>COUNTIF($C$2:Table_Query_from_TallyODBC_9000[[#This Row],[Ledger.`$Parent`]],Table_Query_from_TallyODBC_9000[[#This Row],[Ledger.`$Parent`]])</f>
        <v>#VALUE!</v>
      </c>
      <c r="B277" s="57" t="e">
        <f>CONCATENATE(Table_Query_from_TallyODBC_9000[[#This Row],[Ledger.`$Parent`]],A277)</f>
        <v>#VALUE!</v>
      </c>
    </row>
    <row r="278" spans="1:2">
      <c r="A278" s="57" t="e">
        <f>COUNTIF($C$2:Table_Query_from_TallyODBC_9000[[#This Row],[Ledger.`$Parent`]],Table_Query_from_TallyODBC_9000[[#This Row],[Ledger.`$Parent`]])</f>
        <v>#VALUE!</v>
      </c>
      <c r="B278" s="57" t="e">
        <f>CONCATENATE(Table_Query_from_TallyODBC_9000[[#This Row],[Ledger.`$Parent`]],A278)</f>
        <v>#VALUE!</v>
      </c>
    </row>
    <row r="279" spans="1:2">
      <c r="A279" s="57" t="e">
        <f>COUNTIF($C$2:Table_Query_from_TallyODBC_9000[[#This Row],[Ledger.`$Parent`]],Table_Query_from_TallyODBC_9000[[#This Row],[Ledger.`$Parent`]])</f>
        <v>#VALUE!</v>
      </c>
      <c r="B279" s="57" t="e">
        <f>CONCATENATE(Table_Query_from_TallyODBC_9000[[#This Row],[Ledger.`$Parent`]],A279)</f>
        <v>#VALUE!</v>
      </c>
    </row>
    <row r="280" spans="1:2">
      <c r="A280" s="57" t="e">
        <f>COUNTIF($C$2:Table_Query_from_TallyODBC_9000[[#This Row],[Ledger.`$Parent`]],Table_Query_from_TallyODBC_9000[[#This Row],[Ledger.`$Parent`]])</f>
        <v>#VALUE!</v>
      </c>
      <c r="B280" s="57" t="e">
        <f>CONCATENATE(Table_Query_from_TallyODBC_9000[[#This Row],[Ledger.`$Parent`]],A280)</f>
        <v>#VALUE!</v>
      </c>
    </row>
    <row r="281" spans="1:2">
      <c r="A281" s="57" t="e">
        <f>COUNTIF($C$2:Table_Query_from_TallyODBC_9000[[#This Row],[Ledger.`$Parent`]],Table_Query_from_TallyODBC_9000[[#This Row],[Ledger.`$Parent`]])</f>
        <v>#VALUE!</v>
      </c>
      <c r="B281" s="57" t="e">
        <f>CONCATENATE(Table_Query_from_TallyODBC_9000[[#This Row],[Ledger.`$Parent`]],A281)</f>
        <v>#VALUE!</v>
      </c>
    </row>
    <row r="282" spans="1:2">
      <c r="A282" s="57" t="e">
        <f>COUNTIF($C$2:Table_Query_from_TallyODBC_9000[[#This Row],[Ledger.`$Parent`]],Table_Query_from_TallyODBC_9000[[#This Row],[Ledger.`$Parent`]])</f>
        <v>#VALUE!</v>
      </c>
      <c r="B282" s="57" t="e">
        <f>CONCATENATE(Table_Query_from_TallyODBC_9000[[#This Row],[Ledger.`$Parent`]],A282)</f>
        <v>#VALUE!</v>
      </c>
    </row>
    <row r="283" spans="1:2">
      <c r="A283" s="57" t="e">
        <f>COUNTIF($C$2:Table_Query_from_TallyODBC_9000[[#This Row],[Ledger.`$Parent`]],Table_Query_from_TallyODBC_9000[[#This Row],[Ledger.`$Parent`]])</f>
        <v>#VALUE!</v>
      </c>
      <c r="B283" s="57" t="e">
        <f>CONCATENATE(Table_Query_from_TallyODBC_9000[[#This Row],[Ledger.`$Parent`]],A283)</f>
        <v>#VALUE!</v>
      </c>
    </row>
    <row r="284" spans="1:2">
      <c r="A284" s="57" t="e">
        <f>COUNTIF($C$2:Table_Query_from_TallyODBC_9000[[#This Row],[Ledger.`$Parent`]],Table_Query_from_TallyODBC_9000[[#This Row],[Ledger.`$Parent`]])</f>
        <v>#VALUE!</v>
      </c>
      <c r="B284" s="57" t="e">
        <f>CONCATENATE(Table_Query_from_TallyODBC_9000[[#This Row],[Ledger.`$Parent`]],A284)</f>
        <v>#VALUE!</v>
      </c>
    </row>
    <row r="285" spans="1:2">
      <c r="A285" s="57" t="e">
        <f>COUNTIF($C$2:Table_Query_from_TallyODBC_9000[[#This Row],[Ledger.`$Parent`]],Table_Query_from_TallyODBC_9000[[#This Row],[Ledger.`$Parent`]])</f>
        <v>#VALUE!</v>
      </c>
      <c r="B285" s="57" t="e">
        <f>CONCATENATE(Table_Query_from_TallyODBC_9000[[#This Row],[Ledger.`$Parent`]],A285)</f>
        <v>#VALUE!</v>
      </c>
    </row>
    <row r="286" spans="1:2">
      <c r="A286" s="57" t="e">
        <f>COUNTIF($C$2:Table_Query_from_TallyODBC_9000[[#This Row],[Ledger.`$Parent`]],Table_Query_from_TallyODBC_9000[[#This Row],[Ledger.`$Parent`]])</f>
        <v>#VALUE!</v>
      </c>
      <c r="B286" s="57" t="e">
        <f>CONCATENATE(Table_Query_from_TallyODBC_9000[[#This Row],[Ledger.`$Parent`]],A286)</f>
        <v>#VALUE!</v>
      </c>
    </row>
    <row r="287" spans="1:2">
      <c r="A287" s="57" t="e">
        <f>COUNTIF($C$2:Table_Query_from_TallyODBC_9000[[#This Row],[Ledger.`$Parent`]],Table_Query_from_TallyODBC_9000[[#This Row],[Ledger.`$Parent`]])</f>
        <v>#VALUE!</v>
      </c>
      <c r="B287" s="57" t="e">
        <f>CONCATENATE(Table_Query_from_TallyODBC_9000[[#This Row],[Ledger.`$Parent`]],A287)</f>
        <v>#VALUE!</v>
      </c>
    </row>
    <row r="288" spans="1:2">
      <c r="A288" s="57" t="e">
        <f>COUNTIF($C$2:Table_Query_from_TallyODBC_9000[[#This Row],[Ledger.`$Parent`]],Table_Query_from_TallyODBC_9000[[#This Row],[Ledger.`$Parent`]])</f>
        <v>#VALUE!</v>
      </c>
      <c r="B288" s="57" t="e">
        <f>CONCATENATE(Table_Query_from_TallyODBC_9000[[#This Row],[Ledger.`$Parent`]],A288)</f>
        <v>#VALUE!</v>
      </c>
    </row>
    <row r="289" spans="1:2">
      <c r="A289" s="57" t="e">
        <f>COUNTIF($C$2:Table_Query_from_TallyODBC_9000[[#This Row],[Ledger.`$Parent`]],Table_Query_from_TallyODBC_9000[[#This Row],[Ledger.`$Parent`]])</f>
        <v>#VALUE!</v>
      </c>
      <c r="B289" s="57" t="e">
        <f>CONCATENATE(Table_Query_from_TallyODBC_9000[[#This Row],[Ledger.`$Parent`]],A289)</f>
        <v>#VALUE!</v>
      </c>
    </row>
    <row r="290" spans="1:2">
      <c r="A290" s="57" t="e">
        <f>COUNTIF($C$2:Table_Query_from_TallyODBC_9000[[#This Row],[Ledger.`$Parent`]],Table_Query_from_TallyODBC_9000[[#This Row],[Ledger.`$Parent`]])</f>
        <v>#VALUE!</v>
      </c>
      <c r="B290" s="57" t="e">
        <f>CONCATENATE(Table_Query_from_TallyODBC_9000[[#This Row],[Ledger.`$Parent`]],A290)</f>
        <v>#VALUE!</v>
      </c>
    </row>
    <row r="291" spans="1:2">
      <c r="A291" s="57" t="e">
        <f>COUNTIF($C$2:Table_Query_from_TallyODBC_9000[[#This Row],[Ledger.`$Parent`]],Table_Query_from_TallyODBC_9000[[#This Row],[Ledger.`$Parent`]])</f>
        <v>#VALUE!</v>
      </c>
      <c r="B291" s="57" t="e">
        <f>CONCATENATE(Table_Query_from_TallyODBC_9000[[#This Row],[Ledger.`$Parent`]],A291)</f>
        <v>#VALUE!</v>
      </c>
    </row>
    <row r="292" spans="1:2">
      <c r="A292" s="57" t="e">
        <f>COUNTIF($C$2:Table_Query_from_TallyODBC_9000[[#This Row],[Ledger.`$Parent`]],Table_Query_from_TallyODBC_9000[[#This Row],[Ledger.`$Parent`]])</f>
        <v>#VALUE!</v>
      </c>
      <c r="B292" s="57" t="e">
        <f>CONCATENATE(Table_Query_from_TallyODBC_9000[[#This Row],[Ledger.`$Parent`]],A292)</f>
        <v>#VALUE!</v>
      </c>
    </row>
    <row r="293" spans="1:2">
      <c r="A293" s="57" t="e">
        <f>COUNTIF($C$2:Table_Query_from_TallyODBC_9000[[#This Row],[Ledger.`$Parent`]],Table_Query_from_TallyODBC_9000[[#This Row],[Ledger.`$Parent`]])</f>
        <v>#VALUE!</v>
      </c>
      <c r="B293" s="57" t="e">
        <f>CONCATENATE(Table_Query_from_TallyODBC_9000[[#This Row],[Ledger.`$Parent`]],A293)</f>
        <v>#VALUE!</v>
      </c>
    </row>
    <row r="294" spans="1:2">
      <c r="A294" s="57" t="e">
        <f>COUNTIF($C$2:Table_Query_from_TallyODBC_9000[[#This Row],[Ledger.`$Parent`]],Table_Query_from_TallyODBC_9000[[#This Row],[Ledger.`$Parent`]])</f>
        <v>#VALUE!</v>
      </c>
      <c r="B294" s="57" t="e">
        <f>CONCATENATE(Table_Query_from_TallyODBC_9000[[#This Row],[Ledger.`$Parent`]],A294)</f>
        <v>#VALUE!</v>
      </c>
    </row>
    <row r="295" spans="1:2">
      <c r="A295" s="57" t="e">
        <f>COUNTIF($C$2:Table_Query_from_TallyODBC_9000[[#This Row],[Ledger.`$Parent`]],Table_Query_from_TallyODBC_9000[[#This Row],[Ledger.`$Parent`]])</f>
        <v>#VALUE!</v>
      </c>
      <c r="B295" s="57" t="e">
        <f>CONCATENATE(Table_Query_from_TallyODBC_9000[[#This Row],[Ledger.`$Parent`]],A295)</f>
        <v>#VALUE!</v>
      </c>
    </row>
    <row r="296" spans="1:2">
      <c r="A296" s="57" t="e">
        <f>COUNTIF($C$2:Table_Query_from_TallyODBC_9000[[#This Row],[Ledger.`$Parent`]],Table_Query_from_TallyODBC_9000[[#This Row],[Ledger.`$Parent`]])</f>
        <v>#VALUE!</v>
      </c>
      <c r="B296" s="57" t="e">
        <f>CONCATENATE(Table_Query_from_TallyODBC_9000[[#This Row],[Ledger.`$Parent`]],A296)</f>
        <v>#VALUE!</v>
      </c>
    </row>
    <row r="297" spans="1:2">
      <c r="A297" s="57" t="e">
        <f>COUNTIF($C$2:Table_Query_from_TallyODBC_9000[[#This Row],[Ledger.`$Parent`]],Table_Query_from_TallyODBC_9000[[#This Row],[Ledger.`$Parent`]])</f>
        <v>#VALUE!</v>
      </c>
      <c r="B297" s="57" t="e">
        <f>CONCATENATE(Table_Query_from_TallyODBC_9000[[#This Row],[Ledger.`$Parent`]],A297)</f>
        <v>#VALUE!</v>
      </c>
    </row>
    <row r="298" spans="1:2">
      <c r="A298" s="57" t="e">
        <f>COUNTIF($C$2:Table_Query_from_TallyODBC_9000[[#This Row],[Ledger.`$Parent`]],Table_Query_from_TallyODBC_9000[[#This Row],[Ledger.`$Parent`]])</f>
        <v>#VALUE!</v>
      </c>
      <c r="B298" s="57" t="e">
        <f>CONCATENATE(Table_Query_from_TallyODBC_9000[[#This Row],[Ledger.`$Parent`]],A298)</f>
        <v>#VALUE!</v>
      </c>
    </row>
    <row r="299" spans="1:2">
      <c r="A299" s="57" t="e">
        <f>COUNTIF($C$2:Table_Query_from_TallyODBC_9000[[#This Row],[Ledger.`$Parent`]],Table_Query_from_TallyODBC_9000[[#This Row],[Ledger.`$Parent`]])</f>
        <v>#VALUE!</v>
      </c>
      <c r="B299" s="57" t="e">
        <f>CONCATENATE(Table_Query_from_TallyODBC_9000[[#This Row],[Ledger.`$Parent`]],A299)</f>
        <v>#VALUE!</v>
      </c>
    </row>
    <row r="300" spans="1:2">
      <c r="A300" s="57" t="e">
        <f>COUNTIF($C$2:Table_Query_from_TallyODBC_9000[[#This Row],[Ledger.`$Parent`]],Table_Query_from_TallyODBC_9000[[#This Row],[Ledger.`$Parent`]])</f>
        <v>#VALUE!</v>
      </c>
      <c r="B300" s="57" t="e">
        <f>CONCATENATE(Table_Query_from_TallyODBC_9000[[#This Row],[Ledger.`$Parent`]],A300)</f>
        <v>#VALUE!</v>
      </c>
    </row>
    <row r="301" spans="1:2">
      <c r="A301" s="57" t="e">
        <f>COUNTIF($C$2:Table_Query_from_TallyODBC_9000[[#This Row],[Ledger.`$Parent`]],Table_Query_from_TallyODBC_9000[[#This Row],[Ledger.`$Parent`]])</f>
        <v>#VALUE!</v>
      </c>
      <c r="B301" s="57" t="e">
        <f>CONCATENATE(Table_Query_from_TallyODBC_9000[[#This Row],[Ledger.`$Parent`]],A301)</f>
        <v>#VALUE!</v>
      </c>
    </row>
    <row r="302" spans="1:2">
      <c r="A302" s="57" t="e">
        <f>COUNTIF($C$2:Table_Query_from_TallyODBC_9000[[#This Row],[Ledger.`$Parent`]],Table_Query_from_TallyODBC_9000[[#This Row],[Ledger.`$Parent`]])</f>
        <v>#VALUE!</v>
      </c>
      <c r="B302" s="57" t="e">
        <f>CONCATENATE(Table_Query_from_TallyODBC_9000[[#This Row],[Ledger.`$Parent`]],A302)</f>
        <v>#VALUE!</v>
      </c>
    </row>
    <row r="303" spans="1:2">
      <c r="A303" s="57" t="e">
        <f>COUNTIF($C$2:Table_Query_from_TallyODBC_9000[[#This Row],[Ledger.`$Parent`]],Table_Query_from_TallyODBC_9000[[#This Row],[Ledger.`$Parent`]])</f>
        <v>#VALUE!</v>
      </c>
      <c r="B303" s="57" t="e">
        <f>CONCATENATE(Table_Query_from_TallyODBC_9000[[#This Row],[Ledger.`$Parent`]],A303)</f>
        <v>#VALUE!</v>
      </c>
    </row>
    <row r="304" spans="1:2">
      <c r="A304" s="57" t="e">
        <f>COUNTIF($C$2:Table_Query_from_TallyODBC_9000[[#This Row],[Ledger.`$Parent`]],Table_Query_from_TallyODBC_9000[[#This Row],[Ledger.`$Parent`]])</f>
        <v>#VALUE!</v>
      </c>
      <c r="B304" s="57" t="e">
        <f>CONCATENATE(Table_Query_from_TallyODBC_9000[[#This Row],[Ledger.`$Parent`]],A304)</f>
        <v>#VALUE!</v>
      </c>
    </row>
    <row r="305" spans="1:2">
      <c r="A305" s="57" t="e">
        <f>COUNTIF($C$2:Table_Query_from_TallyODBC_9000[[#This Row],[Ledger.`$Parent`]],Table_Query_from_TallyODBC_9000[[#This Row],[Ledger.`$Parent`]])</f>
        <v>#VALUE!</v>
      </c>
      <c r="B305" s="57" t="e">
        <f>CONCATENATE(Table_Query_from_TallyODBC_9000[[#This Row],[Ledger.`$Parent`]],A305)</f>
        <v>#VALUE!</v>
      </c>
    </row>
    <row r="306" spans="1:2">
      <c r="A306" s="57" t="e">
        <f>COUNTIF($C$2:Table_Query_from_TallyODBC_9000[[#This Row],[Ledger.`$Parent`]],Table_Query_from_TallyODBC_9000[[#This Row],[Ledger.`$Parent`]])</f>
        <v>#VALUE!</v>
      </c>
      <c r="B306" s="57" t="e">
        <f>CONCATENATE(Table_Query_from_TallyODBC_9000[[#This Row],[Ledger.`$Parent`]],A306)</f>
        <v>#VALUE!</v>
      </c>
    </row>
    <row r="307" spans="1:2">
      <c r="A307" s="57" t="e">
        <f>COUNTIF($C$2:Table_Query_from_TallyODBC_9000[[#This Row],[Ledger.`$Parent`]],Table_Query_from_TallyODBC_9000[[#This Row],[Ledger.`$Parent`]])</f>
        <v>#VALUE!</v>
      </c>
      <c r="B307" s="57" t="e">
        <f>CONCATENATE(Table_Query_from_TallyODBC_9000[[#This Row],[Ledger.`$Parent`]],A307)</f>
        <v>#VALUE!</v>
      </c>
    </row>
    <row r="308" spans="1:2">
      <c r="A308" s="57" t="e">
        <f>COUNTIF($C$2:Table_Query_from_TallyODBC_9000[[#This Row],[Ledger.`$Parent`]],Table_Query_from_TallyODBC_9000[[#This Row],[Ledger.`$Parent`]])</f>
        <v>#VALUE!</v>
      </c>
      <c r="B308" s="57" t="e">
        <f>CONCATENATE(Table_Query_from_TallyODBC_9000[[#This Row],[Ledger.`$Parent`]],A308)</f>
        <v>#VALUE!</v>
      </c>
    </row>
    <row r="309" spans="1:2">
      <c r="A309" s="57" t="e">
        <f>COUNTIF($C$2:Table_Query_from_TallyODBC_9000[[#This Row],[Ledger.`$Parent`]],Table_Query_from_TallyODBC_9000[[#This Row],[Ledger.`$Parent`]])</f>
        <v>#VALUE!</v>
      </c>
      <c r="B309" s="57" t="e">
        <f>CONCATENATE(Table_Query_from_TallyODBC_9000[[#This Row],[Ledger.`$Parent`]],A309)</f>
        <v>#VALUE!</v>
      </c>
    </row>
    <row r="310" spans="1:2">
      <c r="A310" s="57" t="e">
        <f>COUNTIF($C$2:Table_Query_from_TallyODBC_9000[[#This Row],[Ledger.`$Parent`]],Table_Query_from_TallyODBC_9000[[#This Row],[Ledger.`$Parent`]])</f>
        <v>#VALUE!</v>
      </c>
      <c r="B310" s="57" t="e">
        <f>CONCATENATE(Table_Query_from_TallyODBC_9000[[#This Row],[Ledger.`$Parent`]],A310)</f>
        <v>#VALUE!</v>
      </c>
    </row>
    <row r="311" spans="1:2">
      <c r="A311" s="57" t="e">
        <f>COUNTIF($C$2:Table_Query_from_TallyODBC_9000[[#This Row],[Ledger.`$Parent`]],Table_Query_from_TallyODBC_9000[[#This Row],[Ledger.`$Parent`]])</f>
        <v>#VALUE!</v>
      </c>
      <c r="B311" s="57" t="e">
        <f>CONCATENATE(Table_Query_from_TallyODBC_9000[[#This Row],[Ledger.`$Parent`]],A311)</f>
        <v>#VALUE!</v>
      </c>
    </row>
    <row r="312" spans="1:2">
      <c r="A312" s="57" t="e">
        <f>COUNTIF($C$2:Table_Query_from_TallyODBC_9000[[#This Row],[Ledger.`$Parent`]],Table_Query_from_TallyODBC_9000[[#This Row],[Ledger.`$Parent`]])</f>
        <v>#VALUE!</v>
      </c>
      <c r="B312" s="57" t="e">
        <f>CONCATENATE(Table_Query_from_TallyODBC_9000[[#This Row],[Ledger.`$Parent`]],A312)</f>
        <v>#VALUE!</v>
      </c>
    </row>
    <row r="313" spans="1:2">
      <c r="A313" s="57" t="e">
        <f>COUNTIF($C$2:Table_Query_from_TallyODBC_9000[[#This Row],[Ledger.`$Parent`]],Table_Query_from_TallyODBC_9000[[#This Row],[Ledger.`$Parent`]])</f>
        <v>#VALUE!</v>
      </c>
      <c r="B313" s="57" t="e">
        <f>CONCATENATE(Table_Query_from_TallyODBC_9000[[#This Row],[Ledger.`$Parent`]],A313)</f>
        <v>#VALUE!</v>
      </c>
    </row>
    <row r="314" spans="1:2">
      <c r="A314" s="57" t="e">
        <f>COUNTIF($C$2:Table_Query_from_TallyODBC_9000[[#This Row],[Ledger.`$Parent`]],Table_Query_from_TallyODBC_9000[[#This Row],[Ledger.`$Parent`]])</f>
        <v>#VALUE!</v>
      </c>
      <c r="B314" s="57" t="e">
        <f>CONCATENATE(Table_Query_from_TallyODBC_9000[[#This Row],[Ledger.`$Parent`]],A314)</f>
        <v>#VALUE!</v>
      </c>
    </row>
    <row r="315" spans="1:2">
      <c r="A315" s="57" t="e">
        <f>COUNTIF($C$2:Table_Query_from_TallyODBC_9000[[#This Row],[Ledger.`$Parent`]],Table_Query_from_TallyODBC_9000[[#This Row],[Ledger.`$Parent`]])</f>
        <v>#VALUE!</v>
      </c>
      <c r="B315" s="57" t="e">
        <f>CONCATENATE(Table_Query_from_TallyODBC_9000[[#This Row],[Ledger.`$Parent`]],A315)</f>
        <v>#VALUE!</v>
      </c>
    </row>
    <row r="316" spans="1:2">
      <c r="A316" s="57" t="e">
        <f>COUNTIF($C$2:Table_Query_from_TallyODBC_9000[[#This Row],[Ledger.`$Parent`]],Table_Query_from_TallyODBC_9000[[#This Row],[Ledger.`$Parent`]])</f>
        <v>#VALUE!</v>
      </c>
      <c r="B316" s="57" t="e">
        <f>CONCATENATE(Table_Query_from_TallyODBC_9000[[#This Row],[Ledger.`$Parent`]],A316)</f>
        <v>#VALUE!</v>
      </c>
    </row>
    <row r="317" spans="1:2">
      <c r="A317" s="57" t="e">
        <f>COUNTIF($C$2:Table_Query_from_TallyODBC_9000[[#This Row],[Ledger.`$Parent`]],Table_Query_from_TallyODBC_9000[[#This Row],[Ledger.`$Parent`]])</f>
        <v>#VALUE!</v>
      </c>
      <c r="B317" s="57" t="e">
        <f>CONCATENATE(Table_Query_from_TallyODBC_9000[[#This Row],[Ledger.`$Parent`]],A317)</f>
        <v>#VALUE!</v>
      </c>
    </row>
    <row r="318" spans="1:2">
      <c r="A318" s="57" t="e">
        <f>COUNTIF($C$2:Table_Query_from_TallyODBC_9000[[#This Row],[Ledger.`$Parent`]],Table_Query_from_TallyODBC_9000[[#This Row],[Ledger.`$Parent`]])</f>
        <v>#VALUE!</v>
      </c>
      <c r="B318" s="57" t="e">
        <f>CONCATENATE(Table_Query_from_TallyODBC_9000[[#This Row],[Ledger.`$Parent`]],A318)</f>
        <v>#VALUE!</v>
      </c>
    </row>
    <row r="319" spans="1:2">
      <c r="A319" s="57" t="e">
        <f>COUNTIF($C$2:Table_Query_from_TallyODBC_9000[[#This Row],[Ledger.`$Parent`]],Table_Query_from_TallyODBC_9000[[#This Row],[Ledger.`$Parent`]])</f>
        <v>#VALUE!</v>
      </c>
      <c r="B319" s="57" t="e">
        <f>CONCATENATE(Table_Query_from_TallyODBC_9000[[#This Row],[Ledger.`$Parent`]],A319)</f>
        <v>#VALUE!</v>
      </c>
    </row>
    <row r="320" spans="1:2">
      <c r="A320" s="57" t="e">
        <f>COUNTIF($C$2:Table_Query_from_TallyODBC_9000[[#This Row],[Ledger.`$Parent`]],Table_Query_from_TallyODBC_9000[[#This Row],[Ledger.`$Parent`]])</f>
        <v>#VALUE!</v>
      </c>
      <c r="B320" s="57" t="e">
        <f>CONCATENATE(Table_Query_from_TallyODBC_9000[[#This Row],[Ledger.`$Parent`]],A320)</f>
        <v>#VALUE!</v>
      </c>
    </row>
    <row r="321" spans="1:2">
      <c r="A321" s="57" t="e">
        <f>COUNTIF($C$2:Table_Query_from_TallyODBC_9000[[#This Row],[Ledger.`$Parent`]],Table_Query_from_TallyODBC_9000[[#This Row],[Ledger.`$Parent`]])</f>
        <v>#VALUE!</v>
      </c>
      <c r="B321" s="57" t="e">
        <f>CONCATENATE(Table_Query_from_TallyODBC_9000[[#This Row],[Ledger.`$Parent`]],A321)</f>
        <v>#VALUE!</v>
      </c>
    </row>
    <row r="322" spans="1:2">
      <c r="A322" s="57" t="e">
        <f>COUNTIF($C$2:Table_Query_from_TallyODBC_9000[[#This Row],[Ledger.`$Parent`]],Table_Query_from_TallyODBC_9000[[#This Row],[Ledger.`$Parent`]])</f>
        <v>#VALUE!</v>
      </c>
      <c r="B322" s="57" t="e">
        <f>CONCATENATE(Table_Query_from_TallyODBC_9000[[#This Row],[Ledger.`$Parent`]],A322)</f>
        <v>#VALUE!</v>
      </c>
    </row>
    <row r="323" spans="1:2">
      <c r="A323" s="57" t="e">
        <f>COUNTIF($C$2:Table_Query_from_TallyODBC_9000[[#This Row],[Ledger.`$Parent`]],Table_Query_from_TallyODBC_9000[[#This Row],[Ledger.`$Parent`]])</f>
        <v>#VALUE!</v>
      </c>
      <c r="B323" s="57" t="e">
        <f>CONCATENATE(Table_Query_from_TallyODBC_9000[[#This Row],[Ledger.`$Parent`]],A323)</f>
        <v>#VALUE!</v>
      </c>
    </row>
    <row r="324" spans="1:2">
      <c r="A324" s="57" t="e">
        <f>COUNTIF($C$2:Table_Query_from_TallyODBC_9000[[#This Row],[Ledger.`$Parent`]],Table_Query_from_TallyODBC_9000[[#This Row],[Ledger.`$Parent`]])</f>
        <v>#VALUE!</v>
      </c>
      <c r="B324" s="57" t="e">
        <f>CONCATENATE(Table_Query_from_TallyODBC_9000[[#This Row],[Ledger.`$Parent`]],A324)</f>
        <v>#VALUE!</v>
      </c>
    </row>
    <row r="325" spans="1:2">
      <c r="A325" s="57" t="e">
        <f>COUNTIF($C$2:Table_Query_from_TallyODBC_9000[[#This Row],[Ledger.`$Parent`]],Table_Query_from_TallyODBC_9000[[#This Row],[Ledger.`$Parent`]])</f>
        <v>#VALUE!</v>
      </c>
      <c r="B325" s="57" t="e">
        <f>CONCATENATE(Table_Query_from_TallyODBC_9000[[#This Row],[Ledger.`$Parent`]],A325)</f>
        <v>#VALUE!</v>
      </c>
    </row>
    <row r="326" spans="1:2">
      <c r="A326" s="57" t="e">
        <f>COUNTIF($C$2:Table_Query_from_TallyODBC_9000[[#This Row],[Ledger.`$Parent`]],Table_Query_from_TallyODBC_9000[[#This Row],[Ledger.`$Parent`]])</f>
        <v>#VALUE!</v>
      </c>
      <c r="B326" s="57" t="e">
        <f>CONCATENATE(Table_Query_from_TallyODBC_9000[[#This Row],[Ledger.`$Parent`]],A326)</f>
        <v>#VALUE!</v>
      </c>
    </row>
    <row r="327" spans="1:2">
      <c r="A327" s="57" t="e">
        <f>COUNTIF($C$2:Table_Query_from_TallyODBC_9000[[#This Row],[Ledger.`$Parent`]],Table_Query_from_TallyODBC_9000[[#This Row],[Ledger.`$Parent`]])</f>
        <v>#VALUE!</v>
      </c>
      <c r="B327" s="57" t="e">
        <f>CONCATENATE(Table_Query_from_TallyODBC_9000[[#This Row],[Ledger.`$Parent`]],A327)</f>
        <v>#VALUE!</v>
      </c>
    </row>
    <row r="328" spans="1:2">
      <c r="A328" s="57" t="e">
        <f>COUNTIF($C$2:Table_Query_from_TallyODBC_9000[[#This Row],[Ledger.`$Parent`]],Table_Query_from_TallyODBC_9000[[#This Row],[Ledger.`$Parent`]])</f>
        <v>#VALUE!</v>
      </c>
      <c r="B328" s="57" t="e">
        <f>CONCATENATE(Table_Query_from_TallyODBC_9000[[#This Row],[Ledger.`$Parent`]],A328)</f>
        <v>#VALUE!</v>
      </c>
    </row>
    <row r="329" spans="1:2">
      <c r="A329" s="57" t="e">
        <f>COUNTIF($C$2:Table_Query_from_TallyODBC_9000[[#This Row],[Ledger.`$Parent`]],Table_Query_from_TallyODBC_9000[[#This Row],[Ledger.`$Parent`]])</f>
        <v>#VALUE!</v>
      </c>
      <c r="B329" s="57" t="e">
        <f>CONCATENATE(Table_Query_from_TallyODBC_9000[[#This Row],[Ledger.`$Parent`]],A329)</f>
        <v>#VALUE!</v>
      </c>
    </row>
    <row r="330" spans="1:2">
      <c r="A330" s="57" t="e">
        <f>COUNTIF($C$2:Table_Query_from_TallyODBC_9000[[#This Row],[Ledger.`$Parent`]],Table_Query_from_TallyODBC_9000[[#This Row],[Ledger.`$Parent`]])</f>
        <v>#VALUE!</v>
      </c>
      <c r="B330" s="57" t="e">
        <f>CONCATENATE(Table_Query_from_TallyODBC_9000[[#This Row],[Ledger.`$Parent`]],A330)</f>
        <v>#VALUE!</v>
      </c>
    </row>
    <row r="331" spans="1:2">
      <c r="A331" s="57" t="e">
        <f>COUNTIF($C$2:Table_Query_from_TallyODBC_9000[[#This Row],[Ledger.`$Parent`]],Table_Query_from_TallyODBC_9000[[#This Row],[Ledger.`$Parent`]])</f>
        <v>#VALUE!</v>
      </c>
      <c r="B331" s="57" t="e">
        <f>CONCATENATE(Table_Query_from_TallyODBC_9000[[#This Row],[Ledger.`$Parent`]],A331)</f>
        <v>#VALUE!</v>
      </c>
    </row>
    <row r="332" spans="1:2">
      <c r="A332" s="57" t="e">
        <f>COUNTIF($C$2:Table_Query_from_TallyODBC_9000[[#This Row],[Ledger.`$Parent`]],Table_Query_from_TallyODBC_9000[[#This Row],[Ledger.`$Parent`]])</f>
        <v>#VALUE!</v>
      </c>
      <c r="B332" s="57" t="e">
        <f>CONCATENATE(Table_Query_from_TallyODBC_9000[[#This Row],[Ledger.`$Parent`]],A332)</f>
        <v>#VALUE!</v>
      </c>
    </row>
    <row r="333" spans="1:2">
      <c r="A333" s="57" t="e">
        <f>COUNTIF($C$2:Table_Query_from_TallyODBC_9000[[#This Row],[Ledger.`$Parent`]],Table_Query_from_TallyODBC_9000[[#This Row],[Ledger.`$Parent`]])</f>
        <v>#VALUE!</v>
      </c>
      <c r="B333" s="57" t="e">
        <f>CONCATENATE(Table_Query_from_TallyODBC_9000[[#This Row],[Ledger.`$Parent`]],A333)</f>
        <v>#VALUE!</v>
      </c>
    </row>
    <row r="334" spans="1:2">
      <c r="A334" s="57" t="e">
        <f>COUNTIF($C$2:Table_Query_from_TallyODBC_9000[[#This Row],[Ledger.`$Parent`]],Table_Query_from_TallyODBC_9000[[#This Row],[Ledger.`$Parent`]])</f>
        <v>#VALUE!</v>
      </c>
      <c r="B334" s="57" t="e">
        <f>CONCATENATE(Table_Query_from_TallyODBC_9000[[#This Row],[Ledger.`$Parent`]],A334)</f>
        <v>#VALUE!</v>
      </c>
    </row>
    <row r="335" spans="1:2">
      <c r="A335" s="57" t="e">
        <f>COUNTIF($C$2:Table_Query_from_TallyODBC_9000[[#This Row],[Ledger.`$Parent`]],Table_Query_from_TallyODBC_9000[[#This Row],[Ledger.`$Parent`]])</f>
        <v>#VALUE!</v>
      </c>
      <c r="B335" s="57" t="e">
        <f>CONCATENATE(Table_Query_from_TallyODBC_9000[[#This Row],[Ledger.`$Parent`]],A335)</f>
        <v>#VALUE!</v>
      </c>
    </row>
    <row r="336" spans="1:2">
      <c r="A336" s="57" t="e">
        <f>COUNTIF($C$2:Table_Query_from_TallyODBC_9000[[#This Row],[Ledger.`$Parent`]],Table_Query_from_TallyODBC_9000[[#This Row],[Ledger.`$Parent`]])</f>
        <v>#VALUE!</v>
      </c>
      <c r="B336" s="57" t="e">
        <f>CONCATENATE(Table_Query_from_TallyODBC_9000[[#This Row],[Ledger.`$Parent`]],A336)</f>
        <v>#VALUE!</v>
      </c>
    </row>
    <row r="337" spans="1:2">
      <c r="A337" s="57" t="e">
        <f>COUNTIF($C$2:Table_Query_from_TallyODBC_9000[[#This Row],[Ledger.`$Parent`]],Table_Query_from_TallyODBC_9000[[#This Row],[Ledger.`$Parent`]])</f>
        <v>#VALUE!</v>
      </c>
      <c r="B337" s="57" t="e">
        <f>CONCATENATE(Table_Query_from_TallyODBC_9000[[#This Row],[Ledger.`$Parent`]],A337)</f>
        <v>#VALUE!</v>
      </c>
    </row>
    <row r="338" spans="1:2">
      <c r="A338" s="57" t="e">
        <f>COUNTIF($C$2:Table_Query_from_TallyODBC_9000[[#This Row],[Ledger.`$Parent`]],Table_Query_from_TallyODBC_9000[[#This Row],[Ledger.`$Parent`]])</f>
        <v>#VALUE!</v>
      </c>
      <c r="B338" s="57" t="e">
        <f>CONCATENATE(Table_Query_from_TallyODBC_9000[[#This Row],[Ledger.`$Parent`]],A338)</f>
        <v>#VALUE!</v>
      </c>
    </row>
    <row r="339" spans="1:2">
      <c r="A339" s="57" t="e">
        <f>COUNTIF($C$2:Table_Query_from_TallyODBC_9000[[#This Row],[Ledger.`$Parent`]],Table_Query_from_TallyODBC_9000[[#This Row],[Ledger.`$Parent`]])</f>
        <v>#VALUE!</v>
      </c>
      <c r="B339" s="57" t="e">
        <f>CONCATENATE(Table_Query_from_TallyODBC_9000[[#This Row],[Ledger.`$Parent`]],A339)</f>
        <v>#VALUE!</v>
      </c>
    </row>
    <row r="340" spans="1:2">
      <c r="A340" s="57" t="e">
        <f>COUNTIF($C$2:Table_Query_from_TallyODBC_9000[[#This Row],[Ledger.`$Parent`]],Table_Query_from_TallyODBC_9000[[#This Row],[Ledger.`$Parent`]])</f>
        <v>#VALUE!</v>
      </c>
      <c r="B340" s="57" t="e">
        <f>CONCATENATE(Table_Query_from_TallyODBC_9000[[#This Row],[Ledger.`$Parent`]],A340)</f>
        <v>#VALUE!</v>
      </c>
    </row>
    <row r="341" spans="1:2">
      <c r="A341" s="57" t="e">
        <f>COUNTIF($C$2:Table_Query_from_TallyODBC_9000[[#This Row],[Ledger.`$Parent`]],Table_Query_from_TallyODBC_9000[[#This Row],[Ledger.`$Parent`]])</f>
        <v>#VALUE!</v>
      </c>
      <c r="B341" s="57" t="e">
        <f>CONCATENATE(Table_Query_from_TallyODBC_9000[[#This Row],[Ledger.`$Parent`]],A341)</f>
        <v>#VALUE!</v>
      </c>
    </row>
    <row r="342" spans="1:2">
      <c r="A342" s="57" t="e">
        <f>COUNTIF($C$2:Table_Query_from_TallyODBC_9000[[#This Row],[Ledger.`$Parent`]],Table_Query_from_TallyODBC_9000[[#This Row],[Ledger.`$Parent`]])</f>
        <v>#VALUE!</v>
      </c>
      <c r="B342" s="57" t="e">
        <f>CONCATENATE(Table_Query_from_TallyODBC_9000[[#This Row],[Ledger.`$Parent`]],A342)</f>
        <v>#VALUE!</v>
      </c>
    </row>
    <row r="343" spans="1:2">
      <c r="A343" s="57" t="e">
        <f>COUNTIF($C$2:Table_Query_from_TallyODBC_9000[[#This Row],[Ledger.`$Parent`]],Table_Query_from_TallyODBC_9000[[#This Row],[Ledger.`$Parent`]])</f>
        <v>#VALUE!</v>
      </c>
      <c r="B343" s="57" t="e">
        <f>CONCATENATE(Table_Query_from_TallyODBC_9000[[#This Row],[Ledger.`$Parent`]],A343)</f>
        <v>#VALUE!</v>
      </c>
    </row>
    <row r="344" spans="1:2">
      <c r="A344" s="57" t="e">
        <f>COUNTIF($C$2:Table_Query_from_TallyODBC_9000[[#This Row],[Ledger.`$Parent`]],Table_Query_from_TallyODBC_9000[[#This Row],[Ledger.`$Parent`]])</f>
        <v>#VALUE!</v>
      </c>
      <c r="B344" s="57" t="e">
        <f>CONCATENATE(Table_Query_from_TallyODBC_9000[[#This Row],[Ledger.`$Parent`]],A344)</f>
        <v>#VALUE!</v>
      </c>
    </row>
    <row r="345" spans="1:2">
      <c r="A345" s="57" t="e">
        <f>COUNTIF($C$2:Table_Query_from_TallyODBC_9000[[#This Row],[Ledger.`$Parent`]],Table_Query_from_TallyODBC_9000[[#This Row],[Ledger.`$Parent`]])</f>
        <v>#VALUE!</v>
      </c>
      <c r="B345" s="57" t="e">
        <f>CONCATENATE(Table_Query_from_TallyODBC_9000[[#This Row],[Ledger.`$Parent`]],A345)</f>
        <v>#VALUE!</v>
      </c>
    </row>
    <row r="346" spans="1:2">
      <c r="A346" s="57" t="e">
        <f>COUNTIF($C$2:Table_Query_from_TallyODBC_9000[[#This Row],[Ledger.`$Parent`]],Table_Query_from_TallyODBC_9000[[#This Row],[Ledger.`$Parent`]])</f>
        <v>#VALUE!</v>
      </c>
      <c r="B346" s="57" t="e">
        <f>CONCATENATE(Table_Query_from_TallyODBC_9000[[#This Row],[Ledger.`$Parent`]],A346)</f>
        <v>#VALUE!</v>
      </c>
    </row>
    <row r="347" spans="1:2">
      <c r="A347" s="57" t="e">
        <f>COUNTIF($C$2:Table_Query_from_TallyODBC_9000[[#This Row],[Ledger.`$Parent`]],Table_Query_from_TallyODBC_9000[[#This Row],[Ledger.`$Parent`]])</f>
        <v>#VALUE!</v>
      </c>
      <c r="B347" s="57" t="e">
        <f>CONCATENATE(Table_Query_from_TallyODBC_9000[[#This Row],[Ledger.`$Parent`]],A347)</f>
        <v>#VALUE!</v>
      </c>
    </row>
    <row r="348" spans="1:2">
      <c r="A348" s="57" t="e">
        <f>COUNTIF($C$2:Table_Query_from_TallyODBC_9000[[#This Row],[Ledger.`$Parent`]],Table_Query_from_TallyODBC_9000[[#This Row],[Ledger.`$Parent`]])</f>
        <v>#VALUE!</v>
      </c>
      <c r="B348" s="57" t="e">
        <f>CONCATENATE(Table_Query_from_TallyODBC_9000[[#This Row],[Ledger.`$Parent`]],A348)</f>
        <v>#VALUE!</v>
      </c>
    </row>
    <row r="349" spans="1:2">
      <c r="A349" s="57" t="e">
        <f>COUNTIF($C$2:Table_Query_from_TallyODBC_9000[[#This Row],[Ledger.`$Parent`]],Table_Query_from_TallyODBC_9000[[#This Row],[Ledger.`$Parent`]])</f>
        <v>#VALUE!</v>
      </c>
      <c r="B349" s="57" t="e">
        <f>CONCATENATE(Table_Query_from_TallyODBC_9000[[#This Row],[Ledger.`$Parent`]],A349)</f>
        <v>#VALUE!</v>
      </c>
    </row>
    <row r="350" spans="1:2">
      <c r="A350" s="57" t="e">
        <f>COUNTIF($C$2:Table_Query_from_TallyODBC_9000[[#This Row],[Ledger.`$Parent`]],Table_Query_from_TallyODBC_9000[[#This Row],[Ledger.`$Parent`]])</f>
        <v>#VALUE!</v>
      </c>
      <c r="B350" s="57" t="e">
        <f>CONCATENATE(Table_Query_from_TallyODBC_9000[[#This Row],[Ledger.`$Parent`]],A350)</f>
        <v>#VALUE!</v>
      </c>
    </row>
    <row r="351" spans="1:2">
      <c r="A351" s="57" t="e">
        <f>COUNTIF($C$2:Table_Query_from_TallyODBC_9000[[#This Row],[Ledger.`$Parent`]],Table_Query_from_TallyODBC_9000[[#This Row],[Ledger.`$Parent`]])</f>
        <v>#VALUE!</v>
      </c>
      <c r="B351" s="57" t="e">
        <f>CONCATENATE(Table_Query_from_TallyODBC_9000[[#This Row],[Ledger.`$Parent`]],A351)</f>
        <v>#VALUE!</v>
      </c>
    </row>
    <row r="352" spans="1:2">
      <c r="A352" s="57" t="e">
        <f>COUNTIF($C$2:Table_Query_from_TallyODBC_9000[[#This Row],[Ledger.`$Parent`]],Table_Query_from_TallyODBC_9000[[#This Row],[Ledger.`$Parent`]])</f>
        <v>#VALUE!</v>
      </c>
      <c r="B352" s="57" t="e">
        <f>CONCATENATE(Table_Query_from_TallyODBC_9000[[#This Row],[Ledger.`$Parent`]],A352)</f>
        <v>#VALUE!</v>
      </c>
    </row>
    <row r="353" spans="1:2">
      <c r="A353" s="57" t="e">
        <f>COUNTIF($C$2:Table_Query_from_TallyODBC_9000[[#This Row],[Ledger.`$Parent`]],Table_Query_from_TallyODBC_9000[[#This Row],[Ledger.`$Parent`]])</f>
        <v>#VALUE!</v>
      </c>
      <c r="B353" s="57" t="e">
        <f>CONCATENATE(Table_Query_from_TallyODBC_9000[[#This Row],[Ledger.`$Parent`]],A353)</f>
        <v>#VALUE!</v>
      </c>
    </row>
    <row r="354" spans="1:2">
      <c r="A354" s="57" t="e">
        <f>COUNTIF($C$2:Table_Query_from_TallyODBC_9000[[#This Row],[Ledger.`$Parent`]],Table_Query_from_TallyODBC_9000[[#This Row],[Ledger.`$Parent`]])</f>
        <v>#VALUE!</v>
      </c>
      <c r="B354" s="57" t="e">
        <f>CONCATENATE(Table_Query_from_TallyODBC_9000[[#This Row],[Ledger.`$Parent`]],A354)</f>
        <v>#VALUE!</v>
      </c>
    </row>
    <row r="355" spans="1:2">
      <c r="A355" s="57" t="e">
        <f>COUNTIF($C$2:Table_Query_from_TallyODBC_9000[[#This Row],[Ledger.`$Parent`]],Table_Query_from_TallyODBC_9000[[#This Row],[Ledger.`$Parent`]])</f>
        <v>#VALUE!</v>
      </c>
      <c r="B355" s="57" t="e">
        <f>CONCATENATE(Table_Query_from_TallyODBC_9000[[#This Row],[Ledger.`$Parent`]],A355)</f>
        <v>#VALUE!</v>
      </c>
    </row>
    <row r="356" spans="1:2">
      <c r="A356" s="57" t="e">
        <f>COUNTIF($C$2:Table_Query_from_TallyODBC_9000[[#This Row],[Ledger.`$Parent`]],Table_Query_from_TallyODBC_9000[[#This Row],[Ledger.`$Parent`]])</f>
        <v>#VALUE!</v>
      </c>
      <c r="B356" s="57" t="e">
        <f>CONCATENATE(Table_Query_from_TallyODBC_9000[[#This Row],[Ledger.`$Parent`]],A356)</f>
        <v>#VALUE!</v>
      </c>
    </row>
    <row r="357" spans="1:2">
      <c r="A357" s="57" t="e">
        <f>COUNTIF($C$2:Table_Query_from_TallyODBC_9000[[#This Row],[Ledger.`$Parent`]],Table_Query_from_TallyODBC_9000[[#This Row],[Ledger.`$Parent`]])</f>
        <v>#VALUE!</v>
      </c>
      <c r="B357" s="57" t="e">
        <f>CONCATENATE(Table_Query_from_TallyODBC_9000[[#This Row],[Ledger.`$Parent`]],A357)</f>
        <v>#VALUE!</v>
      </c>
    </row>
    <row r="358" spans="1:2">
      <c r="A358" s="57" t="e">
        <f>COUNTIF($C$2:Table_Query_from_TallyODBC_9000[[#This Row],[Ledger.`$Parent`]],Table_Query_from_TallyODBC_9000[[#This Row],[Ledger.`$Parent`]])</f>
        <v>#VALUE!</v>
      </c>
      <c r="B358" s="57" t="e">
        <f>CONCATENATE(Table_Query_from_TallyODBC_9000[[#This Row],[Ledger.`$Parent`]],A358)</f>
        <v>#VALUE!</v>
      </c>
    </row>
    <row r="359" spans="1:2">
      <c r="A359" s="57" t="e">
        <f>COUNTIF($C$2:Table_Query_from_TallyODBC_9000[[#This Row],[Ledger.`$Parent`]],Table_Query_from_TallyODBC_9000[[#This Row],[Ledger.`$Parent`]])</f>
        <v>#VALUE!</v>
      </c>
      <c r="B359" s="57" t="e">
        <f>CONCATENATE(Table_Query_from_TallyODBC_9000[[#This Row],[Ledger.`$Parent`]],A359)</f>
        <v>#VALUE!</v>
      </c>
    </row>
    <row r="360" spans="1:2">
      <c r="A360" s="57" t="e">
        <f>COUNTIF($C$2:Table_Query_from_TallyODBC_9000[[#This Row],[Ledger.`$Parent`]],Table_Query_from_TallyODBC_9000[[#This Row],[Ledger.`$Parent`]])</f>
        <v>#VALUE!</v>
      </c>
      <c r="B360" s="57" t="e">
        <f>CONCATENATE(Table_Query_from_TallyODBC_9000[[#This Row],[Ledger.`$Parent`]],A360)</f>
        <v>#VALUE!</v>
      </c>
    </row>
    <row r="361" spans="1:2">
      <c r="A361" s="57" t="e">
        <f>COUNTIF($C$2:Table_Query_from_TallyODBC_9000[[#This Row],[Ledger.`$Parent`]],Table_Query_from_TallyODBC_9000[[#This Row],[Ledger.`$Parent`]])</f>
        <v>#VALUE!</v>
      </c>
      <c r="B361" s="57" t="e">
        <f>CONCATENATE(Table_Query_from_TallyODBC_9000[[#This Row],[Ledger.`$Parent`]],A361)</f>
        <v>#VALUE!</v>
      </c>
    </row>
    <row r="362" spans="1:2">
      <c r="A362" s="57" t="e">
        <f>COUNTIF($C$2:Table_Query_from_TallyODBC_9000[[#This Row],[Ledger.`$Parent`]],Table_Query_from_TallyODBC_9000[[#This Row],[Ledger.`$Parent`]])</f>
        <v>#VALUE!</v>
      </c>
      <c r="B362" s="57" t="e">
        <f>CONCATENATE(Table_Query_from_TallyODBC_9000[[#This Row],[Ledger.`$Parent`]],A362)</f>
        <v>#VALUE!</v>
      </c>
    </row>
    <row r="363" spans="1:2">
      <c r="A363" s="57" t="e">
        <f>COUNTIF($C$2:Table_Query_from_TallyODBC_9000[[#This Row],[Ledger.`$Parent`]],Table_Query_from_TallyODBC_9000[[#This Row],[Ledger.`$Parent`]])</f>
        <v>#VALUE!</v>
      </c>
      <c r="B363" s="57" t="e">
        <f>CONCATENATE(Table_Query_from_TallyODBC_9000[[#This Row],[Ledger.`$Parent`]],A363)</f>
        <v>#VALUE!</v>
      </c>
    </row>
    <row r="364" spans="1:2">
      <c r="A364" s="57" t="e">
        <f>COUNTIF($C$2:Table_Query_from_TallyODBC_9000[[#This Row],[Ledger.`$Parent`]],Table_Query_from_TallyODBC_9000[[#This Row],[Ledger.`$Parent`]])</f>
        <v>#VALUE!</v>
      </c>
      <c r="B364" s="57" t="e">
        <f>CONCATENATE(Table_Query_from_TallyODBC_9000[[#This Row],[Ledger.`$Parent`]],A364)</f>
        <v>#VALUE!</v>
      </c>
    </row>
    <row r="365" spans="1:2">
      <c r="A365" s="57" t="e">
        <f>COUNTIF($C$2:Table_Query_from_TallyODBC_9000[[#This Row],[Ledger.`$Parent`]],Table_Query_from_TallyODBC_9000[[#This Row],[Ledger.`$Parent`]])</f>
        <v>#VALUE!</v>
      </c>
      <c r="B365" s="57" t="e">
        <f>CONCATENATE(Table_Query_from_TallyODBC_9000[[#This Row],[Ledger.`$Parent`]],A365)</f>
        <v>#VALUE!</v>
      </c>
    </row>
    <row r="366" spans="1:2">
      <c r="A366" s="57" t="e">
        <f>COUNTIF($C$2:Table_Query_from_TallyODBC_9000[[#This Row],[Ledger.`$Parent`]],Table_Query_from_TallyODBC_9000[[#This Row],[Ledger.`$Parent`]])</f>
        <v>#VALUE!</v>
      </c>
      <c r="B366" s="57" t="e">
        <f>CONCATENATE(Table_Query_from_TallyODBC_9000[[#This Row],[Ledger.`$Parent`]],A366)</f>
        <v>#VALUE!</v>
      </c>
    </row>
    <row r="367" spans="1:2">
      <c r="A367" s="57" t="e">
        <f>COUNTIF($C$2:Table_Query_from_TallyODBC_9000[[#This Row],[Ledger.`$Parent`]],Table_Query_from_TallyODBC_9000[[#This Row],[Ledger.`$Parent`]])</f>
        <v>#VALUE!</v>
      </c>
      <c r="B367" s="57" t="e">
        <f>CONCATENATE(Table_Query_from_TallyODBC_9000[[#This Row],[Ledger.`$Parent`]],A367)</f>
        <v>#VALUE!</v>
      </c>
    </row>
    <row r="368" spans="1:2">
      <c r="A368" s="57" t="e">
        <f>COUNTIF($C$2:Table_Query_from_TallyODBC_9000[[#This Row],[Ledger.`$Parent`]],Table_Query_from_TallyODBC_9000[[#This Row],[Ledger.`$Parent`]])</f>
        <v>#VALUE!</v>
      </c>
      <c r="B368" s="57" t="e">
        <f>CONCATENATE(Table_Query_from_TallyODBC_9000[[#This Row],[Ledger.`$Parent`]],A368)</f>
        <v>#VALUE!</v>
      </c>
    </row>
    <row r="369" spans="1:2">
      <c r="A369" s="57" t="e">
        <f>COUNTIF($C$2:Table_Query_from_TallyODBC_9000[[#This Row],[Ledger.`$Parent`]],Table_Query_from_TallyODBC_9000[[#This Row],[Ledger.`$Parent`]])</f>
        <v>#VALUE!</v>
      </c>
      <c r="B369" s="57" t="e">
        <f>CONCATENATE(Table_Query_from_TallyODBC_9000[[#This Row],[Ledger.`$Parent`]],A369)</f>
        <v>#VALUE!</v>
      </c>
    </row>
    <row r="370" spans="1:2">
      <c r="A370" s="57" t="e">
        <f>COUNTIF($C$2:Table_Query_from_TallyODBC_9000[[#This Row],[Ledger.`$Parent`]],Table_Query_from_TallyODBC_9000[[#This Row],[Ledger.`$Parent`]])</f>
        <v>#VALUE!</v>
      </c>
      <c r="B370" s="57" t="e">
        <f>CONCATENATE(Table_Query_from_TallyODBC_9000[[#This Row],[Ledger.`$Parent`]],A370)</f>
        <v>#VALUE!</v>
      </c>
    </row>
    <row r="371" spans="1:2">
      <c r="A371" s="57" t="e">
        <f>COUNTIF($C$2:Table_Query_from_TallyODBC_9000[[#This Row],[Ledger.`$Parent`]],Table_Query_from_TallyODBC_9000[[#This Row],[Ledger.`$Parent`]])</f>
        <v>#VALUE!</v>
      </c>
      <c r="B371" s="57" t="e">
        <f>CONCATENATE(Table_Query_from_TallyODBC_9000[[#This Row],[Ledger.`$Parent`]],A371)</f>
        <v>#VALUE!</v>
      </c>
    </row>
    <row r="372" spans="1:2">
      <c r="A372" s="57" t="e">
        <f>COUNTIF($C$2:Table_Query_from_TallyODBC_9000[[#This Row],[Ledger.`$Parent`]],Table_Query_from_TallyODBC_9000[[#This Row],[Ledger.`$Parent`]])</f>
        <v>#VALUE!</v>
      </c>
      <c r="B372" s="57" t="e">
        <f>CONCATENATE(Table_Query_from_TallyODBC_9000[[#This Row],[Ledger.`$Parent`]],A372)</f>
        <v>#VALUE!</v>
      </c>
    </row>
    <row r="373" spans="1:2">
      <c r="A373" s="57" t="e">
        <f>COUNTIF($C$2:Table_Query_from_TallyODBC_9000[[#This Row],[Ledger.`$Parent`]],Table_Query_from_TallyODBC_9000[[#This Row],[Ledger.`$Parent`]])</f>
        <v>#VALUE!</v>
      </c>
      <c r="B373" s="57" t="e">
        <f>CONCATENATE(Table_Query_from_TallyODBC_9000[[#This Row],[Ledger.`$Parent`]],A373)</f>
        <v>#VALUE!</v>
      </c>
    </row>
    <row r="374" spans="1:2">
      <c r="A374" s="57" t="e">
        <f>COUNTIF($C$2:Table_Query_from_TallyODBC_9000[[#This Row],[Ledger.`$Parent`]],Table_Query_from_TallyODBC_9000[[#This Row],[Ledger.`$Parent`]])</f>
        <v>#VALUE!</v>
      </c>
      <c r="B374" s="57" t="e">
        <f>CONCATENATE(Table_Query_from_TallyODBC_9000[[#This Row],[Ledger.`$Parent`]],A374)</f>
        <v>#VALUE!</v>
      </c>
    </row>
    <row r="375" spans="1:2">
      <c r="A375" s="57" t="e">
        <f>COUNTIF($C$2:Table_Query_from_TallyODBC_9000[[#This Row],[Ledger.`$Parent`]],Table_Query_from_TallyODBC_9000[[#This Row],[Ledger.`$Parent`]])</f>
        <v>#VALUE!</v>
      </c>
      <c r="B375" s="57" t="e">
        <f>CONCATENATE(Table_Query_from_TallyODBC_9000[[#This Row],[Ledger.`$Parent`]],A375)</f>
        <v>#VALUE!</v>
      </c>
    </row>
    <row r="376" spans="1:2">
      <c r="A376" s="57" t="e">
        <f>COUNTIF($C$2:Table_Query_from_TallyODBC_9000[[#This Row],[Ledger.`$Parent`]],Table_Query_from_TallyODBC_9000[[#This Row],[Ledger.`$Parent`]])</f>
        <v>#VALUE!</v>
      </c>
      <c r="B376" s="57" t="e">
        <f>CONCATENATE(Table_Query_from_TallyODBC_9000[[#This Row],[Ledger.`$Parent`]],A376)</f>
        <v>#VALUE!</v>
      </c>
    </row>
    <row r="377" spans="1:2">
      <c r="A377" s="57" t="e">
        <f>COUNTIF($C$2:Table_Query_from_TallyODBC_9000[[#This Row],[Ledger.`$Parent`]],Table_Query_from_TallyODBC_9000[[#This Row],[Ledger.`$Parent`]])</f>
        <v>#VALUE!</v>
      </c>
      <c r="B377" s="57" t="e">
        <f>CONCATENATE(Table_Query_from_TallyODBC_9000[[#This Row],[Ledger.`$Parent`]],A377)</f>
        <v>#VALUE!</v>
      </c>
    </row>
    <row r="378" spans="1:2">
      <c r="A378" s="57" t="e">
        <f>COUNTIF($C$2:Table_Query_from_TallyODBC_9000[[#This Row],[Ledger.`$Parent`]],Table_Query_from_TallyODBC_9000[[#This Row],[Ledger.`$Parent`]])</f>
        <v>#VALUE!</v>
      </c>
      <c r="B378" s="57" t="e">
        <f>CONCATENATE(Table_Query_from_TallyODBC_9000[[#This Row],[Ledger.`$Parent`]],A378)</f>
        <v>#VALUE!</v>
      </c>
    </row>
    <row r="379" spans="1:2">
      <c r="A379" s="57" t="e">
        <f>COUNTIF($C$2:Table_Query_from_TallyODBC_9000[[#This Row],[Ledger.`$Parent`]],Table_Query_from_TallyODBC_9000[[#This Row],[Ledger.`$Parent`]])</f>
        <v>#VALUE!</v>
      </c>
      <c r="B379" s="57" t="e">
        <f>CONCATENATE(Table_Query_from_TallyODBC_9000[[#This Row],[Ledger.`$Parent`]],A379)</f>
        <v>#VALUE!</v>
      </c>
    </row>
    <row r="380" spans="1:2">
      <c r="A380" s="57" t="e">
        <f>COUNTIF($C$2:Table_Query_from_TallyODBC_9000[[#This Row],[Ledger.`$Parent`]],Table_Query_from_TallyODBC_9000[[#This Row],[Ledger.`$Parent`]])</f>
        <v>#VALUE!</v>
      </c>
      <c r="B380" s="57" t="e">
        <f>CONCATENATE(Table_Query_from_TallyODBC_9000[[#This Row],[Ledger.`$Parent`]],A380)</f>
        <v>#VALUE!</v>
      </c>
    </row>
    <row r="381" spans="1:2">
      <c r="A381" s="57" t="e">
        <f>COUNTIF($C$2:Table_Query_from_TallyODBC_9000[[#This Row],[Ledger.`$Parent`]],Table_Query_from_TallyODBC_9000[[#This Row],[Ledger.`$Parent`]])</f>
        <v>#VALUE!</v>
      </c>
      <c r="B381" s="57" t="e">
        <f>CONCATENATE(Table_Query_from_TallyODBC_9000[[#This Row],[Ledger.`$Parent`]],A381)</f>
        <v>#VALUE!</v>
      </c>
    </row>
    <row r="382" spans="1:2">
      <c r="A382" s="57" t="e">
        <f>COUNTIF($C$2:Table_Query_from_TallyODBC_9000[[#This Row],[Ledger.`$Parent`]],Table_Query_from_TallyODBC_9000[[#This Row],[Ledger.`$Parent`]])</f>
        <v>#VALUE!</v>
      </c>
      <c r="B382" s="57" t="e">
        <f>CONCATENATE(Table_Query_from_TallyODBC_9000[[#This Row],[Ledger.`$Parent`]],A382)</f>
        <v>#VALUE!</v>
      </c>
    </row>
    <row r="383" spans="1:2">
      <c r="A383" s="57" t="e">
        <f>COUNTIF($C$2:Table_Query_from_TallyODBC_9000[[#This Row],[Ledger.`$Parent`]],Table_Query_from_TallyODBC_9000[[#This Row],[Ledger.`$Parent`]])</f>
        <v>#VALUE!</v>
      </c>
      <c r="B383" s="57" t="e">
        <f>CONCATENATE(Table_Query_from_TallyODBC_9000[[#This Row],[Ledger.`$Parent`]],A383)</f>
        <v>#VALUE!</v>
      </c>
    </row>
    <row r="384" spans="1:2">
      <c r="A384" s="57" t="e">
        <f>COUNTIF($C$2:Table_Query_from_TallyODBC_9000[[#This Row],[Ledger.`$Parent`]],Table_Query_from_TallyODBC_9000[[#This Row],[Ledger.`$Parent`]])</f>
        <v>#VALUE!</v>
      </c>
      <c r="B384" s="57" t="e">
        <f>CONCATENATE(Table_Query_from_TallyODBC_9000[[#This Row],[Ledger.`$Parent`]],A384)</f>
        <v>#VALUE!</v>
      </c>
    </row>
    <row r="385" spans="1:2">
      <c r="A385" s="57" t="e">
        <f>COUNTIF($C$2:Table_Query_from_TallyODBC_9000[[#This Row],[Ledger.`$Parent`]],Table_Query_from_TallyODBC_9000[[#This Row],[Ledger.`$Parent`]])</f>
        <v>#VALUE!</v>
      </c>
      <c r="B385" s="57" t="e">
        <f>CONCATENATE(Table_Query_from_TallyODBC_9000[[#This Row],[Ledger.`$Parent`]],A385)</f>
        <v>#VALUE!</v>
      </c>
    </row>
    <row r="386" spans="1:2">
      <c r="A386" s="57" t="e">
        <f>COUNTIF($C$2:Table_Query_from_TallyODBC_9000[[#This Row],[Ledger.`$Parent`]],Table_Query_from_TallyODBC_9000[[#This Row],[Ledger.`$Parent`]])</f>
        <v>#VALUE!</v>
      </c>
      <c r="B386" s="57" t="e">
        <f>CONCATENATE(Table_Query_from_TallyODBC_9000[[#This Row],[Ledger.`$Parent`]],A386)</f>
        <v>#VALUE!</v>
      </c>
    </row>
    <row r="387" spans="1:2">
      <c r="A387" s="57" t="e">
        <f>COUNTIF($C$2:Table_Query_from_TallyODBC_9000[[#This Row],[Ledger.`$Parent`]],Table_Query_from_TallyODBC_9000[[#This Row],[Ledger.`$Parent`]])</f>
        <v>#VALUE!</v>
      </c>
      <c r="B387" s="57" t="e">
        <f>CONCATENATE(Table_Query_from_TallyODBC_9000[[#This Row],[Ledger.`$Parent`]],A387)</f>
        <v>#VALUE!</v>
      </c>
    </row>
    <row r="388" spans="1:2">
      <c r="A388" s="57" t="e">
        <f>COUNTIF($C$2:Table_Query_from_TallyODBC_9000[[#This Row],[Ledger.`$Parent`]],Table_Query_from_TallyODBC_9000[[#This Row],[Ledger.`$Parent`]])</f>
        <v>#VALUE!</v>
      </c>
      <c r="B388" s="57" t="e">
        <f>CONCATENATE(Table_Query_from_TallyODBC_9000[[#This Row],[Ledger.`$Parent`]],A388)</f>
        <v>#VALUE!</v>
      </c>
    </row>
    <row r="389" spans="1:2">
      <c r="A389" s="57" t="e">
        <f>COUNTIF($C$2:Table_Query_from_TallyODBC_9000[[#This Row],[Ledger.`$Parent`]],Table_Query_from_TallyODBC_9000[[#This Row],[Ledger.`$Parent`]])</f>
        <v>#VALUE!</v>
      </c>
      <c r="B389" s="57" t="e">
        <f>CONCATENATE(Table_Query_from_TallyODBC_9000[[#This Row],[Ledger.`$Parent`]],A389)</f>
        <v>#VALUE!</v>
      </c>
    </row>
    <row r="390" spans="1:2">
      <c r="A390" s="57" t="e">
        <f>COUNTIF($C$2:Table_Query_from_TallyODBC_9000[[#This Row],[Ledger.`$Parent`]],Table_Query_from_TallyODBC_9000[[#This Row],[Ledger.`$Parent`]])</f>
        <v>#VALUE!</v>
      </c>
      <c r="B390" s="57" t="e">
        <f>CONCATENATE(Table_Query_from_TallyODBC_9000[[#This Row],[Ledger.`$Parent`]],A390)</f>
        <v>#VALUE!</v>
      </c>
    </row>
    <row r="391" spans="1:2">
      <c r="A391" s="57" t="e">
        <f>COUNTIF($C$2:Table_Query_from_TallyODBC_9000[[#This Row],[Ledger.`$Parent`]],Table_Query_from_TallyODBC_9000[[#This Row],[Ledger.`$Parent`]])</f>
        <v>#VALUE!</v>
      </c>
      <c r="B391" s="57" t="e">
        <f>CONCATENATE(Table_Query_from_TallyODBC_9000[[#This Row],[Ledger.`$Parent`]],A391)</f>
        <v>#VALUE!</v>
      </c>
    </row>
    <row r="392" spans="1:2">
      <c r="A392" s="57" t="e">
        <f>COUNTIF($C$2:Table_Query_from_TallyODBC_9000[[#This Row],[Ledger.`$Parent`]],Table_Query_from_TallyODBC_9000[[#This Row],[Ledger.`$Parent`]])</f>
        <v>#VALUE!</v>
      </c>
      <c r="B392" s="57" t="e">
        <f>CONCATENATE(Table_Query_from_TallyODBC_9000[[#This Row],[Ledger.`$Parent`]],A392)</f>
        <v>#VALUE!</v>
      </c>
    </row>
    <row r="393" spans="1:2">
      <c r="A393" s="57" t="e">
        <f>COUNTIF($C$2:Table_Query_from_TallyODBC_9000[[#This Row],[Ledger.`$Parent`]],Table_Query_from_TallyODBC_9000[[#This Row],[Ledger.`$Parent`]])</f>
        <v>#VALUE!</v>
      </c>
      <c r="B393" s="57" t="e">
        <f>CONCATENATE(Table_Query_from_TallyODBC_9000[[#This Row],[Ledger.`$Parent`]],A393)</f>
        <v>#VALUE!</v>
      </c>
    </row>
    <row r="394" spans="1:2">
      <c r="A394" s="57" t="e">
        <f>COUNTIF($C$2:Table_Query_from_TallyODBC_9000[[#This Row],[Ledger.`$Parent`]],Table_Query_from_TallyODBC_9000[[#This Row],[Ledger.`$Parent`]])</f>
        <v>#VALUE!</v>
      </c>
      <c r="B394" s="57" t="e">
        <f>CONCATENATE(Table_Query_from_TallyODBC_9000[[#This Row],[Ledger.`$Parent`]],A394)</f>
        <v>#VALUE!</v>
      </c>
    </row>
    <row r="395" spans="1:2">
      <c r="A395" s="57" t="e">
        <f>COUNTIF($C$2:Table_Query_from_TallyODBC_9000[[#This Row],[Ledger.`$Parent`]],Table_Query_from_TallyODBC_9000[[#This Row],[Ledger.`$Parent`]])</f>
        <v>#VALUE!</v>
      </c>
      <c r="B395" s="57" t="e">
        <f>CONCATENATE(Table_Query_from_TallyODBC_9000[[#This Row],[Ledger.`$Parent`]],A395)</f>
        <v>#VALUE!</v>
      </c>
    </row>
    <row r="396" spans="1:2">
      <c r="A396" s="57" t="e">
        <f>COUNTIF($C$2:Table_Query_from_TallyODBC_9000[[#This Row],[Ledger.`$Parent`]],Table_Query_from_TallyODBC_9000[[#This Row],[Ledger.`$Parent`]])</f>
        <v>#VALUE!</v>
      </c>
      <c r="B396" s="57" t="e">
        <f>CONCATENATE(Table_Query_from_TallyODBC_9000[[#This Row],[Ledger.`$Parent`]],A396)</f>
        <v>#VALUE!</v>
      </c>
    </row>
    <row r="397" spans="1:2">
      <c r="A397" s="57" t="e">
        <f>COUNTIF($C$2:Table_Query_from_TallyODBC_9000[[#This Row],[Ledger.`$Parent`]],Table_Query_from_TallyODBC_9000[[#This Row],[Ledger.`$Parent`]])</f>
        <v>#VALUE!</v>
      </c>
      <c r="B397" s="57" t="e">
        <f>CONCATENATE(Table_Query_from_TallyODBC_9000[[#This Row],[Ledger.`$Parent`]],A397)</f>
        <v>#VALUE!</v>
      </c>
    </row>
    <row r="398" spans="1:2">
      <c r="A398" s="57" t="e">
        <f>COUNTIF($C$2:Table_Query_from_TallyODBC_9000[[#This Row],[Ledger.`$Parent`]],Table_Query_from_TallyODBC_9000[[#This Row],[Ledger.`$Parent`]])</f>
        <v>#VALUE!</v>
      </c>
      <c r="B398" s="57" t="e">
        <f>CONCATENATE(Table_Query_from_TallyODBC_9000[[#This Row],[Ledger.`$Parent`]],A398)</f>
        <v>#VALUE!</v>
      </c>
    </row>
    <row r="399" spans="1:2">
      <c r="A399" s="57" t="e">
        <f>COUNTIF($C$2:Table_Query_from_TallyODBC_9000[[#This Row],[Ledger.`$Parent`]],Table_Query_from_TallyODBC_9000[[#This Row],[Ledger.`$Parent`]])</f>
        <v>#VALUE!</v>
      </c>
      <c r="B399" s="57" t="e">
        <f>CONCATENATE(Table_Query_from_TallyODBC_9000[[#This Row],[Ledger.`$Parent`]],A399)</f>
        <v>#VALUE!</v>
      </c>
    </row>
    <row r="400" spans="1:2">
      <c r="A400" s="57" t="e">
        <f>COUNTIF($C$2:Table_Query_from_TallyODBC_9000[[#This Row],[Ledger.`$Parent`]],Table_Query_from_TallyODBC_9000[[#This Row],[Ledger.`$Parent`]])</f>
        <v>#VALUE!</v>
      </c>
      <c r="B400" s="57" t="e">
        <f>CONCATENATE(Table_Query_from_TallyODBC_9000[[#This Row],[Ledger.`$Parent`]],A400)</f>
        <v>#VALUE!</v>
      </c>
    </row>
    <row r="401" spans="1:2">
      <c r="A401" s="57" t="e">
        <f>COUNTIF($C$2:Table_Query_from_TallyODBC_9000[[#This Row],[Ledger.`$Parent`]],Table_Query_from_TallyODBC_9000[[#This Row],[Ledger.`$Parent`]])</f>
        <v>#VALUE!</v>
      </c>
      <c r="B401" s="57" t="e">
        <f>CONCATENATE(Table_Query_from_TallyODBC_9000[[#This Row],[Ledger.`$Parent`]],A401)</f>
        <v>#VALUE!</v>
      </c>
    </row>
    <row r="402" spans="1:2">
      <c r="A402" s="57" t="e">
        <f>COUNTIF($C$2:Table_Query_from_TallyODBC_9000[[#This Row],[Ledger.`$Parent`]],Table_Query_from_TallyODBC_9000[[#This Row],[Ledger.`$Parent`]])</f>
        <v>#VALUE!</v>
      </c>
      <c r="B402" s="57" t="e">
        <f>CONCATENATE(Table_Query_from_TallyODBC_9000[[#This Row],[Ledger.`$Parent`]],A402)</f>
        <v>#VALUE!</v>
      </c>
    </row>
    <row r="403" spans="1:2">
      <c r="A403" s="57" t="e">
        <f>COUNTIF($C$2:Table_Query_from_TallyODBC_9000[[#This Row],[Ledger.`$Parent`]],Table_Query_from_TallyODBC_9000[[#This Row],[Ledger.`$Parent`]])</f>
        <v>#VALUE!</v>
      </c>
      <c r="B403" s="57" t="e">
        <f>CONCATENATE(Table_Query_from_TallyODBC_9000[[#This Row],[Ledger.`$Parent`]],A403)</f>
        <v>#VALUE!</v>
      </c>
    </row>
    <row r="404" spans="1:2">
      <c r="A404" s="57" t="e">
        <f>COUNTIF($C$2:Table_Query_from_TallyODBC_9000[[#This Row],[Ledger.`$Parent`]],Table_Query_from_TallyODBC_9000[[#This Row],[Ledger.`$Parent`]])</f>
        <v>#VALUE!</v>
      </c>
      <c r="B404" s="57" t="e">
        <f>CONCATENATE(Table_Query_from_TallyODBC_9000[[#This Row],[Ledger.`$Parent`]],A404)</f>
        <v>#VALUE!</v>
      </c>
    </row>
    <row r="405" spans="1:2">
      <c r="A405" s="57" t="e">
        <f>COUNTIF($C$2:Table_Query_from_TallyODBC_9000[[#This Row],[Ledger.`$Parent`]],Table_Query_from_TallyODBC_9000[[#This Row],[Ledger.`$Parent`]])</f>
        <v>#VALUE!</v>
      </c>
      <c r="B405" s="57" t="e">
        <f>CONCATENATE(Table_Query_from_TallyODBC_9000[[#This Row],[Ledger.`$Parent`]],A405)</f>
        <v>#VALUE!</v>
      </c>
    </row>
    <row r="406" spans="1:2">
      <c r="A406" s="57" t="e">
        <f>COUNTIF($C$2:Table_Query_from_TallyODBC_9000[[#This Row],[Ledger.`$Parent`]],Table_Query_from_TallyODBC_9000[[#This Row],[Ledger.`$Parent`]])</f>
        <v>#VALUE!</v>
      </c>
      <c r="B406" s="57" t="e">
        <f>CONCATENATE(Table_Query_from_TallyODBC_9000[[#This Row],[Ledger.`$Parent`]],A406)</f>
        <v>#VALUE!</v>
      </c>
    </row>
    <row r="407" spans="1:2">
      <c r="A407" s="57" t="e">
        <f>COUNTIF($C$2:Table_Query_from_TallyODBC_9000[[#This Row],[Ledger.`$Parent`]],Table_Query_from_TallyODBC_9000[[#This Row],[Ledger.`$Parent`]])</f>
        <v>#VALUE!</v>
      </c>
      <c r="B407" s="57" t="e">
        <f>CONCATENATE(Table_Query_from_TallyODBC_9000[[#This Row],[Ledger.`$Parent`]],A407)</f>
        <v>#VALUE!</v>
      </c>
    </row>
    <row r="408" spans="1:2">
      <c r="A408" s="57" t="e">
        <f>COUNTIF($C$2:Table_Query_from_TallyODBC_9000[[#This Row],[Ledger.`$Parent`]],Table_Query_from_TallyODBC_9000[[#This Row],[Ledger.`$Parent`]])</f>
        <v>#VALUE!</v>
      </c>
      <c r="B408" s="57" t="e">
        <f>CONCATENATE(Table_Query_from_TallyODBC_9000[[#This Row],[Ledger.`$Parent`]],A408)</f>
        <v>#VALUE!</v>
      </c>
    </row>
    <row r="409" spans="1:2">
      <c r="A409" s="57" t="e">
        <f>COUNTIF($C$2:Table_Query_from_TallyODBC_9000[[#This Row],[Ledger.`$Parent`]],Table_Query_from_TallyODBC_9000[[#This Row],[Ledger.`$Parent`]])</f>
        <v>#VALUE!</v>
      </c>
      <c r="B409" s="57" t="e">
        <f>CONCATENATE(Table_Query_from_TallyODBC_9000[[#This Row],[Ledger.`$Parent`]],A409)</f>
        <v>#VALUE!</v>
      </c>
    </row>
    <row r="410" spans="1:2">
      <c r="A410" s="57" t="e">
        <f>COUNTIF($C$2:Table_Query_from_TallyODBC_9000[[#This Row],[Ledger.`$Parent`]],Table_Query_from_TallyODBC_9000[[#This Row],[Ledger.`$Parent`]])</f>
        <v>#VALUE!</v>
      </c>
      <c r="B410" s="57" t="e">
        <f>CONCATENATE(Table_Query_from_TallyODBC_9000[[#This Row],[Ledger.`$Parent`]],A410)</f>
        <v>#VALUE!</v>
      </c>
    </row>
    <row r="411" spans="1:2">
      <c r="A411" s="57" t="e">
        <f>COUNTIF($C$2:Table_Query_from_TallyODBC_9000[[#This Row],[Ledger.`$Parent`]],Table_Query_from_TallyODBC_9000[[#This Row],[Ledger.`$Parent`]])</f>
        <v>#VALUE!</v>
      </c>
      <c r="B411" s="57" t="e">
        <f>CONCATENATE(Table_Query_from_TallyODBC_9000[[#This Row],[Ledger.`$Parent`]],A411)</f>
        <v>#VALUE!</v>
      </c>
    </row>
    <row r="412" spans="1:2">
      <c r="A412" s="57" t="e">
        <f>COUNTIF($C$2:Table_Query_from_TallyODBC_9000[[#This Row],[Ledger.`$Parent`]],Table_Query_from_TallyODBC_9000[[#This Row],[Ledger.`$Parent`]])</f>
        <v>#VALUE!</v>
      </c>
      <c r="B412" s="57" t="e">
        <f>CONCATENATE(Table_Query_from_TallyODBC_9000[[#This Row],[Ledger.`$Parent`]],A412)</f>
        <v>#VALUE!</v>
      </c>
    </row>
    <row r="413" spans="1:2">
      <c r="A413" s="57" t="e">
        <f>COUNTIF($C$2:Table_Query_from_TallyODBC_9000[[#This Row],[Ledger.`$Parent`]],Table_Query_from_TallyODBC_9000[[#This Row],[Ledger.`$Parent`]])</f>
        <v>#VALUE!</v>
      </c>
      <c r="B413" s="57" t="e">
        <f>CONCATENATE(Table_Query_from_TallyODBC_9000[[#This Row],[Ledger.`$Parent`]],A413)</f>
        <v>#VALUE!</v>
      </c>
    </row>
    <row r="414" spans="1:2">
      <c r="A414" s="57" t="e">
        <f>COUNTIF($C$2:Table_Query_from_TallyODBC_9000[[#This Row],[Ledger.`$Parent`]],Table_Query_from_TallyODBC_9000[[#This Row],[Ledger.`$Parent`]])</f>
        <v>#VALUE!</v>
      </c>
      <c r="B414" s="57" t="e">
        <f>CONCATENATE(Table_Query_from_TallyODBC_9000[[#This Row],[Ledger.`$Parent`]],A414)</f>
        <v>#VALUE!</v>
      </c>
    </row>
    <row r="415" spans="1:2">
      <c r="A415" s="57" t="e">
        <f>COUNTIF($C$2:Table_Query_from_TallyODBC_9000[[#This Row],[Ledger.`$Parent`]],Table_Query_from_TallyODBC_9000[[#This Row],[Ledger.`$Parent`]])</f>
        <v>#VALUE!</v>
      </c>
      <c r="B415" s="57" t="e">
        <f>CONCATENATE(Table_Query_from_TallyODBC_9000[[#This Row],[Ledger.`$Parent`]],A415)</f>
        <v>#VALUE!</v>
      </c>
    </row>
    <row r="416" spans="1:2">
      <c r="A416" s="57" t="e">
        <f>COUNTIF($C$2:Table_Query_from_TallyODBC_9000[[#This Row],[Ledger.`$Parent`]],Table_Query_from_TallyODBC_9000[[#This Row],[Ledger.`$Parent`]])</f>
        <v>#VALUE!</v>
      </c>
      <c r="B416" s="57" t="e">
        <f>CONCATENATE(Table_Query_from_TallyODBC_9000[[#This Row],[Ledger.`$Parent`]],A416)</f>
        <v>#VALUE!</v>
      </c>
    </row>
    <row r="417" spans="1:2">
      <c r="A417" s="57" t="e">
        <f>COUNTIF($C$2:Table_Query_from_TallyODBC_9000[[#This Row],[Ledger.`$Parent`]],Table_Query_from_TallyODBC_9000[[#This Row],[Ledger.`$Parent`]])</f>
        <v>#VALUE!</v>
      </c>
      <c r="B417" s="57" t="e">
        <f>CONCATENATE(Table_Query_from_TallyODBC_9000[[#This Row],[Ledger.`$Parent`]],A417)</f>
        <v>#VALUE!</v>
      </c>
    </row>
    <row r="418" spans="1:2">
      <c r="A418" s="57" t="e">
        <f>COUNTIF($C$2:Table_Query_from_TallyODBC_9000[[#This Row],[Ledger.`$Parent`]],Table_Query_from_TallyODBC_9000[[#This Row],[Ledger.`$Parent`]])</f>
        <v>#VALUE!</v>
      </c>
      <c r="B418" s="57" t="e">
        <f>CONCATENATE(Table_Query_from_TallyODBC_9000[[#This Row],[Ledger.`$Parent`]],A418)</f>
        <v>#VALUE!</v>
      </c>
    </row>
    <row r="419" spans="1:2">
      <c r="A419" s="57" t="e">
        <f>COUNTIF($C$2:Table_Query_from_TallyODBC_9000[[#This Row],[Ledger.`$Parent`]],Table_Query_from_TallyODBC_9000[[#This Row],[Ledger.`$Parent`]])</f>
        <v>#VALUE!</v>
      </c>
      <c r="B419" s="57" t="e">
        <f>CONCATENATE(Table_Query_from_TallyODBC_9000[[#This Row],[Ledger.`$Parent`]],A419)</f>
        <v>#VALUE!</v>
      </c>
    </row>
    <row r="420" spans="1:2">
      <c r="A420" s="57" t="e">
        <f>COUNTIF($C$2:Table_Query_from_TallyODBC_9000[[#This Row],[Ledger.`$Parent`]],Table_Query_from_TallyODBC_9000[[#This Row],[Ledger.`$Parent`]])</f>
        <v>#VALUE!</v>
      </c>
      <c r="B420" s="57" t="e">
        <f>CONCATENATE(Table_Query_from_TallyODBC_9000[[#This Row],[Ledger.`$Parent`]],A420)</f>
        <v>#VALUE!</v>
      </c>
    </row>
    <row r="421" spans="1:2">
      <c r="A421" s="57" t="e">
        <f>COUNTIF($C$2:Table_Query_from_TallyODBC_9000[[#This Row],[Ledger.`$Parent`]],Table_Query_from_TallyODBC_9000[[#This Row],[Ledger.`$Parent`]])</f>
        <v>#VALUE!</v>
      </c>
      <c r="B421" s="57" t="e">
        <f>CONCATENATE(Table_Query_from_TallyODBC_9000[[#This Row],[Ledger.`$Parent`]],A421)</f>
        <v>#VALUE!</v>
      </c>
    </row>
    <row r="422" spans="1:2">
      <c r="A422" s="57" t="e">
        <f>COUNTIF($C$2:Table_Query_from_TallyODBC_9000[[#This Row],[Ledger.`$Parent`]],Table_Query_from_TallyODBC_9000[[#This Row],[Ledger.`$Parent`]])</f>
        <v>#VALUE!</v>
      </c>
      <c r="B422" s="57" t="e">
        <f>CONCATENATE(Table_Query_from_TallyODBC_9000[[#This Row],[Ledger.`$Parent`]],A422)</f>
        <v>#VALUE!</v>
      </c>
    </row>
    <row r="423" spans="1:2">
      <c r="A423" s="57" t="e">
        <f>COUNTIF($C$2:Table_Query_from_TallyODBC_9000[[#This Row],[Ledger.`$Parent`]],Table_Query_from_TallyODBC_9000[[#This Row],[Ledger.`$Parent`]])</f>
        <v>#VALUE!</v>
      </c>
      <c r="B423" s="57" t="e">
        <f>CONCATENATE(Table_Query_from_TallyODBC_9000[[#This Row],[Ledger.`$Parent`]],A423)</f>
        <v>#VALUE!</v>
      </c>
    </row>
    <row r="424" spans="1:2">
      <c r="A424" s="57" t="e">
        <f>COUNTIF($C$2:Table_Query_from_TallyODBC_9000[[#This Row],[Ledger.`$Parent`]],Table_Query_from_TallyODBC_9000[[#This Row],[Ledger.`$Parent`]])</f>
        <v>#VALUE!</v>
      </c>
      <c r="B424" s="57" t="e">
        <f>CONCATENATE(Table_Query_from_TallyODBC_9000[[#This Row],[Ledger.`$Parent`]],A424)</f>
        <v>#VALUE!</v>
      </c>
    </row>
    <row r="425" spans="1:2">
      <c r="A425" s="57" t="e">
        <f>COUNTIF($C$2:Table_Query_from_TallyODBC_9000[[#This Row],[Ledger.`$Parent`]],Table_Query_from_TallyODBC_9000[[#This Row],[Ledger.`$Parent`]])</f>
        <v>#VALUE!</v>
      </c>
      <c r="B425" s="57" t="e">
        <f>CONCATENATE(Table_Query_from_TallyODBC_9000[[#This Row],[Ledger.`$Parent`]],A425)</f>
        <v>#VALUE!</v>
      </c>
    </row>
    <row r="426" spans="1:2">
      <c r="A426" s="57" t="e">
        <f>COUNTIF($C$2:Table_Query_from_TallyODBC_9000[[#This Row],[Ledger.`$Parent`]],Table_Query_from_TallyODBC_9000[[#This Row],[Ledger.`$Parent`]])</f>
        <v>#VALUE!</v>
      </c>
      <c r="B426" s="57" t="e">
        <f>CONCATENATE(Table_Query_from_TallyODBC_9000[[#This Row],[Ledger.`$Parent`]],A426)</f>
        <v>#VALUE!</v>
      </c>
    </row>
    <row r="427" spans="1:2">
      <c r="A427" s="57" t="e">
        <f>COUNTIF($C$2:Table_Query_from_TallyODBC_9000[[#This Row],[Ledger.`$Parent`]],Table_Query_from_TallyODBC_9000[[#This Row],[Ledger.`$Parent`]])</f>
        <v>#VALUE!</v>
      </c>
      <c r="B427" s="57" t="e">
        <f>CONCATENATE(Table_Query_from_TallyODBC_9000[[#This Row],[Ledger.`$Parent`]],A427)</f>
        <v>#VALUE!</v>
      </c>
    </row>
    <row r="428" spans="1:2">
      <c r="A428" s="57" t="e">
        <f>COUNTIF($C$2:Table_Query_from_TallyODBC_9000[[#This Row],[Ledger.`$Parent`]],Table_Query_from_TallyODBC_9000[[#This Row],[Ledger.`$Parent`]])</f>
        <v>#VALUE!</v>
      </c>
      <c r="B428" s="57" t="e">
        <f>CONCATENATE(Table_Query_from_TallyODBC_9000[[#This Row],[Ledger.`$Parent`]],A428)</f>
        <v>#VALUE!</v>
      </c>
    </row>
    <row r="429" spans="1:2">
      <c r="A429" s="57" t="e">
        <f>COUNTIF($C$2:Table_Query_from_TallyODBC_9000[[#This Row],[Ledger.`$Parent`]],Table_Query_from_TallyODBC_9000[[#This Row],[Ledger.`$Parent`]])</f>
        <v>#VALUE!</v>
      </c>
      <c r="B429" s="57" t="e">
        <f>CONCATENATE(Table_Query_from_TallyODBC_9000[[#This Row],[Ledger.`$Parent`]],A429)</f>
        <v>#VALUE!</v>
      </c>
    </row>
    <row r="430" spans="1:2">
      <c r="A430" s="57" t="e">
        <f>COUNTIF($C$2:Table_Query_from_TallyODBC_9000[[#This Row],[Ledger.`$Parent`]],Table_Query_from_TallyODBC_9000[[#This Row],[Ledger.`$Parent`]])</f>
        <v>#VALUE!</v>
      </c>
      <c r="B430" s="57" t="e">
        <f>CONCATENATE(Table_Query_from_TallyODBC_9000[[#This Row],[Ledger.`$Parent`]],A430)</f>
        <v>#VALUE!</v>
      </c>
    </row>
    <row r="431" spans="1:2">
      <c r="A431" s="57" t="e">
        <f>COUNTIF($C$2:Table_Query_from_TallyODBC_9000[[#This Row],[Ledger.`$Parent`]],Table_Query_from_TallyODBC_9000[[#This Row],[Ledger.`$Parent`]])</f>
        <v>#VALUE!</v>
      </c>
      <c r="B431" s="57" t="e">
        <f>CONCATENATE(Table_Query_from_TallyODBC_9000[[#This Row],[Ledger.`$Parent`]],A431)</f>
        <v>#VALUE!</v>
      </c>
    </row>
    <row r="432" spans="1:2">
      <c r="A432" s="57" t="e">
        <f>COUNTIF($C$2:Table_Query_from_TallyODBC_9000[[#This Row],[Ledger.`$Parent`]],Table_Query_from_TallyODBC_9000[[#This Row],[Ledger.`$Parent`]])</f>
        <v>#VALUE!</v>
      </c>
      <c r="B432" s="57" t="e">
        <f>CONCATENATE(Table_Query_from_TallyODBC_9000[[#This Row],[Ledger.`$Parent`]],A432)</f>
        <v>#VALUE!</v>
      </c>
    </row>
    <row r="433" spans="1:2">
      <c r="A433" s="57" t="e">
        <f>COUNTIF($C$2:Table_Query_from_TallyODBC_9000[[#This Row],[Ledger.`$Parent`]],Table_Query_from_TallyODBC_9000[[#This Row],[Ledger.`$Parent`]])</f>
        <v>#VALUE!</v>
      </c>
      <c r="B433" s="57" t="e">
        <f>CONCATENATE(Table_Query_from_TallyODBC_9000[[#This Row],[Ledger.`$Parent`]],A433)</f>
        <v>#VALUE!</v>
      </c>
    </row>
    <row r="434" spans="1:2">
      <c r="A434" s="57" t="e">
        <f>COUNTIF($C$2:Table_Query_from_TallyODBC_9000[[#This Row],[Ledger.`$Parent`]],Table_Query_from_TallyODBC_9000[[#This Row],[Ledger.`$Parent`]])</f>
        <v>#VALUE!</v>
      </c>
      <c r="B434" s="57" t="e">
        <f>CONCATENATE(Table_Query_from_TallyODBC_9000[[#This Row],[Ledger.`$Parent`]],A434)</f>
        <v>#VALUE!</v>
      </c>
    </row>
    <row r="435" spans="1:2">
      <c r="A435" s="57" t="e">
        <f>COUNTIF($C$2:Table_Query_from_TallyODBC_9000[[#This Row],[Ledger.`$Parent`]],Table_Query_from_TallyODBC_9000[[#This Row],[Ledger.`$Parent`]])</f>
        <v>#VALUE!</v>
      </c>
      <c r="B435" s="57" t="e">
        <f>CONCATENATE(Table_Query_from_TallyODBC_9000[[#This Row],[Ledger.`$Parent`]],A435)</f>
        <v>#VALUE!</v>
      </c>
    </row>
    <row r="436" spans="1:2">
      <c r="A436" s="57" t="e">
        <f>COUNTIF($C$2:Table_Query_from_TallyODBC_9000[[#This Row],[Ledger.`$Parent`]],Table_Query_from_TallyODBC_9000[[#This Row],[Ledger.`$Parent`]])</f>
        <v>#VALUE!</v>
      </c>
      <c r="B436" s="57" t="e">
        <f>CONCATENATE(Table_Query_from_TallyODBC_9000[[#This Row],[Ledger.`$Parent`]],A436)</f>
        <v>#VALUE!</v>
      </c>
    </row>
    <row r="437" spans="1:2">
      <c r="A437" s="57" t="e">
        <f>COUNTIF($C$2:Table_Query_from_TallyODBC_9000[[#This Row],[Ledger.`$Parent`]],Table_Query_from_TallyODBC_9000[[#This Row],[Ledger.`$Parent`]])</f>
        <v>#VALUE!</v>
      </c>
      <c r="B437" s="57" t="e">
        <f>CONCATENATE(Table_Query_from_TallyODBC_9000[[#This Row],[Ledger.`$Parent`]],A437)</f>
        <v>#VALUE!</v>
      </c>
    </row>
    <row r="438" spans="1:2">
      <c r="A438" s="57" t="e">
        <f>COUNTIF($C$2:Table_Query_from_TallyODBC_9000[[#This Row],[Ledger.`$Parent`]],Table_Query_from_TallyODBC_9000[[#This Row],[Ledger.`$Parent`]])</f>
        <v>#VALUE!</v>
      </c>
      <c r="B438" s="57" t="e">
        <f>CONCATENATE(Table_Query_from_TallyODBC_9000[[#This Row],[Ledger.`$Parent`]],A438)</f>
        <v>#VALUE!</v>
      </c>
    </row>
    <row r="439" spans="1:2">
      <c r="A439" s="57" t="e">
        <f>COUNTIF($C$2:Table_Query_from_TallyODBC_9000[[#This Row],[Ledger.`$Parent`]],Table_Query_from_TallyODBC_9000[[#This Row],[Ledger.`$Parent`]])</f>
        <v>#VALUE!</v>
      </c>
      <c r="B439" s="57" t="e">
        <f>CONCATENATE(Table_Query_from_TallyODBC_9000[[#This Row],[Ledger.`$Parent`]],A439)</f>
        <v>#VALUE!</v>
      </c>
    </row>
    <row r="440" spans="1:2">
      <c r="A440" s="57" t="e">
        <f>COUNTIF($C$2:Table_Query_from_TallyODBC_9000[[#This Row],[Ledger.`$Parent`]],Table_Query_from_TallyODBC_9000[[#This Row],[Ledger.`$Parent`]])</f>
        <v>#VALUE!</v>
      </c>
      <c r="B440" s="57" t="e">
        <f>CONCATENATE(Table_Query_from_TallyODBC_9000[[#This Row],[Ledger.`$Parent`]],A440)</f>
        <v>#VALUE!</v>
      </c>
    </row>
    <row r="441" spans="1:2">
      <c r="A441" s="57" t="e">
        <f>COUNTIF($C$2:Table_Query_from_TallyODBC_9000[[#This Row],[Ledger.`$Parent`]],Table_Query_from_TallyODBC_9000[[#This Row],[Ledger.`$Parent`]])</f>
        <v>#VALUE!</v>
      </c>
      <c r="B441" s="57" t="e">
        <f>CONCATENATE(Table_Query_from_TallyODBC_9000[[#This Row],[Ledger.`$Parent`]],A441)</f>
        <v>#VALUE!</v>
      </c>
    </row>
    <row r="442" spans="1:2">
      <c r="A442" s="57" t="e">
        <f>COUNTIF($C$2:Table_Query_from_TallyODBC_9000[[#This Row],[Ledger.`$Parent`]],Table_Query_from_TallyODBC_9000[[#This Row],[Ledger.`$Parent`]])</f>
        <v>#VALUE!</v>
      </c>
      <c r="B442" s="57" t="e">
        <f>CONCATENATE(Table_Query_from_TallyODBC_9000[[#This Row],[Ledger.`$Parent`]],A442)</f>
        <v>#VALUE!</v>
      </c>
    </row>
    <row r="443" spans="1:2">
      <c r="A443" s="57" t="e">
        <f>COUNTIF($C$2:Table_Query_from_TallyODBC_9000[[#This Row],[Ledger.`$Parent`]],Table_Query_from_TallyODBC_9000[[#This Row],[Ledger.`$Parent`]])</f>
        <v>#VALUE!</v>
      </c>
      <c r="B443" s="57" t="e">
        <f>CONCATENATE(Table_Query_from_TallyODBC_9000[[#This Row],[Ledger.`$Parent`]],A443)</f>
        <v>#VALUE!</v>
      </c>
    </row>
    <row r="444" spans="1:2">
      <c r="A444" s="57" t="e">
        <f>COUNTIF($C$2:Table_Query_from_TallyODBC_9000[[#This Row],[Ledger.`$Parent`]],Table_Query_from_TallyODBC_9000[[#This Row],[Ledger.`$Parent`]])</f>
        <v>#VALUE!</v>
      </c>
      <c r="B444" s="57" t="e">
        <f>CONCATENATE(Table_Query_from_TallyODBC_9000[[#This Row],[Ledger.`$Parent`]],A444)</f>
        <v>#VALUE!</v>
      </c>
    </row>
    <row r="445" spans="1:2">
      <c r="A445" s="57" t="e">
        <f>COUNTIF($C$2:Table_Query_from_TallyODBC_9000[[#This Row],[Ledger.`$Parent`]],Table_Query_from_TallyODBC_9000[[#This Row],[Ledger.`$Parent`]])</f>
        <v>#VALUE!</v>
      </c>
      <c r="B445" s="57" t="e">
        <f>CONCATENATE(Table_Query_from_TallyODBC_9000[[#This Row],[Ledger.`$Parent`]],A445)</f>
        <v>#VALUE!</v>
      </c>
    </row>
    <row r="446" spans="1:2">
      <c r="A446" s="57" t="e">
        <f>COUNTIF($C$2:Table_Query_from_TallyODBC_9000[[#This Row],[Ledger.`$Parent`]],Table_Query_from_TallyODBC_9000[[#This Row],[Ledger.`$Parent`]])</f>
        <v>#VALUE!</v>
      </c>
      <c r="B446" s="57" t="e">
        <f>CONCATENATE(Table_Query_from_TallyODBC_9000[[#This Row],[Ledger.`$Parent`]],A446)</f>
        <v>#VALUE!</v>
      </c>
    </row>
    <row r="447" spans="1:2">
      <c r="A447" s="57" t="e">
        <f>COUNTIF($C$2:Table_Query_from_TallyODBC_9000[[#This Row],[Ledger.`$Parent`]],Table_Query_from_TallyODBC_9000[[#This Row],[Ledger.`$Parent`]])</f>
        <v>#VALUE!</v>
      </c>
      <c r="B447" s="57" t="e">
        <f>CONCATENATE(Table_Query_from_TallyODBC_9000[[#This Row],[Ledger.`$Parent`]],A447)</f>
        <v>#VALUE!</v>
      </c>
    </row>
    <row r="448" spans="1:2">
      <c r="A448" s="57" t="e">
        <f>COUNTIF($C$2:Table_Query_from_TallyODBC_9000[[#This Row],[Ledger.`$Parent`]],Table_Query_from_TallyODBC_9000[[#This Row],[Ledger.`$Parent`]])</f>
        <v>#VALUE!</v>
      </c>
      <c r="B448" s="57" t="e">
        <f>CONCATENATE(Table_Query_from_TallyODBC_9000[[#This Row],[Ledger.`$Parent`]],A448)</f>
        <v>#VALUE!</v>
      </c>
    </row>
    <row r="449" spans="1:2">
      <c r="A449" s="57" t="e">
        <f>COUNTIF($C$2:Table_Query_from_TallyODBC_9000[[#This Row],[Ledger.`$Parent`]],Table_Query_from_TallyODBC_9000[[#This Row],[Ledger.`$Parent`]])</f>
        <v>#VALUE!</v>
      </c>
      <c r="B449" s="57" t="e">
        <f>CONCATENATE(Table_Query_from_TallyODBC_9000[[#This Row],[Ledger.`$Parent`]],A449)</f>
        <v>#VALUE!</v>
      </c>
    </row>
    <row r="450" spans="1:2">
      <c r="A450" s="57" t="e">
        <f>COUNTIF($C$2:Table_Query_from_TallyODBC_9000[[#This Row],[Ledger.`$Parent`]],Table_Query_from_TallyODBC_9000[[#This Row],[Ledger.`$Parent`]])</f>
        <v>#VALUE!</v>
      </c>
      <c r="B450" s="57" t="e">
        <f>CONCATENATE(Table_Query_from_TallyODBC_9000[[#This Row],[Ledger.`$Parent`]],A450)</f>
        <v>#VALUE!</v>
      </c>
    </row>
    <row r="451" spans="1:2">
      <c r="A451" s="57" t="e">
        <f>COUNTIF($C$2:Table_Query_from_TallyODBC_9000[[#This Row],[Ledger.`$Parent`]],Table_Query_from_TallyODBC_9000[[#This Row],[Ledger.`$Parent`]])</f>
        <v>#VALUE!</v>
      </c>
      <c r="B451" s="57" t="e">
        <f>CONCATENATE(Table_Query_from_TallyODBC_9000[[#This Row],[Ledger.`$Parent`]],A451)</f>
        <v>#VALUE!</v>
      </c>
    </row>
    <row r="452" spans="1:2">
      <c r="A452" s="57" t="e">
        <f>COUNTIF($C$2:Table_Query_from_TallyODBC_9000[[#This Row],[Ledger.`$Parent`]],Table_Query_from_TallyODBC_9000[[#This Row],[Ledger.`$Parent`]])</f>
        <v>#VALUE!</v>
      </c>
      <c r="B452" s="57" t="e">
        <f>CONCATENATE(Table_Query_from_TallyODBC_9000[[#This Row],[Ledger.`$Parent`]],A452)</f>
        <v>#VALUE!</v>
      </c>
    </row>
    <row r="453" spans="1:2">
      <c r="A453" s="57" t="e">
        <f>COUNTIF($C$2:Table_Query_from_TallyODBC_9000[[#This Row],[Ledger.`$Parent`]],Table_Query_from_TallyODBC_9000[[#This Row],[Ledger.`$Parent`]])</f>
        <v>#VALUE!</v>
      </c>
      <c r="B453" s="57" t="e">
        <f>CONCATENATE(Table_Query_from_TallyODBC_9000[[#This Row],[Ledger.`$Parent`]],A453)</f>
        <v>#VALUE!</v>
      </c>
    </row>
    <row r="454" spans="1:2">
      <c r="A454" s="57" t="e">
        <f>COUNTIF($C$2:Table_Query_from_TallyODBC_9000[[#This Row],[Ledger.`$Parent`]],Table_Query_from_TallyODBC_9000[[#This Row],[Ledger.`$Parent`]])</f>
        <v>#VALUE!</v>
      </c>
      <c r="B454" s="57" t="e">
        <f>CONCATENATE(Table_Query_from_TallyODBC_9000[[#This Row],[Ledger.`$Parent`]],A454)</f>
        <v>#VALUE!</v>
      </c>
    </row>
    <row r="455" spans="1:2">
      <c r="A455" s="57" t="e">
        <f>COUNTIF($C$2:Table_Query_from_TallyODBC_9000[[#This Row],[Ledger.`$Parent`]],Table_Query_from_TallyODBC_9000[[#This Row],[Ledger.`$Parent`]])</f>
        <v>#VALUE!</v>
      </c>
      <c r="B455" s="57" t="e">
        <f>CONCATENATE(Table_Query_from_TallyODBC_9000[[#This Row],[Ledger.`$Parent`]],A455)</f>
        <v>#VALUE!</v>
      </c>
    </row>
    <row r="456" spans="1:2">
      <c r="A456" s="57" t="e">
        <f>COUNTIF($C$2:Table_Query_from_TallyODBC_9000[[#This Row],[Ledger.`$Parent`]],Table_Query_from_TallyODBC_9000[[#This Row],[Ledger.`$Parent`]])</f>
        <v>#VALUE!</v>
      </c>
      <c r="B456" s="57" t="e">
        <f>CONCATENATE(Table_Query_from_TallyODBC_9000[[#This Row],[Ledger.`$Parent`]],A456)</f>
        <v>#VALUE!</v>
      </c>
    </row>
    <row r="457" spans="1:2">
      <c r="A457" s="57" t="e">
        <f>COUNTIF($C$2:Table_Query_from_TallyODBC_9000[[#This Row],[Ledger.`$Parent`]],Table_Query_from_TallyODBC_9000[[#This Row],[Ledger.`$Parent`]])</f>
        <v>#VALUE!</v>
      </c>
      <c r="B457" s="57" t="e">
        <f>CONCATENATE(Table_Query_from_TallyODBC_9000[[#This Row],[Ledger.`$Parent`]],A457)</f>
        <v>#VALUE!</v>
      </c>
    </row>
    <row r="458" spans="1:2">
      <c r="A458" s="57" t="e">
        <f>COUNTIF($C$2:Table_Query_from_TallyODBC_9000[[#This Row],[Ledger.`$Parent`]],Table_Query_from_TallyODBC_9000[[#This Row],[Ledger.`$Parent`]])</f>
        <v>#VALUE!</v>
      </c>
      <c r="B458" s="57" t="e">
        <f>CONCATENATE(Table_Query_from_TallyODBC_9000[[#This Row],[Ledger.`$Parent`]],A458)</f>
        <v>#VALUE!</v>
      </c>
    </row>
    <row r="459" spans="1:2">
      <c r="A459" s="57" t="e">
        <f>COUNTIF($C$2:Table_Query_from_TallyODBC_9000[[#This Row],[Ledger.`$Parent`]],Table_Query_from_TallyODBC_9000[[#This Row],[Ledger.`$Parent`]])</f>
        <v>#VALUE!</v>
      </c>
      <c r="B459" s="57" t="e">
        <f>CONCATENATE(Table_Query_from_TallyODBC_9000[[#This Row],[Ledger.`$Parent`]],A459)</f>
        <v>#VALUE!</v>
      </c>
    </row>
    <row r="460" spans="1:2">
      <c r="A460" s="57" t="e">
        <f>COUNTIF($C$2:Table_Query_from_TallyODBC_9000[[#This Row],[Ledger.`$Parent`]],Table_Query_from_TallyODBC_9000[[#This Row],[Ledger.`$Parent`]])</f>
        <v>#VALUE!</v>
      </c>
      <c r="B460" s="57" t="e">
        <f>CONCATENATE(Table_Query_from_TallyODBC_9000[[#This Row],[Ledger.`$Parent`]],A460)</f>
        <v>#VALUE!</v>
      </c>
    </row>
    <row r="461" spans="1:2">
      <c r="A461" s="57" t="e">
        <f>COUNTIF($C$2:Table_Query_from_TallyODBC_9000[[#This Row],[Ledger.`$Parent`]],Table_Query_from_TallyODBC_9000[[#This Row],[Ledger.`$Parent`]])</f>
        <v>#VALUE!</v>
      </c>
      <c r="B461" s="57" t="e">
        <f>CONCATENATE(Table_Query_from_TallyODBC_9000[[#This Row],[Ledger.`$Parent`]],A461)</f>
        <v>#VALUE!</v>
      </c>
    </row>
    <row r="462" spans="1:2">
      <c r="A462" s="57" t="e">
        <f>COUNTIF($C$2:Table_Query_from_TallyODBC_9000[[#This Row],[Ledger.`$Parent`]],Table_Query_from_TallyODBC_9000[[#This Row],[Ledger.`$Parent`]])</f>
        <v>#VALUE!</v>
      </c>
      <c r="B462" s="57" t="e">
        <f>CONCATENATE(Table_Query_from_TallyODBC_9000[[#This Row],[Ledger.`$Parent`]],A462)</f>
        <v>#VALUE!</v>
      </c>
    </row>
    <row r="463" spans="1:2">
      <c r="A463" s="57" t="e">
        <f>COUNTIF($C$2:Table_Query_from_TallyODBC_9000[[#This Row],[Ledger.`$Parent`]],Table_Query_from_TallyODBC_9000[[#This Row],[Ledger.`$Parent`]])</f>
        <v>#VALUE!</v>
      </c>
      <c r="B463" s="57" t="e">
        <f>CONCATENATE(Table_Query_from_TallyODBC_9000[[#This Row],[Ledger.`$Parent`]],A463)</f>
        <v>#VALUE!</v>
      </c>
    </row>
    <row r="464" spans="1:2">
      <c r="A464" s="57" t="e">
        <f>COUNTIF($C$2:Table_Query_from_TallyODBC_9000[[#This Row],[Ledger.`$Parent`]],Table_Query_from_TallyODBC_9000[[#This Row],[Ledger.`$Parent`]])</f>
        <v>#VALUE!</v>
      </c>
      <c r="B464" s="57" t="e">
        <f>CONCATENATE(Table_Query_from_TallyODBC_9000[[#This Row],[Ledger.`$Parent`]],A464)</f>
        <v>#VALUE!</v>
      </c>
    </row>
    <row r="465" spans="1:2">
      <c r="A465" s="57" t="e">
        <f>COUNTIF($C$2:Table_Query_from_TallyODBC_9000[[#This Row],[Ledger.`$Parent`]],Table_Query_from_TallyODBC_9000[[#This Row],[Ledger.`$Parent`]])</f>
        <v>#VALUE!</v>
      </c>
      <c r="B465" s="57" t="e">
        <f>CONCATENATE(Table_Query_from_TallyODBC_9000[[#This Row],[Ledger.`$Parent`]],A465)</f>
        <v>#VALUE!</v>
      </c>
    </row>
    <row r="466" spans="1:2">
      <c r="A466" s="57" t="e">
        <f>COUNTIF($C$2:Table_Query_from_TallyODBC_9000[[#This Row],[Ledger.`$Parent`]],Table_Query_from_TallyODBC_9000[[#This Row],[Ledger.`$Parent`]])</f>
        <v>#VALUE!</v>
      </c>
      <c r="B466" s="57" t="e">
        <f>CONCATENATE(Table_Query_from_TallyODBC_9000[[#This Row],[Ledger.`$Parent`]],A466)</f>
        <v>#VALUE!</v>
      </c>
    </row>
    <row r="467" spans="1:2">
      <c r="A467" s="57" t="e">
        <f>COUNTIF($C$2:Table_Query_from_TallyODBC_9000[[#This Row],[Ledger.`$Parent`]],Table_Query_from_TallyODBC_9000[[#This Row],[Ledger.`$Parent`]])</f>
        <v>#VALUE!</v>
      </c>
      <c r="B467" s="57" t="e">
        <f>CONCATENATE(Table_Query_from_TallyODBC_9000[[#This Row],[Ledger.`$Parent`]],A467)</f>
        <v>#VALUE!</v>
      </c>
    </row>
    <row r="468" spans="1:2">
      <c r="A468" s="57" t="e">
        <f>COUNTIF($C$2:Table_Query_from_TallyODBC_9000[[#This Row],[Ledger.`$Parent`]],Table_Query_from_TallyODBC_9000[[#This Row],[Ledger.`$Parent`]])</f>
        <v>#VALUE!</v>
      </c>
      <c r="B468" s="57" t="e">
        <f>CONCATENATE(Table_Query_from_TallyODBC_9000[[#This Row],[Ledger.`$Parent`]],A468)</f>
        <v>#VALUE!</v>
      </c>
    </row>
    <row r="469" spans="1:2">
      <c r="A469" s="57" t="e">
        <f>COUNTIF($C$2:Table_Query_from_TallyODBC_9000[[#This Row],[Ledger.`$Parent`]],Table_Query_from_TallyODBC_9000[[#This Row],[Ledger.`$Parent`]])</f>
        <v>#VALUE!</v>
      </c>
      <c r="B469" s="57" t="e">
        <f>CONCATENATE(Table_Query_from_TallyODBC_9000[[#This Row],[Ledger.`$Parent`]],A469)</f>
        <v>#VALUE!</v>
      </c>
    </row>
    <row r="470" spans="1:2">
      <c r="A470" s="57" t="e">
        <f>COUNTIF($C$2:Table_Query_from_TallyODBC_9000[[#This Row],[Ledger.`$Parent`]],Table_Query_from_TallyODBC_9000[[#This Row],[Ledger.`$Parent`]])</f>
        <v>#VALUE!</v>
      </c>
      <c r="B470" s="57" t="e">
        <f>CONCATENATE(Table_Query_from_TallyODBC_9000[[#This Row],[Ledger.`$Parent`]],A470)</f>
        <v>#VALUE!</v>
      </c>
    </row>
    <row r="471" spans="1:2">
      <c r="A471" s="57" t="e">
        <f>COUNTIF($C$2:Table_Query_from_TallyODBC_9000[[#This Row],[Ledger.`$Parent`]],Table_Query_from_TallyODBC_9000[[#This Row],[Ledger.`$Parent`]])</f>
        <v>#VALUE!</v>
      </c>
      <c r="B471" s="57" t="e">
        <f>CONCATENATE(Table_Query_from_TallyODBC_9000[[#This Row],[Ledger.`$Parent`]],A471)</f>
        <v>#VALUE!</v>
      </c>
    </row>
    <row r="472" spans="1:2">
      <c r="A472" s="57" t="e">
        <f>COUNTIF($C$2:Table_Query_from_TallyODBC_9000[[#This Row],[Ledger.`$Parent`]],Table_Query_from_TallyODBC_9000[[#This Row],[Ledger.`$Parent`]])</f>
        <v>#VALUE!</v>
      </c>
      <c r="B472" s="57" t="e">
        <f>CONCATENATE(Table_Query_from_TallyODBC_9000[[#This Row],[Ledger.`$Parent`]],A472)</f>
        <v>#VALUE!</v>
      </c>
    </row>
    <row r="473" spans="1:2">
      <c r="A473" s="57" t="e">
        <f>COUNTIF($C$2:Table_Query_from_TallyODBC_9000[[#This Row],[Ledger.`$Parent`]],Table_Query_from_TallyODBC_9000[[#This Row],[Ledger.`$Parent`]])</f>
        <v>#VALUE!</v>
      </c>
      <c r="B473" s="57" t="e">
        <f>CONCATENATE(Table_Query_from_TallyODBC_9000[[#This Row],[Ledger.`$Parent`]],A473)</f>
        <v>#VALUE!</v>
      </c>
    </row>
    <row r="474" spans="1:2">
      <c r="A474" s="57" t="e">
        <f>COUNTIF($C$2:Table_Query_from_TallyODBC_9000[[#This Row],[Ledger.`$Parent`]],Table_Query_from_TallyODBC_9000[[#This Row],[Ledger.`$Parent`]])</f>
        <v>#VALUE!</v>
      </c>
      <c r="B474" s="57" t="e">
        <f>CONCATENATE(Table_Query_from_TallyODBC_9000[[#This Row],[Ledger.`$Parent`]],A474)</f>
        <v>#VALUE!</v>
      </c>
    </row>
    <row r="475" spans="1:2">
      <c r="A475" s="57" t="e">
        <f>COUNTIF($C$2:Table_Query_from_TallyODBC_9000[[#This Row],[Ledger.`$Parent`]],Table_Query_from_TallyODBC_9000[[#This Row],[Ledger.`$Parent`]])</f>
        <v>#VALUE!</v>
      </c>
      <c r="B475" s="57" t="e">
        <f>CONCATENATE(Table_Query_from_TallyODBC_9000[[#This Row],[Ledger.`$Parent`]],A475)</f>
        <v>#VALUE!</v>
      </c>
    </row>
    <row r="476" spans="1:2">
      <c r="A476" s="57" t="e">
        <f>COUNTIF($C$2:Table_Query_from_TallyODBC_9000[[#This Row],[Ledger.`$Parent`]],Table_Query_from_TallyODBC_9000[[#This Row],[Ledger.`$Parent`]])</f>
        <v>#VALUE!</v>
      </c>
      <c r="B476" s="57" t="e">
        <f>CONCATENATE(Table_Query_from_TallyODBC_9000[[#This Row],[Ledger.`$Parent`]],A476)</f>
        <v>#VALUE!</v>
      </c>
    </row>
    <row r="477" spans="1:2">
      <c r="A477" s="57" t="e">
        <f>COUNTIF($C$2:Table_Query_from_TallyODBC_9000[[#This Row],[Ledger.`$Parent`]],Table_Query_from_TallyODBC_9000[[#This Row],[Ledger.`$Parent`]])</f>
        <v>#VALUE!</v>
      </c>
      <c r="B477" s="57" t="e">
        <f>CONCATENATE(Table_Query_from_TallyODBC_9000[[#This Row],[Ledger.`$Parent`]],A477)</f>
        <v>#VALUE!</v>
      </c>
    </row>
    <row r="478" spans="1:2">
      <c r="A478" s="57" t="e">
        <f>COUNTIF($C$2:Table_Query_from_TallyODBC_9000[[#This Row],[Ledger.`$Parent`]],Table_Query_from_TallyODBC_9000[[#This Row],[Ledger.`$Parent`]])</f>
        <v>#VALUE!</v>
      </c>
      <c r="B478" s="57" t="e">
        <f>CONCATENATE(Table_Query_from_TallyODBC_9000[[#This Row],[Ledger.`$Parent`]],A478)</f>
        <v>#VALUE!</v>
      </c>
    </row>
    <row r="479" spans="1:2">
      <c r="A479" s="57" t="e">
        <f>COUNTIF($C$2:Table_Query_from_TallyODBC_9000[[#This Row],[Ledger.`$Parent`]],Table_Query_from_TallyODBC_9000[[#This Row],[Ledger.`$Parent`]])</f>
        <v>#VALUE!</v>
      </c>
      <c r="B479" s="57" t="e">
        <f>CONCATENATE(Table_Query_from_TallyODBC_9000[[#This Row],[Ledger.`$Parent`]],A479)</f>
        <v>#VALUE!</v>
      </c>
    </row>
    <row r="480" spans="1:2">
      <c r="A480" s="57" t="e">
        <f>COUNTIF($C$2:Table_Query_from_TallyODBC_9000[[#This Row],[Ledger.`$Parent`]],Table_Query_from_TallyODBC_9000[[#This Row],[Ledger.`$Parent`]])</f>
        <v>#VALUE!</v>
      </c>
      <c r="B480" s="57" t="e">
        <f>CONCATENATE(Table_Query_from_TallyODBC_9000[[#This Row],[Ledger.`$Parent`]],A480)</f>
        <v>#VALUE!</v>
      </c>
    </row>
    <row r="481" spans="1:2">
      <c r="A481" s="57" t="e">
        <f>COUNTIF($C$2:Table_Query_from_TallyODBC_9000[[#This Row],[Ledger.`$Parent`]],Table_Query_from_TallyODBC_9000[[#This Row],[Ledger.`$Parent`]])</f>
        <v>#VALUE!</v>
      </c>
      <c r="B481" s="57" t="e">
        <f>CONCATENATE(Table_Query_from_TallyODBC_9000[[#This Row],[Ledger.`$Parent`]],A481)</f>
        <v>#VALUE!</v>
      </c>
    </row>
    <row r="482" spans="1:2">
      <c r="A482" s="57" t="e">
        <f>COUNTIF($C$2:Table_Query_from_TallyODBC_9000[[#This Row],[Ledger.`$Parent`]],Table_Query_from_TallyODBC_9000[[#This Row],[Ledger.`$Parent`]])</f>
        <v>#VALUE!</v>
      </c>
      <c r="B482" s="57" t="e">
        <f>CONCATENATE(Table_Query_from_TallyODBC_9000[[#This Row],[Ledger.`$Parent`]],A482)</f>
        <v>#VALUE!</v>
      </c>
    </row>
    <row r="483" spans="1:2">
      <c r="A483" s="57" t="e">
        <f>COUNTIF($C$2:Table_Query_from_TallyODBC_9000[[#This Row],[Ledger.`$Parent`]],Table_Query_from_TallyODBC_9000[[#This Row],[Ledger.`$Parent`]])</f>
        <v>#VALUE!</v>
      </c>
      <c r="B483" s="57" t="e">
        <f>CONCATENATE(Table_Query_from_TallyODBC_9000[[#This Row],[Ledger.`$Parent`]],A483)</f>
        <v>#VALUE!</v>
      </c>
    </row>
    <row r="484" spans="1:2">
      <c r="A484" s="57" t="e">
        <f>COUNTIF($C$2:Table_Query_from_TallyODBC_9000[[#This Row],[Ledger.`$Parent`]],Table_Query_from_TallyODBC_9000[[#This Row],[Ledger.`$Parent`]])</f>
        <v>#VALUE!</v>
      </c>
      <c r="B484" s="57" t="e">
        <f>CONCATENATE(Table_Query_from_TallyODBC_9000[[#This Row],[Ledger.`$Parent`]],A484)</f>
        <v>#VALUE!</v>
      </c>
    </row>
    <row r="485" spans="1:2">
      <c r="A485" s="57" t="e">
        <f>COUNTIF($C$2:Table_Query_from_TallyODBC_9000[[#This Row],[Ledger.`$Parent`]],Table_Query_from_TallyODBC_9000[[#This Row],[Ledger.`$Parent`]])</f>
        <v>#VALUE!</v>
      </c>
      <c r="B485" s="57" t="e">
        <f>CONCATENATE(Table_Query_from_TallyODBC_9000[[#This Row],[Ledger.`$Parent`]],A485)</f>
        <v>#VALUE!</v>
      </c>
    </row>
    <row r="486" spans="1:2">
      <c r="A486" s="57" t="e">
        <f>COUNTIF($C$2:Table_Query_from_TallyODBC_9000[[#This Row],[Ledger.`$Parent`]],Table_Query_from_TallyODBC_9000[[#This Row],[Ledger.`$Parent`]])</f>
        <v>#VALUE!</v>
      </c>
      <c r="B486" s="57" t="e">
        <f>CONCATENATE(Table_Query_from_TallyODBC_9000[[#This Row],[Ledger.`$Parent`]],A486)</f>
        <v>#VALUE!</v>
      </c>
    </row>
    <row r="487" spans="1:2">
      <c r="A487" s="57" t="e">
        <f>COUNTIF($C$2:Table_Query_from_TallyODBC_9000[[#This Row],[Ledger.`$Parent`]],Table_Query_from_TallyODBC_9000[[#This Row],[Ledger.`$Parent`]])</f>
        <v>#VALUE!</v>
      </c>
      <c r="B487" s="57" t="e">
        <f>CONCATENATE(Table_Query_from_TallyODBC_9000[[#This Row],[Ledger.`$Parent`]],A487)</f>
        <v>#VALUE!</v>
      </c>
    </row>
    <row r="488" spans="1:2">
      <c r="A488" s="57" t="e">
        <f>COUNTIF($C$2:Table_Query_from_TallyODBC_9000[[#This Row],[Ledger.`$Parent`]],Table_Query_from_TallyODBC_9000[[#This Row],[Ledger.`$Parent`]])</f>
        <v>#VALUE!</v>
      </c>
      <c r="B488" s="57" t="e">
        <f>CONCATENATE(Table_Query_from_TallyODBC_9000[[#This Row],[Ledger.`$Parent`]],A488)</f>
        <v>#VALUE!</v>
      </c>
    </row>
    <row r="489" spans="1:2">
      <c r="A489" s="57" t="e">
        <f>COUNTIF($C$2:Table_Query_from_TallyODBC_9000[[#This Row],[Ledger.`$Parent`]],Table_Query_from_TallyODBC_9000[[#This Row],[Ledger.`$Parent`]])</f>
        <v>#VALUE!</v>
      </c>
      <c r="B489" s="57" t="e">
        <f>CONCATENATE(Table_Query_from_TallyODBC_9000[[#This Row],[Ledger.`$Parent`]],A489)</f>
        <v>#VALUE!</v>
      </c>
    </row>
    <row r="490" spans="1:2">
      <c r="A490" s="57" t="e">
        <f>COUNTIF($C$2:Table_Query_from_TallyODBC_9000[[#This Row],[Ledger.`$Parent`]],Table_Query_from_TallyODBC_9000[[#This Row],[Ledger.`$Parent`]])</f>
        <v>#VALUE!</v>
      </c>
      <c r="B490" s="57" t="e">
        <f>CONCATENATE(Table_Query_from_TallyODBC_9000[[#This Row],[Ledger.`$Parent`]],A490)</f>
        <v>#VALUE!</v>
      </c>
    </row>
    <row r="491" spans="1:2">
      <c r="A491" s="57" t="e">
        <f>COUNTIF($C$2:Table_Query_from_TallyODBC_9000[[#This Row],[Ledger.`$Parent`]],Table_Query_from_TallyODBC_9000[[#This Row],[Ledger.`$Parent`]])</f>
        <v>#VALUE!</v>
      </c>
      <c r="B491" s="57" t="e">
        <f>CONCATENATE(Table_Query_from_TallyODBC_9000[[#This Row],[Ledger.`$Parent`]],A491)</f>
        <v>#VALUE!</v>
      </c>
    </row>
    <row r="492" spans="1:2">
      <c r="A492" s="57" t="e">
        <f>COUNTIF($C$2:Table_Query_from_TallyODBC_9000[[#This Row],[Ledger.`$Parent`]],Table_Query_from_TallyODBC_9000[[#This Row],[Ledger.`$Parent`]])</f>
        <v>#VALUE!</v>
      </c>
      <c r="B492" s="57" t="e">
        <f>CONCATENATE(Table_Query_from_TallyODBC_9000[[#This Row],[Ledger.`$Parent`]],A492)</f>
        <v>#VALUE!</v>
      </c>
    </row>
    <row r="493" spans="1:2">
      <c r="A493" s="57" t="e">
        <f>COUNTIF($C$2:Table_Query_from_TallyODBC_9000[[#This Row],[Ledger.`$Parent`]],Table_Query_from_TallyODBC_9000[[#This Row],[Ledger.`$Parent`]])</f>
        <v>#VALUE!</v>
      </c>
      <c r="B493" s="57" t="e">
        <f>CONCATENATE(Table_Query_from_TallyODBC_9000[[#This Row],[Ledger.`$Parent`]],A493)</f>
        <v>#VALUE!</v>
      </c>
    </row>
    <row r="494" spans="1:2">
      <c r="A494" s="57" t="e">
        <f>COUNTIF($C$2:Table_Query_from_TallyODBC_9000[[#This Row],[Ledger.`$Parent`]],Table_Query_from_TallyODBC_9000[[#This Row],[Ledger.`$Parent`]])</f>
        <v>#VALUE!</v>
      </c>
      <c r="B494" s="57" t="e">
        <f>CONCATENATE(Table_Query_from_TallyODBC_9000[[#This Row],[Ledger.`$Parent`]],A494)</f>
        <v>#VALUE!</v>
      </c>
    </row>
    <row r="495" spans="1:2">
      <c r="A495" s="57" t="e">
        <f>COUNTIF($C$2:Table_Query_from_TallyODBC_9000[[#This Row],[Ledger.`$Parent`]],Table_Query_from_TallyODBC_9000[[#This Row],[Ledger.`$Parent`]])</f>
        <v>#VALUE!</v>
      </c>
      <c r="B495" s="57" t="e">
        <f>CONCATENATE(Table_Query_from_TallyODBC_9000[[#This Row],[Ledger.`$Parent`]],A495)</f>
        <v>#VALUE!</v>
      </c>
    </row>
    <row r="496" spans="1:2">
      <c r="A496" s="57" t="e">
        <f>COUNTIF($C$2:Table_Query_from_TallyODBC_9000[[#This Row],[Ledger.`$Parent`]],Table_Query_from_TallyODBC_9000[[#This Row],[Ledger.`$Parent`]])</f>
        <v>#VALUE!</v>
      </c>
      <c r="B496" s="57" t="e">
        <f>CONCATENATE(Table_Query_from_TallyODBC_9000[[#This Row],[Ledger.`$Parent`]],A496)</f>
        <v>#VALUE!</v>
      </c>
    </row>
    <row r="497" spans="1:2">
      <c r="A497" s="57" t="e">
        <f>COUNTIF($C$2:Table_Query_from_TallyODBC_9000[[#This Row],[Ledger.`$Parent`]],Table_Query_from_TallyODBC_9000[[#This Row],[Ledger.`$Parent`]])</f>
        <v>#VALUE!</v>
      </c>
      <c r="B497" s="57" t="e">
        <f>CONCATENATE(Table_Query_from_TallyODBC_9000[[#This Row],[Ledger.`$Parent`]],A497)</f>
        <v>#VALUE!</v>
      </c>
    </row>
    <row r="498" spans="1:2">
      <c r="A498" s="57" t="e">
        <f>COUNTIF($C$2:Table_Query_from_TallyODBC_9000[[#This Row],[Ledger.`$Parent`]],Table_Query_from_TallyODBC_9000[[#This Row],[Ledger.`$Parent`]])</f>
        <v>#VALUE!</v>
      </c>
      <c r="B498" s="57" t="e">
        <f>CONCATENATE(Table_Query_from_TallyODBC_9000[[#This Row],[Ledger.`$Parent`]],A498)</f>
        <v>#VALUE!</v>
      </c>
    </row>
    <row r="499" spans="1:2">
      <c r="A499" s="57" t="e">
        <f>COUNTIF($C$2:Table_Query_from_TallyODBC_9000[[#This Row],[Ledger.`$Parent`]],Table_Query_from_TallyODBC_9000[[#This Row],[Ledger.`$Parent`]])</f>
        <v>#VALUE!</v>
      </c>
      <c r="B499" s="57" t="e">
        <f>CONCATENATE(Table_Query_from_TallyODBC_9000[[#This Row],[Ledger.`$Parent`]],A499)</f>
        <v>#VALUE!</v>
      </c>
    </row>
    <row r="500" spans="1:2">
      <c r="A500" s="57" t="e">
        <f>COUNTIF($C$2:Table_Query_from_TallyODBC_9000[[#This Row],[Ledger.`$Parent`]],Table_Query_from_TallyODBC_9000[[#This Row],[Ledger.`$Parent`]])</f>
        <v>#VALUE!</v>
      </c>
      <c r="B500" s="57" t="e">
        <f>CONCATENATE(Table_Query_from_TallyODBC_9000[[#This Row],[Ledger.`$Parent`]],A500)</f>
        <v>#VALUE!</v>
      </c>
    </row>
    <row r="501" spans="1:2">
      <c r="A501" s="57" t="e">
        <f>COUNTIF($C$2:Table_Query_from_TallyODBC_9000[[#This Row],[Ledger.`$Parent`]],Table_Query_from_TallyODBC_9000[[#This Row],[Ledger.`$Parent`]])</f>
        <v>#VALUE!</v>
      </c>
      <c r="B501" s="57" t="e">
        <f>CONCATENATE(Table_Query_from_TallyODBC_9000[[#This Row],[Ledger.`$Parent`]],A501)</f>
        <v>#VALUE!</v>
      </c>
    </row>
    <row r="502" spans="1:2">
      <c r="A502" s="57" t="e">
        <f>COUNTIF($C$2:Table_Query_from_TallyODBC_9000[[#This Row],[Ledger.`$Parent`]],Table_Query_from_TallyODBC_9000[[#This Row],[Ledger.`$Parent`]])</f>
        <v>#VALUE!</v>
      </c>
      <c r="B502" s="57" t="e">
        <f>CONCATENATE(Table_Query_from_TallyODBC_9000[[#This Row],[Ledger.`$Parent`]],A502)</f>
        <v>#VALUE!</v>
      </c>
    </row>
    <row r="503" spans="1:2">
      <c r="A503" s="57" t="e">
        <f>COUNTIF($C$2:Table_Query_from_TallyODBC_9000[[#This Row],[Ledger.`$Parent`]],Table_Query_from_TallyODBC_9000[[#This Row],[Ledger.`$Parent`]])</f>
        <v>#VALUE!</v>
      </c>
      <c r="B503" s="57" t="e">
        <f>CONCATENATE(Table_Query_from_TallyODBC_9000[[#This Row],[Ledger.`$Parent`]],A503)</f>
        <v>#VALUE!</v>
      </c>
    </row>
    <row r="504" spans="1:2">
      <c r="A504" s="57" t="e">
        <f>COUNTIF($C$2:Table_Query_from_TallyODBC_9000[[#This Row],[Ledger.`$Parent`]],Table_Query_from_TallyODBC_9000[[#This Row],[Ledger.`$Parent`]])</f>
        <v>#VALUE!</v>
      </c>
      <c r="B504" s="57" t="e">
        <f>CONCATENATE(Table_Query_from_TallyODBC_9000[[#This Row],[Ledger.`$Parent`]],A504)</f>
        <v>#VALUE!</v>
      </c>
    </row>
    <row r="505" spans="1:2">
      <c r="A505" s="57" t="e">
        <f>COUNTIF($C$2:Table_Query_from_TallyODBC_9000[[#This Row],[Ledger.`$Parent`]],Table_Query_from_TallyODBC_9000[[#This Row],[Ledger.`$Parent`]])</f>
        <v>#VALUE!</v>
      </c>
      <c r="B505" s="57" t="e">
        <f>CONCATENATE(Table_Query_from_TallyODBC_9000[[#This Row],[Ledger.`$Parent`]],A505)</f>
        <v>#VALUE!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D259"/>
  <sheetViews>
    <sheetView showGridLines="0" topLeftCell="D1" workbookViewId="0">
      <selection activeCell="D1" sqref="D1"/>
    </sheetView>
  </sheetViews>
  <sheetFormatPr defaultRowHeight="15"/>
  <cols>
    <col min="1" max="1" width="14.140625" hidden="1" customWidth="1"/>
    <col min="2" max="2" width="4" hidden="1" customWidth="1"/>
    <col min="3" max="3" width="15.140625" hidden="1" customWidth="1"/>
    <col min="4" max="4" width="31.5703125" bestFit="1" customWidth="1"/>
    <col min="7" max="7" width="17.7109375" hidden="1" customWidth="1"/>
    <col min="8" max="8" width="3" hidden="1" customWidth="1"/>
    <col min="9" max="9" width="18.7109375" hidden="1" customWidth="1"/>
    <col min="10" max="10" width="21.5703125" customWidth="1"/>
    <col min="11" max="11" width="12.7109375" bestFit="1" customWidth="1"/>
    <col min="13" max="13" width="13.42578125" hidden="1" customWidth="1"/>
    <col min="14" max="14" width="0" hidden="1" customWidth="1"/>
    <col min="15" max="15" width="14.42578125" hidden="1" customWidth="1"/>
    <col min="16" max="16" width="15" bestFit="1" customWidth="1"/>
    <col min="19" max="19" width="13.42578125" hidden="1" customWidth="1"/>
    <col min="20" max="20" width="3.28515625" hidden="1" customWidth="1"/>
    <col min="21" max="21" width="14.42578125" hidden="1" customWidth="1"/>
    <col min="22" max="22" width="15" bestFit="1" customWidth="1"/>
    <col min="24" max="24" width="9.140625" style="57"/>
    <col min="25" max="27" width="0" style="57" hidden="1" customWidth="1"/>
    <col min="28" max="28" width="15.42578125" style="57" bestFit="1" customWidth="1"/>
    <col min="29" max="30" width="9.140625" style="57"/>
    <col min="31" max="31" width="15.140625" hidden="1" customWidth="1"/>
    <col min="32" max="32" width="3.5703125" hidden="1" customWidth="1"/>
    <col min="33" max="33" width="16.140625" hidden="1" customWidth="1"/>
    <col min="34" max="34" width="20.140625" bestFit="1" customWidth="1"/>
    <col min="35" max="35" width="9.85546875" customWidth="1"/>
    <col min="37" max="37" width="15.140625" hidden="1" customWidth="1"/>
    <col min="38" max="38" width="3.28515625" hidden="1" customWidth="1"/>
    <col min="39" max="39" width="17.85546875" hidden="1" customWidth="1"/>
    <col min="40" max="40" width="27.42578125" bestFit="1" customWidth="1"/>
    <col min="43" max="43" width="16.7109375" hidden="1" customWidth="1"/>
    <col min="44" max="44" width="3.140625" hidden="1" customWidth="1"/>
    <col min="45" max="45" width="0" hidden="1" customWidth="1"/>
    <col min="46" max="46" width="15.42578125" bestFit="1" customWidth="1"/>
    <col min="49" max="49" width="0" hidden="1" customWidth="1"/>
    <col min="50" max="50" width="2.7109375" hidden="1" customWidth="1"/>
    <col min="51" max="51" width="0" hidden="1" customWidth="1"/>
    <col min="52" max="52" width="15.5703125" bestFit="1" customWidth="1"/>
    <col min="55" max="55" width="14.85546875" hidden="1" customWidth="1"/>
    <col min="56" max="56" width="3.140625" hidden="1" customWidth="1"/>
    <col min="57" max="57" width="15.85546875" hidden="1" customWidth="1"/>
    <col min="58" max="58" width="27.42578125" bestFit="1" customWidth="1"/>
    <col min="59" max="59" width="11.140625" style="57" customWidth="1"/>
    <col min="62" max="64" width="0" hidden="1" customWidth="1"/>
    <col min="66" max="66" width="9.140625" style="57"/>
    <col min="69" max="71" width="0" hidden="1" customWidth="1"/>
    <col min="73" max="73" width="9.140625" style="57"/>
    <col min="76" max="76" width="16" hidden="1" customWidth="1"/>
    <col min="77" max="77" width="3.7109375" hidden="1" customWidth="1"/>
    <col min="78" max="78" width="17" hidden="1" customWidth="1"/>
    <col min="79" max="79" width="24.5703125" bestFit="1" customWidth="1"/>
    <col min="80" max="80" width="10" style="57" customWidth="1"/>
    <col min="83" max="85" width="0" hidden="1" customWidth="1"/>
    <col min="87" max="87" width="9.140625" style="57"/>
    <col min="89" max="89" width="9.140625" style="57"/>
    <col min="90" max="92" width="0" style="57" hidden="1" customWidth="1"/>
    <col min="93" max="95" width="9.140625" style="57"/>
    <col min="97" max="97" width="16" hidden="1" customWidth="1"/>
    <col min="98" max="98" width="3.5703125" hidden="1" customWidth="1"/>
    <col min="99" max="99" width="17" hidden="1" customWidth="1"/>
    <col min="100" max="100" width="24.5703125" bestFit="1" customWidth="1"/>
    <col min="101" max="101" width="13.42578125" style="57" customWidth="1"/>
    <col min="102" max="102" width="8.140625" customWidth="1"/>
    <col min="104" max="104" width="16" hidden="1" customWidth="1"/>
    <col min="105" max="105" width="2" hidden="1" customWidth="1"/>
    <col min="106" max="106" width="17" hidden="1" customWidth="1"/>
    <col min="107" max="107" width="24.5703125" bestFit="1" customWidth="1"/>
    <col min="108" max="108" width="11.85546875" style="57" customWidth="1"/>
    <col min="109" max="110" width="8.140625" customWidth="1"/>
    <col min="111" max="113" width="8.140625" hidden="1" customWidth="1"/>
    <col min="114" max="114" width="8.140625" customWidth="1"/>
    <col min="115" max="115" width="8.140625" style="57" customWidth="1"/>
    <col min="116" max="117" width="8.140625" customWidth="1"/>
    <col min="118" max="118" width="12" hidden="1" customWidth="1"/>
    <col min="119" max="119" width="3.28515625" hidden="1" customWidth="1"/>
    <col min="120" max="120" width="13.140625" hidden="1" customWidth="1"/>
    <col min="122" max="122" width="9.140625" style="57"/>
    <col min="125" max="127" width="0" hidden="1" customWidth="1"/>
    <col min="129" max="129" width="9.140625" style="57"/>
    <col min="131" max="131" width="9.140625" style="57"/>
    <col min="132" max="134" width="0" style="57" hidden="1" customWidth="1"/>
    <col min="135" max="137" width="9.140625" style="57"/>
    <col min="139" max="139" width="14.7109375" hidden="1" customWidth="1"/>
    <col min="140" max="140" width="3.28515625" hidden="1" customWidth="1"/>
    <col min="141" max="141" width="15.7109375" hidden="1" customWidth="1"/>
    <col min="142" max="142" width="28.5703125" bestFit="1" customWidth="1"/>
    <col min="143" max="143" width="10.85546875" style="57" customWidth="1"/>
    <col min="146" max="146" width="12.7109375" hidden="1" customWidth="1"/>
    <col min="147" max="147" width="3.85546875" hidden="1" customWidth="1"/>
    <col min="148" max="148" width="13.85546875" hidden="1" customWidth="1"/>
    <col min="150" max="150" width="9.140625" style="57"/>
    <col min="153" max="153" width="13.85546875" hidden="1" customWidth="1"/>
    <col min="154" max="154" width="4.42578125" hidden="1" customWidth="1"/>
    <col min="155" max="155" width="14.85546875" hidden="1" customWidth="1"/>
    <col min="156" max="156" width="30" bestFit="1" customWidth="1"/>
    <col min="157" max="157" width="9.42578125" style="57" customWidth="1"/>
    <col min="160" max="162" width="0" hidden="1" customWidth="1"/>
    <col min="164" max="164" width="9.140625" style="57"/>
    <col min="167" max="167" width="0" hidden="1" customWidth="1"/>
    <col min="168" max="168" width="5.42578125" hidden="1" customWidth="1"/>
    <col min="169" max="169" width="0" hidden="1" customWidth="1"/>
    <col min="170" max="170" width="20.28515625" bestFit="1" customWidth="1"/>
    <col min="171" max="171" width="11.5703125" style="57" customWidth="1"/>
    <col min="174" max="176" width="0" hidden="1" customWidth="1"/>
    <col min="181" max="183" width="0" hidden="1" customWidth="1"/>
  </cols>
  <sheetData>
    <row r="1" spans="1:186" ht="15.75" thickBot="1"/>
    <row r="2" spans="1:186" ht="15.75" thickBot="1">
      <c r="A2" s="101" t="s">
        <v>33</v>
      </c>
      <c r="B2" s="102"/>
      <c r="C2" s="102"/>
      <c r="D2" s="103" t="s">
        <v>33</v>
      </c>
      <c r="E2" s="104"/>
      <c r="G2" s="105" t="s">
        <v>32</v>
      </c>
      <c r="H2" s="105"/>
      <c r="I2" s="101"/>
      <c r="J2" s="103" t="s">
        <v>32</v>
      </c>
      <c r="K2" s="104"/>
      <c r="L2" s="20"/>
      <c r="M2" s="105" t="s">
        <v>10</v>
      </c>
      <c r="N2" s="105"/>
      <c r="O2" s="101"/>
      <c r="P2" s="103" t="s">
        <v>27</v>
      </c>
      <c r="Q2" s="104"/>
      <c r="R2" s="20"/>
      <c r="S2" s="105" t="s">
        <v>9</v>
      </c>
      <c r="T2" s="105"/>
      <c r="U2" s="101"/>
      <c r="V2" s="103" t="s">
        <v>27</v>
      </c>
      <c r="W2" s="104"/>
      <c r="X2" s="133"/>
      <c r="Y2" s="106" t="s">
        <v>168</v>
      </c>
      <c r="Z2" s="107"/>
      <c r="AA2" s="107"/>
      <c r="AB2" s="108" t="s">
        <v>168</v>
      </c>
      <c r="AC2" s="109"/>
      <c r="AD2" s="133"/>
      <c r="AE2" s="106" t="s">
        <v>37</v>
      </c>
      <c r="AF2" s="107"/>
      <c r="AG2" s="107"/>
      <c r="AH2" s="108" t="s">
        <v>37</v>
      </c>
      <c r="AI2" s="109"/>
      <c r="AK2" s="106" t="s">
        <v>23</v>
      </c>
      <c r="AL2" s="107"/>
      <c r="AM2" s="107"/>
      <c r="AN2" s="108" t="s">
        <v>23</v>
      </c>
      <c r="AO2" s="109"/>
      <c r="AQ2" s="106" t="s">
        <v>28</v>
      </c>
      <c r="AR2" s="107"/>
      <c r="AS2" s="107"/>
      <c r="AT2" s="108" t="s">
        <v>28</v>
      </c>
      <c r="AU2" s="109"/>
      <c r="AW2" s="106" t="s">
        <v>31</v>
      </c>
      <c r="AX2" s="107"/>
      <c r="AY2" s="107"/>
      <c r="AZ2" s="108" t="s">
        <v>31</v>
      </c>
      <c r="BA2" s="109"/>
      <c r="BC2" s="106" t="s">
        <v>29</v>
      </c>
      <c r="BD2" s="107"/>
      <c r="BE2" s="107"/>
      <c r="BF2" s="108" t="s">
        <v>29</v>
      </c>
      <c r="BG2" s="110"/>
      <c r="BH2" s="109"/>
      <c r="BI2" s="24"/>
      <c r="BJ2" s="106" t="s">
        <v>46</v>
      </c>
      <c r="BK2" s="107"/>
      <c r="BL2" s="107"/>
      <c r="BM2" s="108" t="s">
        <v>46</v>
      </c>
      <c r="BN2" s="110"/>
      <c r="BO2" s="109"/>
      <c r="BP2" s="24"/>
      <c r="BQ2" s="106" t="s">
        <v>11</v>
      </c>
      <c r="BR2" s="107"/>
      <c r="BS2" s="107"/>
      <c r="BT2" s="108" t="s">
        <v>11</v>
      </c>
      <c r="BU2" s="110"/>
      <c r="BV2" s="109"/>
      <c r="BW2" s="24"/>
      <c r="BX2" s="106" t="s">
        <v>12</v>
      </c>
      <c r="BY2" s="107"/>
      <c r="BZ2" s="107"/>
      <c r="CA2" s="108" t="s">
        <v>12</v>
      </c>
      <c r="CB2" s="110"/>
      <c r="CC2" s="109"/>
      <c r="CD2" s="24"/>
      <c r="CE2" s="106" t="s">
        <v>44</v>
      </c>
      <c r="CF2" s="107"/>
      <c r="CG2" s="107"/>
      <c r="CH2" s="108" t="s">
        <v>44</v>
      </c>
      <c r="CI2" s="110"/>
      <c r="CJ2" s="109"/>
      <c r="CK2" s="24"/>
      <c r="CL2" s="106" t="s">
        <v>48</v>
      </c>
      <c r="CM2" s="107"/>
      <c r="CN2" s="107"/>
      <c r="CO2" s="108" t="s">
        <v>48</v>
      </c>
      <c r="CP2" s="110"/>
      <c r="CQ2" s="109"/>
      <c r="CS2" s="106" t="s">
        <v>22</v>
      </c>
      <c r="CT2" s="107"/>
      <c r="CU2" s="107"/>
      <c r="CV2" s="108" t="s">
        <v>22</v>
      </c>
      <c r="CW2" s="110"/>
      <c r="CX2" s="109"/>
      <c r="CZ2" s="106" t="s">
        <v>26</v>
      </c>
      <c r="DA2" s="107"/>
      <c r="DB2" s="107"/>
      <c r="DC2" s="108" t="s">
        <v>26</v>
      </c>
      <c r="DD2" s="110"/>
      <c r="DE2" s="109"/>
      <c r="DF2" s="24"/>
      <c r="DG2" s="106" t="s">
        <v>43</v>
      </c>
      <c r="DH2" s="107"/>
      <c r="DI2" s="107"/>
      <c r="DJ2" s="108" t="s">
        <v>43</v>
      </c>
      <c r="DK2" s="110"/>
      <c r="DL2" s="109"/>
      <c r="DM2" s="24"/>
      <c r="DN2" s="106" t="s">
        <v>34</v>
      </c>
      <c r="DO2" s="107"/>
      <c r="DP2" s="107"/>
      <c r="DQ2" s="108" t="s">
        <v>34</v>
      </c>
      <c r="DR2" s="110"/>
      <c r="DS2" s="109"/>
      <c r="DT2" s="24"/>
      <c r="DU2" s="106" t="s">
        <v>13</v>
      </c>
      <c r="DV2" s="107"/>
      <c r="DW2" s="107"/>
      <c r="DX2" s="108" t="s">
        <v>13</v>
      </c>
      <c r="DY2" s="110"/>
      <c r="DZ2" s="109"/>
      <c r="EA2" s="24"/>
      <c r="EB2" s="106" t="s">
        <v>14</v>
      </c>
      <c r="EC2" s="107"/>
      <c r="ED2" s="107"/>
      <c r="EE2" s="108" t="s">
        <v>14</v>
      </c>
      <c r="EF2" s="110"/>
      <c r="EG2" s="109"/>
      <c r="EI2" s="106" t="s">
        <v>15</v>
      </c>
      <c r="EJ2" s="107"/>
      <c r="EK2" s="107"/>
      <c r="EL2" s="108" t="s">
        <v>15</v>
      </c>
      <c r="EM2" s="110"/>
      <c r="EN2" s="109"/>
      <c r="EP2" s="106" t="s">
        <v>25</v>
      </c>
      <c r="EQ2" s="107"/>
      <c r="ER2" s="107"/>
      <c r="ES2" s="108" t="s">
        <v>25</v>
      </c>
      <c r="ET2" s="110"/>
      <c r="EU2" s="109"/>
      <c r="EW2" s="106" t="s">
        <v>36</v>
      </c>
      <c r="EX2" s="107"/>
      <c r="EY2" s="107"/>
      <c r="EZ2" s="108" t="s">
        <v>36</v>
      </c>
      <c r="FA2" s="110"/>
      <c r="FB2" s="109"/>
      <c r="FD2" s="106" t="s">
        <v>45</v>
      </c>
      <c r="FE2" s="107"/>
      <c r="FF2" s="107"/>
      <c r="FG2" s="108" t="s">
        <v>45</v>
      </c>
      <c r="FH2" s="110"/>
      <c r="FI2" s="109"/>
      <c r="FK2" s="106" t="s">
        <v>35</v>
      </c>
      <c r="FL2" s="107"/>
      <c r="FM2" s="107"/>
      <c r="FN2" s="108" t="s">
        <v>35</v>
      </c>
      <c r="FO2" s="110"/>
      <c r="FP2" s="109"/>
      <c r="FR2" s="106" t="s">
        <v>47</v>
      </c>
      <c r="FS2" s="107"/>
      <c r="FT2" s="107"/>
      <c r="FU2" s="108" t="s">
        <v>47</v>
      </c>
      <c r="FV2" s="110"/>
      <c r="FW2" s="109"/>
      <c r="FY2" s="106" t="s">
        <v>49</v>
      </c>
      <c r="FZ2" s="107"/>
      <c r="GA2" s="107"/>
      <c r="GB2" s="108" t="s">
        <v>49</v>
      </c>
      <c r="GC2" s="110"/>
      <c r="GD2" s="109"/>
    </row>
    <row r="3" spans="1:186">
      <c r="A3" t="s">
        <v>8</v>
      </c>
      <c r="D3" t="s">
        <v>8</v>
      </c>
      <c r="E3" t="s">
        <v>39</v>
      </c>
      <c r="G3" t="s">
        <v>8</v>
      </c>
      <c r="I3" t="s">
        <v>38</v>
      </c>
      <c r="J3" t="s">
        <v>8</v>
      </c>
      <c r="K3" t="s">
        <v>39</v>
      </c>
      <c r="M3" t="s">
        <v>8</v>
      </c>
      <c r="O3" t="s">
        <v>38</v>
      </c>
      <c r="P3" t="s">
        <v>8</v>
      </c>
      <c r="Q3" t="s">
        <v>39</v>
      </c>
      <c r="S3" t="s">
        <v>8</v>
      </c>
      <c r="U3" t="s">
        <v>38</v>
      </c>
      <c r="V3" t="s">
        <v>8</v>
      </c>
      <c r="W3" t="s">
        <v>39</v>
      </c>
      <c r="Y3" s="57" t="s">
        <v>8</v>
      </c>
      <c r="AA3" s="57" t="s">
        <v>38</v>
      </c>
      <c r="AB3" s="57" t="s">
        <v>8</v>
      </c>
      <c r="AC3" s="57" t="s">
        <v>39</v>
      </c>
      <c r="AE3" t="s">
        <v>8</v>
      </c>
      <c r="AG3" t="s">
        <v>38</v>
      </c>
      <c r="AH3" t="s">
        <v>8</v>
      </c>
      <c r="AI3" t="s">
        <v>39</v>
      </c>
      <c r="AK3" t="s">
        <v>8</v>
      </c>
      <c r="AM3" t="s">
        <v>38</v>
      </c>
      <c r="AN3" t="s">
        <v>8</v>
      </c>
      <c r="AO3" t="s">
        <v>39</v>
      </c>
      <c r="AQ3" t="s">
        <v>8</v>
      </c>
      <c r="AS3" t="s">
        <v>38</v>
      </c>
      <c r="AT3" t="s">
        <v>8</v>
      </c>
      <c r="AU3" t="s">
        <v>39</v>
      </c>
      <c r="AW3" t="s">
        <v>8</v>
      </c>
      <c r="AY3" t="s">
        <v>38</v>
      </c>
      <c r="AZ3" t="s">
        <v>8</v>
      </c>
      <c r="BA3" t="s">
        <v>39</v>
      </c>
      <c r="BC3" t="s">
        <v>8</v>
      </c>
      <c r="BE3" t="s">
        <v>38</v>
      </c>
      <c r="BF3" t="s">
        <v>8</v>
      </c>
      <c r="BG3" s="57" t="s">
        <v>39</v>
      </c>
      <c r="BH3" t="s">
        <v>39</v>
      </c>
      <c r="BJ3" t="s">
        <v>8</v>
      </c>
      <c r="BL3" t="s">
        <v>38</v>
      </c>
      <c r="BM3" t="s">
        <v>8</v>
      </c>
      <c r="BN3" s="57" t="s">
        <v>39</v>
      </c>
      <c r="BO3" t="s">
        <v>39</v>
      </c>
      <c r="BQ3" t="s">
        <v>8</v>
      </c>
      <c r="BS3" t="s">
        <v>38</v>
      </c>
      <c r="BT3" t="s">
        <v>8</v>
      </c>
      <c r="BU3" s="57" t="s">
        <v>39</v>
      </c>
      <c r="BV3" t="s">
        <v>39</v>
      </c>
      <c r="BX3" t="s">
        <v>8</v>
      </c>
      <c r="BZ3" t="s">
        <v>38</v>
      </c>
      <c r="CA3" t="s">
        <v>8</v>
      </c>
      <c r="CB3" s="57" t="s">
        <v>39</v>
      </c>
      <c r="CC3" t="s">
        <v>39</v>
      </c>
      <c r="CE3" t="s">
        <v>8</v>
      </c>
      <c r="CG3" t="s">
        <v>38</v>
      </c>
      <c r="CH3" t="s">
        <v>8</v>
      </c>
      <c r="CI3" s="57" t="s">
        <v>39</v>
      </c>
      <c r="CJ3" t="s">
        <v>39</v>
      </c>
      <c r="CL3" s="57" t="s">
        <v>8</v>
      </c>
      <c r="CN3" s="57" t="s">
        <v>38</v>
      </c>
      <c r="CO3" s="57" t="s">
        <v>8</v>
      </c>
      <c r="CP3" s="57" t="s">
        <v>39</v>
      </c>
      <c r="CQ3" s="57" t="s">
        <v>39</v>
      </c>
      <c r="CS3" t="s">
        <v>8</v>
      </c>
      <c r="CU3" t="s">
        <v>38</v>
      </c>
      <c r="CV3" t="s">
        <v>8</v>
      </c>
      <c r="CW3" s="57" t="s">
        <v>39</v>
      </c>
      <c r="CX3" t="s">
        <v>39</v>
      </c>
      <c r="CZ3" t="s">
        <v>8</v>
      </c>
      <c r="DB3" t="s">
        <v>38</v>
      </c>
      <c r="DC3" t="s">
        <v>8</v>
      </c>
      <c r="DD3" s="57" t="s">
        <v>39</v>
      </c>
      <c r="DE3" t="s">
        <v>39</v>
      </c>
      <c r="DG3" t="s">
        <v>8</v>
      </c>
      <c r="DI3" t="s">
        <v>38</v>
      </c>
      <c r="DJ3" t="s">
        <v>8</v>
      </c>
      <c r="DK3" s="57" t="s">
        <v>39</v>
      </c>
      <c r="DL3" t="s">
        <v>39</v>
      </c>
      <c r="DN3" t="s">
        <v>8</v>
      </c>
      <c r="DP3" t="s">
        <v>38</v>
      </c>
      <c r="DQ3" t="s">
        <v>8</v>
      </c>
      <c r="DR3" s="57" t="s">
        <v>39</v>
      </c>
      <c r="DS3" t="s">
        <v>39</v>
      </c>
      <c r="DU3" t="s">
        <v>8</v>
      </c>
      <c r="DW3" t="s">
        <v>38</v>
      </c>
      <c r="DX3" t="s">
        <v>8</v>
      </c>
      <c r="DY3" s="57" t="s">
        <v>39</v>
      </c>
      <c r="DZ3" t="s">
        <v>39</v>
      </c>
      <c r="EB3" s="57" t="s">
        <v>8</v>
      </c>
      <c r="ED3" s="57" t="s">
        <v>38</v>
      </c>
      <c r="EE3" s="57" t="s">
        <v>8</v>
      </c>
      <c r="EF3" s="57" t="s">
        <v>39</v>
      </c>
      <c r="EG3" s="57" t="s">
        <v>39</v>
      </c>
      <c r="EI3" t="s">
        <v>8</v>
      </c>
      <c r="EK3" t="s">
        <v>38</v>
      </c>
      <c r="EL3" t="s">
        <v>8</v>
      </c>
      <c r="EM3" s="57" t="s">
        <v>39</v>
      </c>
      <c r="EN3" t="s">
        <v>39</v>
      </c>
      <c r="EP3" t="s">
        <v>8</v>
      </c>
      <c r="ER3" t="s">
        <v>38</v>
      </c>
      <c r="ES3" t="s">
        <v>8</v>
      </c>
      <c r="ET3" s="57" t="s">
        <v>39</v>
      </c>
      <c r="EU3" t="s">
        <v>39</v>
      </c>
      <c r="EW3" t="s">
        <v>8</v>
      </c>
      <c r="EY3" t="s">
        <v>38</v>
      </c>
      <c r="EZ3" t="s">
        <v>8</v>
      </c>
      <c r="FA3" s="57" t="s">
        <v>39</v>
      </c>
      <c r="FB3" t="s">
        <v>39</v>
      </c>
      <c r="FD3" t="s">
        <v>8</v>
      </c>
      <c r="FF3" t="s">
        <v>38</v>
      </c>
      <c r="FG3" t="s">
        <v>8</v>
      </c>
      <c r="FH3" s="57" t="s">
        <v>39</v>
      </c>
      <c r="FI3" t="s">
        <v>39</v>
      </c>
      <c r="FK3" t="s">
        <v>8</v>
      </c>
      <c r="FM3" t="s">
        <v>38</v>
      </c>
      <c r="FN3" t="s">
        <v>8</v>
      </c>
      <c r="FO3" s="57" t="s">
        <v>39</v>
      </c>
      <c r="FP3" t="s">
        <v>39</v>
      </c>
      <c r="FR3" s="57" t="s">
        <v>8</v>
      </c>
      <c r="FS3" s="57"/>
      <c r="FT3" s="57" t="s">
        <v>38</v>
      </c>
      <c r="FU3" s="57" t="s">
        <v>8</v>
      </c>
      <c r="FV3" s="57" t="s">
        <v>39</v>
      </c>
      <c r="FW3" s="57" t="s">
        <v>39</v>
      </c>
      <c r="FY3" s="57" t="s">
        <v>8</v>
      </c>
      <c r="FZ3" s="57"/>
      <c r="GA3" s="57" t="s">
        <v>38</v>
      </c>
      <c r="GB3" s="57" t="s">
        <v>8</v>
      </c>
      <c r="GC3" s="57" t="s">
        <v>39</v>
      </c>
      <c r="GD3" s="57" t="s">
        <v>39</v>
      </c>
    </row>
    <row r="4" spans="1:186">
      <c r="A4" s="19" t="str">
        <f>IF('ODBC Data'!$I$1&gt;0,'ODBC Data'!$H$1,"")</f>
        <v>Sales Accounts</v>
      </c>
      <c r="B4" s="19">
        <f>IF('ODBC Data'!$I$1&gt;0,1,"")</f>
        <v>1</v>
      </c>
      <c r="C4" s="17" t="str">
        <f>CONCATENATE(A4,B4)</f>
        <v>Sales Accounts1</v>
      </c>
      <c r="D4" t="str">
        <f>IF(ISNA(VLOOKUP(C4,'ODBC Data'!$B$1:$J$500,3,0)),"",VLOOKUP(C4,'ODBC Data'!$B$1:$J$500,3,0))</f>
        <v>Sales</v>
      </c>
      <c r="E4">
        <f>IF(ISNA(VLOOKUP(C4,'ODBC Data'!$B$1:$J$500,5,0)),"",VLOOKUP(C4,'ODBC Data'!$B$1:$J$500,5,0))</f>
        <v>851025</v>
      </c>
      <c r="G4" s="19" t="str">
        <f>IF('ODBC Data'!$I$2&gt;0,'ODBC Data'!$H$2,"")</f>
        <v>Purchase Accounts</v>
      </c>
      <c r="H4" s="19">
        <f>IF('ODBC Data'!$I$2&gt;0,1,"")</f>
        <v>1</v>
      </c>
      <c r="I4" s="17" t="str">
        <f>CONCATENATE(G4,H4)</f>
        <v>Purchase Accounts1</v>
      </c>
      <c r="J4" t="str">
        <f>IF(ISNA(VLOOKUP(I4,'ODBC Data'!$B$1:$J$500,3,0)),"",VLOOKUP(I4,'ODBC Data'!$B$1:$J$500,3,0))</f>
        <v>Purchase</v>
      </c>
      <c r="K4">
        <f>IF(ISNA(VLOOKUP(I4,'ODBC Data'!$B$1:$J$500,5,0)),"",VLOOKUP(I4,'ODBC Data'!$B$1:$J$500,5,0))</f>
        <v>-723371</v>
      </c>
      <c r="M4" s="19" t="str">
        <f>IF('ODBC Data'!$I$3&gt;0,'ODBC Data'!$H$3,"")</f>
        <v>Stock-in-hand</v>
      </c>
      <c r="N4" s="19">
        <f>IF('ODBC Data'!$I$3&gt;0,1,"")</f>
        <v>1</v>
      </c>
      <c r="O4" s="17" t="str">
        <f>CONCATENATE(M4,N4)</f>
        <v>Stock-in-hand1</v>
      </c>
      <c r="P4" t="str">
        <f>IF(ISNA(VLOOKUP(O4,'ODBC Data'!$B$1:$J$500,3,0)),"",VLOOKUP(O4,'ODBC Data'!$B$1:$J$500,3,0))</f>
        <v>Closing Stock</v>
      </c>
      <c r="Q4">
        <f>IF(ISNA(VLOOKUP(O4,'ODBC Data'!$B$1:$J$500,5,0)),"",VLOOKUP(O4,'ODBC Data'!$B$1:$J$500,4,0))</f>
        <v>-202625</v>
      </c>
      <c r="S4" s="19" t="str">
        <f>IF('ODBC Data'!$I$3&gt;0,'ODBC Data'!$H$3,"")</f>
        <v>Stock-in-hand</v>
      </c>
      <c r="T4" s="19">
        <f>IF('ODBC Data'!$I$3&gt;0,1,"")</f>
        <v>1</v>
      </c>
      <c r="U4" s="17" t="str">
        <f>CONCATENATE(S4,T4)</f>
        <v>Stock-in-hand1</v>
      </c>
      <c r="V4" t="str">
        <f>IF(ISNA(VLOOKUP(U4,'ODBC Data'!$B$1:$J$500,3,0)),"",VLOOKUP(U4,'ODBC Data'!$B$1:$J$500,3,0))</f>
        <v>Closing Stock</v>
      </c>
      <c r="W4">
        <f>IF(ISNA(VLOOKUP(U4,'ODBC Data'!$B$1:$J$500,5,0)),"",VLOOKUP(U4,'ODBC Data'!$B$1:$J$500,5,0))</f>
        <v>-212756</v>
      </c>
      <c r="Y4" s="19" t="str">
        <f>IF('ODBC Data'!$I$4&gt;0,'ODBC Data'!$H$4,"")</f>
        <v/>
      </c>
      <c r="Z4" s="19" t="str">
        <f>IF('ODBC Data'!$I$4&gt;0,1,"")</f>
        <v/>
      </c>
      <c r="AA4" s="17" t="str">
        <f t="shared" ref="AA4:AA33" si="0">CONCATENATE(Y4,Z4)</f>
        <v/>
      </c>
      <c r="AB4" s="57" t="str">
        <f>IF(ISNA(VLOOKUP(AA4,'ODBC Data'!$B$1:$J$500,3,0)),"",VLOOKUP(AA4,'ODBC Data'!$B$1:$J$500,3,0))</f>
        <v/>
      </c>
      <c r="AC4" s="57" t="str">
        <f>IF(ISNA(VLOOKUP(AA4,'ODBC Data'!$B$1:$J$500,5,0)),"",VLOOKUP(AA4,'ODBC Data'!$B$1:$J$500,5,0))</f>
        <v/>
      </c>
      <c r="AE4" s="19" t="str">
        <f>IF('ODBC Data'!$I$5&gt;0,'ODBC Data'!$H$5,"")</f>
        <v>Direct Expenses</v>
      </c>
      <c r="AF4" s="19">
        <f>IF('ODBC Data'!$I$5&gt;0,1,"")</f>
        <v>1</v>
      </c>
      <c r="AG4" s="17" t="str">
        <f t="shared" ref="AG4:AG33" si="1">CONCATENATE(AE4,AF4)</f>
        <v>Direct Expenses1</v>
      </c>
      <c r="AH4" t="str">
        <f>IF(ISNA(VLOOKUP(AG4,'ODBC Data'!$B$1:$J$500,3,0)),"",VLOOKUP(AG4,'ODBC Data'!$B$1:$J$500,3,0))</f>
        <v>Commission on Sales,</v>
      </c>
      <c r="AI4">
        <f>IF(ISNA(VLOOKUP(AG4,'ODBC Data'!$B$1:$J$500,5,0)),"",VLOOKUP(AG4,'ODBC Data'!$B$1:$J$500,5,0))</f>
        <v>-8510</v>
      </c>
      <c r="AK4" s="19" t="str">
        <f>IF('ODBC Data'!$I$6&gt;0,'ODBC Data'!$H$6,"")</f>
        <v>Indirect Expenses</v>
      </c>
      <c r="AL4" s="19">
        <f>IF('ODBC Data'!$I$6&gt;0,1,"")</f>
        <v>1</v>
      </c>
      <c r="AM4" s="17" t="str">
        <f t="shared" ref="AM4:AM33" si="2">CONCATENATE(AK4,AL4)</f>
        <v>Indirect Expenses1</v>
      </c>
      <c r="AN4" t="str">
        <f>IF(ISNA(VLOOKUP(AM4,'ODBC Data'!$B$1:$J$500,3,0)),"",VLOOKUP(AM4,'ODBC Data'!$B$1:$J$500,3,0))</f>
        <v>Depreciation</v>
      </c>
      <c r="AO4">
        <f>IF(ISNA(VLOOKUP(AM4,'ODBC Data'!$B$1:$J$500,5,0)),"",VLOOKUP(AM4,'ODBC Data'!$B$1:$J$500,5,0))</f>
        <v>-36639</v>
      </c>
      <c r="AQ4" s="19" t="str">
        <f>IF('ODBC Data'!$I$7&gt;0,'ODBC Data'!$H$7,"")</f>
        <v>Indirect Incomes</v>
      </c>
      <c r="AR4" s="19">
        <f>IF('ODBC Data'!$I$7&gt;0,1,"")</f>
        <v>1</v>
      </c>
      <c r="AS4" s="17" t="str">
        <f t="shared" ref="AS4:AS33" si="3">CONCATENATE(AQ4,AR4)</f>
        <v>Indirect Incomes1</v>
      </c>
      <c r="AT4" t="str">
        <f>IF(ISNA(VLOOKUP(AS4,'ODBC Data'!$B$1:$J$500,3,0)),"",VLOOKUP(AS4,'ODBC Data'!$B$1:$J$500,3,0))</f>
        <v>Interest Income on Fd</v>
      </c>
      <c r="AU4">
        <f>IF(ISNA(VLOOKUP(AS4,'ODBC Data'!$B$1:$J$500,5,0)),"",VLOOKUP(AS4,'ODBC Data'!$B$1:$J$500,5,0))</f>
        <v>1925</v>
      </c>
      <c r="AW4" s="19" t="str">
        <f>IF('ODBC Data'!$I$8&gt;0,'ODBC Data'!$H$8,"")</f>
        <v>_x0004_ Primary</v>
      </c>
      <c r="AX4" s="19">
        <f>IF('ODBC Data'!$I$8&gt;0,1,"")</f>
        <v>1</v>
      </c>
      <c r="AY4" s="17" t="str">
        <f t="shared" ref="AY4:AY33" si="4">CONCATENATE(AW4,AX4)</f>
        <v>_x0004_ Primary1</v>
      </c>
      <c r="AZ4" t="str">
        <f>IF(ISNA(VLOOKUP(AY4,'ODBC Data'!$B$1:$J$500,3,0)),"",VLOOKUP(AY4,'ODBC Data'!$B$1:$J$500,3,0))</f>
        <v>Profit &amp; Loss A/c</v>
      </c>
      <c r="BA4">
        <f>IF(ISNA(VLOOKUP(AY4,'ODBC Data'!$B$1:$J$500,5,0)),"",VLOOKUP(AY4,'ODBC Data'!$B$1:$J$500,5,0))</f>
        <v>20922</v>
      </c>
      <c r="BC4" s="19" t="str">
        <f>IF('ODBC Data'!$I$9&gt;0,'ODBC Data'!$H$9,"")</f>
        <v>Capital Account</v>
      </c>
      <c r="BD4" s="19">
        <f>IF('ODBC Data'!$I$9&gt;0,1,"")</f>
        <v>1</v>
      </c>
      <c r="BE4" s="17" t="str">
        <f t="shared" ref="BE4:BE33" si="5">CONCATENATE(BC4,BD4)</f>
        <v>Capital Account1</v>
      </c>
      <c r="BF4" t="str">
        <f>IF(ISNA(VLOOKUP(BE4,'ODBC Data'!$B$1:$J$500,3,0)),"",VLOOKUP(BE4,'ODBC Data'!$B$1:$J$500,3,0))</f>
        <v>Capital</v>
      </c>
      <c r="BG4" s="57">
        <f>IF(ISNA(VLOOKUP(BE4,'ODBC Data'!$B$1:$J$500,4,0)),"",VLOOKUP(BE4,'ODBC Data'!$B$1:$J$500,4,0))</f>
        <v>770000</v>
      </c>
      <c r="BH4">
        <f>IF(ISNA(VLOOKUP(BE4,'ODBC Data'!$B$1:$J$500,5,0)),"",VLOOKUP(BE4,'ODBC Data'!$B$1:$J$500,5,0))</f>
        <v>770000</v>
      </c>
      <c r="BJ4" s="19" t="str">
        <f>IF('ODBC Data'!$I$10&gt;0,'ODBC Data'!$H$10,"")</f>
        <v/>
      </c>
      <c r="BK4" s="19" t="str">
        <f>IF('ODBC Data'!$I$10&gt;0,1,"")</f>
        <v/>
      </c>
      <c r="BL4" s="17" t="str">
        <f t="shared" ref="BL4:BL33" si="6">CONCATENATE(BJ4,BK4)</f>
        <v/>
      </c>
      <c r="BM4" t="str">
        <f>IF(ISNA(VLOOKUP(BL4,'ODBC Data'!$B$1:$J$500,3,0)),"",VLOOKUP(BL4,'ODBC Data'!$B$1:$J$500,3,0))</f>
        <v/>
      </c>
      <c r="BN4" s="57" t="str">
        <f>IF(ISNA(VLOOKUP(BL4,'ODBC Data'!$B$1:$J$500,4,0)),"",VLOOKUP(BL4,'ODBC Data'!$B$1:$J$500,4,0))</f>
        <v/>
      </c>
      <c r="BO4" t="str">
        <f>IF(ISNA(VLOOKUP(BL4,'ODBC Data'!$B$1:$J$500,5,0)),"",VLOOKUP(BL4,'ODBC Data'!$B$1:$J$500,5,0))</f>
        <v/>
      </c>
      <c r="BQ4" s="19" t="str">
        <f>IF('ODBC Data'!$I$11&gt;0,'ODBC Data'!$H$11,"")</f>
        <v>Secured Loans</v>
      </c>
      <c r="BR4" s="19">
        <f>IF('ODBC Data'!$I$11&gt;0,1,"")</f>
        <v>1</v>
      </c>
      <c r="BS4" s="17" t="str">
        <f t="shared" ref="BS4:BS33" si="7">CONCATENATE(BQ4,BR4)</f>
        <v>Secured Loans1</v>
      </c>
      <c r="BT4" t="str">
        <f>IF(ISNA(VLOOKUP(BS4,'ODBC Data'!$B$1:$J$500,3,0)),"",VLOOKUP(BS4,'ODBC Data'!$B$1:$J$500,3,0))</f>
        <v>Loan</v>
      </c>
      <c r="BU4" s="57">
        <f>IF(ISNA(VLOOKUP(BS4,'ODBC Data'!$B$1:$J$500,4,0)),"",VLOOKUP(BS4,'ODBC Data'!$B$1:$J$500,4,0))</f>
        <v>13500</v>
      </c>
      <c r="BV4">
        <f>IF(ISNA(VLOOKUP(BS4,'ODBC Data'!$B$1:$J$500,5,0)),"",VLOOKUP(BS4,'ODBC Data'!$B$1:$J$500,5,0))</f>
        <v>11475</v>
      </c>
      <c r="BX4" s="19" t="str">
        <f>IF('ODBC Data'!$I$12&gt;0,'ODBC Data'!$H$12,"")</f>
        <v>Unsecured Loans</v>
      </c>
      <c r="BY4" s="19">
        <f>IF('ODBC Data'!$I$12&gt;0,1,"")</f>
        <v>1</v>
      </c>
      <c r="BZ4" s="17" t="str">
        <f t="shared" ref="BZ4:BZ33" si="8">CONCATENATE(BX4,BY4)</f>
        <v>Unsecured Loans1</v>
      </c>
      <c r="CA4" t="str">
        <f>IF(ISNA(VLOOKUP(BZ4,'ODBC Data'!$B$1:$J$500,3,0)),"",VLOOKUP(BZ4,'ODBC Data'!$B$1:$J$500,3,0))</f>
        <v>Loans</v>
      </c>
      <c r="CB4" s="57">
        <f>IF(ISNA(VLOOKUP(BZ4,'ODBC Data'!$B$1:$J$500,4,0)),"",VLOOKUP(BZ4,'ODBC Data'!$B$1:$J$500,4,0))</f>
        <v>14100</v>
      </c>
      <c r="CC4">
        <f>IF(ISNA(VLOOKUP(BZ4,'ODBC Data'!$B$1:$J$500,5,0)),"",VLOOKUP(BZ4,'ODBC Data'!$B$1:$J$500,5,0))</f>
        <v>11985</v>
      </c>
      <c r="CE4" s="19" t="str">
        <f>IF('ODBC Data'!$I$13&gt;0,'ODBC Data'!$H$13,"")</f>
        <v/>
      </c>
      <c r="CF4" s="19" t="str">
        <f>IF('ODBC Data'!$I$13&gt;0,1,"")</f>
        <v/>
      </c>
      <c r="CG4" s="17" t="str">
        <f t="shared" ref="CG4:CG33" si="9">CONCATENATE(CE4,CF4)</f>
        <v/>
      </c>
      <c r="CH4" t="str">
        <f>IF(ISNA(VLOOKUP(CG4,'ODBC Data'!$B$1:$J$500,3,0)),"",VLOOKUP(CG4,'ODBC Data'!$B$1:$J$500,3,0))</f>
        <v/>
      </c>
      <c r="CI4" s="57" t="str">
        <f>IF(ISNA(VLOOKUP(CG4,'ODBC Data'!$B$1:$J$500,4,0)),"",VLOOKUP(CG4,'ODBC Data'!$B$1:$J$500,4,0))</f>
        <v/>
      </c>
      <c r="CJ4" t="str">
        <f>IF(ISNA(VLOOKUP(CG4,'ODBC Data'!$B$1:$J$500,5,0)),"",VLOOKUP(CG4,'ODBC Data'!$B$1:$J$500,5,0))</f>
        <v/>
      </c>
      <c r="CL4" s="19" t="str">
        <f>IF('ODBC Data'!$I$14&gt;0,'ODBC Data'!$H$14,"")</f>
        <v/>
      </c>
      <c r="CM4" s="19" t="str">
        <f>IF('ODBC Data'!$I$14&gt;0,1,"")</f>
        <v/>
      </c>
      <c r="CN4" s="17" t="str">
        <f t="shared" ref="CN4:CN33" si="10">CONCATENATE(CL4,CM4)</f>
        <v/>
      </c>
      <c r="CO4" s="57" t="str">
        <f>IF(ISNA(VLOOKUP(CN4,'ODBC Data'!$B$1:$J$500,3,0)),"",VLOOKUP(CN4,'ODBC Data'!$B$1:$J$500,3,0))</f>
        <v/>
      </c>
      <c r="CP4" s="57" t="str">
        <f>IF(ISNA(VLOOKUP(CN4,'ODBC Data'!$B$1:$J$500,4,0)),"",VLOOKUP(CN4,'ODBC Data'!$B$1:$J$500,4,0))</f>
        <v/>
      </c>
      <c r="CQ4" s="57" t="str">
        <f>IF(ISNA(VLOOKUP(CN4,'ODBC Data'!$B$1:$J$500,5,0)),"",VLOOKUP(CN4,'ODBC Data'!$B$1:$J$500,5,0))</f>
        <v/>
      </c>
      <c r="CS4" s="19" t="str">
        <f>IF('ODBC Data'!$I$15&gt;0,'ODBC Data'!$H$15,"")</f>
        <v>Sundry Creditors</v>
      </c>
      <c r="CT4" s="19">
        <f>IF('ODBC Data'!$I$15&gt;0,1,"")</f>
        <v>1</v>
      </c>
      <c r="CU4" s="17" t="str">
        <f t="shared" ref="CU4:CU67" si="11">CONCATENATE(CS4,CT4)</f>
        <v>Sundry Creditors1</v>
      </c>
      <c r="CV4" t="str">
        <f>IF(ISNA(VLOOKUP(CU4,'ODBC Data'!$B$1:$J$500,3,0)),"",VLOOKUP(CU4,'ODBC Data'!$B$1:$J$500,3,0))</f>
        <v>Creditors</v>
      </c>
      <c r="CW4" s="57">
        <f>IF(ISNA(VLOOKUP(CU4,'ODBC Data'!$B$1:$J$500,4,0)),"",VLOOKUP(CU4,'ODBC Data'!$B$1:$J$500,4,0))</f>
        <v>114821</v>
      </c>
      <c r="CX4">
        <f>IF(ISNA(VLOOKUP(CU4,'ODBC Data'!$B$1:$J$500,5,0)),"",VLOOKUP(CU4,'ODBC Data'!$B$1:$J$500,5,0))</f>
        <v>120562</v>
      </c>
      <c r="CZ4" s="19" t="str">
        <f>IF('ODBC Data'!$I$16&gt;0,'ODBC Data'!$H$16,"")</f>
        <v>Duties &amp; Taxes</v>
      </c>
      <c r="DA4" s="19">
        <f>IF('ODBC Data'!$I$16&gt;0,1,"")</f>
        <v>1</v>
      </c>
      <c r="DB4" s="17" t="str">
        <f t="shared" ref="DB4:DB33" si="12">CONCATENATE(CZ4,DA4)</f>
        <v>Duties &amp; Taxes1</v>
      </c>
      <c r="DC4" t="str">
        <f>IF(ISNA(VLOOKUP(DB4,'ODBC Data'!$B$1:$J$500,3,0)),"",VLOOKUP(DB4,'ODBC Data'!$B$1:$J$500,3,0))</f>
        <v>O/s Income Tax</v>
      </c>
      <c r="DD4" s="57">
        <f>IF(ISNA(VLOOKUP(DB4,'ODBC Data'!$B$1:$J$500,4,0)),"",VLOOKUP(DB4,'ODBC Data'!$B$1:$J$500,4,0))</f>
        <v>411</v>
      </c>
      <c r="DE4">
        <f>IF(ISNA(VLOOKUP(DB4,'ODBC Data'!$B$1:$J$500,5,0)),"",VLOOKUP(DB4,'ODBC Data'!$B$1:$J$500,5,0))</f>
        <v>622</v>
      </c>
      <c r="DG4" s="19" t="str">
        <f>IF('ODBC Data'!$I$17&gt;0,'ODBC Data'!$H$17,"")</f>
        <v>Provisions</v>
      </c>
      <c r="DH4" s="19">
        <f>IF('ODBC Data'!$I$17&gt;0,1,"")</f>
        <v>1</v>
      </c>
      <c r="DI4" s="17" t="str">
        <f t="shared" ref="DI4:DI33" si="13">CONCATENATE(DG4,DH4)</f>
        <v>Provisions1</v>
      </c>
      <c r="DJ4" t="str">
        <f>IF(ISNA(VLOOKUP(DI4,'ODBC Data'!$B$1:$J$500,3,0)),"",VLOOKUP(DI4,'ODBC Data'!$B$1:$J$500,3,0))</f>
        <v>O/s Wages</v>
      </c>
      <c r="DK4" s="57">
        <f>IF(ISNA(VLOOKUP(DI4,'ODBC Data'!$B$1:$J$500,4,0)),"",VLOOKUP(DI4,'ODBC Data'!$B$1:$J$500,4,0))</f>
        <v>2261</v>
      </c>
      <c r="DL4">
        <f>IF(ISNA(VLOOKUP(DI4,'ODBC Data'!$B$1:$J$500,5,0)),"",VLOOKUP(DI4,'ODBC Data'!$B$1:$J$500,5,0))</f>
        <v>2261</v>
      </c>
      <c r="DN4" s="19" t="str">
        <f>IF('ODBC Data'!$I$18&gt;0,'ODBC Data'!$H$18,"")</f>
        <v>Fixed Assets</v>
      </c>
      <c r="DO4" s="19">
        <f>IF('ODBC Data'!$I$18&gt;0,1,"")</f>
        <v>1</v>
      </c>
      <c r="DP4" s="17" t="str">
        <f t="shared" ref="DP4:DP33" si="14">CONCATENATE(DN4,DO4)</f>
        <v>Fixed Assets1</v>
      </c>
      <c r="DQ4" t="str">
        <f>IF(ISNA(VLOOKUP(DP4,'ODBC Data'!$B$1:$J$500,3,0)),"",VLOOKUP(DP4,'ODBC Data'!$B$1:$J$500,3,0))</f>
        <v>Computer</v>
      </c>
      <c r="DR4" s="57">
        <f>IF(ISNA(VLOOKUP(DP4,'ODBC Data'!$B$1:$J$500,4,0)),"",VLOOKUP(DP4,'ODBC Data'!$B$1:$J$500,4,0))</f>
        <v>-13575</v>
      </c>
      <c r="DS4">
        <f>IF(ISNA(VLOOKUP(DP4,'ODBC Data'!$B$1:$J$500,5,0)),"",VLOOKUP(DP4,'ODBC Data'!$B$1:$J$500,5,0))</f>
        <v>-10181</v>
      </c>
      <c r="DU4" s="19" t="str">
        <f>IF('ODBC Data'!$I$19&gt;0,'ODBC Data'!$H$19,"")</f>
        <v>Investments</v>
      </c>
      <c r="DV4" s="19">
        <f>IF('ODBC Data'!$I$19&gt;0,1,"")</f>
        <v>1</v>
      </c>
      <c r="DW4" s="17" t="str">
        <f t="shared" ref="DW4:DW33" si="15">CONCATENATE(DU4,DV4)</f>
        <v>Investments1</v>
      </c>
      <c r="DX4" t="str">
        <f>IF(ISNA(VLOOKUP(DW4,'ODBC Data'!$B$1:$J$500,3,0)),"",VLOOKUP(DW4,'ODBC Data'!$B$1:$J$500,3,0))</f>
        <v>Fd</v>
      </c>
      <c r="DY4" s="57">
        <f>IF(ISNA(VLOOKUP(DW4,'ODBC Data'!$B$1:$J$500,4,0)),"",VLOOKUP(DW4,'ODBC Data'!$B$1:$J$500,4,0))</f>
        <v>0</v>
      </c>
      <c r="DZ4">
        <f>IF(ISNA(VLOOKUP(DW4,'ODBC Data'!$B$1:$J$500,5,0)),"",VLOOKUP(DW4,'ODBC Data'!$B$1:$J$500,5,0))</f>
        <v>0</v>
      </c>
      <c r="EB4" s="19" t="str">
        <f>IF('ODBC Data'!$I$20&gt;0,'ODBC Data'!$H$20,"")</f>
        <v>Current Assets</v>
      </c>
      <c r="EC4" s="19">
        <f>IF('ODBC Data'!$I$20&gt;0,1,"")</f>
        <v>1</v>
      </c>
      <c r="ED4" s="17" t="str">
        <f t="shared" ref="ED4:ED33" si="16">CONCATENATE(EB4,EC4)</f>
        <v>Current Assets1</v>
      </c>
      <c r="EE4" s="57" t="str">
        <f>IF(ISNA(VLOOKUP(ED4,'ODBC Data'!$B$1:$J$500,3,0)),"",VLOOKUP(ED4,'ODBC Data'!$B$1:$J$500,3,0))</f>
        <v>Other Assets</v>
      </c>
      <c r="EF4" s="57">
        <f>IF(ISNA(VLOOKUP(ED4,'ODBC Data'!$B$1:$J$500,4,0)),"",VLOOKUP(ED4,'ODBC Data'!$B$1:$J$500,4,0))</f>
        <v>-13500</v>
      </c>
      <c r="EG4" s="57">
        <f>IF(ISNA(VLOOKUP(ED4,'ODBC Data'!$B$1:$J$500,5,0)),"",VLOOKUP(ED4,'ODBC Data'!$B$1:$J$500,5,0))</f>
        <v>-14175</v>
      </c>
      <c r="EI4" s="19" t="str">
        <f>IF('ODBC Data'!$I$21&gt;0,'ODBC Data'!$H$21,"")</f>
        <v>Sundry Debtors</v>
      </c>
      <c r="EJ4" s="19">
        <f>IF('ODBC Data'!$I$21&gt;0,1,"")</f>
        <v>1</v>
      </c>
      <c r="EK4" s="17" t="str">
        <f t="shared" ref="EK4:EK67" si="17">CONCATENATE(EI4,EJ4)</f>
        <v>Sundry Debtors1</v>
      </c>
      <c r="EL4" t="str">
        <f>IF(ISNA(VLOOKUP(EK4,'ODBC Data'!$B$1:$J$500,3,0)),"",VLOOKUP(EK4,'ODBC Data'!$B$1:$J$500,3,0))</f>
        <v>Debtors</v>
      </c>
      <c r="EM4" s="57">
        <f>IF(ISNA(VLOOKUP(EK4,'ODBC Data'!$B$1:$J$500,4,0)),"",VLOOKUP(EK4,'ODBC Data'!$B$1:$J$500,4,0))</f>
        <v>-168854</v>
      </c>
      <c r="EN4">
        <f>IF(ISNA(VLOOKUP(EK4,'ODBC Data'!$B$1:$J$500,5,0)),"",VLOOKUP(EK4,'ODBC Data'!$B$1:$J$500,5,0))</f>
        <v>-177297</v>
      </c>
      <c r="EP4" s="19" t="str">
        <f>IF('ODBC Data'!$I$22&gt;0,'ODBC Data'!$H$22,"")</f>
        <v>Cash-in-hand</v>
      </c>
      <c r="EQ4" s="19">
        <f>IF('ODBC Data'!$I$22&gt;0,1,"")</f>
        <v>1</v>
      </c>
      <c r="ER4" s="17" t="str">
        <f t="shared" ref="ER4:ER33" si="18">CONCATENATE(EP4,EQ4)</f>
        <v>Cash-in-hand1</v>
      </c>
      <c r="ES4" t="str">
        <f>IF(ISNA(VLOOKUP(ER4,'ODBC Data'!$B$1:$J$500,3,0)),"",VLOOKUP(ER4,'ODBC Data'!$B$1:$J$500,3,0))</f>
        <v>Cash</v>
      </c>
      <c r="ET4" s="57">
        <f>IF(ISNA(VLOOKUP(ER4,'ODBC Data'!$B$1:$J$500,4,0)),"",VLOOKUP(ER4,'ODBC Data'!$B$1:$J$500,4,0))</f>
        <v>-19999</v>
      </c>
      <c r="EU4">
        <f>IF(ISNA(VLOOKUP(ER4,'ODBC Data'!$B$1:$J$500,5,0)),"",VLOOKUP(ER4,'ODBC Data'!$B$1:$J$500,5,0))</f>
        <v>-9997</v>
      </c>
      <c r="EW4" s="19" t="str">
        <f>IF('ODBC Data'!$I$23&gt;0,'ODBC Data'!$H$23,"")</f>
        <v>Bank Accounts</v>
      </c>
      <c r="EX4" s="19">
        <f>IF('ODBC Data'!$I$23&gt;0,1,"")</f>
        <v>1</v>
      </c>
      <c r="EY4" s="17" t="str">
        <f t="shared" ref="EY4:EY33" si="19">CONCATENATE(EW4,EX4)</f>
        <v>Bank Accounts1</v>
      </c>
      <c r="EZ4" t="str">
        <f>IF(ISNA(VLOOKUP(EY4,'ODBC Data'!$B$1:$J$500,3,0)),"",VLOOKUP(EY4,'ODBC Data'!$B$1:$J$500,3,0))</f>
        <v>Bank Balance</v>
      </c>
      <c r="FA4" s="57">
        <f>IF(ISNA(VLOOKUP(EY4,'ODBC Data'!$B$1:$J$500,4,0)),"",VLOOKUP(EY4,'ODBC Data'!$B$1:$J$500,4,0))</f>
        <v>-10910</v>
      </c>
      <c r="FB4">
        <f>IF(ISNA(VLOOKUP(EY4,'ODBC Data'!$B$1:$J$500,5,0)),"",VLOOKUP(EY4,'ODBC Data'!$B$1:$J$500,5,0))</f>
        <v>-15650</v>
      </c>
      <c r="FD4" s="19" t="str">
        <f>IF('ODBC Data'!$I$24&gt;0,'ODBC Data'!$H$24,"")</f>
        <v>Loans &amp; Advances (Asset)</v>
      </c>
      <c r="FE4" s="19">
        <f>IF('ODBC Data'!$I$24&gt;0,1,"")</f>
        <v>1</v>
      </c>
      <c r="FF4" s="17" t="str">
        <f t="shared" ref="FF4:FF33" si="20">CONCATENATE(FD4,FE4)</f>
        <v>Loans &amp; Advances (Asset)1</v>
      </c>
      <c r="FG4" t="str">
        <f>IF(ISNA(VLOOKUP(FF4,'ODBC Data'!$B$1:$J$500,3,0)),"",VLOOKUP(FF4,'ODBC Data'!$B$1:$J$500,3,0))</f>
        <v>Loans &amp; Advances</v>
      </c>
      <c r="FH4" s="57">
        <f>IF(ISNA(VLOOKUP(FF4,'ODBC Data'!$B$1:$J$500,4,0)),"",VLOOKUP(FF4,'ODBC Data'!$B$1:$J$500,4,0))</f>
        <v>-15000</v>
      </c>
      <c r="FI4">
        <f>IF(ISNA(VLOOKUP(FF4,'ODBC Data'!$B$1:$J$500,5,0)),"",VLOOKUP(FF4,'ODBC Data'!$B$1:$J$500,5,0))</f>
        <v>-15750</v>
      </c>
      <c r="FK4" s="19" t="str">
        <f>IF('ODBC Data'!$I$25&gt;0,'ODBC Data'!$H$25,"")</f>
        <v/>
      </c>
      <c r="FL4" s="19" t="str">
        <f>IF('ODBC Data'!$I$25&gt;0,1,"")</f>
        <v/>
      </c>
      <c r="FM4" s="17" t="str">
        <f t="shared" ref="FM4:FM33" si="21">CONCATENATE(FK4,FL4)</f>
        <v/>
      </c>
      <c r="FN4" t="str">
        <f>IF(ISNA(VLOOKUP(FM4,'ODBC Data'!$B$1:$J$500,3,0)),"",VLOOKUP(FM4,'ODBC Data'!$B$1:$J$500,3,0))</f>
        <v/>
      </c>
      <c r="FO4" s="57" t="str">
        <f>IF(ISNA(VLOOKUP(FM4,'ODBC Data'!$B$1:$J$500,4,0)),"",VLOOKUP(FM4,'ODBC Data'!$B$1:$J$500,4,0))</f>
        <v/>
      </c>
      <c r="FP4" t="str">
        <f>IF(ISNA(VLOOKUP(FM4,'ODBC Data'!$B$1:$J$500,5,0)),"",VLOOKUP(FM4,'ODBC Data'!$B$1:$J$500,5,0))</f>
        <v/>
      </c>
      <c r="FR4" s="19" t="str">
        <f>IF('ODBC Data'!$I$26&gt;0,'ODBC Data'!$H$26,"")</f>
        <v/>
      </c>
      <c r="FS4" s="19" t="str">
        <f>IF('ODBC Data'!$I$26&gt;0,1,"")</f>
        <v/>
      </c>
      <c r="FT4" s="17" t="str">
        <f t="shared" ref="FT4:FT33" si="22">CONCATENATE(FR4,FS4)</f>
        <v/>
      </c>
      <c r="FU4" s="57" t="str">
        <f>IF(ISNA(VLOOKUP(FT4,'ODBC Data'!$B$1:$J$500,3,0)),"",VLOOKUP(FT4,'ODBC Data'!$B$1:$J$500,3,0))</f>
        <v/>
      </c>
      <c r="FV4" s="57" t="str">
        <f>IF(ISNA(VLOOKUP(FT4,'ODBC Data'!$B$1:$J$500,4,0)),"",VLOOKUP(FT4,'ODBC Data'!$B$1:$J$500,4,0))</f>
        <v/>
      </c>
      <c r="FW4" s="57" t="str">
        <f>IF(ISNA(VLOOKUP(FT4,'ODBC Data'!$B$1:$J$500,5,0)),"",VLOOKUP(FT4,'ODBC Data'!$B$1:$J$500,5,0))</f>
        <v/>
      </c>
      <c r="FY4" s="19" t="str">
        <f>IF('ODBC Data'!$I$27&gt;0,'ODBC Data'!$H$27,"")</f>
        <v/>
      </c>
      <c r="FZ4" s="19" t="str">
        <f>IF('ODBC Data'!$I$27&gt;0,1,"")</f>
        <v/>
      </c>
      <c r="GA4" s="17" t="str">
        <f t="shared" ref="GA4:GA33" si="23">CONCATENATE(FY4,FZ4)</f>
        <v/>
      </c>
      <c r="GB4" s="57" t="str">
        <f>IF(ISNA(VLOOKUP(GA4,'ODBC Data'!$B$1:$J$500,3,0)),"",VLOOKUP(GA4,'ODBC Data'!$B$1:$J$500,3,0))</f>
        <v/>
      </c>
      <c r="GC4" s="57" t="str">
        <f>IF(ISNA(VLOOKUP(GA4,'ODBC Data'!$B$1:$J$500,4,0)),"",VLOOKUP(GA4,'ODBC Data'!$B$1:$J$500,4,0))</f>
        <v/>
      </c>
      <c r="GD4" s="57" t="str">
        <f>IF(ISNA(VLOOKUP(GA4,'ODBC Data'!$B$1:$J$500,5,0)),"",VLOOKUP(GA4,'ODBC Data'!$B$1:$J$500,5,0))</f>
        <v/>
      </c>
    </row>
    <row r="5" spans="1:186">
      <c r="A5" s="19" t="str">
        <f>IF('ODBC Data'!$I$1&gt;1,'ODBC Data'!$H$1,"")</f>
        <v/>
      </c>
      <c r="B5" s="19" t="str">
        <f>IF('ODBC Data'!$I$1&gt;1,2,"")</f>
        <v/>
      </c>
      <c r="C5" s="17" t="str">
        <f>CONCATENATE(A5,B5)</f>
        <v/>
      </c>
      <c r="D5" t="str">
        <f>IF(ISNA(VLOOKUP(C5,'ODBC Data'!$B$1:$J$500,3,0)),"",VLOOKUP(C5,'ODBC Data'!$B$1:$J$500,3,0))</f>
        <v/>
      </c>
      <c r="E5" t="str">
        <f>IF(ISNA(VLOOKUP(C5,'ODBC Data'!$B$1:$J$500,5,0)),"",VLOOKUP(C5,'ODBC Data'!$B$1:$J$500,5,0))</f>
        <v/>
      </c>
      <c r="G5" s="19" t="str">
        <f>IF('ODBC Data'!$I$2&gt;1,'ODBC Data'!$H$2,"")</f>
        <v/>
      </c>
      <c r="H5" s="19" t="str">
        <f>IF('ODBC Data'!$I$2&gt;1,2,"")</f>
        <v/>
      </c>
      <c r="I5" s="17" t="str">
        <f t="shared" ref="I5:I33" si="24">CONCATENATE(G5,H5)</f>
        <v/>
      </c>
      <c r="J5" t="str">
        <f>IF(ISNA(VLOOKUP(I5,'ODBC Data'!$B$1:$J$500,3,0)),"",VLOOKUP(I5,'ODBC Data'!$B$1:$J$500,3,0))</f>
        <v/>
      </c>
      <c r="K5" t="str">
        <f>IF(ISNA(VLOOKUP(I5,'ODBC Data'!$B$1:$J$500,5,0)),"",VLOOKUP(I5,'ODBC Data'!$B$1:$J$500,5,0))</f>
        <v/>
      </c>
      <c r="M5" s="19" t="str">
        <f>IF('ODBC Data'!$I$3&gt;1,'ODBC Data'!$H$3,"")</f>
        <v/>
      </c>
      <c r="N5" s="19" t="str">
        <f>IF('ODBC Data'!$I$3&gt;1,2,"")</f>
        <v/>
      </c>
      <c r="O5" s="17" t="str">
        <f t="shared" ref="O5:O33" si="25">CONCATENATE(M5,N5)</f>
        <v/>
      </c>
      <c r="P5" t="str">
        <f>IF(ISNA(VLOOKUP(O5,'ODBC Data'!$B$1:$J$500,3,0)),"",VLOOKUP(O5,'ODBC Data'!$B$1:$J$500,3,0))</f>
        <v/>
      </c>
      <c r="Q5" t="str">
        <f>IF(ISNA(VLOOKUP(O5,'ODBC Data'!$B$1:$J$500,5,0)),"",VLOOKUP(O5,'ODBC Data'!$B$1:$J$500,4,0))</f>
        <v/>
      </c>
      <c r="S5" s="19" t="str">
        <f>IF('ODBC Data'!$I$3&gt;1,'ODBC Data'!$H$3,"")</f>
        <v/>
      </c>
      <c r="T5" s="19" t="str">
        <f>IF('ODBC Data'!$I$3&gt;1,2,"")</f>
        <v/>
      </c>
      <c r="U5" s="17" t="str">
        <f t="shared" ref="U5:U33" si="26">CONCATENATE(S5,T5)</f>
        <v/>
      </c>
      <c r="V5" t="str">
        <f>IF(ISNA(VLOOKUP(U5,'ODBC Data'!$B$1:$J$500,3,0)),"",VLOOKUP(U5,'ODBC Data'!$B$1:$J$500,3,0))</f>
        <v/>
      </c>
      <c r="W5" t="str">
        <f>IF(ISNA(VLOOKUP(U5,'ODBC Data'!$B$1:$J$500,5,0)),"",VLOOKUP(U5,'ODBC Data'!$B$1:$J$500,5,0))</f>
        <v/>
      </c>
      <c r="Y5" s="19" t="str">
        <f>IF('ODBC Data'!$I$4&gt;1,'ODBC Data'!$H$4,"")</f>
        <v/>
      </c>
      <c r="Z5" s="19" t="str">
        <f>IF('ODBC Data'!$I$4&gt;1,2,"")</f>
        <v/>
      </c>
      <c r="AA5" s="17" t="str">
        <f t="shared" si="0"/>
        <v/>
      </c>
      <c r="AB5" s="57" t="str">
        <f>IF(ISNA(VLOOKUP(AA5,'ODBC Data'!$B$1:$J$500,3,0)),"",VLOOKUP(AA5,'ODBC Data'!$B$1:$J$500,3,0))</f>
        <v/>
      </c>
      <c r="AC5" s="57" t="str">
        <f>IF(ISNA(VLOOKUP(AA5,'ODBC Data'!$B$1:$J$500,5,0)),"",VLOOKUP(AA5,'ODBC Data'!$B$1:$J$500,5,0))</f>
        <v/>
      </c>
      <c r="AE5" s="19" t="str">
        <f>IF('ODBC Data'!$I$5&gt;1,'ODBC Data'!$H$5,"")</f>
        <v>Direct Expenses</v>
      </c>
      <c r="AF5" s="19">
        <f>IF('ODBC Data'!$I$5&gt;1,2,"")</f>
        <v>2</v>
      </c>
      <c r="AG5" s="17" t="str">
        <f t="shared" si="1"/>
        <v>Direct Expenses2</v>
      </c>
      <c r="AH5" t="str">
        <f>IF(ISNA(VLOOKUP(AG5,'ODBC Data'!$B$1:$J$500,3,0)),"",VLOOKUP(AG5,'ODBC Data'!$B$1:$J$500,3,0))</f>
        <v>Loading</v>
      </c>
      <c r="AI5">
        <f>IF(ISNA(VLOOKUP(AG5,'ODBC Data'!$B$1:$J$500,5,0)),"",VLOOKUP(AG5,'ODBC Data'!$B$1:$J$500,5,0))</f>
        <v>-1500</v>
      </c>
      <c r="AK5" s="19" t="str">
        <f>IF('ODBC Data'!$I$6&gt;1,'ODBC Data'!$H$6,"")</f>
        <v>Indirect Expenses</v>
      </c>
      <c r="AL5" s="19">
        <f>IF('ODBC Data'!$I$6&gt;1,2,"")</f>
        <v>2</v>
      </c>
      <c r="AM5" s="17" t="str">
        <f t="shared" si="2"/>
        <v>Indirect Expenses2</v>
      </c>
      <c r="AN5" t="str">
        <f>IF(ISNA(VLOOKUP(AM5,'ODBC Data'!$B$1:$J$500,3,0)),"",VLOOKUP(AM5,'ODBC Data'!$B$1:$J$500,3,0))</f>
        <v>Factory Electricity</v>
      </c>
      <c r="AO5">
        <f>IF(ISNA(VLOOKUP(AM5,'ODBC Data'!$B$1:$J$500,5,0)),"",VLOOKUP(AM5,'ODBC Data'!$B$1:$J$500,5,0))</f>
        <v>-25531</v>
      </c>
      <c r="AQ5" s="19" t="str">
        <f>IF('ODBC Data'!$I$7&gt;1,'ODBC Data'!$H$7,"")</f>
        <v/>
      </c>
      <c r="AR5" s="19" t="str">
        <f>IF('ODBC Data'!$I$7&gt;1,2,"")</f>
        <v/>
      </c>
      <c r="AS5" s="17" t="str">
        <f t="shared" si="3"/>
        <v/>
      </c>
      <c r="AT5" t="str">
        <f>IF(ISNA(VLOOKUP(AS5,'ODBC Data'!$B$1:$J$500,3,0)),"",VLOOKUP(AS5,'ODBC Data'!$B$1:$J$500,3,0))</f>
        <v/>
      </c>
      <c r="AU5" t="str">
        <f>IF(ISNA(VLOOKUP(AS5,'ODBC Data'!$B$1:$J$500,5,0)),"",VLOOKUP(AS5,'ODBC Data'!$B$1:$J$500,5,0))</f>
        <v/>
      </c>
      <c r="AW5" s="19" t="str">
        <f>IF('ODBC Data'!$I$8&gt;1,'ODBC Data'!$H$8,"")</f>
        <v/>
      </c>
      <c r="AX5" s="19" t="str">
        <f>IF('ODBC Data'!$I$8&gt;1,2,"")</f>
        <v/>
      </c>
      <c r="AY5" s="17" t="str">
        <f t="shared" si="4"/>
        <v/>
      </c>
      <c r="AZ5" t="str">
        <f>IF(ISNA(VLOOKUP(AY5,'ODBC Data'!$B$1:$J$500,3,0)),"",VLOOKUP(AY5,'ODBC Data'!$B$1:$J$500,3,0))</f>
        <v/>
      </c>
      <c r="BA5" t="str">
        <f>IF(ISNA(VLOOKUP(AY5,'ODBC Data'!$B$1:$J$500,5,0)),"",VLOOKUP(AY5,'ODBC Data'!$B$1:$J$500,5,0))</f>
        <v/>
      </c>
      <c r="BC5" s="19" t="str">
        <f>IF('ODBC Data'!$I$9&gt;1,'ODBC Data'!$H$9,"")</f>
        <v>Capital Account</v>
      </c>
      <c r="BD5" s="19">
        <f>IF('ODBC Data'!$I$9&gt;1,2,"")</f>
        <v>2</v>
      </c>
      <c r="BE5" s="17" t="str">
        <f t="shared" si="5"/>
        <v>Capital Account2</v>
      </c>
      <c r="BF5" t="str">
        <f>IF(ISNA(VLOOKUP(BE5,'ODBC Data'!$B$1:$J$500,3,0)),"",VLOOKUP(BE5,'ODBC Data'!$B$1:$J$500,3,0))</f>
        <v>Drawings</v>
      </c>
      <c r="BG5" s="57">
        <f>IF(ISNA(VLOOKUP(BE5,'ODBC Data'!$B$1:$J$500,4,0)),"",VLOOKUP(BE5,'ODBC Data'!$B$1:$J$500,4,0))</f>
        <v>-2400</v>
      </c>
      <c r="BH5">
        <f>IF(ISNA(VLOOKUP(BE5,'ODBC Data'!$B$1:$J$500,5,0)),"",VLOOKUP(BE5,'ODBC Data'!$B$1:$J$500,5,0))</f>
        <v>-5040</v>
      </c>
      <c r="BJ5" s="19" t="str">
        <f>IF('ODBC Data'!$I$10&gt;1,'ODBC Data'!$H$10,"")</f>
        <v/>
      </c>
      <c r="BK5" s="19" t="str">
        <f>IF('ODBC Data'!$I$10&gt;1,2,"")</f>
        <v/>
      </c>
      <c r="BL5" s="17" t="str">
        <f t="shared" si="6"/>
        <v/>
      </c>
      <c r="BM5" t="str">
        <f>IF(ISNA(VLOOKUP(BL5,'ODBC Data'!$B$1:$J$500,3,0)),"",VLOOKUP(BL5,'ODBC Data'!$B$1:$J$500,3,0))</f>
        <v/>
      </c>
      <c r="BN5" s="57" t="str">
        <f>IF(ISNA(VLOOKUP(BL5,'ODBC Data'!$B$1:$J$500,4,0)),"",VLOOKUP(BL5,'ODBC Data'!$B$1:$J$500,4,0))</f>
        <v/>
      </c>
      <c r="BO5" t="str">
        <f>IF(ISNA(VLOOKUP(BL5,'ODBC Data'!$B$1:$J$500,5,0)),"",VLOOKUP(BL5,'ODBC Data'!$B$1:$J$500,5,0))</f>
        <v/>
      </c>
      <c r="BQ5" s="19" t="str">
        <f>IF('ODBC Data'!$I$11&gt;1,'ODBC Data'!$H$11,"")</f>
        <v/>
      </c>
      <c r="BR5" s="19" t="str">
        <f>IF('ODBC Data'!$I$11&gt;1,2,"")</f>
        <v/>
      </c>
      <c r="BS5" s="17" t="str">
        <f t="shared" si="7"/>
        <v/>
      </c>
      <c r="BT5" t="str">
        <f>IF(ISNA(VLOOKUP(BS5,'ODBC Data'!$B$1:$J$500,3,0)),"",VLOOKUP(BS5,'ODBC Data'!$B$1:$J$500,3,0))</f>
        <v/>
      </c>
      <c r="BU5" s="57" t="str">
        <f>IF(ISNA(VLOOKUP(BS5,'ODBC Data'!$B$1:$J$500,4,0)),"",VLOOKUP(BS5,'ODBC Data'!$B$1:$J$500,4,0))</f>
        <v/>
      </c>
      <c r="BV5" t="str">
        <f>IF(ISNA(VLOOKUP(BS5,'ODBC Data'!$B$1:$J$500,5,0)),"",VLOOKUP(BS5,'ODBC Data'!$B$1:$J$500,5,0))</f>
        <v/>
      </c>
      <c r="BX5" s="19" t="str">
        <f>IF('ODBC Data'!$I$12&gt;1,'ODBC Data'!$H$12,"")</f>
        <v/>
      </c>
      <c r="BY5" s="19" t="str">
        <f>IF('ODBC Data'!$I$12&gt;1,2,"")</f>
        <v/>
      </c>
      <c r="BZ5" s="17" t="str">
        <f t="shared" si="8"/>
        <v/>
      </c>
      <c r="CA5" t="str">
        <f>IF(ISNA(VLOOKUP(BZ5,'ODBC Data'!$B$1:$J$500,3,0)),"",VLOOKUP(BZ5,'ODBC Data'!$B$1:$J$500,3,0))</f>
        <v/>
      </c>
      <c r="CB5" s="57" t="str">
        <f>IF(ISNA(VLOOKUP(BZ5,'ODBC Data'!$B$1:$J$500,4,0)),"",VLOOKUP(BZ5,'ODBC Data'!$B$1:$J$500,4,0))</f>
        <v/>
      </c>
      <c r="CC5" t="str">
        <f>IF(ISNA(VLOOKUP(BZ5,'ODBC Data'!$B$1:$J$500,5,0)),"",VLOOKUP(BZ5,'ODBC Data'!$B$1:$J$500,5,0))</f>
        <v/>
      </c>
      <c r="CE5" s="19" t="str">
        <f>IF('ODBC Data'!$I$13&gt;1,'ODBC Data'!$H$13,"")</f>
        <v/>
      </c>
      <c r="CF5" s="19" t="str">
        <f>IF('ODBC Data'!$I$13&gt;1,2,"")</f>
        <v/>
      </c>
      <c r="CG5" s="17" t="str">
        <f t="shared" si="9"/>
        <v/>
      </c>
      <c r="CH5" t="str">
        <f>IF(ISNA(VLOOKUP(CG5,'ODBC Data'!$B$1:$J$500,3,0)),"",VLOOKUP(CG5,'ODBC Data'!$B$1:$J$500,3,0))</f>
        <v/>
      </c>
      <c r="CI5" s="57" t="str">
        <f>IF(ISNA(VLOOKUP(CG5,'ODBC Data'!$B$1:$J$500,4,0)),"",VLOOKUP(CG5,'ODBC Data'!$B$1:$J$500,4,0))</f>
        <v/>
      </c>
      <c r="CJ5" t="str">
        <f>IF(ISNA(VLOOKUP(CG5,'ODBC Data'!$B$1:$J$500,5,0)),"",VLOOKUP(CG5,'ODBC Data'!$B$1:$J$500,5,0))</f>
        <v/>
      </c>
      <c r="CL5" s="19" t="str">
        <f>IF('ODBC Data'!$I$14&gt;1,'ODBC Data'!$H$14,"")</f>
        <v/>
      </c>
      <c r="CM5" s="19" t="str">
        <f>IF('ODBC Data'!$I$14&gt;1,2,"")</f>
        <v/>
      </c>
      <c r="CN5" s="17" t="str">
        <f t="shared" si="10"/>
        <v/>
      </c>
      <c r="CO5" s="57" t="str">
        <f>IF(ISNA(VLOOKUP(CN5,'ODBC Data'!$B$1:$J$500,3,0)),"",VLOOKUP(CN5,'ODBC Data'!$B$1:$J$500,3,0))</f>
        <v/>
      </c>
      <c r="CP5" s="57" t="str">
        <f>IF(ISNA(VLOOKUP(CN5,'ODBC Data'!$B$1:$J$500,4,0)),"",VLOOKUP(CN5,'ODBC Data'!$B$1:$J$500,4,0))</f>
        <v/>
      </c>
      <c r="CQ5" s="57" t="str">
        <f>IF(ISNA(VLOOKUP(CN5,'ODBC Data'!$B$1:$J$500,5,0)),"",VLOOKUP(CN5,'ODBC Data'!$B$1:$J$500,5,0))</f>
        <v/>
      </c>
      <c r="CS5" s="19" t="str">
        <f>IF('ODBC Data'!$I$15&gt;1,'ODBC Data'!$H$15,"")</f>
        <v/>
      </c>
      <c r="CT5" s="19" t="str">
        <f>IF('ODBC Data'!$I$15&gt;1,2,"")</f>
        <v/>
      </c>
      <c r="CU5" s="17" t="str">
        <f t="shared" si="11"/>
        <v/>
      </c>
      <c r="CV5" t="str">
        <f>IF(ISNA(VLOOKUP(CU5,'ODBC Data'!$B$1:$J$500,3,0)),"",VLOOKUP(CU5,'ODBC Data'!$B$1:$J$500,3,0))</f>
        <v/>
      </c>
      <c r="CW5" s="57" t="str">
        <f>IF(ISNA(VLOOKUP(CU5,'ODBC Data'!$B$1:$J$500,4,0)),"",VLOOKUP(CU5,'ODBC Data'!$B$1:$J$500,4,0))</f>
        <v/>
      </c>
      <c r="CX5" t="str">
        <f>IF(ISNA(VLOOKUP(CU5,'ODBC Data'!$B$1:$J$500,5,0)),"",VLOOKUP(CU5,'ODBC Data'!$B$1:$J$500,5,0))</f>
        <v/>
      </c>
      <c r="CZ5" s="19" t="str">
        <f>IF('ODBC Data'!$I$16&gt;1,'ODBC Data'!$H$16,"")</f>
        <v/>
      </c>
      <c r="DA5" s="19" t="str">
        <f>IF('ODBC Data'!$I$16&gt;1,2,"")</f>
        <v/>
      </c>
      <c r="DB5" s="17" t="str">
        <f t="shared" si="12"/>
        <v/>
      </c>
      <c r="DC5" t="str">
        <f>IF(ISNA(VLOOKUP(DB5,'ODBC Data'!$B$1:$J$500,3,0)),"",VLOOKUP(DB5,'ODBC Data'!$B$1:$J$500,3,0))</f>
        <v/>
      </c>
      <c r="DD5" s="57" t="str">
        <f>IF(ISNA(VLOOKUP(DB5,'ODBC Data'!$B$1:$J$500,4,0)),"",VLOOKUP(DB5,'ODBC Data'!$B$1:$J$500,4,0))</f>
        <v/>
      </c>
      <c r="DE5" t="str">
        <f>IF(ISNA(VLOOKUP(DB5,'ODBC Data'!$B$1:$J$500,5,0)),"",VLOOKUP(DB5,'ODBC Data'!$B$1:$J$500,5,0))</f>
        <v/>
      </c>
      <c r="DG5" s="19" t="str">
        <f>IF('ODBC Data'!$I$17&gt;1,'ODBC Data'!$H$17,"")</f>
        <v/>
      </c>
      <c r="DH5" s="19" t="str">
        <f>IF('ODBC Data'!$I$17&gt;1,2,"")</f>
        <v/>
      </c>
      <c r="DI5" s="17" t="str">
        <f t="shared" si="13"/>
        <v/>
      </c>
      <c r="DJ5" t="str">
        <f>IF(ISNA(VLOOKUP(DI5,'ODBC Data'!$B$1:$J$500,3,0)),"",VLOOKUP(DI5,'ODBC Data'!$B$1:$J$500,3,0))</f>
        <v/>
      </c>
      <c r="DK5" s="57" t="str">
        <f>IF(ISNA(VLOOKUP(DI5,'ODBC Data'!$B$1:$J$500,4,0)),"",VLOOKUP(DI5,'ODBC Data'!$B$1:$J$500,4,0))</f>
        <v/>
      </c>
      <c r="DL5" t="str">
        <f>IF(ISNA(VLOOKUP(DI5,'ODBC Data'!$B$1:$J$500,5,0)),"",VLOOKUP(DI5,'ODBC Data'!$B$1:$J$500,5,0))</f>
        <v/>
      </c>
      <c r="DN5" s="19" t="str">
        <f>IF('ODBC Data'!$I$18&gt;1,'ODBC Data'!$H$18,"")</f>
        <v>Fixed Assets</v>
      </c>
      <c r="DO5" s="19">
        <f>IF('ODBC Data'!$I$18&gt;1,2,"")</f>
        <v>2</v>
      </c>
      <c r="DP5" s="17" t="str">
        <f t="shared" si="14"/>
        <v>Fixed Assets2</v>
      </c>
      <c r="DQ5" t="str">
        <f>IF(ISNA(VLOOKUP(DP5,'ODBC Data'!$B$1:$J$500,3,0)),"",VLOOKUP(DP5,'ODBC Data'!$B$1:$J$500,3,0))</f>
        <v>Furniture</v>
      </c>
      <c r="DR5" s="57">
        <f>IF(ISNA(VLOOKUP(DP5,'ODBC Data'!$B$1:$J$500,4,0)),"",VLOOKUP(DP5,'ODBC Data'!$B$1:$J$500,4,0))</f>
        <v>-139590</v>
      </c>
      <c r="DS5">
        <f>IF(ISNA(VLOOKUP(DP5,'ODBC Data'!$B$1:$J$500,5,0)),"",VLOOKUP(DP5,'ODBC Data'!$B$1:$J$500,5,0))</f>
        <v>-125631</v>
      </c>
      <c r="DU5" s="19" t="str">
        <f>IF('ODBC Data'!$I$19&gt;1,'ODBC Data'!$H$19,"")</f>
        <v>Investments</v>
      </c>
      <c r="DV5" s="19">
        <f>IF('ODBC Data'!$I$19&gt;1,2,"")</f>
        <v>2</v>
      </c>
      <c r="DW5" s="17" t="str">
        <f t="shared" si="15"/>
        <v>Investments2</v>
      </c>
      <c r="DX5" t="str">
        <f>IF(ISNA(VLOOKUP(DW5,'ODBC Data'!$B$1:$J$500,3,0)),"",VLOOKUP(DW5,'ODBC Data'!$B$1:$J$500,3,0))</f>
        <v>Investments</v>
      </c>
      <c r="DY5" s="57">
        <f>IF(ISNA(VLOOKUP(DW5,'ODBC Data'!$B$1:$J$500,4,0)),"",VLOOKUP(DW5,'ODBC Data'!$B$1:$J$500,4,0))</f>
        <v>-25000</v>
      </c>
      <c r="DZ5">
        <f>IF(ISNA(VLOOKUP(DW5,'ODBC Data'!$B$1:$J$500,5,0)),"",VLOOKUP(DW5,'ODBC Data'!$B$1:$J$500,5,0))</f>
        <v>-27500</v>
      </c>
      <c r="EB5" s="19" t="str">
        <f>IF('ODBC Data'!$I$20&gt;1,'ODBC Data'!$H$20,"")</f>
        <v/>
      </c>
      <c r="EC5" s="19" t="str">
        <f>IF('ODBC Data'!$I$20&gt;1,2,"")</f>
        <v/>
      </c>
      <c r="ED5" s="17" t="str">
        <f t="shared" si="16"/>
        <v/>
      </c>
      <c r="EE5" s="57" t="str">
        <f>IF(ISNA(VLOOKUP(ED5,'ODBC Data'!$B$1:$J$500,3,0)),"",VLOOKUP(ED5,'ODBC Data'!$B$1:$J$500,3,0))</f>
        <v/>
      </c>
      <c r="EF5" s="57" t="str">
        <f>IF(ISNA(VLOOKUP(ED5,'ODBC Data'!$B$1:$J$500,4,0)),"",VLOOKUP(ED5,'ODBC Data'!$B$1:$J$500,4,0))</f>
        <v/>
      </c>
      <c r="EG5" s="57" t="str">
        <f>IF(ISNA(VLOOKUP(ED5,'ODBC Data'!$B$1:$J$500,5,0)),"",VLOOKUP(ED5,'ODBC Data'!$B$1:$J$500,5,0))</f>
        <v/>
      </c>
      <c r="EI5" s="19" t="str">
        <f>IF('ODBC Data'!$I$21&gt;1,'ODBC Data'!$H$21,"")</f>
        <v/>
      </c>
      <c r="EJ5" s="19" t="str">
        <f>IF('ODBC Data'!$I$21&gt;1,2,"")</f>
        <v/>
      </c>
      <c r="EK5" s="17" t="str">
        <f t="shared" si="17"/>
        <v/>
      </c>
      <c r="EL5" t="str">
        <f>IF(ISNA(VLOOKUP(EK5,'ODBC Data'!$B$1:$J$500,3,0)),"",VLOOKUP(EK5,'ODBC Data'!$B$1:$J$500,3,0))</f>
        <v/>
      </c>
      <c r="EM5" s="57" t="str">
        <f>IF(ISNA(VLOOKUP(EK5,'ODBC Data'!$B$1:$J$500,4,0)),"",VLOOKUP(EK5,'ODBC Data'!$B$1:$J$500,4,0))</f>
        <v/>
      </c>
      <c r="EN5" t="str">
        <f>IF(ISNA(VLOOKUP(EK5,'ODBC Data'!$B$1:$J$500,5,0)),"",VLOOKUP(EK5,'ODBC Data'!$B$1:$J$500,5,0))</f>
        <v/>
      </c>
      <c r="EP5" s="19" t="str">
        <f>IF('ODBC Data'!$I$22&gt;1,'ODBC Data'!$H$22,"")</f>
        <v/>
      </c>
      <c r="EQ5" s="19" t="str">
        <f>IF('ODBC Data'!$I$22&gt;1,2,"")</f>
        <v/>
      </c>
      <c r="ER5" s="17" t="str">
        <f t="shared" si="18"/>
        <v/>
      </c>
      <c r="ES5" t="str">
        <f>IF(ISNA(VLOOKUP(ER5,'ODBC Data'!$B$1:$J$500,3,0)),"",VLOOKUP(ER5,'ODBC Data'!$B$1:$J$500,3,0))</f>
        <v/>
      </c>
      <c r="ET5" s="57" t="str">
        <f>IF(ISNA(VLOOKUP(ER5,'ODBC Data'!$B$1:$J$500,4,0)),"",VLOOKUP(ER5,'ODBC Data'!$B$1:$J$500,4,0))</f>
        <v/>
      </c>
      <c r="EU5" t="str">
        <f>IF(ISNA(VLOOKUP(ER5,'ODBC Data'!$B$1:$J$500,5,0)),"",VLOOKUP(ER5,'ODBC Data'!$B$1:$J$500,5,0))</f>
        <v/>
      </c>
      <c r="EW5" s="19" t="str">
        <f>IF('ODBC Data'!$I$23&gt;1,'ODBC Data'!$H$23,"")</f>
        <v/>
      </c>
      <c r="EX5" s="19" t="str">
        <f>IF('ODBC Data'!$I$23&gt;1,2,"")</f>
        <v/>
      </c>
      <c r="EY5" s="17" t="str">
        <f t="shared" si="19"/>
        <v/>
      </c>
      <c r="EZ5" t="str">
        <f>IF(ISNA(VLOOKUP(EY5,'ODBC Data'!$B$1:$J$500,3,0)),"",VLOOKUP(EY5,'ODBC Data'!$B$1:$J$500,3,0))</f>
        <v/>
      </c>
      <c r="FA5" s="57" t="str">
        <f>IF(ISNA(VLOOKUP(EY5,'ODBC Data'!$B$1:$J$500,4,0)),"",VLOOKUP(EY5,'ODBC Data'!$B$1:$J$500,4,0))</f>
        <v/>
      </c>
      <c r="FB5" t="str">
        <f>IF(ISNA(VLOOKUP(EY5,'ODBC Data'!$B$1:$J$500,5,0)),"",VLOOKUP(EY5,'ODBC Data'!$B$1:$J$500,5,0))</f>
        <v/>
      </c>
      <c r="FD5" s="19" t="str">
        <f>IF('ODBC Data'!$I$24&gt;1,'ODBC Data'!$H$24,"")</f>
        <v/>
      </c>
      <c r="FE5" s="19" t="str">
        <f>IF('ODBC Data'!$I$24&gt;1,2,"")</f>
        <v/>
      </c>
      <c r="FF5" s="17" t="str">
        <f t="shared" si="20"/>
        <v/>
      </c>
      <c r="FG5" t="str">
        <f>IF(ISNA(VLOOKUP(FF5,'ODBC Data'!$B$1:$J$500,3,0)),"",VLOOKUP(FF5,'ODBC Data'!$B$1:$J$500,3,0))</f>
        <v/>
      </c>
      <c r="FH5" s="57" t="str">
        <f>IF(ISNA(VLOOKUP(FF5,'ODBC Data'!$B$1:$J$500,4,0)),"",VLOOKUP(FF5,'ODBC Data'!$B$1:$J$500,4,0))</f>
        <v/>
      </c>
      <c r="FI5" t="str">
        <f>IF(ISNA(VLOOKUP(FF5,'ODBC Data'!$B$1:$J$500,5,0)),"",VLOOKUP(FF5,'ODBC Data'!$B$1:$J$500,5,0))</f>
        <v/>
      </c>
      <c r="FK5" s="19" t="str">
        <f>IF('ODBC Data'!$I$25&gt;1,'ODBC Data'!$H$25,"")</f>
        <v/>
      </c>
      <c r="FL5" s="19" t="str">
        <f>IF('ODBC Data'!$I$25&gt;1,2,"")</f>
        <v/>
      </c>
      <c r="FM5" s="17" t="str">
        <f t="shared" si="21"/>
        <v/>
      </c>
      <c r="FN5" t="str">
        <f>IF(ISNA(VLOOKUP(FM5,'ODBC Data'!$B$1:$J$500,3,0)),"",VLOOKUP(FM5,'ODBC Data'!$B$1:$J$500,3,0))</f>
        <v/>
      </c>
      <c r="FO5" s="57" t="str">
        <f>IF(ISNA(VLOOKUP(FM5,'ODBC Data'!$B$1:$J$500,4,0)),"",VLOOKUP(FM5,'ODBC Data'!$B$1:$J$500,4,0))</f>
        <v/>
      </c>
      <c r="FP5" t="str">
        <f>IF(ISNA(VLOOKUP(FM5,'ODBC Data'!$B$1:$J$500,5,0)),"",VLOOKUP(FM5,'ODBC Data'!$B$1:$J$500,5,0))</f>
        <v/>
      </c>
      <c r="FR5" s="19" t="str">
        <f>IF('ODBC Data'!$I$26&gt;1,'ODBC Data'!$H$26,"")</f>
        <v/>
      </c>
      <c r="FS5" s="19" t="str">
        <f>IF('ODBC Data'!$I$26&gt;1,2,"")</f>
        <v/>
      </c>
      <c r="FT5" s="17" t="str">
        <f t="shared" si="22"/>
        <v/>
      </c>
      <c r="FU5" s="57" t="str">
        <f>IF(ISNA(VLOOKUP(FT5,'ODBC Data'!$B$1:$J$500,3,0)),"",VLOOKUP(FT5,'ODBC Data'!$B$1:$J$500,3,0))</f>
        <v/>
      </c>
      <c r="FV5" s="57" t="str">
        <f>IF(ISNA(VLOOKUP(FT5,'ODBC Data'!$B$1:$J$500,4,0)),"",VLOOKUP(FT5,'ODBC Data'!$B$1:$J$500,4,0))</f>
        <v/>
      </c>
      <c r="FW5" s="57" t="str">
        <f>IF(ISNA(VLOOKUP(FT5,'ODBC Data'!$B$1:$J$500,5,0)),"",VLOOKUP(FT5,'ODBC Data'!$B$1:$J$500,5,0))</f>
        <v/>
      </c>
      <c r="FY5" s="19" t="str">
        <f>IF('ODBC Data'!$I$27&gt;1,'ODBC Data'!$H$27,"")</f>
        <v/>
      </c>
      <c r="FZ5" s="19" t="str">
        <f>IF('ODBC Data'!$I$27&gt;1,2,"")</f>
        <v/>
      </c>
      <c r="GA5" s="17" t="str">
        <f t="shared" si="23"/>
        <v/>
      </c>
      <c r="GB5" s="57" t="str">
        <f>IF(ISNA(VLOOKUP(GA5,'ODBC Data'!$B$1:$J$500,3,0)),"",VLOOKUP(GA5,'ODBC Data'!$B$1:$J$500,3,0))</f>
        <v/>
      </c>
      <c r="GC5" s="57" t="str">
        <f>IF(ISNA(VLOOKUP(GA5,'ODBC Data'!$B$1:$J$500,4,0)),"",VLOOKUP(GA5,'ODBC Data'!$B$1:$J$500,4,0))</f>
        <v/>
      </c>
      <c r="GD5" s="57" t="str">
        <f>IF(ISNA(VLOOKUP(GA5,'ODBC Data'!$B$1:$J$500,5,0)),"",VLOOKUP(GA5,'ODBC Data'!$B$1:$J$500,5,0))</f>
        <v/>
      </c>
    </row>
    <row r="6" spans="1:186">
      <c r="A6" s="19" t="str">
        <f>IF('ODBC Data'!$I$1&gt;2,'ODBC Data'!$H$1,"")</f>
        <v/>
      </c>
      <c r="B6" s="19" t="str">
        <f>IF('ODBC Data'!$I$1&gt;2,3,"")</f>
        <v/>
      </c>
      <c r="C6" s="17" t="str">
        <f>CONCATENATE(A6,B6)</f>
        <v/>
      </c>
      <c r="D6" t="str">
        <f>IF(ISNA(VLOOKUP(C6,'ODBC Data'!$B$1:$J$500,3,0)),"",VLOOKUP(C6,'ODBC Data'!$B$1:$J$500,3,0))</f>
        <v/>
      </c>
      <c r="E6" t="str">
        <f>IF(ISNA(VLOOKUP(C6,'ODBC Data'!$B$1:$J$500,5,0)),"",VLOOKUP(C6,'ODBC Data'!$B$1:$J$500,5,0))</f>
        <v/>
      </c>
      <c r="G6" s="19" t="str">
        <f>IF('ODBC Data'!$I$2&gt;2,'ODBC Data'!$H$2,"")</f>
        <v/>
      </c>
      <c r="H6" s="19" t="str">
        <f>IF('ODBC Data'!$I$2&gt;2,3,"")</f>
        <v/>
      </c>
      <c r="I6" s="17" t="str">
        <f t="shared" si="24"/>
        <v/>
      </c>
      <c r="J6" t="str">
        <f>IF(ISNA(VLOOKUP(I6,'ODBC Data'!$B$1:$J$500,3,0)),"",VLOOKUP(I6,'ODBC Data'!$B$1:$J$500,3,0))</f>
        <v/>
      </c>
      <c r="K6" t="str">
        <f>IF(ISNA(VLOOKUP(I6,'ODBC Data'!$B$1:$J$500,5,0)),"",VLOOKUP(I6,'ODBC Data'!$B$1:$J$500,5,0))</f>
        <v/>
      </c>
      <c r="M6" s="19" t="str">
        <f>IF('ODBC Data'!$I$3&gt;2,'ODBC Data'!$H$3,"")</f>
        <v/>
      </c>
      <c r="N6" s="19" t="str">
        <f>IF('ODBC Data'!$I$3&gt;2,3,"")</f>
        <v/>
      </c>
      <c r="O6" s="17" t="str">
        <f t="shared" si="25"/>
        <v/>
      </c>
      <c r="P6" t="str">
        <f>IF(ISNA(VLOOKUP(O6,'ODBC Data'!$B$1:$J$500,3,0)),"",VLOOKUP(O6,'ODBC Data'!$B$1:$J$500,3,0))</f>
        <v/>
      </c>
      <c r="Q6" t="str">
        <f>IF(ISNA(VLOOKUP(O6,'ODBC Data'!$B$1:$J$500,5,0)),"",VLOOKUP(O6,'ODBC Data'!$B$1:$J$500,4,0))</f>
        <v/>
      </c>
      <c r="S6" s="19" t="str">
        <f>IF('ODBC Data'!$I$3&gt;2,'ODBC Data'!$H$3,"")</f>
        <v/>
      </c>
      <c r="T6" s="19" t="str">
        <f>IF('ODBC Data'!$I$3&gt;2,3,"")</f>
        <v/>
      </c>
      <c r="U6" s="17" t="str">
        <f t="shared" si="26"/>
        <v/>
      </c>
      <c r="V6" t="str">
        <f>IF(ISNA(VLOOKUP(U6,'ODBC Data'!$B$1:$J$500,3,0)),"",VLOOKUP(U6,'ODBC Data'!$B$1:$J$500,3,0))</f>
        <v/>
      </c>
      <c r="W6" t="str">
        <f>IF(ISNA(VLOOKUP(U6,'ODBC Data'!$B$1:$J$500,5,0)),"",VLOOKUP(U6,'ODBC Data'!$B$1:$J$500,5,0))</f>
        <v/>
      </c>
      <c r="Y6" s="19" t="str">
        <f>IF('ODBC Data'!$I$4&gt;2,'ODBC Data'!$H$4,"")</f>
        <v/>
      </c>
      <c r="Z6" s="19" t="str">
        <f>IF('ODBC Data'!$I$4&gt;2,3,"")</f>
        <v/>
      </c>
      <c r="AA6" s="17" t="str">
        <f t="shared" si="0"/>
        <v/>
      </c>
      <c r="AB6" s="57" t="str">
        <f>IF(ISNA(VLOOKUP(AA6,'ODBC Data'!$B$1:$J$500,3,0)),"",VLOOKUP(AA6,'ODBC Data'!$B$1:$J$500,3,0))</f>
        <v/>
      </c>
      <c r="AC6" s="57" t="str">
        <f>IF(ISNA(VLOOKUP(AA6,'ODBC Data'!$B$1:$J$500,5,0)),"",VLOOKUP(AA6,'ODBC Data'!$B$1:$J$500,5,0))</f>
        <v/>
      </c>
      <c r="AE6" s="19" t="str">
        <f>IF('ODBC Data'!$I$5&gt;2,'ODBC Data'!$H$5,"")</f>
        <v>Direct Expenses</v>
      </c>
      <c r="AF6" s="19">
        <f>IF('ODBC Data'!$I$5&gt;2,3,"")</f>
        <v>3</v>
      </c>
      <c r="AG6" s="17" t="str">
        <f t="shared" si="1"/>
        <v>Direct Expenses3</v>
      </c>
      <c r="AH6" t="str">
        <f>IF(ISNA(VLOOKUP(AG6,'ODBC Data'!$B$1:$J$500,3,0)),"",VLOOKUP(AG6,'ODBC Data'!$B$1:$J$500,3,0))</f>
        <v>Rent</v>
      </c>
      <c r="AI6">
        <f>IF(ISNA(VLOOKUP(AG6,'ODBC Data'!$B$1:$J$500,5,0)),"",VLOOKUP(AG6,'ODBC Data'!$B$1:$J$500,5,0))</f>
        <v>-4150</v>
      </c>
      <c r="AK6" s="19" t="str">
        <f>IF('ODBC Data'!$I$6&gt;2,'ODBC Data'!$H$6,"")</f>
        <v>Indirect Expenses</v>
      </c>
      <c r="AL6" s="19">
        <f>IF('ODBC Data'!$I$6&gt;2,3,"")</f>
        <v>3</v>
      </c>
      <c r="AM6" s="17" t="str">
        <f t="shared" si="2"/>
        <v>Indirect Expenses3</v>
      </c>
      <c r="AN6" t="str">
        <f>IF(ISNA(VLOOKUP(AM6,'ODBC Data'!$B$1:$J$500,3,0)),"",VLOOKUP(AM6,'ODBC Data'!$B$1:$J$500,3,0))</f>
        <v>Factory Wages</v>
      </c>
      <c r="AO6">
        <f>IF(ISNA(VLOOKUP(AM6,'ODBC Data'!$B$1:$J$500,5,0)),"",VLOOKUP(AM6,'ODBC Data'!$B$1:$J$500,5,0))</f>
        <v>-29786</v>
      </c>
      <c r="AQ6" s="19" t="str">
        <f>IF('ODBC Data'!$I$7&gt;2,'ODBC Data'!$H$7,"")</f>
        <v/>
      </c>
      <c r="AR6" s="19" t="str">
        <f>IF('ODBC Data'!$I$7&gt;2,3,"")</f>
        <v/>
      </c>
      <c r="AS6" s="17" t="str">
        <f t="shared" si="3"/>
        <v/>
      </c>
      <c r="AT6" t="str">
        <f>IF(ISNA(VLOOKUP(AS6,'ODBC Data'!$B$1:$J$500,3,0)),"",VLOOKUP(AS6,'ODBC Data'!$B$1:$J$500,3,0))</f>
        <v/>
      </c>
      <c r="AU6" t="str">
        <f>IF(ISNA(VLOOKUP(AS6,'ODBC Data'!$B$1:$J$500,5,0)),"",VLOOKUP(AS6,'ODBC Data'!$B$1:$J$500,5,0))</f>
        <v/>
      </c>
      <c r="AW6" s="19" t="str">
        <f>IF('ODBC Data'!$I$8&gt;2,'ODBC Data'!$H$8,"")</f>
        <v/>
      </c>
      <c r="AX6" s="19" t="str">
        <f>IF('ODBC Data'!$I$8&gt;2,3,"")</f>
        <v/>
      </c>
      <c r="AY6" s="17" t="str">
        <f t="shared" si="4"/>
        <v/>
      </c>
      <c r="AZ6" t="str">
        <f>IF(ISNA(VLOOKUP(AY6,'ODBC Data'!$B$1:$J$500,3,0)),"",VLOOKUP(AY6,'ODBC Data'!$B$1:$J$500,3,0))</f>
        <v/>
      </c>
      <c r="BA6" t="str">
        <f>IF(ISNA(VLOOKUP(AY6,'ODBC Data'!$B$1:$J$500,5,0)),"",VLOOKUP(AY6,'ODBC Data'!$B$1:$J$500,5,0))</f>
        <v/>
      </c>
      <c r="BC6" s="19" t="str">
        <f>IF('ODBC Data'!$I$9&gt;2,'ODBC Data'!$H$9,"")</f>
        <v>Capital Account</v>
      </c>
      <c r="BD6" s="19">
        <f>IF('ODBC Data'!$I$9&gt;2,3,"")</f>
        <v>3</v>
      </c>
      <c r="BE6" s="17" t="str">
        <f t="shared" si="5"/>
        <v>Capital Account3</v>
      </c>
      <c r="BF6" t="str">
        <f>IF(ISNA(VLOOKUP(BE6,'ODBC Data'!$B$1:$J$500,3,0)),"",VLOOKUP(BE6,'ODBC Data'!$B$1:$J$500,3,0))</f>
        <v>Income Tax</v>
      </c>
      <c r="BG6" s="57">
        <f>IF(ISNA(VLOOKUP(BE6,'ODBC Data'!$B$1:$J$500,4,0)),"",VLOOKUP(BE6,'ODBC Data'!$B$1:$J$500,4,0))</f>
        <v>-1234</v>
      </c>
      <c r="BH6">
        <f>IF(ISNA(VLOOKUP(BE6,'ODBC Data'!$B$1:$J$500,5,0)),"",VLOOKUP(BE6,'ODBC Data'!$B$1:$J$500,5,0))</f>
        <v>-2841</v>
      </c>
      <c r="BJ6" s="19" t="str">
        <f>IF('ODBC Data'!$I$10&gt;2,'ODBC Data'!$H$10,"")</f>
        <v/>
      </c>
      <c r="BK6" s="19" t="str">
        <f>IF('ODBC Data'!$I$10&gt;2,3,"")</f>
        <v/>
      </c>
      <c r="BL6" s="17" t="str">
        <f t="shared" si="6"/>
        <v/>
      </c>
      <c r="BM6" t="str">
        <f>IF(ISNA(VLOOKUP(BL6,'ODBC Data'!$B$1:$J$500,3,0)),"",VLOOKUP(BL6,'ODBC Data'!$B$1:$J$500,3,0))</f>
        <v/>
      </c>
      <c r="BN6" s="57" t="str">
        <f>IF(ISNA(VLOOKUP(BL6,'ODBC Data'!$B$1:$J$500,4,0)),"",VLOOKUP(BL6,'ODBC Data'!$B$1:$J$500,4,0))</f>
        <v/>
      </c>
      <c r="BO6" t="str">
        <f>IF(ISNA(VLOOKUP(BL6,'ODBC Data'!$B$1:$J$500,5,0)),"",VLOOKUP(BL6,'ODBC Data'!$B$1:$J$500,5,0))</f>
        <v/>
      </c>
      <c r="BQ6" s="19" t="str">
        <f>IF('ODBC Data'!$I$11&gt;2,'ODBC Data'!$H$11,"")</f>
        <v/>
      </c>
      <c r="BR6" s="19" t="str">
        <f>IF('ODBC Data'!$I$11&gt;2,3,"")</f>
        <v/>
      </c>
      <c r="BS6" s="17" t="str">
        <f t="shared" si="7"/>
        <v/>
      </c>
      <c r="BT6" t="str">
        <f>IF(ISNA(VLOOKUP(BS6,'ODBC Data'!$B$1:$J$500,3,0)),"",VLOOKUP(BS6,'ODBC Data'!$B$1:$J$500,3,0))</f>
        <v/>
      </c>
      <c r="BU6" s="57" t="str">
        <f>IF(ISNA(VLOOKUP(BS6,'ODBC Data'!$B$1:$J$500,4,0)),"",VLOOKUP(BS6,'ODBC Data'!$B$1:$J$500,4,0))</f>
        <v/>
      </c>
      <c r="BV6" t="str">
        <f>IF(ISNA(VLOOKUP(BS6,'ODBC Data'!$B$1:$J$500,5,0)),"",VLOOKUP(BS6,'ODBC Data'!$B$1:$J$500,5,0))</f>
        <v/>
      </c>
      <c r="BX6" s="19" t="str">
        <f>IF('ODBC Data'!$I$12&gt;2,'ODBC Data'!$H$12,"")</f>
        <v/>
      </c>
      <c r="BY6" s="19" t="str">
        <f>IF('ODBC Data'!$I$12&gt;2,3,"")</f>
        <v/>
      </c>
      <c r="BZ6" s="17" t="str">
        <f t="shared" si="8"/>
        <v/>
      </c>
      <c r="CA6" t="str">
        <f>IF(ISNA(VLOOKUP(BZ6,'ODBC Data'!$B$1:$J$500,3,0)),"",VLOOKUP(BZ6,'ODBC Data'!$B$1:$J$500,3,0))</f>
        <v/>
      </c>
      <c r="CB6" s="57" t="str">
        <f>IF(ISNA(VLOOKUP(BZ6,'ODBC Data'!$B$1:$J$500,4,0)),"",VLOOKUP(BZ6,'ODBC Data'!$B$1:$J$500,4,0))</f>
        <v/>
      </c>
      <c r="CC6" t="str">
        <f>IF(ISNA(VLOOKUP(BZ6,'ODBC Data'!$B$1:$J$500,5,0)),"",VLOOKUP(BZ6,'ODBC Data'!$B$1:$J$500,5,0))</f>
        <v/>
      </c>
      <c r="CE6" s="19" t="str">
        <f>IF('ODBC Data'!$I$13&gt;2,'ODBC Data'!$H$13,"")</f>
        <v/>
      </c>
      <c r="CF6" s="19" t="str">
        <f>IF('ODBC Data'!$I$13&gt;2,3,"")</f>
        <v/>
      </c>
      <c r="CG6" s="17" t="str">
        <f t="shared" si="9"/>
        <v/>
      </c>
      <c r="CH6" t="str">
        <f>IF(ISNA(VLOOKUP(CG6,'ODBC Data'!$B$1:$J$500,3,0)),"",VLOOKUP(CG6,'ODBC Data'!$B$1:$J$500,3,0))</f>
        <v/>
      </c>
      <c r="CI6" s="57" t="str">
        <f>IF(ISNA(VLOOKUP(CG6,'ODBC Data'!$B$1:$J$500,4,0)),"",VLOOKUP(CG6,'ODBC Data'!$B$1:$J$500,4,0))</f>
        <v/>
      </c>
      <c r="CJ6" t="str">
        <f>IF(ISNA(VLOOKUP(CG6,'ODBC Data'!$B$1:$J$500,5,0)),"",VLOOKUP(CG6,'ODBC Data'!$B$1:$J$500,5,0))</f>
        <v/>
      </c>
      <c r="CL6" s="19" t="str">
        <f>IF('ODBC Data'!$I$14&gt;2,'ODBC Data'!$H$14,"")</f>
        <v/>
      </c>
      <c r="CM6" s="19" t="str">
        <f>IF('ODBC Data'!$I$14&gt;2,3,"")</f>
        <v/>
      </c>
      <c r="CN6" s="17" t="str">
        <f t="shared" si="10"/>
        <v/>
      </c>
      <c r="CO6" s="57" t="str">
        <f>IF(ISNA(VLOOKUP(CN6,'ODBC Data'!$B$1:$J$500,3,0)),"",VLOOKUP(CN6,'ODBC Data'!$B$1:$J$500,3,0))</f>
        <v/>
      </c>
      <c r="CP6" s="57" t="str">
        <f>IF(ISNA(VLOOKUP(CN6,'ODBC Data'!$B$1:$J$500,4,0)),"",VLOOKUP(CN6,'ODBC Data'!$B$1:$J$500,4,0))</f>
        <v/>
      </c>
      <c r="CQ6" s="57" t="str">
        <f>IF(ISNA(VLOOKUP(CN6,'ODBC Data'!$B$1:$J$500,5,0)),"",VLOOKUP(CN6,'ODBC Data'!$B$1:$J$500,5,0))</f>
        <v/>
      </c>
      <c r="CS6" s="19" t="str">
        <f>IF('ODBC Data'!$I$15&gt;2,'ODBC Data'!$H$15,"")</f>
        <v/>
      </c>
      <c r="CT6" s="19" t="str">
        <f>IF('ODBC Data'!$I$15&gt;2,3,"")</f>
        <v/>
      </c>
      <c r="CU6" s="17" t="str">
        <f t="shared" si="11"/>
        <v/>
      </c>
      <c r="CV6" t="str">
        <f>IF(ISNA(VLOOKUP(CU6,'ODBC Data'!$B$1:$J$500,3,0)),"",VLOOKUP(CU6,'ODBC Data'!$B$1:$J$500,3,0))</f>
        <v/>
      </c>
      <c r="CW6" s="57" t="str">
        <f>IF(ISNA(VLOOKUP(CU6,'ODBC Data'!$B$1:$J$500,4,0)),"",VLOOKUP(CU6,'ODBC Data'!$B$1:$J$500,4,0))</f>
        <v/>
      </c>
      <c r="CX6" t="str">
        <f>IF(ISNA(VLOOKUP(CU6,'ODBC Data'!$B$1:$J$500,5,0)),"",VLOOKUP(CU6,'ODBC Data'!$B$1:$J$500,5,0))</f>
        <v/>
      </c>
      <c r="CZ6" s="19" t="str">
        <f>IF('ODBC Data'!$I$16&gt;2,'ODBC Data'!$H$16,"")</f>
        <v/>
      </c>
      <c r="DA6" s="19" t="str">
        <f>IF('ODBC Data'!$I$16&gt;2,3,"")</f>
        <v/>
      </c>
      <c r="DB6" s="17" t="str">
        <f t="shared" si="12"/>
        <v/>
      </c>
      <c r="DC6" t="str">
        <f>IF(ISNA(VLOOKUP(DB6,'ODBC Data'!$B$1:$J$500,3,0)),"",VLOOKUP(DB6,'ODBC Data'!$B$1:$J$500,3,0))</f>
        <v/>
      </c>
      <c r="DD6" s="57" t="str">
        <f>IF(ISNA(VLOOKUP(DB6,'ODBC Data'!$B$1:$J$500,4,0)),"",VLOOKUP(DB6,'ODBC Data'!$B$1:$J$500,4,0))</f>
        <v/>
      </c>
      <c r="DE6" t="str">
        <f>IF(ISNA(VLOOKUP(DB6,'ODBC Data'!$B$1:$J$500,5,0)),"",VLOOKUP(DB6,'ODBC Data'!$B$1:$J$500,5,0))</f>
        <v/>
      </c>
      <c r="DG6" s="19" t="str">
        <f>IF('ODBC Data'!$I$17&gt;2,'ODBC Data'!$H$17,"")</f>
        <v/>
      </c>
      <c r="DH6" s="19" t="str">
        <f>IF('ODBC Data'!$I$17&gt;2,3,"")</f>
        <v/>
      </c>
      <c r="DI6" s="17" t="str">
        <f t="shared" si="13"/>
        <v/>
      </c>
      <c r="DJ6" t="str">
        <f>IF(ISNA(VLOOKUP(DI6,'ODBC Data'!$B$1:$J$500,3,0)),"",VLOOKUP(DI6,'ODBC Data'!$B$1:$J$500,3,0))</f>
        <v/>
      </c>
      <c r="DK6" s="57" t="str">
        <f>IF(ISNA(VLOOKUP(DI6,'ODBC Data'!$B$1:$J$500,4,0)),"",VLOOKUP(DI6,'ODBC Data'!$B$1:$J$500,4,0))</f>
        <v/>
      </c>
      <c r="DL6" t="str">
        <f>IF(ISNA(VLOOKUP(DI6,'ODBC Data'!$B$1:$J$500,5,0)),"",VLOOKUP(DI6,'ODBC Data'!$B$1:$J$500,5,0))</f>
        <v/>
      </c>
      <c r="DN6" s="19" t="str">
        <f>IF('ODBC Data'!$I$18&gt;2,'ODBC Data'!$H$18,"")</f>
        <v>Fixed Assets</v>
      </c>
      <c r="DO6" s="19">
        <f>IF('ODBC Data'!$I$18&gt;2,3,"")</f>
        <v>3</v>
      </c>
      <c r="DP6" s="17" t="str">
        <f t="shared" si="14"/>
        <v>Fixed Assets3</v>
      </c>
      <c r="DQ6" t="str">
        <f>IF(ISNA(VLOOKUP(DP6,'ODBC Data'!$B$1:$J$500,3,0)),"",VLOOKUP(DP6,'ODBC Data'!$B$1:$J$500,3,0))</f>
        <v>Machinery</v>
      </c>
      <c r="DR6" s="57">
        <f>IF(ISNA(VLOOKUP(DP6,'ODBC Data'!$B$1:$J$500,4,0)),"",VLOOKUP(DP6,'ODBC Data'!$B$1:$J$500,4,0))</f>
        <v>-108575</v>
      </c>
      <c r="DS6">
        <f>IF(ISNA(VLOOKUP(DP6,'ODBC Data'!$B$1:$J$500,5,0)),"",VLOOKUP(DP6,'ODBC Data'!$B$1:$J$500,5,0))</f>
        <v>-114289</v>
      </c>
      <c r="DU6" s="19" t="str">
        <f>IF('ODBC Data'!$I$19&gt;2,'ODBC Data'!$H$19,"")</f>
        <v/>
      </c>
      <c r="DV6" s="19" t="str">
        <f>IF('ODBC Data'!$I$19&gt;2,3,"")</f>
        <v/>
      </c>
      <c r="DW6" s="17" t="str">
        <f t="shared" si="15"/>
        <v/>
      </c>
      <c r="DX6" t="str">
        <f>IF(ISNA(VLOOKUP(DW6,'ODBC Data'!$B$1:$J$500,3,0)),"",VLOOKUP(DW6,'ODBC Data'!$B$1:$J$500,3,0))</f>
        <v/>
      </c>
      <c r="DY6" s="57" t="str">
        <f>IF(ISNA(VLOOKUP(DW6,'ODBC Data'!$B$1:$J$500,4,0)),"",VLOOKUP(DW6,'ODBC Data'!$B$1:$J$500,4,0))</f>
        <v/>
      </c>
      <c r="DZ6" t="str">
        <f>IF(ISNA(VLOOKUP(DW6,'ODBC Data'!$B$1:$J$500,5,0)),"",VLOOKUP(DW6,'ODBC Data'!$B$1:$J$500,5,0))</f>
        <v/>
      </c>
      <c r="EB6" s="19" t="str">
        <f>IF('ODBC Data'!$I$20&gt;2,'ODBC Data'!$H$20,"")</f>
        <v/>
      </c>
      <c r="EC6" s="19" t="str">
        <f>IF('ODBC Data'!$I$20&gt;2,3,"")</f>
        <v/>
      </c>
      <c r="ED6" s="17" t="str">
        <f t="shared" si="16"/>
        <v/>
      </c>
      <c r="EE6" s="57" t="str">
        <f>IF(ISNA(VLOOKUP(ED6,'ODBC Data'!$B$1:$J$500,3,0)),"",VLOOKUP(ED6,'ODBC Data'!$B$1:$J$500,3,0))</f>
        <v/>
      </c>
      <c r="EF6" s="57" t="str">
        <f>IF(ISNA(VLOOKUP(ED6,'ODBC Data'!$B$1:$J$500,4,0)),"",VLOOKUP(ED6,'ODBC Data'!$B$1:$J$500,4,0))</f>
        <v/>
      </c>
      <c r="EG6" s="57" t="str">
        <f>IF(ISNA(VLOOKUP(ED6,'ODBC Data'!$B$1:$J$500,5,0)),"",VLOOKUP(ED6,'ODBC Data'!$B$1:$J$500,5,0))</f>
        <v/>
      </c>
      <c r="EI6" s="19" t="str">
        <f>IF('ODBC Data'!$I$21&gt;2,'ODBC Data'!$H$21,"")</f>
        <v/>
      </c>
      <c r="EJ6" s="19" t="str">
        <f>IF('ODBC Data'!$I$21&gt;2,3,"")</f>
        <v/>
      </c>
      <c r="EK6" s="17" t="str">
        <f t="shared" si="17"/>
        <v/>
      </c>
      <c r="EL6" t="str">
        <f>IF(ISNA(VLOOKUP(EK6,'ODBC Data'!$B$1:$J$500,3,0)),"",VLOOKUP(EK6,'ODBC Data'!$B$1:$J$500,3,0))</f>
        <v/>
      </c>
      <c r="EM6" s="57" t="str">
        <f>IF(ISNA(VLOOKUP(EK6,'ODBC Data'!$B$1:$J$500,4,0)),"",VLOOKUP(EK6,'ODBC Data'!$B$1:$J$500,4,0))</f>
        <v/>
      </c>
      <c r="EN6" t="str">
        <f>IF(ISNA(VLOOKUP(EK6,'ODBC Data'!$B$1:$J$500,5,0)),"",VLOOKUP(EK6,'ODBC Data'!$B$1:$J$500,5,0))</f>
        <v/>
      </c>
      <c r="EP6" s="19" t="str">
        <f>IF('ODBC Data'!$I$22&gt;2,'ODBC Data'!$H$22,"")</f>
        <v/>
      </c>
      <c r="EQ6" s="19" t="str">
        <f>IF('ODBC Data'!$I$22&gt;2,3,"")</f>
        <v/>
      </c>
      <c r="ER6" s="17" t="str">
        <f t="shared" si="18"/>
        <v/>
      </c>
      <c r="ES6" t="str">
        <f>IF(ISNA(VLOOKUP(ER6,'ODBC Data'!$B$1:$J$500,3,0)),"",VLOOKUP(ER6,'ODBC Data'!$B$1:$J$500,3,0))</f>
        <v/>
      </c>
      <c r="ET6" s="57" t="str">
        <f>IF(ISNA(VLOOKUP(ER6,'ODBC Data'!$B$1:$J$500,4,0)),"",VLOOKUP(ER6,'ODBC Data'!$B$1:$J$500,4,0))</f>
        <v/>
      </c>
      <c r="EU6" t="str">
        <f>IF(ISNA(VLOOKUP(ER6,'ODBC Data'!$B$1:$J$500,5,0)),"",VLOOKUP(ER6,'ODBC Data'!$B$1:$J$500,5,0))</f>
        <v/>
      </c>
      <c r="EW6" s="19" t="str">
        <f>IF('ODBC Data'!$I$23&gt;2,'ODBC Data'!$H$23,"")</f>
        <v/>
      </c>
      <c r="EX6" s="19" t="str">
        <f>IF('ODBC Data'!$I$23&gt;2,3,"")</f>
        <v/>
      </c>
      <c r="EY6" s="17" t="str">
        <f t="shared" si="19"/>
        <v/>
      </c>
      <c r="EZ6" t="str">
        <f>IF(ISNA(VLOOKUP(EY6,'ODBC Data'!$B$1:$J$500,3,0)),"",VLOOKUP(EY6,'ODBC Data'!$B$1:$J$500,3,0))</f>
        <v/>
      </c>
      <c r="FA6" s="57" t="str">
        <f>IF(ISNA(VLOOKUP(EY6,'ODBC Data'!$B$1:$J$500,4,0)),"",VLOOKUP(EY6,'ODBC Data'!$B$1:$J$500,4,0))</f>
        <v/>
      </c>
      <c r="FB6" t="str">
        <f>IF(ISNA(VLOOKUP(EY6,'ODBC Data'!$B$1:$J$500,5,0)),"",VLOOKUP(EY6,'ODBC Data'!$B$1:$J$500,5,0))</f>
        <v/>
      </c>
      <c r="FD6" s="19" t="str">
        <f>IF('ODBC Data'!$I$24&gt;2,'ODBC Data'!$H$24,"")</f>
        <v/>
      </c>
      <c r="FE6" s="19" t="str">
        <f>IF('ODBC Data'!$I$24&gt;2,3,"")</f>
        <v/>
      </c>
      <c r="FF6" s="17" t="str">
        <f t="shared" si="20"/>
        <v/>
      </c>
      <c r="FG6" t="str">
        <f>IF(ISNA(VLOOKUP(FF6,'ODBC Data'!$B$1:$J$500,3,0)),"",VLOOKUP(FF6,'ODBC Data'!$B$1:$J$500,3,0))</f>
        <v/>
      </c>
      <c r="FH6" s="57" t="str">
        <f>IF(ISNA(VLOOKUP(FF6,'ODBC Data'!$B$1:$J$500,4,0)),"",VLOOKUP(FF6,'ODBC Data'!$B$1:$J$500,4,0))</f>
        <v/>
      </c>
      <c r="FI6" t="str">
        <f>IF(ISNA(VLOOKUP(FF6,'ODBC Data'!$B$1:$J$500,5,0)),"",VLOOKUP(FF6,'ODBC Data'!$B$1:$J$500,5,0))</f>
        <v/>
      </c>
      <c r="FK6" s="19" t="str">
        <f>IF('ODBC Data'!$I$25&gt;2,'ODBC Data'!$H$25,"")</f>
        <v/>
      </c>
      <c r="FL6" s="19" t="str">
        <f>IF('ODBC Data'!$I$25&gt;2,3,"")</f>
        <v/>
      </c>
      <c r="FM6" s="17" t="str">
        <f t="shared" si="21"/>
        <v/>
      </c>
      <c r="FN6" t="str">
        <f>IF(ISNA(VLOOKUP(FM6,'ODBC Data'!$B$1:$J$500,3,0)),"",VLOOKUP(FM6,'ODBC Data'!$B$1:$J$500,3,0))</f>
        <v/>
      </c>
      <c r="FO6" s="57" t="str">
        <f>IF(ISNA(VLOOKUP(FM6,'ODBC Data'!$B$1:$J$500,4,0)),"",VLOOKUP(FM6,'ODBC Data'!$B$1:$J$500,4,0))</f>
        <v/>
      </c>
      <c r="FP6" t="str">
        <f>IF(ISNA(VLOOKUP(FM6,'ODBC Data'!$B$1:$J$500,5,0)),"",VLOOKUP(FM6,'ODBC Data'!$B$1:$J$500,5,0))</f>
        <v/>
      </c>
      <c r="FR6" s="19" t="str">
        <f>IF('ODBC Data'!$I$26&gt;2,'ODBC Data'!$H$26,"")</f>
        <v/>
      </c>
      <c r="FS6" s="19" t="str">
        <f>IF('ODBC Data'!$I$26&gt;2,3,"")</f>
        <v/>
      </c>
      <c r="FT6" s="17" t="str">
        <f t="shared" si="22"/>
        <v/>
      </c>
      <c r="FU6" s="57" t="str">
        <f>IF(ISNA(VLOOKUP(FT6,'ODBC Data'!$B$1:$J$500,3,0)),"",VLOOKUP(FT6,'ODBC Data'!$B$1:$J$500,3,0))</f>
        <v/>
      </c>
      <c r="FV6" s="57" t="str">
        <f>IF(ISNA(VLOOKUP(FT6,'ODBC Data'!$B$1:$J$500,4,0)),"",VLOOKUP(FT6,'ODBC Data'!$B$1:$J$500,4,0))</f>
        <v/>
      </c>
      <c r="FW6" s="57" t="str">
        <f>IF(ISNA(VLOOKUP(FT6,'ODBC Data'!$B$1:$J$500,5,0)),"",VLOOKUP(FT6,'ODBC Data'!$B$1:$J$500,5,0))</f>
        <v/>
      </c>
      <c r="FY6" s="19" t="str">
        <f>IF('ODBC Data'!$I$27&gt;2,'ODBC Data'!$H$27,"")</f>
        <v/>
      </c>
      <c r="FZ6" s="19" t="str">
        <f>IF('ODBC Data'!$I$27&gt;2,3,"")</f>
        <v/>
      </c>
      <c r="GA6" s="17" t="str">
        <f t="shared" si="23"/>
        <v/>
      </c>
      <c r="GB6" s="57" t="str">
        <f>IF(ISNA(VLOOKUP(GA6,'ODBC Data'!$B$1:$J$500,3,0)),"",VLOOKUP(GA6,'ODBC Data'!$B$1:$J$500,3,0))</f>
        <v/>
      </c>
      <c r="GC6" s="57" t="str">
        <f>IF(ISNA(VLOOKUP(GA6,'ODBC Data'!$B$1:$J$500,4,0)),"",VLOOKUP(GA6,'ODBC Data'!$B$1:$J$500,4,0))</f>
        <v/>
      </c>
      <c r="GD6" s="57" t="str">
        <f>IF(ISNA(VLOOKUP(GA6,'ODBC Data'!$B$1:$J$500,5,0)),"",VLOOKUP(GA6,'ODBC Data'!$B$1:$J$500,5,0))</f>
        <v/>
      </c>
    </row>
    <row r="7" spans="1:186">
      <c r="A7" s="19" t="str">
        <f>IF('ODBC Data'!$I$1&gt;3,'ODBC Data'!$H$1,"")</f>
        <v/>
      </c>
      <c r="B7" s="19" t="str">
        <f>IF('ODBC Data'!$I$1&gt;3,4,"")</f>
        <v/>
      </c>
      <c r="C7" s="17" t="str">
        <f>CONCATENATE(A7,B7)</f>
        <v/>
      </c>
      <c r="D7" t="str">
        <f>IF(ISNA(VLOOKUP(C7,'ODBC Data'!$B$1:$J$500,3,0)),"",VLOOKUP(C7,'ODBC Data'!$B$1:$J$500,3,0))</f>
        <v/>
      </c>
      <c r="E7" t="str">
        <f>IF(ISNA(VLOOKUP(C7,'ODBC Data'!$B$1:$J$500,5,0)),"",VLOOKUP(C7,'ODBC Data'!$B$1:$J$500,5,0))</f>
        <v/>
      </c>
      <c r="G7" s="19" t="str">
        <f>IF('ODBC Data'!$I$2&gt;3,'ODBC Data'!$H$2,"")</f>
        <v/>
      </c>
      <c r="H7" s="19" t="str">
        <f>IF('ODBC Data'!$I$2&gt;3,4,"")</f>
        <v/>
      </c>
      <c r="I7" s="17" t="str">
        <f t="shared" si="24"/>
        <v/>
      </c>
      <c r="J7" t="str">
        <f>IF(ISNA(VLOOKUP(I7,'ODBC Data'!$B$1:$J$500,3,0)),"",VLOOKUP(I7,'ODBC Data'!$B$1:$J$500,3,0))</f>
        <v/>
      </c>
      <c r="K7" t="str">
        <f>IF(ISNA(VLOOKUP(I7,'ODBC Data'!$B$1:$J$500,5,0)),"",VLOOKUP(I7,'ODBC Data'!$B$1:$J$500,5,0))</f>
        <v/>
      </c>
      <c r="M7" s="19" t="str">
        <f>IF('ODBC Data'!$I$3&gt;3,'ODBC Data'!$H$3,"")</f>
        <v/>
      </c>
      <c r="N7" s="19" t="str">
        <f>IF('ODBC Data'!$I$3&gt;3,4,"")</f>
        <v/>
      </c>
      <c r="O7" s="17" t="str">
        <f t="shared" si="25"/>
        <v/>
      </c>
      <c r="P7" t="str">
        <f>IF(ISNA(VLOOKUP(O7,'ODBC Data'!$B$1:$J$500,3,0)),"",VLOOKUP(O7,'ODBC Data'!$B$1:$J$500,3,0))</f>
        <v/>
      </c>
      <c r="Q7" t="str">
        <f>IF(ISNA(VLOOKUP(O7,'ODBC Data'!$B$1:$J$500,5,0)),"",VLOOKUP(O7,'ODBC Data'!$B$1:$J$500,4,0))</f>
        <v/>
      </c>
      <c r="S7" s="19" t="str">
        <f>IF('ODBC Data'!$I$3&gt;3,'ODBC Data'!$H$3,"")</f>
        <v/>
      </c>
      <c r="T7" s="19" t="str">
        <f>IF('ODBC Data'!$I$3&gt;3,4,"")</f>
        <v/>
      </c>
      <c r="U7" s="17" t="str">
        <f t="shared" si="26"/>
        <v/>
      </c>
      <c r="V7" t="str">
        <f>IF(ISNA(VLOOKUP(U7,'ODBC Data'!$B$1:$J$500,3,0)),"",VLOOKUP(U7,'ODBC Data'!$B$1:$J$500,3,0))</f>
        <v/>
      </c>
      <c r="W7" t="str">
        <f>IF(ISNA(VLOOKUP(U7,'ODBC Data'!$B$1:$J$500,5,0)),"",VLOOKUP(U7,'ODBC Data'!$B$1:$J$500,5,0))</f>
        <v/>
      </c>
      <c r="Y7" s="19" t="str">
        <f>IF('ODBC Data'!$I$4&gt;3,'ODBC Data'!$H$4,"")</f>
        <v/>
      </c>
      <c r="Z7" s="19" t="str">
        <f>IF('ODBC Data'!$I$4&gt;3,4,"")</f>
        <v/>
      </c>
      <c r="AA7" s="17" t="str">
        <f t="shared" si="0"/>
        <v/>
      </c>
      <c r="AB7" s="57" t="str">
        <f>IF(ISNA(VLOOKUP(AA7,'ODBC Data'!$B$1:$J$500,3,0)),"",VLOOKUP(AA7,'ODBC Data'!$B$1:$J$500,3,0))</f>
        <v/>
      </c>
      <c r="AC7" s="57" t="str">
        <f>IF(ISNA(VLOOKUP(AA7,'ODBC Data'!$B$1:$J$500,5,0)),"",VLOOKUP(AA7,'ODBC Data'!$B$1:$J$500,5,0))</f>
        <v/>
      </c>
      <c r="AE7" s="19" t="str">
        <f>IF('ODBC Data'!$I$5&gt;3,'ODBC Data'!$H$5,"")</f>
        <v>Direct Expenses</v>
      </c>
      <c r="AF7" s="19">
        <f>IF('ODBC Data'!$I$5&gt;3,4,"")</f>
        <v>4</v>
      </c>
      <c r="AG7" s="17" t="str">
        <f t="shared" si="1"/>
        <v>Direct Expenses4</v>
      </c>
      <c r="AH7" t="str">
        <f>IF(ISNA(VLOOKUP(AG7,'ODBC Data'!$B$1:$J$500,3,0)),"",VLOOKUP(AG7,'ODBC Data'!$B$1:$J$500,3,0))</f>
        <v>Salaries</v>
      </c>
      <c r="AI7">
        <f>IF(ISNA(VLOOKUP(AG7,'ODBC Data'!$B$1:$J$500,5,0)),"",VLOOKUP(AG7,'ODBC Data'!$B$1:$J$500,5,0))</f>
        <v>-5200</v>
      </c>
      <c r="AK7" s="19" t="str">
        <f>IF('ODBC Data'!$I$6&gt;3,'ODBC Data'!$H$6,"")</f>
        <v>Indirect Expenses</v>
      </c>
      <c r="AL7" s="19">
        <f>IF('ODBC Data'!$I$6&gt;3,4,"")</f>
        <v>4</v>
      </c>
      <c r="AM7" s="17" t="str">
        <f t="shared" si="2"/>
        <v>Indirect Expenses4</v>
      </c>
      <c r="AN7" t="str">
        <f>IF(ISNA(VLOOKUP(AM7,'ODBC Data'!$B$1:$J$500,3,0)),"",VLOOKUP(AM7,'ODBC Data'!$B$1:$J$500,3,0))</f>
        <v>Incentives</v>
      </c>
      <c r="AO7">
        <f>IF(ISNA(VLOOKUP(AM7,'ODBC Data'!$B$1:$J$500,5,0)),"",VLOOKUP(AM7,'ODBC Data'!$B$1:$J$500,5,0))</f>
        <v>0</v>
      </c>
      <c r="AQ7" s="19" t="str">
        <f>IF('ODBC Data'!$I$7&gt;3,'ODBC Data'!$H$7,"")</f>
        <v/>
      </c>
      <c r="AR7" s="19" t="str">
        <f>IF('ODBC Data'!$I$7&gt;3,4,"")</f>
        <v/>
      </c>
      <c r="AS7" s="17" t="str">
        <f t="shared" si="3"/>
        <v/>
      </c>
      <c r="AT7" t="str">
        <f>IF(ISNA(VLOOKUP(AS7,'ODBC Data'!$B$1:$J$500,3,0)),"",VLOOKUP(AS7,'ODBC Data'!$B$1:$J$500,3,0))</f>
        <v/>
      </c>
      <c r="AU7" t="str">
        <f>IF(ISNA(VLOOKUP(AS7,'ODBC Data'!$B$1:$J$500,5,0)),"",VLOOKUP(AS7,'ODBC Data'!$B$1:$J$500,5,0))</f>
        <v/>
      </c>
      <c r="AW7" s="19" t="str">
        <f>IF('ODBC Data'!$I$8&gt;3,'ODBC Data'!$H$8,"")</f>
        <v/>
      </c>
      <c r="AX7" s="19" t="str">
        <f>IF('ODBC Data'!$I$8&gt;3,4,"")</f>
        <v/>
      </c>
      <c r="AY7" s="17" t="str">
        <f t="shared" si="4"/>
        <v/>
      </c>
      <c r="AZ7" t="str">
        <f>IF(ISNA(VLOOKUP(AY7,'ODBC Data'!$B$1:$J$500,3,0)),"",VLOOKUP(AY7,'ODBC Data'!$B$1:$J$500,3,0))</f>
        <v/>
      </c>
      <c r="BA7" t="str">
        <f>IF(ISNA(VLOOKUP(AY7,'ODBC Data'!$B$1:$J$500,5,0)),"",VLOOKUP(AY7,'ODBC Data'!$B$1:$J$500,5,0))</f>
        <v/>
      </c>
      <c r="BC7" s="19" t="str">
        <f>IF('ODBC Data'!$I$9&gt;3,'ODBC Data'!$H$9,"")</f>
        <v>Capital Account</v>
      </c>
      <c r="BD7" s="19">
        <f>IF('ODBC Data'!$I$9&gt;3,4,"")</f>
        <v>4</v>
      </c>
      <c r="BE7" s="17" t="str">
        <f t="shared" si="5"/>
        <v>Capital Account4</v>
      </c>
      <c r="BF7" t="str">
        <f>IF(ISNA(VLOOKUP(BE7,'ODBC Data'!$B$1:$J$500,3,0)),"",VLOOKUP(BE7,'ODBC Data'!$B$1:$J$500,3,0))</f>
        <v>Lic &amp; Mediclaim</v>
      </c>
      <c r="BG7" s="57">
        <f>IF(ISNA(VLOOKUP(BE7,'ODBC Data'!$B$1:$J$500,4,0)),"",VLOOKUP(BE7,'ODBC Data'!$B$1:$J$500,4,0))</f>
        <v>-3200</v>
      </c>
      <c r="BH7">
        <f>IF(ISNA(VLOOKUP(BE7,'ODBC Data'!$B$1:$J$500,5,0)),"",VLOOKUP(BE7,'ODBC Data'!$B$1:$J$500,5,0))</f>
        <v>-6720</v>
      </c>
      <c r="BJ7" s="19" t="str">
        <f>IF('ODBC Data'!$I$10&gt;3,'ODBC Data'!$H$10,"")</f>
        <v/>
      </c>
      <c r="BK7" s="19" t="str">
        <f>IF('ODBC Data'!$I$10&gt;3,4,"")</f>
        <v/>
      </c>
      <c r="BL7" s="17" t="str">
        <f t="shared" si="6"/>
        <v/>
      </c>
      <c r="BM7" t="str">
        <f>IF(ISNA(VLOOKUP(BL7,'ODBC Data'!$B$1:$J$500,3,0)),"",VLOOKUP(BL7,'ODBC Data'!$B$1:$J$500,3,0))</f>
        <v/>
      </c>
      <c r="BN7" s="57" t="str">
        <f>IF(ISNA(VLOOKUP(BL7,'ODBC Data'!$B$1:$J$500,4,0)),"",VLOOKUP(BL7,'ODBC Data'!$B$1:$J$500,4,0))</f>
        <v/>
      </c>
      <c r="BO7" t="str">
        <f>IF(ISNA(VLOOKUP(BL7,'ODBC Data'!$B$1:$J$500,5,0)),"",VLOOKUP(BL7,'ODBC Data'!$B$1:$J$500,5,0))</f>
        <v/>
      </c>
      <c r="BQ7" s="19" t="str">
        <f>IF('ODBC Data'!$I$11&gt;3,'ODBC Data'!$H$11,"")</f>
        <v/>
      </c>
      <c r="BR7" s="19" t="str">
        <f>IF('ODBC Data'!$I$11&gt;3,4,"")</f>
        <v/>
      </c>
      <c r="BS7" s="17" t="str">
        <f t="shared" si="7"/>
        <v/>
      </c>
      <c r="BT7" t="str">
        <f>IF(ISNA(VLOOKUP(BS7,'ODBC Data'!$B$1:$J$500,3,0)),"",VLOOKUP(BS7,'ODBC Data'!$B$1:$J$500,3,0))</f>
        <v/>
      </c>
      <c r="BU7" s="57" t="str">
        <f>IF(ISNA(VLOOKUP(BS7,'ODBC Data'!$B$1:$J$500,4,0)),"",VLOOKUP(BS7,'ODBC Data'!$B$1:$J$500,4,0))</f>
        <v/>
      </c>
      <c r="BV7" t="str">
        <f>IF(ISNA(VLOOKUP(BS7,'ODBC Data'!$B$1:$J$500,5,0)),"",VLOOKUP(BS7,'ODBC Data'!$B$1:$J$500,5,0))</f>
        <v/>
      </c>
      <c r="BX7" s="19" t="str">
        <f>IF('ODBC Data'!$I$12&gt;3,'ODBC Data'!$H$12,"")</f>
        <v/>
      </c>
      <c r="BY7" s="19" t="str">
        <f>IF('ODBC Data'!$I$12&gt;3,4,"")</f>
        <v/>
      </c>
      <c r="BZ7" s="17" t="str">
        <f t="shared" si="8"/>
        <v/>
      </c>
      <c r="CA7" t="str">
        <f>IF(ISNA(VLOOKUP(BZ7,'ODBC Data'!$B$1:$J$500,3,0)),"",VLOOKUP(BZ7,'ODBC Data'!$B$1:$J$500,3,0))</f>
        <v/>
      </c>
      <c r="CB7" s="57" t="str">
        <f>IF(ISNA(VLOOKUP(BZ7,'ODBC Data'!$B$1:$J$500,4,0)),"",VLOOKUP(BZ7,'ODBC Data'!$B$1:$J$500,4,0))</f>
        <v/>
      </c>
      <c r="CC7" t="str">
        <f>IF(ISNA(VLOOKUP(BZ7,'ODBC Data'!$B$1:$J$500,5,0)),"",VLOOKUP(BZ7,'ODBC Data'!$B$1:$J$500,5,0))</f>
        <v/>
      </c>
      <c r="CE7" s="19" t="str">
        <f>IF('ODBC Data'!$I$13&gt;3,'ODBC Data'!$H$13,"")</f>
        <v/>
      </c>
      <c r="CF7" s="19" t="str">
        <f>IF('ODBC Data'!$I$13&gt;3,4,"")</f>
        <v/>
      </c>
      <c r="CG7" s="17" t="str">
        <f t="shared" si="9"/>
        <v/>
      </c>
      <c r="CH7" t="str">
        <f>IF(ISNA(VLOOKUP(CG7,'ODBC Data'!$B$1:$J$500,3,0)),"",VLOOKUP(CG7,'ODBC Data'!$B$1:$J$500,3,0))</f>
        <v/>
      </c>
      <c r="CI7" s="57" t="str">
        <f>IF(ISNA(VLOOKUP(CG7,'ODBC Data'!$B$1:$J$500,4,0)),"",VLOOKUP(CG7,'ODBC Data'!$B$1:$J$500,4,0))</f>
        <v/>
      </c>
      <c r="CJ7" t="str">
        <f>IF(ISNA(VLOOKUP(CG7,'ODBC Data'!$B$1:$J$500,5,0)),"",VLOOKUP(CG7,'ODBC Data'!$B$1:$J$500,5,0))</f>
        <v/>
      </c>
      <c r="CL7" s="19" t="str">
        <f>IF('ODBC Data'!$I$14&gt;3,'ODBC Data'!$H$14,"")</f>
        <v/>
      </c>
      <c r="CM7" s="19" t="str">
        <f>IF('ODBC Data'!$I$14&gt;3,4,"")</f>
        <v/>
      </c>
      <c r="CN7" s="17" t="str">
        <f t="shared" si="10"/>
        <v/>
      </c>
      <c r="CO7" s="57" t="str">
        <f>IF(ISNA(VLOOKUP(CN7,'ODBC Data'!$B$1:$J$500,3,0)),"",VLOOKUP(CN7,'ODBC Data'!$B$1:$J$500,3,0))</f>
        <v/>
      </c>
      <c r="CP7" s="57" t="str">
        <f>IF(ISNA(VLOOKUP(CN7,'ODBC Data'!$B$1:$J$500,4,0)),"",VLOOKUP(CN7,'ODBC Data'!$B$1:$J$500,4,0))</f>
        <v/>
      </c>
      <c r="CQ7" s="57" t="str">
        <f>IF(ISNA(VLOOKUP(CN7,'ODBC Data'!$B$1:$J$500,5,0)),"",VLOOKUP(CN7,'ODBC Data'!$B$1:$J$500,5,0))</f>
        <v/>
      </c>
      <c r="CS7" s="19" t="str">
        <f>IF('ODBC Data'!$I$15&gt;3,'ODBC Data'!$H$15,"")</f>
        <v/>
      </c>
      <c r="CT7" s="19" t="str">
        <f>IF('ODBC Data'!$I$15&gt;3,4,"")</f>
        <v/>
      </c>
      <c r="CU7" s="17" t="str">
        <f t="shared" si="11"/>
        <v/>
      </c>
      <c r="CV7" t="str">
        <f>IF(ISNA(VLOOKUP(CU7,'ODBC Data'!$B$1:$J$500,3,0)),"",VLOOKUP(CU7,'ODBC Data'!$B$1:$J$500,3,0))</f>
        <v/>
      </c>
      <c r="CW7" s="57" t="str">
        <f>IF(ISNA(VLOOKUP(CU7,'ODBC Data'!$B$1:$J$500,4,0)),"",VLOOKUP(CU7,'ODBC Data'!$B$1:$J$500,4,0))</f>
        <v/>
      </c>
      <c r="CX7" t="str">
        <f>IF(ISNA(VLOOKUP(CU7,'ODBC Data'!$B$1:$J$500,5,0)),"",VLOOKUP(CU7,'ODBC Data'!$B$1:$J$500,5,0))</f>
        <v/>
      </c>
      <c r="CZ7" s="19" t="str">
        <f>IF('ODBC Data'!$I$16&gt;3,'ODBC Data'!$H$16,"")</f>
        <v/>
      </c>
      <c r="DA7" s="19" t="str">
        <f>IF('ODBC Data'!$I$16&gt;3,4,"")</f>
        <v/>
      </c>
      <c r="DB7" s="17" t="str">
        <f t="shared" si="12"/>
        <v/>
      </c>
      <c r="DC7" t="str">
        <f>IF(ISNA(VLOOKUP(DB7,'ODBC Data'!$B$1:$J$500,3,0)),"",VLOOKUP(DB7,'ODBC Data'!$B$1:$J$500,3,0))</f>
        <v/>
      </c>
      <c r="DD7" s="57" t="str">
        <f>IF(ISNA(VLOOKUP(DB7,'ODBC Data'!$B$1:$J$500,4,0)),"",VLOOKUP(DB7,'ODBC Data'!$B$1:$J$500,4,0))</f>
        <v/>
      </c>
      <c r="DE7" t="str">
        <f>IF(ISNA(VLOOKUP(DB7,'ODBC Data'!$B$1:$J$500,5,0)),"",VLOOKUP(DB7,'ODBC Data'!$B$1:$J$500,5,0))</f>
        <v/>
      </c>
      <c r="DG7" s="19" t="str">
        <f>IF('ODBC Data'!$I$17&gt;3,'ODBC Data'!$H$17,"")</f>
        <v/>
      </c>
      <c r="DH7" s="19" t="str">
        <f>IF('ODBC Data'!$I$17&gt;3,4,"")</f>
        <v/>
      </c>
      <c r="DI7" s="17" t="str">
        <f t="shared" si="13"/>
        <v/>
      </c>
      <c r="DJ7" t="str">
        <f>IF(ISNA(VLOOKUP(DI7,'ODBC Data'!$B$1:$J$500,3,0)),"",VLOOKUP(DI7,'ODBC Data'!$B$1:$J$500,3,0))</f>
        <v/>
      </c>
      <c r="DK7" s="57" t="str">
        <f>IF(ISNA(VLOOKUP(DI7,'ODBC Data'!$B$1:$J$500,4,0)),"",VLOOKUP(DI7,'ODBC Data'!$B$1:$J$500,4,0))</f>
        <v/>
      </c>
      <c r="DL7" t="str">
        <f>IF(ISNA(VLOOKUP(DI7,'ODBC Data'!$B$1:$J$500,5,0)),"",VLOOKUP(DI7,'ODBC Data'!$B$1:$J$500,5,0))</f>
        <v/>
      </c>
      <c r="DN7" s="19" t="str">
        <f>IF('ODBC Data'!$I$18&gt;3,'ODBC Data'!$H$18,"")</f>
        <v>Fixed Assets</v>
      </c>
      <c r="DO7" s="19">
        <f>IF('ODBC Data'!$I$18&gt;3,4,"")</f>
        <v>4</v>
      </c>
      <c r="DP7" s="17" t="str">
        <f t="shared" si="14"/>
        <v>Fixed Assets4</v>
      </c>
      <c r="DQ7" t="str">
        <f>IF(ISNA(VLOOKUP(DP7,'ODBC Data'!$B$1:$J$500,3,0)),"",VLOOKUP(DP7,'ODBC Data'!$B$1:$J$500,3,0))</f>
        <v>Property</v>
      </c>
      <c r="DR7" s="57">
        <f>IF(ISNA(VLOOKUP(DP7,'ODBC Data'!$B$1:$J$500,4,0)),"",VLOOKUP(DP7,'ODBC Data'!$B$1:$J$500,4,0))</f>
        <v>-200000</v>
      </c>
      <c r="DS7">
        <f>IF(ISNA(VLOOKUP(DP7,'ODBC Data'!$B$1:$J$500,5,0)),"",VLOOKUP(DP7,'ODBC Data'!$B$1:$J$500,5,0))</f>
        <v>-200000</v>
      </c>
      <c r="DU7" s="19" t="str">
        <f>IF('ODBC Data'!$I$19&gt;3,'ODBC Data'!$H$19,"")</f>
        <v/>
      </c>
      <c r="DV7" s="19" t="str">
        <f>IF('ODBC Data'!$I$19&gt;3,4,"")</f>
        <v/>
      </c>
      <c r="DW7" s="17" t="str">
        <f t="shared" si="15"/>
        <v/>
      </c>
      <c r="DX7" t="str">
        <f>IF(ISNA(VLOOKUP(DW7,'ODBC Data'!$B$1:$J$500,3,0)),"",VLOOKUP(DW7,'ODBC Data'!$B$1:$J$500,3,0))</f>
        <v/>
      </c>
      <c r="DY7" s="57" t="str">
        <f>IF(ISNA(VLOOKUP(DW7,'ODBC Data'!$B$1:$J$500,4,0)),"",VLOOKUP(DW7,'ODBC Data'!$B$1:$J$500,4,0))</f>
        <v/>
      </c>
      <c r="DZ7" t="str">
        <f>IF(ISNA(VLOOKUP(DW7,'ODBC Data'!$B$1:$J$500,5,0)),"",VLOOKUP(DW7,'ODBC Data'!$B$1:$J$500,5,0))</f>
        <v/>
      </c>
      <c r="EB7" s="19" t="str">
        <f>IF('ODBC Data'!$I$20&gt;3,'ODBC Data'!$H$20,"")</f>
        <v/>
      </c>
      <c r="EC7" s="19" t="str">
        <f>IF('ODBC Data'!$I$20&gt;3,4,"")</f>
        <v/>
      </c>
      <c r="ED7" s="17" t="str">
        <f t="shared" si="16"/>
        <v/>
      </c>
      <c r="EE7" s="57" t="str">
        <f>IF(ISNA(VLOOKUP(ED7,'ODBC Data'!$B$1:$J$500,3,0)),"",VLOOKUP(ED7,'ODBC Data'!$B$1:$J$500,3,0))</f>
        <v/>
      </c>
      <c r="EF7" s="57" t="str">
        <f>IF(ISNA(VLOOKUP(ED7,'ODBC Data'!$B$1:$J$500,4,0)),"",VLOOKUP(ED7,'ODBC Data'!$B$1:$J$500,4,0))</f>
        <v/>
      </c>
      <c r="EG7" s="57" t="str">
        <f>IF(ISNA(VLOOKUP(ED7,'ODBC Data'!$B$1:$J$500,5,0)),"",VLOOKUP(ED7,'ODBC Data'!$B$1:$J$500,5,0))</f>
        <v/>
      </c>
      <c r="EI7" s="19" t="str">
        <f>IF('ODBC Data'!$I$21&gt;3,'ODBC Data'!$H$21,"")</f>
        <v/>
      </c>
      <c r="EJ7" s="19" t="str">
        <f>IF('ODBC Data'!$I$21&gt;3,4,"")</f>
        <v/>
      </c>
      <c r="EK7" s="17" t="str">
        <f t="shared" si="17"/>
        <v/>
      </c>
      <c r="EL7" t="str">
        <f>IF(ISNA(VLOOKUP(EK7,'ODBC Data'!$B$1:$J$500,3,0)),"",VLOOKUP(EK7,'ODBC Data'!$B$1:$J$500,3,0))</f>
        <v/>
      </c>
      <c r="EM7" s="57" t="str">
        <f>IF(ISNA(VLOOKUP(EK7,'ODBC Data'!$B$1:$J$500,4,0)),"",VLOOKUP(EK7,'ODBC Data'!$B$1:$J$500,4,0))</f>
        <v/>
      </c>
      <c r="EN7" t="str">
        <f>IF(ISNA(VLOOKUP(EK7,'ODBC Data'!$B$1:$J$500,5,0)),"",VLOOKUP(EK7,'ODBC Data'!$B$1:$J$500,5,0))</f>
        <v/>
      </c>
      <c r="EP7" s="19" t="str">
        <f>IF('ODBC Data'!$I$22&gt;3,'ODBC Data'!$H$22,"")</f>
        <v/>
      </c>
      <c r="EQ7" s="19" t="str">
        <f>IF('ODBC Data'!$I$22&gt;3,4,"")</f>
        <v/>
      </c>
      <c r="ER7" s="17" t="str">
        <f t="shared" si="18"/>
        <v/>
      </c>
      <c r="ES7" t="str">
        <f>IF(ISNA(VLOOKUP(ER7,'ODBC Data'!$B$1:$J$500,3,0)),"",VLOOKUP(ER7,'ODBC Data'!$B$1:$J$500,3,0))</f>
        <v/>
      </c>
      <c r="ET7" s="57" t="str">
        <f>IF(ISNA(VLOOKUP(ER7,'ODBC Data'!$B$1:$J$500,4,0)),"",VLOOKUP(ER7,'ODBC Data'!$B$1:$J$500,4,0))</f>
        <v/>
      </c>
      <c r="EU7" t="str">
        <f>IF(ISNA(VLOOKUP(ER7,'ODBC Data'!$B$1:$J$500,5,0)),"",VLOOKUP(ER7,'ODBC Data'!$B$1:$J$500,5,0))</f>
        <v/>
      </c>
      <c r="EW7" s="19" t="str">
        <f>IF('ODBC Data'!$I$23&gt;3,'ODBC Data'!$H$23,"")</f>
        <v/>
      </c>
      <c r="EX7" s="19" t="str">
        <f>IF('ODBC Data'!$I$23&gt;3,4,"")</f>
        <v/>
      </c>
      <c r="EY7" s="17" t="str">
        <f t="shared" si="19"/>
        <v/>
      </c>
      <c r="EZ7" t="str">
        <f>IF(ISNA(VLOOKUP(EY7,'ODBC Data'!$B$1:$J$500,3,0)),"",VLOOKUP(EY7,'ODBC Data'!$B$1:$J$500,3,0))</f>
        <v/>
      </c>
      <c r="FA7" s="57" t="str">
        <f>IF(ISNA(VLOOKUP(EY7,'ODBC Data'!$B$1:$J$500,4,0)),"",VLOOKUP(EY7,'ODBC Data'!$B$1:$J$500,4,0))</f>
        <v/>
      </c>
      <c r="FB7" t="str">
        <f>IF(ISNA(VLOOKUP(EY7,'ODBC Data'!$B$1:$J$500,5,0)),"",VLOOKUP(EY7,'ODBC Data'!$B$1:$J$500,5,0))</f>
        <v/>
      </c>
      <c r="FD7" s="19" t="str">
        <f>IF('ODBC Data'!$I$24&gt;3,'ODBC Data'!$H$24,"")</f>
        <v/>
      </c>
      <c r="FE7" s="19" t="str">
        <f>IF('ODBC Data'!$I$24&gt;3,4,"")</f>
        <v/>
      </c>
      <c r="FF7" s="17" t="str">
        <f t="shared" si="20"/>
        <v/>
      </c>
      <c r="FG7" t="str">
        <f>IF(ISNA(VLOOKUP(FF7,'ODBC Data'!$B$1:$J$500,3,0)),"",VLOOKUP(FF7,'ODBC Data'!$B$1:$J$500,3,0))</f>
        <v/>
      </c>
      <c r="FH7" s="57" t="str">
        <f>IF(ISNA(VLOOKUP(FF7,'ODBC Data'!$B$1:$J$500,4,0)),"",VLOOKUP(FF7,'ODBC Data'!$B$1:$J$500,4,0))</f>
        <v/>
      </c>
      <c r="FI7" t="str">
        <f>IF(ISNA(VLOOKUP(FF7,'ODBC Data'!$B$1:$J$500,5,0)),"",VLOOKUP(FF7,'ODBC Data'!$B$1:$J$500,5,0))</f>
        <v/>
      </c>
      <c r="FK7" s="19" t="str">
        <f>IF('ODBC Data'!$I$25&gt;3,'ODBC Data'!$H$25,"")</f>
        <v/>
      </c>
      <c r="FL7" s="19" t="str">
        <f>IF('ODBC Data'!$I$25&gt;3,4,"")</f>
        <v/>
      </c>
      <c r="FM7" s="17" t="str">
        <f t="shared" si="21"/>
        <v/>
      </c>
      <c r="FN7" t="str">
        <f>IF(ISNA(VLOOKUP(FM7,'ODBC Data'!$B$1:$J$500,3,0)),"",VLOOKUP(FM7,'ODBC Data'!$B$1:$J$500,3,0))</f>
        <v/>
      </c>
      <c r="FO7" s="57" t="str">
        <f>IF(ISNA(VLOOKUP(FM7,'ODBC Data'!$B$1:$J$500,4,0)),"",VLOOKUP(FM7,'ODBC Data'!$B$1:$J$500,4,0))</f>
        <v/>
      </c>
      <c r="FP7" t="str">
        <f>IF(ISNA(VLOOKUP(FM7,'ODBC Data'!$B$1:$J$500,5,0)),"",VLOOKUP(FM7,'ODBC Data'!$B$1:$J$500,5,0))</f>
        <v/>
      </c>
      <c r="FR7" s="19" t="str">
        <f>IF('ODBC Data'!$I$26&gt;3,'ODBC Data'!$H$26,"")</f>
        <v/>
      </c>
      <c r="FS7" s="19" t="str">
        <f>IF('ODBC Data'!$I$26&gt;3,4,"")</f>
        <v/>
      </c>
      <c r="FT7" s="17" t="str">
        <f t="shared" si="22"/>
        <v/>
      </c>
      <c r="FU7" s="57" t="str">
        <f>IF(ISNA(VLOOKUP(FT7,'ODBC Data'!$B$1:$J$500,3,0)),"",VLOOKUP(FT7,'ODBC Data'!$B$1:$J$500,3,0))</f>
        <v/>
      </c>
      <c r="FV7" s="57" t="str">
        <f>IF(ISNA(VLOOKUP(FT7,'ODBC Data'!$B$1:$J$500,4,0)),"",VLOOKUP(FT7,'ODBC Data'!$B$1:$J$500,4,0))</f>
        <v/>
      </c>
      <c r="FW7" s="57" t="str">
        <f>IF(ISNA(VLOOKUP(FT7,'ODBC Data'!$B$1:$J$500,5,0)),"",VLOOKUP(FT7,'ODBC Data'!$B$1:$J$500,5,0))</f>
        <v/>
      </c>
      <c r="FY7" s="19" t="str">
        <f>IF('ODBC Data'!$I$27&gt;3,'ODBC Data'!$H$27,"")</f>
        <v/>
      </c>
      <c r="FZ7" s="19" t="str">
        <f>IF('ODBC Data'!$I$27&gt;3,4,"")</f>
        <v/>
      </c>
      <c r="GA7" s="17" t="str">
        <f t="shared" si="23"/>
        <v/>
      </c>
      <c r="GB7" s="57" t="str">
        <f>IF(ISNA(VLOOKUP(GA7,'ODBC Data'!$B$1:$J$500,3,0)),"",VLOOKUP(GA7,'ODBC Data'!$B$1:$J$500,3,0))</f>
        <v/>
      </c>
      <c r="GC7" s="57" t="str">
        <f>IF(ISNA(VLOOKUP(GA7,'ODBC Data'!$B$1:$J$500,4,0)),"",VLOOKUP(GA7,'ODBC Data'!$B$1:$J$500,4,0))</f>
        <v/>
      </c>
      <c r="GD7" s="57" t="str">
        <f>IF(ISNA(VLOOKUP(GA7,'ODBC Data'!$B$1:$J$500,5,0)),"",VLOOKUP(GA7,'ODBC Data'!$B$1:$J$500,5,0))</f>
        <v/>
      </c>
    </row>
    <row r="8" spans="1:186">
      <c r="A8" s="19" t="str">
        <f>IF('ODBC Data'!$I$1&gt;4,'ODBC Data'!$H$1,"")</f>
        <v/>
      </c>
      <c r="B8" s="19" t="str">
        <f>IF('ODBC Data'!$I$1&gt;4,5,"")</f>
        <v/>
      </c>
      <c r="C8" s="17" t="str">
        <f t="shared" ref="C8:C33" si="27">CONCATENATE(A8,B8)</f>
        <v/>
      </c>
      <c r="D8" t="str">
        <f>IF(ISNA(VLOOKUP(C8,'ODBC Data'!$B$1:$J$500,3,0)),"",VLOOKUP(C8,'ODBC Data'!$B$1:$J$500,3,0))</f>
        <v/>
      </c>
      <c r="E8" t="str">
        <f>IF(ISNA(VLOOKUP(C8,'ODBC Data'!$B$1:$J$500,5,0)),"",VLOOKUP(C8,'ODBC Data'!$B$1:$J$500,5,0))</f>
        <v/>
      </c>
      <c r="G8" s="19" t="str">
        <f>IF('ODBC Data'!$I$2&gt;4,'ODBC Data'!$H$2,"")</f>
        <v/>
      </c>
      <c r="H8" s="19" t="str">
        <f>IF('ODBC Data'!$I$2&gt;4,5,"")</f>
        <v/>
      </c>
      <c r="I8" s="17" t="str">
        <f t="shared" si="24"/>
        <v/>
      </c>
      <c r="J8" t="str">
        <f>IF(ISNA(VLOOKUP(I8,'ODBC Data'!$B$1:$J$500,3,0)),"",VLOOKUP(I8,'ODBC Data'!$B$1:$J$500,3,0))</f>
        <v/>
      </c>
      <c r="K8" t="str">
        <f>IF(ISNA(VLOOKUP(I8,'ODBC Data'!$B$1:$J$500,5,0)),"",VLOOKUP(I8,'ODBC Data'!$B$1:$J$500,5,0))</f>
        <v/>
      </c>
      <c r="M8" s="19" t="str">
        <f>IF('ODBC Data'!$I$3&gt;4,'ODBC Data'!$H$3,"")</f>
        <v/>
      </c>
      <c r="N8" s="19" t="str">
        <f>IF('ODBC Data'!$I$3&gt;4,5,"")</f>
        <v/>
      </c>
      <c r="O8" s="17" t="str">
        <f t="shared" si="25"/>
        <v/>
      </c>
      <c r="P8" t="str">
        <f>IF(ISNA(VLOOKUP(O8,'ODBC Data'!$B$1:$J$500,3,0)),"",VLOOKUP(O8,'ODBC Data'!$B$1:$J$500,3,0))</f>
        <v/>
      </c>
      <c r="Q8" t="str">
        <f>IF(ISNA(VLOOKUP(O8,'ODBC Data'!$B$1:$J$500,5,0)),"",VLOOKUP(O8,'ODBC Data'!$B$1:$J$500,4,0))</f>
        <v/>
      </c>
      <c r="S8" s="19" t="str">
        <f>IF('ODBC Data'!$I$3&gt;4,'ODBC Data'!$H$3,"")</f>
        <v/>
      </c>
      <c r="T8" s="19" t="str">
        <f>IF('ODBC Data'!$I$3&gt;4,5,"")</f>
        <v/>
      </c>
      <c r="U8" s="17" t="str">
        <f t="shared" si="26"/>
        <v/>
      </c>
      <c r="V8" t="str">
        <f>IF(ISNA(VLOOKUP(U8,'ODBC Data'!$B$1:$J$500,3,0)),"",VLOOKUP(U8,'ODBC Data'!$B$1:$J$500,3,0))</f>
        <v/>
      </c>
      <c r="W8" t="str">
        <f>IF(ISNA(VLOOKUP(U8,'ODBC Data'!$B$1:$J$500,5,0)),"",VLOOKUP(U8,'ODBC Data'!$B$1:$J$500,5,0))</f>
        <v/>
      </c>
      <c r="Y8" s="19" t="str">
        <f>IF('ODBC Data'!$I$4&gt;4,'ODBC Data'!$H$4,"")</f>
        <v/>
      </c>
      <c r="Z8" s="19" t="str">
        <f>IF('ODBC Data'!$I$4&gt;4,5,"")</f>
        <v/>
      </c>
      <c r="AA8" s="17" t="str">
        <f t="shared" si="0"/>
        <v/>
      </c>
      <c r="AB8" s="57" t="str">
        <f>IF(ISNA(VLOOKUP(AA8,'ODBC Data'!$B$1:$J$500,3,0)),"",VLOOKUP(AA8,'ODBC Data'!$B$1:$J$500,3,0))</f>
        <v/>
      </c>
      <c r="AC8" s="57" t="str">
        <f>IF(ISNA(VLOOKUP(AA8,'ODBC Data'!$B$1:$J$500,5,0)),"",VLOOKUP(AA8,'ODBC Data'!$B$1:$J$500,5,0))</f>
        <v/>
      </c>
      <c r="AE8" s="19" t="str">
        <f>IF('ODBC Data'!$I$5&gt;4,'ODBC Data'!$H$5,"")</f>
        <v>Direct Expenses</v>
      </c>
      <c r="AF8" s="19">
        <f>IF('ODBC Data'!$I$5&gt;4,5,"")</f>
        <v>5</v>
      </c>
      <c r="AG8" s="17" t="str">
        <f t="shared" si="1"/>
        <v>Direct Expenses5</v>
      </c>
      <c r="AH8" t="str">
        <f>IF(ISNA(VLOOKUP(AG8,'ODBC Data'!$B$1:$J$500,3,0)),"",VLOOKUP(AG8,'ODBC Data'!$B$1:$J$500,3,0))</f>
        <v>Transportation</v>
      </c>
      <c r="AI8">
        <f>IF(ISNA(VLOOKUP(AG8,'ODBC Data'!$B$1:$J$500,5,0)),"",VLOOKUP(AG8,'ODBC Data'!$B$1:$J$500,5,0))</f>
        <v>-4510</v>
      </c>
      <c r="AK8" s="19" t="str">
        <f>IF('ODBC Data'!$I$6&gt;4,'ODBC Data'!$H$6,"")</f>
        <v>Indirect Expenses</v>
      </c>
      <c r="AL8" s="19">
        <f>IF('ODBC Data'!$I$6&gt;4,5,"")</f>
        <v>5</v>
      </c>
      <c r="AM8" s="17" t="str">
        <f t="shared" si="2"/>
        <v>Indirect Expenses5</v>
      </c>
      <c r="AN8" t="str">
        <f>IF(ISNA(VLOOKUP(AM8,'ODBC Data'!$B$1:$J$500,3,0)),"",VLOOKUP(AM8,'ODBC Data'!$B$1:$J$500,3,0))</f>
        <v>Interest on Other Loans</v>
      </c>
      <c r="AO8">
        <f>IF(ISNA(VLOOKUP(AM8,'ODBC Data'!$B$1:$J$500,5,0)),"",VLOOKUP(AM8,'ODBC Data'!$B$1:$J$500,5,0))</f>
        <v>-2815</v>
      </c>
      <c r="AQ8" s="19" t="str">
        <f>IF('ODBC Data'!$I$7&gt;4,'ODBC Data'!$H$7,"")</f>
        <v/>
      </c>
      <c r="AR8" s="19" t="str">
        <f>IF('ODBC Data'!$I$7&gt;4,5,"")</f>
        <v/>
      </c>
      <c r="AS8" s="17" t="str">
        <f t="shared" si="3"/>
        <v/>
      </c>
      <c r="AT8" t="str">
        <f>IF(ISNA(VLOOKUP(AS8,'ODBC Data'!$B$1:$J$500,3,0)),"",VLOOKUP(AS8,'ODBC Data'!$B$1:$J$500,3,0))</f>
        <v/>
      </c>
      <c r="AU8" t="str">
        <f>IF(ISNA(VLOOKUP(AS8,'ODBC Data'!$B$1:$J$500,5,0)),"",VLOOKUP(AS8,'ODBC Data'!$B$1:$J$500,5,0))</f>
        <v/>
      </c>
      <c r="AW8" s="19" t="str">
        <f>IF('ODBC Data'!$I$8&gt;4,'ODBC Data'!$H$8,"")</f>
        <v/>
      </c>
      <c r="AX8" s="19" t="str">
        <f>IF('ODBC Data'!$I$8&gt;4,5,"")</f>
        <v/>
      </c>
      <c r="AY8" s="17" t="str">
        <f t="shared" si="4"/>
        <v/>
      </c>
      <c r="AZ8" t="str">
        <f>IF(ISNA(VLOOKUP(AY8,'ODBC Data'!$B$1:$J$500,3,0)),"",VLOOKUP(AY8,'ODBC Data'!$B$1:$J$500,3,0))</f>
        <v/>
      </c>
      <c r="BA8" t="str">
        <f>IF(ISNA(VLOOKUP(AY8,'ODBC Data'!$B$1:$J$500,5,0)),"",VLOOKUP(AY8,'ODBC Data'!$B$1:$J$500,5,0))</f>
        <v/>
      </c>
      <c r="BC8" s="19" t="str">
        <f>IF('ODBC Data'!$I$9&gt;4,'ODBC Data'!$H$9,"")</f>
        <v>Capital Account</v>
      </c>
      <c r="BD8" s="19">
        <f>IF('ODBC Data'!$I$9&gt;4,5,"")</f>
        <v>5</v>
      </c>
      <c r="BE8" s="17" t="str">
        <f t="shared" si="5"/>
        <v>Capital Account5</v>
      </c>
      <c r="BF8" t="str">
        <f>IF(ISNA(VLOOKUP(BE8,'ODBC Data'!$B$1:$J$500,3,0)),"",VLOOKUP(BE8,'ODBC Data'!$B$1:$J$500,3,0))</f>
        <v>TDS</v>
      </c>
      <c r="BG8" s="57">
        <f>IF(ISNA(VLOOKUP(BE8,'ODBC Data'!$B$1:$J$500,4,0)),"",VLOOKUP(BE8,'ODBC Data'!$B$1:$J$500,4,0))</f>
        <v>0</v>
      </c>
      <c r="BH8">
        <f>IF(ISNA(VLOOKUP(BE8,'ODBC Data'!$B$1:$J$500,5,0)),"",VLOOKUP(BE8,'ODBC Data'!$B$1:$J$500,5,0))</f>
        <v>0</v>
      </c>
      <c r="BJ8" s="19" t="str">
        <f>IF('ODBC Data'!$I$10&gt;4,'ODBC Data'!$H$10,"")</f>
        <v/>
      </c>
      <c r="BK8" s="19" t="str">
        <f>IF('ODBC Data'!$I$10&gt;4,5,"")</f>
        <v/>
      </c>
      <c r="BL8" s="17" t="str">
        <f t="shared" si="6"/>
        <v/>
      </c>
      <c r="BM8" t="str">
        <f>IF(ISNA(VLOOKUP(BL8,'ODBC Data'!$B$1:$J$500,3,0)),"",VLOOKUP(BL8,'ODBC Data'!$B$1:$J$500,3,0))</f>
        <v/>
      </c>
      <c r="BN8" s="57" t="str">
        <f>IF(ISNA(VLOOKUP(BL8,'ODBC Data'!$B$1:$J$500,4,0)),"",VLOOKUP(BL8,'ODBC Data'!$B$1:$J$500,4,0))</f>
        <v/>
      </c>
      <c r="BO8" t="str">
        <f>IF(ISNA(VLOOKUP(BL8,'ODBC Data'!$B$1:$J$500,5,0)),"",VLOOKUP(BL8,'ODBC Data'!$B$1:$J$500,5,0))</f>
        <v/>
      </c>
      <c r="BQ8" s="19" t="str">
        <f>IF('ODBC Data'!$I$11&gt;4,'ODBC Data'!$H$11,"")</f>
        <v/>
      </c>
      <c r="BR8" s="19" t="str">
        <f>IF('ODBC Data'!$I$11&gt;4,5,"")</f>
        <v/>
      </c>
      <c r="BS8" s="17" t="str">
        <f t="shared" si="7"/>
        <v/>
      </c>
      <c r="BT8" t="str">
        <f>IF(ISNA(VLOOKUP(BS8,'ODBC Data'!$B$1:$J$500,3,0)),"",VLOOKUP(BS8,'ODBC Data'!$B$1:$J$500,3,0))</f>
        <v/>
      </c>
      <c r="BU8" s="57" t="str">
        <f>IF(ISNA(VLOOKUP(BS8,'ODBC Data'!$B$1:$J$500,4,0)),"",VLOOKUP(BS8,'ODBC Data'!$B$1:$J$500,4,0))</f>
        <v/>
      </c>
      <c r="BV8" t="str">
        <f>IF(ISNA(VLOOKUP(BS8,'ODBC Data'!$B$1:$J$500,5,0)),"",VLOOKUP(BS8,'ODBC Data'!$B$1:$J$500,5,0))</f>
        <v/>
      </c>
      <c r="BX8" s="19" t="str">
        <f>IF('ODBC Data'!$I$12&gt;4,'ODBC Data'!$H$12,"")</f>
        <v/>
      </c>
      <c r="BY8" s="19" t="str">
        <f>IF('ODBC Data'!$I$12&gt;4,5,"")</f>
        <v/>
      </c>
      <c r="BZ8" s="17" t="str">
        <f t="shared" si="8"/>
        <v/>
      </c>
      <c r="CA8" t="str">
        <f>IF(ISNA(VLOOKUP(BZ8,'ODBC Data'!$B$1:$J$500,3,0)),"",VLOOKUP(BZ8,'ODBC Data'!$B$1:$J$500,3,0))</f>
        <v/>
      </c>
      <c r="CB8" s="57" t="str">
        <f>IF(ISNA(VLOOKUP(BZ8,'ODBC Data'!$B$1:$J$500,4,0)),"",VLOOKUP(BZ8,'ODBC Data'!$B$1:$J$500,4,0))</f>
        <v/>
      </c>
      <c r="CC8" t="str">
        <f>IF(ISNA(VLOOKUP(BZ8,'ODBC Data'!$B$1:$J$500,5,0)),"",VLOOKUP(BZ8,'ODBC Data'!$B$1:$J$500,5,0))</f>
        <v/>
      </c>
      <c r="CE8" s="19" t="str">
        <f>IF('ODBC Data'!$I$13&gt;4,'ODBC Data'!$H$13,"")</f>
        <v/>
      </c>
      <c r="CF8" s="19" t="str">
        <f>IF('ODBC Data'!$I$13&gt;4,5,"")</f>
        <v/>
      </c>
      <c r="CG8" s="17" t="str">
        <f t="shared" si="9"/>
        <v/>
      </c>
      <c r="CH8" t="str">
        <f>IF(ISNA(VLOOKUP(CG8,'ODBC Data'!$B$1:$J$500,3,0)),"",VLOOKUP(CG8,'ODBC Data'!$B$1:$J$500,3,0))</f>
        <v/>
      </c>
      <c r="CI8" s="57" t="str">
        <f>IF(ISNA(VLOOKUP(CG8,'ODBC Data'!$B$1:$J$500,4,0)),"",VLOOKUP(CG8,'ODBC Data'!$B$1:$J$500,4,0))</f>
        <v/>
      </c>
      <c r="CJ8" t="str">
        <f>IF(ISNA(VLOOKUP(CG8,'ODBC Data'!$B$1:$J$500,5,0)),"",VLOOKUP(CG8,'ODBC Data'!$B$1:$J$500,5,0))</f>
        <v/>
      </c>
      <c r="CL8" s="19" t="str">
        <f>IF('ODBC Data'!$I$14&gt;4,'ODBC Data'!$H$14,"")</f>
        <v/>
      </c>
      <c r="CM8" s="19" t="str">
        <f>IF('ODBC Data'!$I$14&gt;4,5,"")</f>
        <v/>
      </c>
      <c r="CN8" s="17" t="str">
        <f t="shared" si="10"/>
        <v/>
      </c>
      <c r="CO8" s="57" t="str">
        <f>IF(ISNA(VLOOKUP(CN8,'ODBC Data'!$B$1:$J$500,3,0)),"",VLOOKUP(CN8,'ODBC Data'!$B$1:$J$500,3,0))</f>
        <v/>
      </c>
      <c r="CP8" s="57" t="str">
        <f>IF(ISNA(VLOOKUP(CN8,'ODBC Data'!$B$1:$J$500,4,0)),"",VLOOKUP(CN8,'ODBC Data'!$B$1:$J$500,4,0))</f>
        <v/>
      </c>
      <c r="CQ8" s="57" t="str">
        <f>IF(ISNA(VLOOKUP(CN8,'ODBC Data'!$B$1:$J$500,5,0)),"",VLOOKUP(CN8,'ODBC Data'!$B$1:$J$500,5,0))</f>
        <v/>
      </c>
      <c r="CS8" s="19" t="str">
        <f>IF('ODBC Data'!$I$15&gt;4,'ODBC Data'!$H$15,"")</f>
        <v/>
      </c>
      <c r="CT8" s="19" t="str">
        <f>IF('ODBC Data'!$I$15&gt;4,5,"")</f>
        <v/>
      </c>
      <c r="CU8" s="17" t="str">
        <f t="shared" si="11"/>
        <v/>
      </c>
      <c r="CV8" t="str">
        <f>IF(ISNA(VLOOKUP(CU8,'ODBC Data'!$B$1:$J$500,3,0)),"",VLOOKUP(CU8,'ODBC Data'!$B$1:$J$500,3,0))</f>
        <v/>
      </c>
      <c r="CW8" s="57" t="str">
        <f>IF(ISNA(VLOOKUP(CU8,'ODBC Data'!$B$1:$J$500,4,0)),"",VLOOKUP(CU8,'ODBC Data'!$B$1:$J$500,4,0))</f>
        <v/>
      </c>
      <c r="CX8" t="str">
        <f>IF(ISNA(VLOOKUP(CU8,'ODBC Data'!$B$1:$J$500,5,0)),"",VLOOKUP(CU8,'ODBC Data'!$B$1:$J$500,5,0))</f>
        <v/>
      </c>
      <c r="CZ8" s="19" t="str">
        <f>IF('ODBC Data'!$I$16&gt;4,'ODBC Data'!$H$16,"")</f>
        <v/>
      </c>
      <c r="DA8" s="19" t="str">
        <f>IF('ODBC Data'!$I$16&gt;4,5,"")</f>
        <v/>
      </c>
      <c r="DB8" s="17" t="str">
        <f t="shared" si="12"/>
        <v/>
      </c>
      <c r="DC8" t="str">
        <f>IF(ISNA(VLOOKUP(DB8,'ODBC Data'!$B$1:$J$500,3,0)),"",VLOOKUP(DB8,'ODBC Data'!$B$1:$J$500,3,0))</f>
        <v/>
      </c>
      <c r="DD8" s="57" t="str">
        <f>IF(ISNA(VLOOKUP(DB8,'ODBC Data'!$B$1:$J$500,4,0)),"",VLOOKUP(DB8,'ODBC Data'!$B$1:$J$500,4,0))</f>
        <v/>
      </c>
      <c r="DE8" t="str">
        <f>IF(ISNA(VLOOKUP(DB8,'ODBC Data'!$B$1:$J$500,5,0)),"",VLOOKUP(DB8,'ODBC Data'!$B$1:$J$500,5,0))</f>
        <v/>
      </c>
      <c r="DG8" s="19" t="str">
        <f>IF('ODBC Data'!$I$17&gt;4,'ODBC Data'!$H$17,"")</f>
        <v/>
      </c>
      <c r="DH8" s="19" t="str">
        <f>IF('ODBC Data'!$I$17&gt;4,5,"")</f>
        <v/>
      </c>
      <c r="DI8" s="17" t="str">
        <f t="shared" si="13"/>
        <v/>
      </c>
      <c r="DJ8" t="str">
        <f>IF(ISNA(VLOOKUP(DI8,'ODBC Data'!$B$1:$J$500,3,0)),"",VLOOKUP(DI8,'ODBC Data'!$B$1:$J$500,3,0))</f>
        <v/>
      </c>
      <c r="DK8" s="57" t="str">
        <f>IF(ISNA(VLOOKUP(DI8,'ODBC Data'!$B$1:$J$500,4,0)),"",VLOOKUP(DI8,'ODBC Data'!$B$1:$J$500,4,0))</f>
        <v/>
      </c>
      <c r="DL8" t="str">
        <f>IF(ISNA(VLOOKUP(DI8,'ODBC Data'!$B$1:$J$500,5,0)),"",VLOOKUP(DI8,'ODBC Data'!$B$1:$J$500,5,0))</f>
        <v/>
      </c>
      <c r="DN8" s="19" t="str">
        <f>IF('ODBC Data'!$I$18&gt;4,'ODBC Data'!$H$18,"")</f>
        <v/>
      </c>
      <c r="DO8" s="19" t="str">
        <f>IF('ODBC Data'!$I$18&gt;4,5,"")</f>
        <v/>
      </c>
      <c r="DP8" s="17" t="str">
        <f t="shared" si="14"/>
        <v/>
      </c>
      <c r="DQ8" t="str">
        <f>IF(ISNA(VLOOKUP(DP8,'ODBC Data'!$B$1:$J$500,3,0)),"",VLOOKUP(DP8,'ODBC Data'!$B$1:$J$500,3,0))</f>
        <v/>
      </c>
      <c r="DR8" s="57" t="str">
        <f>IF(ISNA(VLOOKUP(DP8,'ODBC Data'!$B$1:$J$500,4,0)),"",VLOOKUP(DP8,'ODBC Data'!$B$1:$J$500,4,0))</f>
        <v/>
      </c>
      <c r="DS8" t="str">
        <f>IF(ISNA(VLOOKUP(DP8,'ODBC Data'!$B$1:$J$500,5,0)),"",VLOOKUP(DP8,'ODBC Data'!$B$1:$J$500,5,0))</f>
        <v/>
      </c>
      <c r="DU8" s="19" t="str">
        <f>IF('ODBC Data'!$I$19&gt;4,'ODBC Data'!$H$19,"")</f>
        <v/>
      </c>
      <c r="DV8" s="19" t="str">
        <f>IF('ODBC Data'!$I$19&gt;4,5,"")</f>
        <v/>
      </c>
      <c r="DW8" s="17" t="str">
        <f t="shared" si="15"/>
        <v/>
      </c>
      <c r="DX8" t="str">
        <f>IF(ISNA(VLOOKUP(DW8,'ODBC Data'!$B$1:$J$500,3,0)),"",VLOOKUP(DW8,'ODBC Data'!$B$1:$J$500,3,0))</f>
        <v/>
      </c>
      <c r="DY8" s="57" t="str">
        <f>IF(ISNA(VLOOKUP(DW8,'ODBC Data'!$B$1:$J$500,4,0)),"",VLOOKUP(DW8,'ODBC Data'!$B$1:$J$500,4,0))</f>
        <v/>
      </c>
      <c r="DZ8" t="str">
        <f>IF(ISNA(VLOOKUP(DW8,'ODBC Data'!$B$1:$J$500,5,0)),"",VLOOKUP(DW8,'ODBC Data'!$B$1:$J$500,5,0))</f>
        <v/>
      </c>
      <c r="EB8" s="19" t="str">
        <f>IF('ODBC Data'!$I$20&gt;4,'ODBC Data'!$H$20,"")</f>
        <v/>
      </c>
      <c r="EC8" s="19" t="str">
        <f>IF('ODBC Data'!$I$20&gt;4,5,"")</f>
        <v/>
      </c>
      <c r="ED8" s="17" t="str">
        <f t="shared" si="16"/>
        <v/>
      </c>
      <c r="EE8" s="57" t="str">
        <f>IF(ISNA(VLOOKUP(ED8,'ODBC Data'!$B$1:$J$500,3,0)),"",VLOOKUP(ED8,'ODBC Data'!$B$1:$J$500,3,0))</f>
        <v/>
      </c>
      <c r="EF8" s="57" t="str">
        <f>IF(ISNA(VLOOKUP(ED8,'ODBC Data'!$B$1:$J$500,4,0)),"",VLOOKUP(ED8,'ODBC Data'!$B$1:$J$500,4,0))</f>
        <v/>
      </c>
      <c r="EG8" s="57" t="str">
        <f>IF(ISNA(VLOOKUP(ED8,'ODBC Data'!$B$1:$J$500,5,0)),"",VLOOKUP(ED8,'ODBC Data'!$B$1:$J$500,5,0))</f>
        <v/>
      </c>
      <c r="EI8" s="19" t="str">
        <f>IF('ODBC Data'!$I$21&gt;4,'ODBC Data'!$H$21,"")</f>
        <v/>
      </c>
      <c r="EJ8" s="19" t="str">
        <f>IF('ODBC Data'!$I$21&gt;4,5,"")</f>
        <v/>
      </c>
      <c r="EK8" s="17" t="str">
        <f t="shared" si="17"/>
        <v/>
      </c>
      <c r="EL8" t="str">
        <f>IF(ISNA(VLOOKUP(EK8,'ODBC Data'!$B$1:$J$500,3,0)),"",VLOOKUP(EK8,'ODBC Data'!$B$1:$J$500,3,0))</f>
        <v/>
      </c>
      <c r="EM8" s="57" t="str">
        <f>IF(ISNA(VLOOKUP(EK8,'ODBC Data'!$B$1:$J$500,4,0)),"",VLOOKUP(EK8,'ODBC Data'!$B$1:$J$500,4,0))</f>
        <v/>
      </c>
      <c r="EN8" t="str">
        <f>IF(ISNA(VLOOKUP(EK8,'ODBC Data'!$B$1:$J$500,5,0)),"",VLOOKUP(EK8,'ODBC Data'!$B$1:$J$500,5,0))</f>
        <v/>
      </c>
      <c r="EP8" s="19" t="str">
        <f>IF('ODBC Data'!$I$22&gt;4,'ODBC Data'!$H$22,"")</f>
        <v/>
      </c>
      <c r="EQ8" s="19" t="str">
        <f>IF('ODBC Data'!$I$22&gt;4,5,"")</f>
        <v/>
      </c>
      <c r="ER8" s="17" t="str">
        <f t="shared" si="18"/>
        <v/>
      </c>
      <c r="ES8" t="str">
        <f>IF(ISNA(VLOOKUP(ER8,'ODBC Data'!$B$1:$J$500,3,0)),"",VLOOKUP(ER8,'ODBC Data'!$B$1:$J$500,3,0))</f>
        <v/>
      </c>
      <c r="ET8" s="57" t="str">
        <f>IF(ISNA(VLOOKUP(ER8,'ODBC Data'!$B$1:$J$500,4,0)),"",VLOOKUP(ER8,'ODBC Data'!$B$1:$J$500,4,0))</f>
        <v/>
      </c>
      <c r="EU8" t="str">
        <f>IF(ISNA(VLOOKUP(ER8,'ODBC Data'!$B$1:$J$500,5,0)),"",VLOOKUP(ER8,'ODBC Data'!$B$1:$J$500,5,0))</f>
        <v/>
      </c>
      <c r="EW8" s="19" t="str">
        <f>IF('ODBC Data'!$I$23&gt;4,'ODBC Data'!$H$23,"")</f>
        <v/>
      </c>
      <c r="EX8" s="19" t="str">
        <f>IF('ODBC Data'!$I$23&gt;4,5,"")</f>
        <v/>
      </c>
      <c r="EY8" s="17" t="str">
        <f t="shared" si="19"/>
        <v/>
      </c>
      <c r="EZ8" t="str">
        <f>IF(ISNA(VLOOKUP(EY8,'ODBC Data'!$B$1:$J$500,3,0)),"",VLOOKUP(EY8,'ODBC Data'!$B$1:$J$500,3,0))</f>
        <v/>
      </c>
      <c r="FA8" s="57" t="str">
        <f>IF(ISNA(VLOOKUP(EY8,'ODBC Data'!$B$1:$J$500,4,0)),"",VLOOKUP(EY8,'ODBC Data'!$B$1:$J$500,4,0))</f>
        <v/>
      </c>
      <c r="FB8" t="str">
        <f>IF(ISNA(VLOOKUP(EY8,'ODBC Data'!$B$1:$J$500,5,0)),"",VLOOKUP(EY8,'ODBC Data'!$B$1:$J$500,5,0))</f>
        <v/>
      </c>
      <c r="FD8" s="19" t="str">
        <f>IF('ODBC Data'!$I$24&gt;4,'ODBC Data'!$H$24,"")</f>
        <v/>
      </c>
      <c r="FE8" s="19" t="str">
        <f>IF('ODBC Data'!$I$24&gt;4,5,"")</f>
        <v/>
      </c>
      <c r="FF8" s="17" t="str">
        <f t="shared" si="20"/>
        <v/>
      </c>
      <c r="FG8" t="str">
        <f>IF(ISNA(VLOOKUP(FF8,'ODBC Data'!$B$1:$J$500,3,0)),"",VLOOKUP(FF8,'ODBC Data'!$B$1:$J$500,3,0))</f>
        <v/>
      </c>
      <c r="FH8" s="57" t="str">
        <f>IF(ISNA(VLOOKUP(FF8,'ODBC Data'!$B$1:$J$500,4,0)),"",VLOOKUP(FF8,'ODBC Data'!$B$1:$J$500,4,0))</f>
        <v/>
      </c>
      <c r="FI8" t="str">
        <f>IF(ISNA(VLOOKUP(FF8,'ODBC Data'!$B$1:$J$500,5,0)),"",VLOOKUP(FF8,'ODBC Data'!$B$1:$J$500,5,0))</f>
        <v/>
      </c>
      <c r="FK8" s="19" t="str">
        <f>IF('ODBC Data'!$I$25&gt;4,'ODBC Data'!$H$25,"")</f>
        <v/>
      </c>
      <c r="FL8" s="19" t="str">
        <f>IF('ODBC Data'!$I$25&gt;4,5,"")</f>
        <v/>
      </c>
      <c r="FM8" s="17" t="str">
        <f t="shared" si="21"/>
        <v/>
      </c>
      <c r="FN8" t="str">
        <f>IF(ISNA(VLOOKUP(FM8,'ODBC Data'!$B$1:$J$500,3,0)),"",VLOOKUP(FM8,'ODBC Data'!$B$1:$J$500,3,0))</f>
        <v/>
      </c>
      <c r="FO8" s="57" t="str">
        <f>IF(ISNA(VLOOKUP(FM8,'ODBC Data'!$B$1:$J$500,4,0)),"",VLOOKUP(FM8,'ODBC Data'!$B$1:$J$500,4,0))</f>
        <v/>
      </c>
      <c r="FP8" t="str">
        <f>IF(ISNA(VLOOKUP(FM8,'ODBC Data'!$B$1:$J$500,5,0)),"",VLOOKUP(FM8,'ODBC Data'!$B$1:$J$500,5,0))</f>
        <v/>
      </c>
      <c r="FR8" s="19" t="str">
        <f>IF('ODBC Data'!$I$26&gt;4,'ODBC Data'!$H$26,"")</f>
        <v/>
      </c>
      <c r="FS8" s="19" t="str">
        <f>IF('ODBC Data'!$I$26&gt;4,5,"")</f>
        <v/>
      </c>
      <c r="FT8" s="17" t="str">
        <f t="shared" si="22"/>
        <v/>
      </c>
      <c r="FU8" s="57" t="str">
        <f>IF(ISNA(VLOOKUP(FT8,'ODBC Data'!$B$1:$J$500,3,0)),"",VLOOKUP(FT8,'ODBC Data'!$B$1:$J$500,3,0))</f>
        <v/>
      </c>
      <c r="FV8" s="57" t="str">
        <f>IF(ISNA(VLOOKUP(FT8,'ODBC Data'!$B$1:$J$500,4,0)),"",VLOOKUP(FT8,'ODBC Data'!$B$1:$J$500,4,0))</f>
        <v/>
      </c>
      <c r="FW8" s="57" t="str">
        <f>IF(ISNA(VLOOKUP(FT8,'ODBC Data'!$B$1:$J$500,5,0)),"",VLOOKUP(FT8,'ODBC Data'!$B$1:$J$500,5,0))</f>
        <v/>
      </c>
      <c r="FY8" s="19" t="str">
        <f>IF('ODBC Data'!$I$27&gt;4,'ODBC Data'!$H$27,"")</f>
        <v/>
      </c>
      <c r="FZ8" s="19" t="str">
        <f>IF('ODBC Data'!$I$27&gt;4,5,"")</f>
        <v/>
      </c>
      <c r="GA8" s="17" t="str">
        <f t="shared" si="23"/>
        <v/>
      </c>
      <c r="GB8" s="57" t="str">
        <f>IF(ISNA(VLOOKUP(GA8,'ODBC Data'!$B$1:$J$500,3,0)),"",VLOOKUP(GA8,'ODBC Data'!$B$1:$J$500,3,0))</f>
        <v/>
      </c>
      <c r="GC8" s="57" t="str">
        <f>IF(ISNA(VLOOKUP(GA8,'ODBC Data'!$B$1:$J$500,4,0)),"",VLOOKUP(GA8,'ODBC Data'!$B$1:$J$500,4,0))</f>
        <v/>
      </c>
      <c r="GD8" s="57" t="str">
        <f>IF(ISNA(VLOOKUP(GA8,'ODBC Data'!$B$1:$J$500,5,0)),"",VLOOKUP(GA8,'ODBC Data'!$B$1:$J$500,5,0))</f>
        <v/>
      </c>
    </row>
    <row r="9" spans="1:186">
      <c r="A9" s="19" t="str">
        <f>IF('ODBC Data'!$I$1&gt;5,'ODBC Data'!$H$1,"")</f>
        <v/>
      </c>
      <c r="B9" s="19" t="str">
        <f>IF('ODBC Data'!$I$1&gt;5,6,"")</f>
        <v/>
      </c>
      <c r="C9" s="17" t="str">
        <f t="shared" si="27"/>
        <v/>
      </c>
      <c r="D9" t="str">
        <f>IF(ISNA(VLOOKUP(C9,'ODBC Data'!$B$1:$J$500,3,0)),"",VLOOKUP(C9,'ODBC Data'!$B$1:$J$500,3,0))</f>
        <v/>
      </c>
      <c r="E9" t="str">
        <f>IF(ISNA(VLOOKUP(C9,'ODBC Data'!$B$1:$J$500,5,0)),"",VLOOKUP(C9,'ODBC Data'!$B$1:$J$500,5,0))</f>
        <v/>
      </c>
      <c r="G9" s="19" t="str">
        <f>IF('ODBC Data'!$I$2&gt;5,'ODBC Data'!$H$2,"")</f>
        <v/>
      </c>
      <c r="H9" s="19" t="str">
        <f>IF('ODBC Data'!$I$2&gt;5,6,"")</f>
        <v/>
      </c>
      <c r="I9" s="17" t="str">
        <f t="shared" si="24"/>
        <v/>
      </c>
      <c r="J9" t="str">
        <f>IF(ISNA(VLOOKUP(I9,'ODBC Data'!$B$1:$J$500,3,0)),"",VLOOKUP(I9,'ODBC Data'!$B$1:$J$500,3,0))</f>
        <v/>
      </c>
      <c r="K9" t="str">
        <f>IF(ISNA(VLOOKUP(I9,'ODBC Data'!$B$1:$J$500,5,0)),"",VLOOKUP(I9,'ODBC Data'!$B$1:$J$500,5,0))</f>
        <v/>
      </c>
      <c r="M9" s="19" t="str">
        <f>IF('ODBC Data'!$I$3&gt;5,'ODBC Data'!$H$3,"")</f>
        <v/>
      </c>
      <c r="N9" s="19" t="str">
        <f>IF('ODBC Data'!$I$3&gt;5,6,"")</f>
        <v/>
      </c>
      <c r="O9" s="17" t="str">
        <f t="shared" si="25"/>
        <v/>
      </c>
      <c r="P9" t="str">
        <f>IF(ISNA(VLOOKUP(O9,'ODBC Data'!$B$1:$J$500,3,0)),"",VLOOKUP(O9,'ODBC Data'!$B$1:$J$500,3,0))</f>
        <v/>
      </c>
      <c r="Q9" t="str">
        <f>IF(ISNA(VLOOKUP(O9,'ODBC Data'!$B$1:$J$500,5,0)),"",VLOOKUP(O9,'ODBC Data'!$B$1:$J$500,4,0))</f>
        <v/>
      </c>
      <c r="S9" s="19" t="str">
        <f>IF('ODBC Data'!$I$3&gt;5,'ODBC Data'!$H$3,"")</f>
        <v/>
      </c>
      <c r="T9" s="19" t="str">
        <f>IF('ODBC Data'!$I$3&gt;5,6,"")</f>
        <v/>
      </c>
      <c r="U9" s="17" t="str">
        <f t="shared" si="26"/>
        <v/>
      </c>
      <c r="V9" t="str">
        <f>IF(ISNA(VLOOKUP(U9,'ODBC Data'!$B$1:$J$500,3,0)),"",VLOOKUP(U9,'ODBC Data'!$B$1:$J$500,3,0))</f>
        <v/>
      </c>
      <c r="W9" t="str">
        <f>IF(ISNA(VLOOKUP(U9,'ODBC Data'!$B$1:$J$500,5,0)),"",VLOOKUP(U9,'ODBC Data'!$B$1:$J$500,5,0))</f>
        <v/>
      </c>
      <c r="Y9" s="19" t="str">
        <f>IF('ODBC Data'!$I$4&gt;5,'ODBC Data'!$H$4,"")</f>
        <v/>
      </c>
      <c r="Z9" s="19" t="str">
        <f>IF('ODBC Data'!$I$4&gt;5,6,"")</f>
        <v/>
      </c>
      <c r="AA9" s="17" t="str">
        <f t="shared" si="0"/>
        <v/>
      </c>
      <c r="AB9" s="57" t="str">
        <f>IF(ISNA(VLOOKUP(AA9,'ODBC Data'!$B$1:$J$500,3,0)),"",VLOOKUP(AA9,'ODBC Data'!$B$1:$J$500,3,0))</f>
        <v/>
      </c>
      <c r="AC9" s="57" t="str">
        <f>IF(ISNA(VLOOKUP(AA9,'ODBC Data'!$B$1:$J$500,5,0)),"",VLOOKUP(AA9,'ODBC Data'!$B$1:$J$500,5,0))</f>
        <v/>
      </c>
      <c r="AE9" s="19" t="str">
        <f>IF('ODBC Data'!$I$5&gt;5,'ODBC Data'!$H$5,"")</f>
        <v>Direct Expenses</v>
      </c>
      <c r="AF9" s="19">
        <f>IF('ODBC Data'!$I$5&gt;5,6,"")</f>
        <v>6</v>
      </c>
      <c r="AG9" s="17" t="str">
        <f t="shared" si="1"/>
        <v>Direct Expenses6</v>
      </c>
      <c r="AH9" t="str">
        <f>IF(ISNA(VLOOKUP(AG9,'ODBC Data'!$B$1:$J$500,3,0)),"",VLOOKUP(AG9,'ODBC Data'!$B$1:$J$500,3,0))</f>
        <v>Unloading</v>
      </c>
      <c r="AI9">
        <f>IF(ISNA(VLOOKUP(AG9,'ODBC Data'!$B$1:$J$500,5,0)),"",VLOOKUP(AG9,'ODBC Data'!$B$1:$J$500,5,0))</f>
        <v>-3416</v>
      </c>
      <c r="AK9" s="19" t="str">
        <f>IF('ODBC Data'!$I$6&gt;5,'ODBC Data'!$H$6,"")</f>
        <v>Indirect Expenses</v>
      </c>
      <c r="AL9" s="19">
        <f>IF('ODBC Data'!$I$6&gt;5,6,"")</f>
        <v>6</v>
      </c>
      <c r="AM9" s="17" t="str">
        <f t="shared" si="2"/>
        <v>Indirect Expenses6</v>
      </c>
      <c r="AN9" t="str">
        <f>IF(ISNA(VLOOKUP(AM9,'ODBC Data'!$B$1:$J$500,3,0)),"",VLOOKUP(AM9,'ODBC Data'!$B$1:$J$500,3,0))</f>
        <v>Office</v>
      </c>
      <c r="AO9">
        <f>IF(ISNA(VLOOKUP(AM9,'ODBC Data'!$B$1:$J$500,5,0)),"",VLOOKUP(AM9,'ODBC Data'!$B$1:$J$500,5,0))</f>
        <v>-3150</v>
      </c>
      <c r="AQ9" s="19" t="str">
        <f>IF('ODBC Data'!$I$7&gt;5,'ODBC Data'!$H$7,"")</f>
        <v/>
      </c>
      <c r="AR9" s="19" t="str">
        <f>IF('ODBC Data'!$I$7&gt;5,6,"")</f>
        <v/>
      </c>
      <c r="AS9" s="17" t="str">
        <f t="shared" si="3"/>
        <v/>
      </c>
      <c r="AT9" t="str">
        <f>IF(ISNA(VLOOKUP(AS9,'ODBC Data'!$B$1:$J$500,3,0)),"",VLOOKUP(AS9,'ODBC Data'!$B$1:$J$500,3,0))</f>
        <v/>
      </c>
      <c r="AU9" t="str">
        <f>IF(ISNA(VLOOKUP(AS9,'ODBC Data'!$B$1:$J$500,5,0)),"",VLOOKUP(AS9,'ODBC Data'!$B$1:$J$500,5,0))</f>
        <v/>
      </c>
      <c r="AW9" s="19" t="str">
        <f>IF('ODBC Data'!$I$8&gt;5,'ODBC Data'!$H$8,"")</f>
        <v/>
      </c>
      <c r="AX9" s="19" t="str">
        <f>IF('ODBC Data'!$I$8&gt;5,6,"")</f>
        <v/>
      </c>
      <c r="AY9" s="17" t="str">
        <f t="shared" si="4"/>
        <v/>
      </c>
      <c r="AZ9" t="str">
        <f>IF(ISNA(VLOOKUP(AY9,'ODBC Data'!$B$1:$J$500,3,0)),"",VLOOKUP(AY9,'ODBC Data'!$B$1:$J$500,3,0))</f>
        <v/>
      </c>
      <c r="BA9" t="str">
        <f>IF(ISNA(VLOOKUP(AY9,'ODBC Data'!$B$1:$J$500,5,0)),"",VLOOKUP(AY9,'ODBC Data'!$B$1:$J$500,5,0))</f>
        <v/>
      </c>
      <c r="BC9" s="19" t="str">
        <f>IF('ODBC Data'!$I$9&gt;5,'ODBC Data'!$H$9,"")</f>
        <v/>
      </c>
      <c r="BD9" s="19" t="str">
        <f>IF('ODBC Data'!$I$9&gt;5,6,"")</f>
        <v/>
      </c>
      <c r="BE9" s="17" t="str">
        <f t="shared" si="5"/>
        <v/>
      </c>
      <c r="BF9" t="str">
        <f>IF(ISNA(VLOOKUP(BE9,'ODBC Data'!$B$1:$J$500,3,0)),"",VLOOKUP(BE9,'ODBC Data'!$B$1:$J$500,3,0))</f>
        <v/>
      </c>
      <c r="BG9" s="57" t="str">
        <f>IF(ISNA(VLOOKUP(BE9,'ODBC Data'!$B$1:$J$500,4,0)),"",VLOOKUP(BE9,'ODBC Data'!$B$1:$J$500,4,0))</f>
        <v/>
      </c>
      <c r="BH9" t="str">
        <f>IF(ISNA(VLOOKUP(BE9,'ODBC Data'!$B$1:$J$500,5,0)),"",VLOOKUP(BE9,'ODBC Data'!$B$1:$J$500,5,0))</f>
        <v/>
      </c>
      <c r="BJ9" s="19" t="str">
        <f>IF('ODBC Data'!$I$10&gt;5,'ODBC Data'!$H$10,"")</f>
        <v/>
      </c>
      <c r="BK9" s="19" t="str">
        <f>IF('ODBC Data'!$I$10&gt;5,6,"")</f>
        <v/>
      </c>
      <c r="BL9" s="17" t="str">
        <f t="shared" si="6"/>
        <v/>
      </c>
      <c r="BM9" t="str">
        <f>IF(ISNA(VLOOKUP(BL9,'ODBC Data'!$B$1:$J$500,3,0)),"",VLOOKUP(BL9,'ODBC Data'!$B$1:$J$500,3,0))</f>
        <v/>
      </c>
      <c r="BN9" s="57" t="str">
        <f>IF(ISNA(VLOOKUP(BL9,'ODBC Data'!$B$1:$J$500,4,0)),"",VLOOKUP(BL9,'ODBC Data'!$B$1:$J$500,4,0))</f>
        <v/>
      </c>
      <c r="BO9" t="str">
        <f>IF(ISNA(VLOOKUP(BL9,'ODBC Data'!$B$1:$J$500,5,0)),"",VLOOKUP(BL9,'ODBC Data'!$B$1:$J$500,5,0))</f>
        <v/>
      </c>
      <c r="BQ9" s="19" t="str">
        <f>IF('ODBC Data'!$I$11&gt;5,'ODBC Data'!$H$11,"")</f>
        <v/>
      </c>
      <c r="BR9" s="19" t="str">
        <f>IF('ODBC Data'!$I$11&gt;5,6,"")</f>
        <v/>
      </c>
      <c r="BS9" s="17" t="str">
        <f t="shared" si="7"/>
        <v/>
      </c>
      <c r="BT9" t="str">
        <f>IF(ISNA(VLOOKUP(BS9,'ODBC Data'!$B$1:$J$500,3,0)),"",VLOOKUP(BS9,'ODBC Data'!$B$1:$J$500,3,0))</f>
        <v/>
      </c>
      <c r="BU9" s="57" t="str">
        <f>IF(ISNA(VLOOKUP(BS9,'ODBC Data'!$B$1:$J$500,4,0)),"",VLOOKUP(BS9,'ODBC Data'!$B$1:$J$500,4,0))</f>
        <v/>
      </c>
      <c r="BV9" t="str">
        <f>IF(ISNA(VLOOKUP(BS9,'ODBC Data'!$B$1:$J$500,5,0)),"",VLOOKUP(BS9,'ODBC Data'!$B$1:$J$500,5,0))</f>
        <v/>
      </c>
      <c r="BX9" s="19" t="str">
        <f>IF('ODBC Data'!$I$12&gt;5,'ODBC Data'!$H$12,"")</f>
        <v/>
      </c>
      <c r="BY9" s="19" t="str">
        <f>IF('ODBC Data'!$I$12&gt;5,6,"")</f>
        <v/>
      </c>
      <c r="BZ9" s="17" t="str">
        <f t="shared" si="8"/>
        <v/>
      </c>
      <c r="CA9" t="str">
        <f>IF(ISNA(VLOOKUP(BZ9,'ODBC Data'!$B$1:$J$500,3,0)),"",VLOOKUP(BZ9,'ODBC Data'!$B$1:$J$500,3,0))</f>
        <v/>
      </c>
      <c r="CB9" s="57" t="str">
        <f>IF(ISNA(VLOOKUP(BZ9,'ODBC Data'!$B$1:$J$500,4,0)),"",VLOOKUP(BZ9,'ODBC Data'!$B$1:$J$500,4,0))</f>
        <v/>
      </c>
      <c r="CC9" t="str">
        <f>IF(ISNA(VLOOKUP(BZ9,'ODBC Data'!$B$1:$J$500,5,0)),"",VLOOKUP(BZ9,'ODBC Data'!$B$1:$J$500,5,0))</f>
        <v/>
      </c>
      <c r="CE9" s="19" t="str">
        <f>IF('ODBC Data'!$I$13&gt;5,'ODBC Data'!$H$13,"")</f>
        <v/>
      </c>
      <c r="CF9" s="19" t="str">
        <f>IF('ODBC Data'!$I$13&gt;5,6,"")</f>
        <v/>
      </c>
      <c r="CG9" s="17" t="str">
        <f t="shared" si="9"/>
        <v/>
      </c>
      <c r="CH9" t="str">
        <f>IF(ISNA(VLOOKUP(CG9,'ODBC Data'!$B$1:$J$500,3,0)),"",VLOOKUP(CG9,'ODBC Data'!$B$1:$J$500,3,0))</f>
        <v/>
      </c>
      <c r="CI9" s="57" t="str">
        <f>IF(ISNA(VLOOKUP(CG9,'ODBC Data'!$B$1:$J$500,4,0)),"",VLOOKUP(CG9,'ODBC Data'!$B$1:$J$500,4,0))</f>
        <v/>
      </c>
      <c r="CJ9" t="str">
        <f>IF(ISNA(VLOOKUP(CG9,'ODBC Data'!$B$1:$J$500,5,0)),"",VLOOKUP(CG9,'ODBC Data'!$B$1:$J$500,5,0))</f>
        <v/>
      </c>
      <c r="CL9" s="19" t="str">
        <f>IF('ODBC Data'!$I$14&gt;5,'ODBC Data'!$H$14,"")</f>
        <v/>
      </c>
      <c r="CM9" s="19" t="str">
        <f>IF('ODBC Data'!$I$14&gt;5,6,"")</f>
        <v/>
      </c>
      <c r="CN9" s="17" t="str">
        <f t="shared" si="10"/>
        <v/>
      </c>
      <c r="CO9" s="57" t="str">
        <f>IF(ISNA(VLOOKUP(CN9,'ODBC Data'!$B$1:$J$500,3,0)),"",VLOOKUP(CN9,'ODBC Data'!$B$1:$J$500,3,0))</f>
        <v/>
      </c>
      <c r="CP9" s="57" t="str">
        <f>IF(ISNA(VLOOKUP(CN9,'ODBC Data'!$B$1:$J$500,4,0)),"",VLOOKUP(CN9,'ODBC Data'!$B$1:$J$500,4,0))</f>
        <v/>
      </c>
      <c r="CQ9" s="57" t="str">
        <f>IF(ISNA(VLOOKUP(CN9,'ODBC Data'!$B$1:$J$500,5,0)),"",VLOOKUP(CN9,'ODBC Data'!$B$1:$J$500,5,0))</f>
        <v/>
      </c>
      <c r="CS9" s="19" t="str">
        <f>IF('ODBC Data'!$I$15&gt;5,'ODBC Data'!$H$15,"")</f>
        <v/>
      </c>
      <c r="CT9" s="19" t="str">
        <f>IF('ODBC Data'!$I$15&gt;5,6,"")</f>
        <v/>
      </c>
      <c r="CU9" s="17" t="str">
        <f t="shared" si="11"/>
        <v/>
      </c>
      <c r="CV9" t="str">
        <f>IF(ISNA(VLOOKUP(CU9,'ODBC Data'!$B$1:$J$500,3,0)),"",VLOOKUP(CU9,'ODBC Data'!$B$1:$J$500,3,0))</f>
        <v/>
      </c>
      <c r="CW9" s="57" t="str">
        <f>IF(ISNA(VLOOKUP(CU9,'ODBC Data'!$B$1:$J$500,4,0)),"",VLOOKUP(CU9,'ODBC Data'!$B$1:$J$500,4,0))</f>
        <v/>
      </c>
      <c r="CX9" t="str">
        <f>IF(ISNA(VLOOKUP(CU9,'ODBC Data'!$B$1:$J$500,5,0)),"",VLOOKUP(CU9,'ODBC Data'!$B$1:$J$500,5,0))</f>
        <v/>
      </c>
      <c r="CZ9" s="19" t="str">
        <f>IF('ODBC Data'!$I$16&gt;5,'ODBC Data'!$H$16,"")</f>
        <v/>
      </c>
      <c r="DA9" s="19" t="str">
        <f>IF('ODBC Data'!$I$16&gt;5,6,"")</f>
        <v/>
      </c>
      <c r="DB9" s="17" t="str">
        <f t="shared" si="12"/>
        <v/>
      </c>
      <c r="DC9" t="str">
        <f>IF(ISNA(VLOOKUP(DB9,'ODBC Data'!$B$1:$J$500,3,0)),"",VLOOKUP(DB9,'ODBC Data'!$B$1:$J$500,3,0))</f>
        <v/>
      </c>
      <c r="DD9" s="57" t="str">
        <f>IF(ISNA(VLOOKUP(DB9,'ODBC Data'!$B$1:$J$500,4,0)),"",VLOOKUP(DB9,'ODBC Data'!$B$1:$J$500,4,0))</f>
        <v/>
      </c>
      <c r="DE9" t="str">
        <f>IF(ISNA(VLOOKUP(DB9,'ODBC Data'!$B$1:$J$500,5,0)),"",VLOOKUP(DB9,'ODBC Data'!$B$1:$J$500,5,0))</f>
        <v/>
      </c>
      <c r="DG9" s="19" t="str">
        <f>IF('ODBC Data'!$I$17&gt;5,'ODBC Data'!$H$17,"")</f>
        <v/>
      </c>
      <c r="DH9" s="19" t="str">
        <f>IF('ODBC Data'!$I$17&gt;5,6,"")</f>
        <v/>
      </c>
      <c r="DI9" s="17" t="str">
        <f t="shared" si="13"/>
        <v/>
      </c>
      <c r="DJ9" t="str">
        <f>IF(ISNA(VLOOKUP(DI9,'ODBC Data'!$B$1:$J$500,3,0)),"",VLOOKUP(DI9,'ODBC Data'!$B$1:$J$500,3,0))</f>
        <v/>
      </c>
      <c r="DK9" s="57" t="str">
        <f>IF(ISNA(VLOOKUP(DI9,'ODBC Data'!$B$1:$J$500,4,0)),"",VLOOKUP(DI9,'ODBC Data'!$B$1:$J$500,4,0))</f>
        <v/>
      </c>
      <c r="DL9" t="str">
        <f>IF(ISNA(VLOOKUP(DI9,'ODBC Data'!$B$1:$J$500,5,0)),"",VLOOKUP(DI9,'ODBC Data'!$B$1:$J$500,5,0))</f>
        <v/>
      </c>
      <c r="DN9" s="19" t="str">
        <f>IF('ODBC Data'!$I$18&gt;5,'ODBC Data'!$H$18,"")</f>
        <v/>
      </c>
      <c r="DO9" s="19" t="str">
        <f>IF('ODBC Data'!$I$18&gt;5,6,"")</f>
        <v/>
      </c>
      <c r="DP9" s="17" t="str">
        <f t="shared" si="14"/>
        <v/>
      </c>
      <c r="DQ9" t="str">
        <f>IF(ISNA(VLOOKUP(DP9,'ODBC Data'!$B$1:$J$500,3,0)),"",VLOOKUP(DP9,'ODBC Data'!$B$1:$J$500,3,0))</f>
        <v/>
      </c>
      <c r="DR9" s="57" t="str">
        <f>IF(ISNA(VLOOKUP(DP9,'ODBC Data'!$B$1:$J$500,4,0)),"",VLOOKUP(DP9,'ODBC Data'!$B$1:$J$500,4,0))</f>
        <v/>
      </c>
      <c r="DS9" t="str">
        <f>IF(ISNA(VLOOKUP(DP9,'ODBC Data'!$B$1:$J$500,5,0)),"",VLOOKUP(DP9,'ODBC Data'!$B$1:$J$500,5,0))</f>
        <v/>
      </c>
      <c r="DU9" s="19" t="str">
        <f>IF('ODBC Data'!$I$19&gt;5,'ODBC Data'!$H$19,"")</f>
        <v/>
      </c>
      <c r="DV9" s="19" t="str">
        <f>IF('ODBC Data'!$I$19&gt;5,6,"")</f>
        <v/>
      </c>
      <c r="DW9" s="17" t="str">
        <f t="shared" si="15"/>
        <v/>
      </c>
      <c r="DX9" t="str">
        <f>IF(ISNA(VLOOKUP(DW9,'ODBC Data'!$B$1:$J$500,3,0)),"",VLOOKUP(DW9,'ODBC Data'!$B$1:$J$500,3,0))</f>
        <v/>
      </c>
      <c r="DY9" s="57" t="str">
        <f>IF(ISNA(VLOOKUP(DW9,'ODBC Data'!$B$1:$J$500,4,0)),"",VLOOKUP(DW9,'ODBC Data'!$B$1:$J$500,4,0))</f>
        <v/>
      </c>
      <c r="DZ9" t="str">
        <f>IF(ISNA(VLOOKUP(DW9,'ODBC Data'!$B$1:$J$500,5,0)),"",VLOOKUP(DW9,'ODBC Data'!$B$1:$J$500,5,0))</f>
        <v/>
      </c>
      <c r="EB9" s="19" t="str">
        <f>IF('ODBC Data'!$I$20&gt;5,'ODBC Data'!$H$20,"")</f>
        <v/>
      </c>
      <c r="EC9" s="19" t="str">
        <f>IF('ODBC Data'!$I$20&gt;5,6,"")</f>
        <v/>
      </c>
      <c r="ED9" s="17" t="str">
        <f t="shared" si="16"/>
        <v/>
      </c>
      <c r="EE9" s="57" t="str">
        <f>IF(ISNA(VLOOKUP(ED9,'ODBC Data'!$B$1:$J$500,3,0)),"",VLOOKUP(ED9,'ODBC Data'!$B$1:$J$500,3,0))</f>
        <v/>
      </c>
      <c r="EF9" s="57" t="str">
        <f>IF(ISNA(VLOOKUP(ED9,'ODBC Data'!$B$1:$J$500,4,0)),"",VLOOKUP(ED9,'ODBC Data'!$B$1:$J$500,4,0))</f>
        <v/>
      </c>
      <c r="EG9" s="57" t="str">
        <f>IF(ISNA(VLOOKUP(ED9,'ODBC Data'!$B$1:$J$500,5,0)),"",VLOOKUP(ED9,'ODBC Data'!$B$1:$J$500,5,0))</f>
        <v/>
      </c>
      <c r="EI9" s="19" t="str">
        <f>IF('ODBC Data'!$I$21&gt;5,'ODBC Data'!$H$21,"")</f>
        <v/>
      </c>
      <c r="EJ9" s="19" t="str">
        <f>IF('ODBC Data'!$I$21&gt;5,6,"")</f>
        <v/>
      </c>
      <c r="EK9" s="17" t="str">
        <f t="shared" si="17"/>
        <v/>
      </c>
      <c r="EL9" t="str">
        <f>IF(ISNA(VLOOKUP(EK9,'ODBC Data'!$B$1:$J$500,3,0)),"",VLOOKUP(EK9,'ODBC Data'!$B$1:$J$500,3,0))</f>
        <v/>
      </c>
      <c r="EM9" s="57" t="str">
        <f>IF(ISNA(VLOOKUP(EK9,'ODBC Data'!$B$1:$J$500,4,0)),"",VLOOKUP(EK9,'ODBC Data'!$B$1:$J$500,4,0))</f>
        <v/>
      </c>
      <c r="EN9" t="str">
        <f>IF(ISNA(VLOOKUP(EK9,'ODBC Data'!$B$1:$J$500,5,0)),"",VLOOKUP(EK9,'ODBC Data'!$B$1:$J$500,5,0))</f>
        <v/>
      </c>
      <c r="EP9" s="19" t="str">
        <f>IF('ODBC Data'!$I$22&gt;5,'ODBC Data'!$H$22,"")</f>
        <v/>
      </c>
      <c r="EQ9" s="19" t="str">
        <f>IF('ODBC Data'!$I$22&gt;5,6,"")</f>
        <v/>
      </c>
      <c r="ER9" s="17" t="str">
        <f t="shared" si="18"/>
        <v/>
      </c>
      <c r="ES9" t="str">
        <f>IF(ISNA(VLOOKUP(ER9,'ODBC Data'!$B$1:$J$500,3,0)),"",VLOOKUP(ER9,'ODBC Data'!$B$1:$J$500,3,0))</f>
        <v/>
      </c>
      <c r="ET9" s="57" t="str">
        <f>IF(ISNA(VLOOKUP(ER9,'ODBC Data'!$B$1:$J$500,4,0)),"",VLOOKUP(ER9,'ODBC Data'!$B$1:$J$500,4,0))</f>
        <v/>
      </c>
      <c r="EU9" t="str">
        <f>IF(ISNA(VLOOKUP(ER9,'ODBC Data'!$B$1:$J$500,5,0)),"",VLOOKUP(ER9,'ODBC Data'!$B$1:$J$500,5,0))</f>
        <v/>
      </c>
      <c r="EW9" s="19" t="str">
        <f>IF('ODBC Data'!$I$23&gt;5,'ODBC Data'!$H$23,"")</f>
        <v/>
      </c>
      <c r="EX9" s="19" t="str">
        <f>IF('ODBC Data'!$I$23&gt;5,6,"")</f>
        <v/>
      </c>
      <c r="EY9" s="17" t="str">
        <f t="shared" si="19"/>
        <v/>
      </c>
      <c r="EZ9" t="str">
        <f>IF(ISNA(VLOOKUP(EY9,'ODBC Data'!$B$1:$J$500,3,0)),"",VLOOKUP(EY9,'ODBC Data'!$B$1:$J$500,3,0))</f>
        <v/>
      </c>
      <c r="FA9" s="57" t="str">
        <f>IF(ISNA(VLOOKUP(EY9,'ODBC Data'!$B$1:$J$500,4,0)),"",VLOOKUP(EY9,'ODBC Data'!$B$1:$J$500,4,0))</f>
        <v/>
      </c>
      <c r="FB9" t="str">
        <f>IF(ISNA(VLOOKUP(EY9,'ODBC Data'!$B$1:$J$500,5,0)),"",VLOOKUP(EY9,'ODBC Data'!$B$1:$J$500,5,0))</f>
        <v/>
      </c>
      <c r="FD9" s="19" t="str">
        <f>IF('ODBC Data'!$I$24&gt;5,'ODBC Data'!$H$24,"")</f>
        <v/>
      </c>
      <c r="FE9" s="19" t="str">
        <f>IF('ODBC Data'!$I$24&gt;5,6,"")</f>
        <v/>
      </c>
      <c r="FF9" s="17" t="str">
        <f t="shared" si="20"/>
        <v/>
      </c>
      <c r="FG9" t="str">
        <f>IF(ISNA(VLOOKUP(FF9,'ODBC Data'!$B$1:$J$500,3,0)),"",VLOOKUP(FF9,'ODBC Data'!$B$1:$J$500,3,0))</f>
        <v/>
      </c>
      <c r="FH9" s="57" t="str">
        <f>IF(ISNA(VLOOKUP(FF9,'ODBC Data'!$B$1:$J$500,4,0)),"",VLOOKUP(FF9,'ODBC Data'!$B$1:$J$500,4,0))</f>
        <v/>
      </c>
      <c r="FI9" t="str">
        <f>IF(ISNA(VLOOKUP(FF9,'ODBC Data'!$B$1:$J$500,5,0)),"",VLOOKUP(FF9,'ODBC Data'!$B$1:$J$500,5,0))</f>
        <v/>
      </c>
      <c r="FK9" s="19" t="str">
        <f>IF('ODBC Data'!$I$25&gt;5,'ODBC Data'!$H$25,"")</f>
        <v/>
      </c>
      <c r="FL9" s="19" t="str">
        <f>IF('ODBC Data'!$I$25&gt;5,6,"")</f>
        <v/>
      </c>
      <c r="FM9" s="17" t="str">
        <f t="shared" si="21"/>
        <v/>
      </c>
      <c r="FN9" t="str">
        <f>IF(ISNA(VLOOKUP(FM9,'ODBC Data'!$B$1:$J$500,3,0)),"",VLOOKUP(FM9,'ODBC Data'!$B$1:$J$500,3,0))</f>
        <v/>
      </c>
      <c r="FO9" s="57" t="str">
        <f>IF(ISNA(VLOOKUP(FM9,'ODBC Data'!$B$1:$J$500,4,0)),"",VLOOKUP(FM9,'ODBC Data'!$B$1:$J$500,4,0))</f>
        <v/>
      </c>
      <c r="FP9" t="str">
        <f>IF(ISNA(VLOOKUP(FM9,'ODBC Data'!$B$1:$J$500,5,0)),"",VLOOKUP(FM9,'ODBC Data'!$B$1:$J$500,5,0))</f>
        <v/>
      </c>
      <c r="FR9" s="19" t="str">
        <f>IF('ODBC Data'!$I$26&gt;5,'ODBC Data'!$H$26,"")</f>
        <v/>
      </c>
      <c r="FS9" s="19" t="str">
        <f>IF('ODBC Data'!$I$26&gt;5,6,"")</f>
        <v/>
      </c>
      <c r="FT9" s="17" t="str">
        <f t="shared" si="22"/>
        <v/>
      </c>
      <c r="FU9" s="57" t="str">
        <f>IF(ISNA(VLOOKUP(FT9,'ODBC Data'!$B$1:$J$500,3,0)),"",VLOOKUP(FT9,'ODBC Data'!$B$1:$J$500,3,0))</f>
        <v/>
      </c>
      <c r="FV9" s="57" t="str">
        <f>IF(ISNA(VLOOKUP(FT9,'ODBC Data'!$B$1:$J$500,4,0)),"",VLOOKUP(FT9,'ODBC Data'!$B$1:$J$500,4,0))</f>
        <v/>
      </c>
      <c r="FW9" s="57" t="str">
        <f>IF(ISNA(VLOOKUP(FT9,'ODBC Data'!$B$1:$J$500,5,0)),"",VLOOKUP(FT9,'ODBC Data'!$B$1:$J$500,5,0))</f>
        <v/>
      </c>
      <c r="FY9" s="19" t="str">
        <f>IF('ODBC Data'!$I$27&gt;5,'ODBC Data'!$H$27,"")</f>
        <v/>
      </c>
      <c r="FZ9" s="19" t="str">
        <f>IF('ODBC Data'!$I$27&gt;5,6,"")</f>
        <v/>
      </c>
      <c r="GA9" s="17" t="str">
        <f t="shared" si="23"/>
        <v/>
      </c>
      <c r="GB9" s="57" t="str">
        <f>IF(ISNA(VLOOKUP(GA9,'ODBC Data'!$B$1:$J$500,3,0)),"",VLOOKUP(GA9,'ODBC Data'!$B$1:$J$500,3,0))</f>
        <v/>
      </c>
      <c r="GC9" s="57" t="str">
        <f>IF(ISNA(VLOOKUP(GA9,'ODBC Data'!$B$1:$J$500,4,0)),"",VLOOKUP(GA9,'ODBC Data'!$B$1:$J$500,4,0))</f>
        <v/>
      </c>
      <c r="GD9" s="57" t="str">
        <f>IF(ISNA(VLOOKUP(GA9,'ODBC Data'!$B$1:$J$500,5,0)),"",VLOOKUP(GA9,'ODBC Data'!$B$1:$J$500,5,0))</f>
        <v/>
      </c>
    </row>
    <row r="10" spans="1:186">
      <c r="A10" s="19" t="str">
        <f>IF('ODBC Data'!$I$1&gt;6,'ODBC Data'!$H$1,"")</f>
        <v/>
      </c>
      <c r="B10" s="19" t="str">
        <f>IF('ODBC Data'!$I$1&gt;6,7,"")</f>
        <v/>
      </c>
      <c r="C10" s="17" t="str">
        <f t="shared" si="27"/>
        <v/>
      </c>
      <c r="D10" t="str">
        <f>IF(ISNA(VLOOKUP(C10,'ODBC Data'!$B$1:$J$500,3,0)),"",VLOOKUP(C10,'ODBC Data'!$B$1:$J$500,3,0))</f>
        <v/>
      </c>
      <c r="E10" t="str">
        <f>IF(ISNA(VLOOKUP(C10,'ODBC Data'!$B$1:$J$500,5,0)),"",VLOOKUP(C10,'ODBC Data'!$B$1:$J$500,5,0))</f>
        <v/>
      </c>
      <c r="G10" s="19" t="str">
        <f>IF('ODBC Data'!$I$2&gt;6,'ODBC Data'!$H$2,"")</f>
        <v/>
      </c>
      <c r="H10" s="19" t="str">
        <f>IF('ODBC Data'!$I$2&gt;6,7,"")</f>
        <v/>
      </c>
      <c r="I10" s="17" t="str">
        <f t="shared" si="24"/>
        <v/>
      </c>
      <c r="J10" t="str">
        <f>IF(ISNA(VLOOKUP(I10,'ODBC Data'!$B$1:$J$500,3,0)),"",VLOOKUP(I10,'ODBC Data'!$B$1:$J$500,3,0))</f>
        <v/>
      </c>
      <c r="K10" t="str">
        <f>IF(ISNA(VLOOKUP(I10,'ODBC Data'!$B$1:$J$500,5,0)),"",VLOOKUP(I10,'ODBC Data'!$B$1:$J$500,5,0))</f>
        <v/>
      </c>
      <c r="M10" s="19" t="str">
        <f>IF('ODBC Data'!$I$3&gt;6,'ODBC Data'!$H$3,"")</f>
        <v/>
      </c>
      <c r="N10" s="19" t="str">
        <f>IF('ODBC Data'!$I$3&gt;6,7,"")</f>
        <v/>
      </c>
      <c r="O10" s="17" t="str">
        <f t="shared" si="25"/>
        <v/>
      </c>
      <c r="P10" t="str">
        <f>IF(ISNA(VLOOKUP(O10,'ODBC Data'!$B$1:$J$500,3,0)),"",VLOOKUP(O10,'ODBC Data'!$B$1:$J$500,3,0))</f>
        <v/>
      </c>
      <c r="Q10" t="str">
        <f>IF(ISNA(VLOOKUP(O10,'ODBC Data'!$B$1:$J$500,5,0)),"",VLOOKUP(O10,'ODBC Data'!$B$1:$J$500,4,0))</f>
        <v/>
      </c>
      <c r="S10" s="19" t="str">
        <f>IF('ODBC Data'!$I$3&gt;6,'ODBC Data'!$H$3,"")</f>
        <v/>
      </c>
      <c r="T10" s="19" t="str">
        <f>IF('ODBC Data'!$I$3&gt;6,7,"")</f>
        <v/>
      </c>
      <c r="U10" s="17" t="str">
        <f t="shared" si="26"/>
        <v/>
      </c>
      <c r="V10" t="str">
        <f>IF(ISNA(VLOOKUP(U10,'ODBC Data'!$B$1:$J$500,3,0)),"",VLOOKUP(U10,'ODBC Data'!$B$1:$J$500,3,0))</f>
        <v/>
      </c>
      <c r="W10" t="str">
        <f>IF(ISNA(VLOOKUP(U10,'ODBC Data'!$B$1:$J$500,5,0)),"",VLOOKUP(U10,'ODBC Data'!$B$1:$J$500,5,0))</f>
        <v/>
      </c>
      <c r="Y10" s="19" t="str">
        <f>IF('ODBC Data'!$I$4&gt;6,'ODBC Data'!$H$4,"")</f>
        <v/>
      </c>
      <c r="Z10" s="19" t="str">
        <f>IF('ODBC Data'!$I$4&gt;6,7,"")</f>
        <v/>
      </c>
      <c r="AA10" s="17" t="str">
        <f t="shared" si="0"/>
        <v/>
      </c>
      <c r="AB10" s="57" t="str">
        <f>IF(ISNA(VLOOKUP(AA10,'ODBC Data'!$B$1:$J$500,3,0)),"",VLOOKUP(AA10,'ODBC Data'!$B$1:$J$500,3,0))</f>
        <v/>
      </c>
      <c r="AC10" s="57" t="str">
        <f>IF(ISNA(VLOOKUP(AA10,'ODBC Data'!$B$1:$J$500,5,0)),"",VLOOKUP(AA10,'ODBC Data'!$B$1:$J$500,5,0))</f>
        <v/>
      </c>
      <c r="AE10" s="19" t="str">
        <f>IF('ODBC Data'!$I$5&gt;6,'ODBC Data'!$H$5,"")</f>
        <v/>
      </c>
      <c r="AF10" s="19" t="str">
        <f>IF('ODBC Data'!$I$5&gt;6,7,"")</f>
        <v/>
      </c>
      <c r="AG10" s="17" t="str">
        <f t="shared" si="1"/>
        <v/>
      </c>
      <c r="AH10" t="str">
        <f>IF(ISNA(VLOOKUP(AG10,'ODBC Data'!$B$1:$J$500,3,0)),"",VLOOKUP(AG10,'ODBC Data'!$B$1:$J$500,3,0))</f>
        <v/>
      </c>
      <c r="AI10" t="str">
        <f>IF(ISNA(VLOOKUP(AG10,'ODBC Data'!$B$1:$J$500,5,0)),"",VLOOKUP(AG10,'ODBC Data'!$B$1:$J$500,5,0))</f>
        <v/>
      </c>
      <c r="AK10" s="19" t="str">
        <f>IF('ODBC Data'!$I$6&gt;6,'ODBC Data'!$H$6,"")</f>
        <v>Indirect Expenses</v>
      </c>
      <c r="AL10" s="19">
        <f>IF('ODBC Data'!$I$6&gt;6,7,"")</f>
        <v>7</v>
      </c>
      <c r="AM10" s="17" t="str">
        <f t="shared" si="2"/>
        <v>Indirect Expenses7</v>
      </c>
      <c r="AN10" t="str">
        <f>IF(ISNA(VLOOKUP(AM10,'ODBC Data'!$B$1:$J$500,3,0)),"",VLOOKUP(AM10,'ODBC Data'!$B$1:$J$500,3,0))</f>
        <v>Refreshment</v>
      </c>
      <c r="AO10">
        <f>IF(ISNA(VLOOKUP(AM10,'ODBC Data'!$B$1:$J$500,5,0)),"",VLOOKUP(AM10,'ODBC Data'!$B$1:$J$500,5,0))</f>
        <v>-2950</v>
      </c>
      <c r="AQ10" s="19" t="str">
        <f>IF('ODBC Data'!$I$7&gt;6,'ODBC Data'!$H$7,"")</f>
        <v/>
      </c>
      <c r="AR10" s="19" t="str">
        <f>IF('ODBC Data'!$I$7&gt;6,7,"")</f>
        <v/>
      </c>
      <c r="AS10" s="17" t="str">
        <f t="shared" si="3"/>
        <v/>
      </c>
      <c r="AT10" t="str">
        <f>IF(ISNA(VLOOKUP(AS10,'ODBC Data'!$B$1:$J$500,3,0)),"",VLOOKUP(AS10,'ODBC Data'!$B$1:$J$500,3,0))</f>
        <v/>
      </c>
      <c r="AU10" t="str">
        <f>IF(ISNA(VLOOKUP(AS10,'ODBC Data'!$B$1:$J$500,5,0)),"",VLOOKUP(AS10,'ODBC Data'!$B$1:$J$500,5,0))</f>
        <v/>
      </c>
      <c r="AW10" s="19" t="str">
        <f>IF('ODBC Data'!$I$8&gt;6,'ODBC Data'!$H$8,"")</f>
        <v/>
      </c>
      <c r="AX10" s="19" t="str">
        <f>IF('ODBC Data'!$I$8&gt;6,7,"")</f>
        <v/>
      </c>
      <c r="AY10" s="17" t="str">
        <f t="shared" si="4"/>
        <v/>
      </c>
      <c r="AZ10" t="str">
        <f>IF(ISNA(VLOOKUP(AY10,'ODBC Data'!$B$1:$J$500,3,0)),"",VLOOKUP(AY10,'ODBC Data'!$B$1:$J$500,3,0))</f>
        <v/>
      </c>
      <c r="BA10" t="str">
        <f>IF(ISNA(VLOOKUP(AY10,'ODBC Data'!$B$1:$J$500,5,0)),"",VLOOKUP(AY10,'ODBC Data'!$B$1:$J$500,5,0))</f>
        <v/>
      </c>
      <c r="BC10" s="19" t="str">
        <f>IF('ODBC Data'!$I$9&gt;6,'ODBC Data'!$H$9,"")</f>
        <v/>
      </c>
      <c r="BD10" s="19" t="str">
        <f>IF('ODBC Data'!$I$9&gt;6,7,"")</f>
        <v/>
      </c>
      <c r="BE10" s="17" t="str">
        <f t="shared" si="5"/>
        <v/>
      </c>
      <c r="BF10" t="str">
        <f>IF(ISNA(VLOOKUP(BE10,'ODBC Data'!$B$1:$J$500,3,0)),"",VLOOKUP(BE10,'ODBC Data'!$B$1:$J$500,3,0))</f>
        <v/>
      </c>
      <c r="BG10" s="57" t="str">
        <f>IF(ISNA(VLOOKUP(BE10,'ODBC Data'!$B$1:$J$500,4,0)),"",VLOOKUP(BE10,'ODBC Data'!$B$1:$J$500,4,0))</f>
        <v/>
      </c>
      <c r="BH10" t="str">
        <f>IF(ISNA(VLOOKUP(BE10,'ODBC Data'!$B$1:$J$500,5,0)),"",VLOOKUP(BE10,'ODBC Data'!$B$1:$J$500,5,0))</f>
        <v/>
      </c>
      <c r="BJ10" s="19" t="str">
        <f>IF('ODBC Data'!$I$10&gt;6,'ODBC Data'!$H$10,"")</f>
        <v/>
      </c>
      <c r="BK10" s="19" t="str">
        <f>IF('ODBC Data'!$I$10&gt;6,7,"")</f>
        <v/>
      </c>
      <c r="BL10" s="17" t="str">
        <f t="shared" si="6"/>
        <v/>
      </c>
      <c r="BM10" t="str">
        <f>IF(ISNA(VLOOKUP(BL10,'ODBC Data'!$B$1:$J$500,3,0)),"",VLOOKUP(BL10,'ODBC Data'!$B$1:$J$500,3,0))</f>
        <v/>
      </c>
      <c r="BN10" s="57" t="str">
        <f>IF(ISNA(VLOOKUP(BL10,'ODBC Data'!$B$1:$J$500,4,0)),"",VLOOKUP(BL10,'ODBC Data'!$B$1:$J$500,4,0))</f>
        <v/>
      </c>
      <c r="BO10" t="str">
        <f>IF(ISNA(VLOOKUP(BL10,'ODBC Data'!$B$1:$J$500,5,0)),"",VLOOKUP(BL10,'ODBC Data'!$B$1:$J$500,5,0))</f>
        <v/>
      </c>
      <c r="BQ10" s="19" t="str">
        <f>IF('ODBC Data'!$I$11&gt;6,'ODBC Data'!$H$11,"")</f>
        <v/>
      </c>
      <c r="BR10" s="19" t="str">
        <f>IF('ODBC Data'!$I$11&gt;6,7,"")</f>
        <v/>
      </c>
      <c r="BS10" s="17" t="str">
        <f t="shared" si="7"/>
        <v/>
      </c>
      <c r="BT10" t="str">
        <f>IF(ISNA(VLOOKUP(BS10,'ODBC Data'!$B$1:$J$500,3,0)),"",VLOOKUP(BS10,'ODBC Data'!$B$1:$J$500,3,0))</f>
        <v/>
      </c>
      <c r="BU10" s="57" t="str">
        <f>IF(ISNA(VLOOKUP(BS10,'ODBC Data'!$B$1:$J$500,4,0)),"",VLOOKUP(BS10,'ODBC Data'!$B$1:$J$500,4,0))</f>
        <v/>
      </c>
      <c r="BV10" t="str">
        <f>IF(ISNA(VLOOKUP(BS10,'ODBC Data'!$B$1:$J$500,5,0)),"",VLOOKUP(BS10,'ODBC Data'!$B$1:$J$500,5,0))</f>
        <v/>
      </c>
      <c r="BX10" s="19" t="str">
        <f>IF('ODBC Data'!$I$12&gt;6,'ODBC Data'!$H$12,"")</f>
        <v/>
      </c>
      <c r="BY10" s="19" t="str">
        <f>IF('ODBC Data'!$I$12&gt;6,7,"")</f>
        <v/>
      </c>
      <c r="BZ10" s="17" t="str">
        <f t="shared" si="8"/>
        <v/>
      </c>
      <c r="CA10" t="str">
        <f>IF(ISNA(VLOOKUP(BZ10,'ODBC Data'!$B$1:$J$500,3,0)),"",VLOOKUP(BZ10,'ODBC Data'!$B$1:$J$500,3,0))</f>
        <v/>
      </c>
      <c r="CB10" s="57" t="str">
        <f>IF(ISNA(VLOOKUP(BZ10,'ODBC Data'!$B$1:$J$500,4,0)),"",VLOOKUP(BZ10,'ODBC Data'!$B$1:$J$500,4,0))</f>
        <v/>
      </c>
      <c r="CC10" t="str">
        <f>IF(ISNA(VLOOKUP(BZ10,'ODBC Data'!$B$1:$J$500,5,0)),"",VLOOKUP(BZ10,'ODBC Data'!$B$1:$J$500,5,0))</f>
        <v/>
      </c>
      <c r="CE10" s="19" t="str">
        <f>IF('ODBC Data'!$I$13&gt;6,'ODBC Data'!$H$13,"")</f>
        <v/>
      </c>
      <c r="CF10" s="19" t="str">
        <f>IF('ODBC Data'!$I$13&gt;6,7,"")</f>
        <v/>
      </c>
      <c r="CG10" s="17" t="str">
        <f t="shared" si="9"/>
        <v/>
      </c>
      <c r="CH10" t="str">
        <f>IF(ISNA(VLOOKUP(CG10,'ODBC Data'!$B$1:$J$500,3,0)),"",VLOOKUP(CG10,'ODBC Data'!$B$1:$J$500,3,0))</f>
        <v/>
      </c>
      <c r="CI10" s="57" t="str">
        <f>IF(ISNA(VLOOKUP(CG10,'ODBC Data'!$B$1:$J$500,4,0)),"",VLOOKUP(CG10,'ODBC Data'!$B$1:$J$500,4,0))</f>
        <v/>
      </c>
      <c r="CJ10" t="str">
        <f>IF(ISNA(VLOOKUP(CG10,'ODBC Data'!$B$1:$J$500,5,0)),"",VLOOKUP(CG10,'ODBC Data'!$B$1:$J$500,5,0))</f>
        <v/>
      </c>
      <c r="CL10" s="19" t="str">
        <f>IF('ODBC Data'!$I$14&gt;6,'ODBC Data'!$H$14,"")</f>
        <v/>
      </c>
      <c r="CM10" s="19" t="str">
        <f>IF('ODBC Data'!$I$14&gt;6,7,"")</f>
        <v/>
      </c>
      <c r="CN10" s="17" t="str">
        <f t="shared" si="10"/>
        <v/>
      </c>
      <c r="CO10" s="57" t="str">
        <f>IF(ISNA(VLOOKUP(CN10,'ODBC Data'!$B$1:$J$500,3,0)),"",VLOOKUP(CN10,'ODBC Data'!$B$1:$J$500,3,0))</f>
        <v/>
      </c>
      <c r="CP10" s="57" t="str">
        <f>IF(ISNA(VLOOKUP(CN10,'ODBC Data'!$B$1:$J$500,4,0)),"",VLOOKUP(CN10,'ODBC Data'!$B$1:$J$500,4,0))</f>
        <v/>
      </c>
      <c r="CQ10" s="57" t="str">
        <f>IF(ISNA(VLOOKUP(CN10,'ODBC Data'!$B$1:$J$500,5,0)),"",VLOOKUP(CN10,'ODBC Data'!$B$1:$J$500,5,0))</f>
        <v/>
      </c>
      <c r="CS10" s="19" t="str">
        <f>IF('ODBC Data'!$I$15&gt;6,'ODBC Data'!$H$15,"")</f>
        <v/>
      </c>
      <c r="CT10" s="19" t="str">
        <f>IF('ODBC Data'!$I$15&gt;6,7,"")</f>
        <v/>
      </c>
      <c r="CU10" s="17" t="str">
        <f t="shared" si="11"/>
        <v/>
      </c>
      <c r="CV10" t="str">
        <f>IF(ISNA(VLOOKUP(CU10,'ODBC Data'!$B$1:$J$500,3,0)),"",VLOOKUP(CU10,'ODBC Data'!$B$1:$J$500,3,0))</f>
        <v/>
      </c>
      <c r="CW10" s="57" t="str">
        <f>IF(ISNA(VLOOKUP(CU10,'ODBC Data'!$B$1:$J$500,4,0)),"",VLOOKUP(CU10,'ODBC Data'!$B$1:$J$500,4,0))</f>
        <v/>
      </c>
      <c r="CX10" t="str">
        <f>IF(ISNA(VLOOKUP(CU10,'ODBC Data'!$B$1:$J$500,5,0)),"",VLOOKUP(CU10,'ODBC Data'!$B$1:$J$500,5,0))</f>
        <v/>
      </c>
      <c r="CZ10" s="19" t="str">
        <f>IF('ODBC Data'!$I$16&gt;6,'ODBC Data'!$H$16,"")</f>
        <v/>
      </c>
      <c r="DA10" s="19" t="str">
        <f>IF('ODBC Data'!$I$16&gt;6,7,"")</f>
        <v/>
      </c>
      <c r="DB10" s="17" t="str">
        <f t="shared" si="12"/>
        <v/>
      </c>
      <c r="DC10" t="str">
        <f>IF(ISNA(VLOOKUP(DB10,'ODBC Data'!$B$1:$J$500,3,0)),"",VLOOKUP(DB10,'ODBC Data'!$B$1:$J$500,3,0))</f>
        <v/>
      </c>
      <c r="DD10" s="57" t="str">
        <f>IF(ISNA(VLOOKUP(DB10,'ODBC Data'!$B$1:$J$500,4,0)),"",VLOOKUP(DB10,'ODBC Data'!$B$1:$J$500,4,0))</f>
        <v/>
      </c>
      <c r="DE10" t="str">
        <f>IF(ISNA(VLOOKUP(DB10,'ODBC Data'!$B$1:$J$500,5,0)),"",VLOOKUP(DB10,'ODBC Data'!$B$1:$J$500,5,0))</f>
        <v/>
      </c>
      <c r="DG10" s="19" t="str">
        <f>IF('ODBC Data'!$I$17&gt;6,'ODBC Data'!$H$17,"")</f>
        <v/>
      </c>
      <c r="DH10" s="19" t="str">
        <f>IF('ODBC Data'!$I$17&gt;6,7,"")</f>
        <v/>
      </c>
      <c r="DI10" s="17" t="str">
        <f t="shared" si="13"/>
        <v/>
      </c>
      <c r="DJ10" t="str">
        <f>IF(ISNA(VLOOKUP(DI10,'ODBC Data'!$B$1:$J$500,3,0)),"",VLOOKUP(DI10,'ODBC Data'!$B$1:$J$500,3,0))</f>
        <v/>
      </c>
      <c r="DK10" s="57" t="str">
        <f>IF(ISNA(VLOOKUP(DI10,'ODBC Data'!$B$1:$J$500,4,0)),"",VLOOKUP(DI10,'ODBC Data'!$B$1:$J$500,4,0))</f>
        <v/>
      </c>
      <c r="DL10" t="str">
        <f>IF(ISNA(VLOOKUP(DI10,'ODBC Data'!$B$1:$J$500,5,0)),"",VLOOKUP(DI10,'ODBC Data'!$B$1:$J$500,5,0))</f>
        <v/>
      </c>
      <c r="DN10" s="19" t="str">
        <f>IF('ODBC Data'!$I$18&gt;6,'ODBC Data'!$H$18,"")</f>
        <v/>
      </c>
      <c r="DO10" s="19" t="str">
        <f>IF('ODBC Data'!$I$18&gt;6,7,"")</f>
        <v/>
      </c>
      <c r="DP10" s="17" t="str">
        <f t="shared" si="14"/>
        <v/>
      </c>
      <c r="DQ10" t="str">
        <f>IF(ISNA(VLOOKUP(DP10,'ODBC Data'!$B$1:$J$500,3,0)),"",VLOOKUP(DP10,'ODBC Data'!$B$1:$J$500,3,0))</f>
        <v/>
      </c>
      <c r="DR10" s="57" t="str">
        <f>IF(ISNA(VLOOKUP(DP10,'ODBC Data'!$B$1:$J$500,4,0)),"",VLOOKUP(DP10,'ODBC Data'!$B$1:$J$500,4,0))</f>
        <v/>
      </c>
      <c r="DS10" t="str">
        <f>IF(ISNA(VLOOKUP(DP10,'ODBC Data'!$B$1:$J$500,5,0)),"",VLOOKUP(DP10,'ODBC Data'!$B$1:$J$500,5,0))</f>
        <v/>
      </c>
      <c r="DU10" s="19" t="str">
        <f>IF('ODBC Data'!$I$19&gt;6,'ODBC Data'!$H$19,"")</f>
        <v/>
      </c>
      <c r="DV10" s="19" t="str">
        <f>IF('ODBC Data'!$I$19&gt;6,7,"")</f>
        <v/>
      </c>
      <c r="DW10" s="17" t="str">
        <f t="shared" si="15"/>
        <v/>
      </c>
      <c r="DX10" t="str">
        <f>IF(ISNA(VLOOKUP(DW10,'ODBC Data'!$B$1:$J$500,3,0)),"",VLOOKUP(DW10,'ODBC Data'!$B$1:$J$500,3,0))</f>
        <v/>
      </c>
      <c r="DY10" s="57" t="str">
        <f>IF(ISNA(VLOOKUP(DW10,'ODBC Data'!$B$1:$J$500,4,0)),"",VLOOKUP(DW10,'ODBC Data'!$B$1:$J$500,4,0))</f>
        <v/>
      </c>
      <c r="DZ10" t="str">
        <f>IF(ISNA(VLOOKUP(DW10,'ODBC Data'!$B$1:$J$500,5,0)),"",VLOOKUP(DW10,'ODBC Data'!$B$1:$J$500,5,0))</f>
        <v/>
      </c>
      <c r="EB10" s="19" t="str">
        <f>IF('ODBC Data'!$I$20&gt;6,'ODBC Data'!$H$20,"")</f>
        <v/>
      </c>
      <c r="EC10" s="19" t="str">
        <f>IF('ODBC Data'!$I$20&gt;6,7,"")</f>
        <v/>
      </c>
      <c r="ED10" s="17" t="str">
        <f t="shared" si="16"/>
        <v/>
      </c>
      <c r="EE10" s="57" t="str">
        <f>IF(ISNA(VLOOKUP(ED10,'ODBC Data'!$B$1:$J$500,3,0)),"",VLOOKUP(ED10,'ODBC Data'!$B$1:$J$500,3,0))</f>
        <v/>
      </c>
      <c r="EF10" s="57" t="str">
        <f>IF(ISNA(VLOOKUP(ED10,'ODBC Data'!$B$1:$J$500,4,0)),"",VLOOKUP(ED10,'ODBC Data'!$B$1:$J$500,4,0))</f>
        <v/>
      </c>
      <c r="EG10" s="57" t="str">
        <f>IF(ISNA(VLOOKUP(ED10,'ODBC Data'!$B$1:$J$500,5,0)),"",VLOOKUP(ED10,'ODBC Data'!$B$1:$J$500,5,0))</f>
        <v/>
      </c>
      <c r="EI10" s="19" t="str">
        <f>IF('ODBC Data'!$I$21&gt;6,'ODBC Data'!$H$21,"")</f>
        <v/>
      </c>
      <c r="EJ10" s="19" t="str">
        <f>IF('ODBC Data'!$I$21&gt;6,7,"")</f>
        <v/>
      </c>
      <c r="EK10" s="17" t="str">
        <f t="shared" si="17"/>
        <v/>
      </c>
      <c r="EL10" t="str">
        <f>IF(ISNA(VLOOKUP(EK10,'ODBC Data'!$B$1:$J$500,3,0)),"",VLOOKUP(EK10,'ODBC Data'!$B$1:$J$500,3,0))</f>
        <v/>
      </c>
      <c r="EM10" s="57" t="str">
        <f>IF(ISNA(VLOOKUP(EK10,'ODBC Data'!$B$1:$J$500,4,0)),"",VLOOKUP(EK10,'ODBC Data'!$B$1:$J$500,4,0))</f>
        <v/>
      </c>
      <c r="EN10" t="str">
        <f>IF(ISNA(VLOOKUP(EK10,'ODBC Data'!$B$1:$J$500,5,0)),"",VLOOKUP(EK10,'ODBC Data'!$B$1:$J$500,5,0))</f>
        <v/>
      </c>
      <c r="EP10" s="19" t="str">
        <f>IF('ODBC Data'!$I$22&gt;6,'ODBC Data'!$H$22,"")</f>
        <v/>
      </c>
      <c r="EQ10" s="19" t="str">
        <f>IF('ODBC Data'!$I$22&gt;6,7,"")</f>
        <v/>
      </c>
      <c r="ER10" s="17" t="str">
        <f t="shared" si="18"/>
        <v/>
      </c>
      <c r="ES10" t="str">
        <f>IF(ISNA(VLOOKUP(ER10,'ODBC Data'!$B$1:$J$500,3,0)),"",VLOOKUP(ER10,'ODBC Data'!$B$1:$J$500,3,0))</f>
        <v/>
      </c>
      <c r="ET10" s="57" t="str">
        <f>IF(ISNA(VLOOKUP(ER10,'ODBC Data'!$B$1:$J$500,4,0)),"",VLOOKUP(ER10,'ODBC Data'!$B$1:$J$500,4,0))</f>
        <v/>
      </c>
      <c r="EU10" t="str">
        <f>IF(ISNA(VLOOKUP(ER10,'ODBC Data'!$B$1:$J$500,5,0)),"",VLOOKUP(ER10,'ODBC Data'!$B$1:$J$500,5,0))</f>
        <v/>
      </c>
      <c r="EW10" s="19" t="str">
        <f>IF('ODBC Data'!$I$23&gt;6,'ODBC Data'!$H$23,"")</f>
        <v/>
      </c>
      <c r="EX10" s="19" t="str">
        <f>IF('ODBC Data'!$I$23&gt;6,7,"")</f>
        <v/>
      </c>
      <c r="EY10" s="17" t="str">
        <f t="shared" si="19"/>
        <v/>
      </c>
      <c r="EZ10" t="str">
        <f>IF(ISNA(VLOOKUP(EY10,'ODBC Data'!$B$1:$J$500,3,0)),"",VLOOKUP(EY10,'ODBC Data'!$B$1:$J$500,3,0))</f>
        <v/>
      </c>
      <c r="FA10" s="57" t="str">
        <f>IF(ISNA(VLOOKUP(EY10,'ODBC Data'!$B$1:$J$500,4,0)),"",VLOOKUP(EY10,'ODBC Data'!$B$1:$J$500,4,0))</f>
        <v/>
      </c>
      <c r="FB10" t="str">
        <f>IF(ISNA(VLOOKUP(EY10,'ODBC Data'!$B$1:$J$500,5,0)),"",VLOOKUP(EY10,'ODBC Data'!$B$1:$J$500,5,0))</f>
        <v/>
      </c>
      <c r="FD10" s="19" t="str">
        <f>IF('ODBC Data'!$I$24&gt;6,'ODBC Data'!$H$24,"")</f>
        <v/>
      </c>
      <c r="FE10" s="19" t="str">
        <f>IF('ODBC Data'!$I$24&gt;6,7,"")</f>
        <v/>
      </c>
      <c r="FF10" s="17" t="str">
        <f t="shared" si="20"/>
        <v/>
      </c>
      <c r="FG10" t="str">
        <f>IF(ISNA(VLOOKUP(FF10,'ODBC Data'!$B$1:$J$500,3,0)),"",VLOOKUP(FF10,'ODBC Data'!$B$1:$J$500,3,0))</f>
        <v/>
      </c>
      <c r="FH10" s="57" t="str">
        <f>IF(ISNA(VLOOKUP(FF10,'ODBC Data'!$B$1:$J$500,4,0)),"",VLOOKUP(FF10,'ODBC Data'!$B$1:$J$500,4,0))</f>
        <v/>
      </c>
      <c r="FI10" t="str">
        <f>IF(ISNA(VLOOKUP(FF10,'ODBC Data'!$B$1:$J$500,5,0)),"",VLOOKUP(FF10,'ODBC Data'!$B$1:$J$500,5,0))</f>
        <v/>
      </c>
      <c r="FK10" s="19" t="str">
        <f>IF('ODBC Data'!$I$25&gt;6,'ODBC Data'!$H$25,"")</f>
        <v/>
      </c>
      <c r="FL10" s="19" t="str">
        <f>IF('ODBC Data'!$I$25&gt;6,7,"")</f>
        <v/>
      </c>
      <c r="FM10" s="17" t="str">
        <f t="shared" si="21"/>
        <v/>
      </c>
      <c r="FN10" t="str">
        <f>IF(ISNA(VLOOKUP(FM10,'ODBC Data'!$B$1:$J$500,3,0)),"",VLOOKUP(FM10,'ODBC Data'!$B$1:$J$500,3,0))</f>
        <v/>
      </c>
      <c r="FO10" s="57" t="str">
        <f>IF(ISNA(VLOOKUP(FM10,'ODBC Data'!$B$1:$J$500,4,0)),"",VLOOKUP(FM10,'ODBC Data'!$B$1:$J$500,4,0))</f>
        <v/>
      </c>
      <c r="FP10" t="str">
        <f>IF(ISNA(VLOOKUP(FM10,'ODBC Data'!$B$1:$J$500,5,0)),"",VLOOKUP(FM10,'ODBC Data'!$B$1:$J$500,5,0))</f>
        <v/>
      </c>
      <c r="FR10" s="19" t="str">
        <f>IF('ODBC Data'!$I$26&gt;6,'ODBC Data'!$H$26,"")</f>
        <v/>
      </c>
      <c r="FS10" s="19" t="str">
        <f>IF('ODBC Data'!$I$26&gt;6,7,"")</f>
        <v/>
      </c>
      <c r="FT10" s="17" t="str">
        <f t="shared" si="22"/>
        <v/>
      </c>
      <c r="FU10" s="57" t="str">
        <f>IF(ISNA(VLOOKUP(FT10,'ODBC Data'!$B$1:$J$500,3,0)),"",VLOOKUP(FT10,'ODBC Data'!$B$1:$J$500,3,0))</f>
        <v/>
      </c>
      <c r="FV10" s="57" t="str">
        <f>IF(ISNA(VLOOKUP(FT10,'ODBC Data'!$B$1:$J$500,4,0)),"",VLOOKUP(FT10,'ODBC Data'!$B$1:$J$500,4,0))</f>
        <v/>
      </c>
      <c r="FW10" s="57" t="str">
        <f>IF(ISNA(VLOOKUP(FT10,'ODBC Data'!$B$1:$J$500,5,0)),"",VLOOKUP(FT10,'ODBC Data'!$B$1:$J$500,5,0))</f>
        <v/>
      </c>
      <c r="FY10" s="19" t="str">
        <f>IF('ODBC Data'!$I$27&gt;6,'ODBC Data'!$H$27,"")</f>
        <v/>
      </c>
      <c r="FZ10" s="19" t="str">
        <f>IF('ODBC Data'!$I$27&gt;6,7,"")</f>
        <v/>
      </c>
      <c r="GA10" s="17" t="str">
        <f t="shared" si="23"/>
        <v/>
      </c>
      <c r="GB10" s="57" t="str">
        <f>IF(ISNA(VLOOKUP(GA10,'ODBC Data'!$B$1:$J$500,3,0)),"",VLOOKUP(GA10,'ODBC Data'!$B$1:$J$500,3,0))</f>
        <v/>
      </c>
      <c r="GC10" s="57" t="str">
        <f>IF(ISNA(VLOOKUP(GA10,'ODBC Data'!$B$1:$J$500,4,0)),"",VLOOKUP(GA10,'ODBC Data'!$B$1:$J$500,4,0))</f>
        <v/>
      </c>
      <c r="GD10" s="57" t="str">
        <f>IF(ISNA(VLOOKUP(GA10,'ODBC Data'!$B$1:$J$500,5,0)),"",VLOOKUP(GA10,'ODBC Data'!$B$1:$J$500,5,0))</f>
        <v/>
      </c>
    </row>
    <row r="11" spans="1:186">
      <c r="A11" s="19" t="str">
        <f>IF('ODBC Data'!$I$1&gt;7,'ODBC Data'!$H$1,"")</f>
        <v/>
      </c>
      <c r="B11" s="19" t="str">
        <f>IF('ODBC Data'!$I$1&gt;7,8,"")</f>
        <v/>
      </c>
      <c r="C11" s="17" t="str">
        <f t="shared" si="27"/>
        <v/>
      </c>
      <c r="D11" t="str">
        <f>IF(ISNA(VLOOKUP(C11,'ODBC Data'!$B$1:$J$500,3,0)),"",VLOOKUP(C11,'ODBC Data'!$B$1:$J$500,3,0))</f>
        <v/>
      </c>
      <c r="E11" t="str">
        <f>IF(ISNA(VLOOKUP(C11,'ODBC Data'!$B$1:$J$500,5,0)),"",VLOOKUP(C11,'ODBC Data'!$B$1:$J$500,5,0))</f>
        <v/>
      </c>
      <c r="F11" t="str">
        <f t="shared" ref="F11:F33" si="28">IFERROR(INDEX($D$4:$D$33,SMALL(IF(ISTEXT($D$4:$D$33),ROW($D$3:$D$32),""),ROW(D10))),"")</f>
        <v/>
      </c>
      <c r="G11" s="19" t="str">
        <f>IF('ODBC Data'!$I$2&gt;7,'ODBC Data'!$H$2,"")</f>
        <v/>
      </c>
      <c r="H11" s="19" t="str">
        <f>IF('ODBC Data'!$I$2&gt;7,8,"")</f>
        <v/>
      </c>
      <c r="I11" s="17" t="str">
        <f t="shared" si="24"/>
        <v/>
      </c>
      <c r="J11" t="str">
        <f>IF(ISNA(VLOOKUP(I11,'ODBC Data'!$B$1:$J$500,3,0)),"",VLOOKUP(I11,'ODBC Data'!$B$1:$J$500,3,0))</f>
        <v/>
      </c>
      <c r="K11" t="str">
        <f>IF(ISNA(VLOOKUP(I11,'ODBC Data'!$B$1:$J$500,5,0)),"",VLOOKUP(I11,'ODBC Data'!$B$1:$J$500,5,0))</f>
        <v/>
      </c>
      <c r="M11" s="19" t="str">
        <f>IF('ODBC Data'!$I$3&gt;7,'ODBC Data'!$H$3,"")</f>
        <v/>
      </c>
      <c r="N11" s="19" t="str">
        <f>IF('ODBC Data'!$I$3&gt;7,8,"")</f>
        <v/>
      </c>
      <c r="O11" s="17" t="str">
        <f t="shared" si="25"/>
        <v/>
      </c>
      <c r="P11" t="str">
        <f>IF(ISNA(VLOOKUP(O11,'ODBC Data'!$B$1:$J$500,3,0)),"",VLOOKUP(O11,'ODBC Data'!$B$1:$J$500,3,0))</f>
        <v/>
      </c>
      <c r="Q11" t="str">
        <f>IF(ISNA(VLOOKUP(O11,'ODBC Data'!$B$1:$J$500,5,0)),"",VLOOKUP(O11,'ODBC Data'!$B$1:$J$500,4,0))</f>
        <v/>
      </c>
      <c r="S11" s="19" t="str">
        <f>IF('ODBC Data'!$I$3&gt;7,'ODBC Data'!$H$3,"")</f>
        <v/>
      </c>
      <c r="T11" s="19" t="str">
        <f>IF('ODBC Data'!$I$3&gt;7,8,"")</f>
        <v/>
      </c>
      <c r="U11" s="17" t="str">
        <f t="shared" si="26"/>
        <v/>
      </c>
      <c r="V11" t="str">
        <f>IF(ISNA(VLOOKUP(U11,'ODBC Data'!$B$1:$J$500,3,0)),"",VLOOKUP(U11,'ODBC Data'!$B$1:$J$500,3,0))</f>
        <v/>
      </c>
      <c r="W11" t="str">
        <f>IF(ISNA(VLOOKUP(U11,'ODBC Data'!$B$1:$J$500,5,0)),"",VLOOKUP(U11,'ODBC Data'!$B$1:$J$500,5,0))</f>
        <v/>
      </c>
      <c r="Y11" s="19" t="str">
        <f>IF('ODBC Data'!$I$4&gt;7,'ODBC Data'!$H$4,"")</f>
        <v/>
      </c>
      <c r="Z11" s="19" t="str">
        <f>IF('ODBC Data'!$I$4&gt;7,8,"")</f>
        <v/>
      </c>
      <c r="AA11" s="17" t="str">
        <f t="shared" si="0"/>
        <v/>
      </c>
      <c r="AB11" s="57" t="str">
        <f>IF(ISNA(VLOOKUP(AA11,'ODBC Data'!$B$1:$J$500,3,0)),"",VLOOKUP(AA11,'ODBC Data'!$B$1:$J$500,3,0))</f>
        <v/>
      </c>
      <c r="AC11" s="57" t="str">
        <f>IF(ISNA(VLOOKUP(AA11,'ODBC Data'!$B$1:$J$500,5,0)),"",VLOOKUP(AA11,'ODBC Data'!$B$1:$J$500,5,0))</f>
        <v/>
      </c>
      <c r="AE11" s="19" t="str">
        <f>IF('ODBC Data'!$I$5&gt;7,'ODBC Data'!$H$5,"")</f>
        <v/>
      </c>
      <c r="AF11" s="19" t="str">
        <f>IF('ODBC Data'!$I$5&gt;7,8,"")</f>
        <v/>
      </c>
      <c r="AG11" s="17" t="str">
        <f t="shared" si="1"/>
        <v/>
      </c>
      <c r="AH11" t="str">
        <f>IF(ISNA(VLOOKUP(AG11,'ODBC Data'!$B$1:$J$500,3,0)),"",VLOOKUP(AG11,'ODBC Data'!$B$1:$J$500,3,0))</f>
        <v/>
      </c>
      <c r="AI11" t="str">
        <f>IF(ISNA(VLOOKUP(AG11,'ODBC Data'!$B$1:$J$500,5,0)),"",VLOOKUP(AG11,'ODBC Data'!$B$1:$J$500,5,0))</f>
        <v/>
      </c>
      <c r="AK11" s="19" t="str">
        <f>IF('ODBC Data'!$I$6&gt;7,'ODBC Data'!$H$6,"")</f>
        <v>Indirect Expenses</v>
      </c>
      <c r="AL11" s="19">
        <f>IF('ODBC Data'!$I$6&gt;7,8,"")</f>
        <v>8</v>
      </c>
      <c r="AM11" s="17" t="str">
        <f t="shared" si="2"/>
        <v>Indirect Expenses8</v>
      </c>
      <c r="AN11" t="str">
        <f>IF(ISNA(VLOOKUP(AM11,'ODBC Data'!$B$1:$J$500,3,0)),"",VLOOKUP(AM11,'ODBC Data'!$B$1:$J$500,3,0))</f>
        <v>Stationery</v>
      </c>
      <c r="AO11">
        <f>IF(ISNA(VLOOKUP(AM11,'ODBC Data'!$B$1:$J$500,5,0)),"",VLOOKUP(AM11,'ODBC Data'!$B$1:$J$500,5,0))</f>
        <v>0</v>
      </c>
      <c r="AQ11" s="19" t="str">
        <f>IF('ODBC Data'!$I$7&gt;7,'ODBC Data'!$H$7,"")</f>
        <v/>
      </c>
      <c r="AR11" s="19" t="str">
        <f>IF('ODBC Data'!$I$7&gt;7,8,"")</f>
        <v/>
      </c>
      <c r="AS11" s="17" t="str">
        <f t="shared" si="3"/>
        <v/>
      </c>
      <c r="AT11" t="str">
        <f>IF(ISNA(VLOOKUP(AS11,'ODBC Data'!$B$1:$J$500,3,0)),"",VLOOKUP(AS11,'ODBC Data'!$B$1:$J$500,3,0))</f>
        <v/>
      </c>
      <c r="AU11" t="str">
        <f>IF(ISNA(VLOOKUP(AS11,'ODBC Data'!$B$1:$J$500,5,0)),"",VLOOKUP(AS11,'ODBC Data'!$B$1:$J$500,5,0))</f>
        <v/>
      </c>
      <c r="AW11" s="19" t="str">
        <f>IF('ODBC Data'!$I$8&gt;7,'ODBC Data'!$H$8,"")</f>
        <v/>
      </c>
      <c r="AX11" s="19" t="str">
        <f>IF('ODBC Data'!$I$8&gt;7,8,"")</f>
        <v/>
      </c>
      <c r="AY11" s="17" t="str">
        <f t="shared" si="4"/>
        <v/>
      </c>
      <c r="AZ11" t="str">
        <f>IF(ISNA(VLOOKUP(AY11,'ODBC Data'!$B$1:$J$500,3,0)),"",VLOOKUP(AY11,'ODBC Data'!$B$1:$J$500,3,0))</f>
        <v/>
      </c>
      <c r="BA11" t="str">
        <f>IF(ISNA(VLOOKUP(AY11,'ODBC Data'!$B$1:$J$500,5,0)),"",VLOOKUP(AY11,'ODBC Data'!$B$1:$J$500,5,0))</f>
        <v/>
      </c>
      <c r="BC11" s="19" t="str">
        <f>IF('ODBC Data'!$I$9&gt;7,'ODBC Data'!$H$9,"")</f>
        <v/>
      </c>
      <c r="BD11" s="19" t="str">
        <f>IF('ODBC Data'!$I$9&gt;7,8,"")</f>
        <v/>
      </c>
      <c r="BE11" s="17" t="str">
        <f t="shared" si="5"/>
        <v/>
      </c>
      <c r="BF11" t="str">
        <f>IF(ISNA(VLOOKUP(BE11,'ODBC Data'!$B$1:$J$500,3,0)),"",VLOOKUP(BE11,'ODBC Data'!$B$1:$J$500,3,0))</f>
        <v/>
      </c>
      <c r="BG11" s="57" t="str">
        <f>IF(ISNA(VLOOKUP(BE11,'ODBC Data'!$B$1:$J$500,4,0)),"",VLOOKUP(BE11,'ODBC Data'!$B$1:$J$500,4,0))</f>
        <v/>
      </c>
      <c r="BH11" t="str">
        <f>IF(ISNA(VLOOKUP(BE11,'ODBC Data'!$B$1:$J$500,5,0)),"",VLOOKUP(BE11,'ODBC Data'!$B$1:$J$500,5,0))</f>
        <v/>
      </c>
      <c r="BJ11" s="19" t="str">
        <f>IF('ODBC Data'!$I$10&gt;7,'ODBC Data'!$H$10,"")</f>
        <v/>
      </c>
      <c r="BK11" s="19" t="str">
        <f>IF('ODBC Data'!$I$10&gt;7,8,"")</f>
        <v/>
      </c>
      <c r="BL11" s="17" t="str">
        <f t="shared" si="6"/>
        <v/>
      </c>
      <c r="BM11" t="str">
        <f>IF(ISNA(VLOOKUP(BL11,'ODBC Data'!$B$1:$J$500,3,0)),"",VLOOKUP(BL11,'ODBC Data'!$B$1:$J$500,3,0))</f>
        <v/>
      </c>
      <c r="BN11" s="57" t="str">
        <f>IF(ISNA(VLOOKUP(BL11,'ODBC Data'!$B$1:$J$500,4,0)),"",VLOOKUP(BL11,'ODBC Data'!$B$1:$J$500,4,0))</f>
        <v/>
      </c>
      <c r="BO11" t="str">
        <f>IF(ISNA(VLOOKUP(BL11,'ODBC Data'!$B$1:$J$500,5,0)),"",VLOOKUP(BL11,'ODBC Data'!$B$1:$J$500,5,0))</f>
        <v/>
      </c>
      <c r="BQ11" s="19" t="str">
        <f>IF('ODBC Data'!$I$11&gt;7,'ODBC Data'!$H$11,"")</f>
        <v/>
      </c>
      <c r="BR11" s="19" t="str">
        <f>IF('ODBC Data'!$I$11&gt;7,8,"")</f>
        <v/>
      </c>
      <c r="BS11" s="17" t="str">
        <f t="shared" si="7"/>
        <v/>
      </c>
      <c r="BT11" t="str">
        <f>IF(ISNA(VLOOKUP(BS11,'ODBC Data'!$B$1:$J$500,3,0)),"",VLOOKUP(BS11,'ODBC Data'!$B$1:$J$500,3,0))</f>
        <v/>
      </c>
      <c r="BU11" s="57" t="str">
        <f>IF(ISNA(VLOOKUP(BS11,'ODBC Data'!$B$1:$J$500,4,0)),"",VLOOKUP(BS11,'ODBC Data'!$B$1:$J$500,4,0))</f>
        <v/>
      </c>
      <c r="BV11" t="str">
        <f>IF(ISNA(VLOOKUP(BS11,'ODBC Data'!$B$1:$J$500,5,0)),"",VLOOKUP(BS11,'ODBC Data'!$B$1:$J$500,5,0))</f>
        <v/>
      </c>
      <c r="BX11" s="19" t="str">
        <f>IF('ODBC Data'!$I$12&gt;7,'ODBC Data'!$H$12,"")</f>
        <v/>
      </c>
      <c r="BY11" s="19" t="str">
        <f>IF('ODBC Data'!$I$12&gt;7,8,"")</f>
        <v/>
      </c>
      <c r="BZ11" s="17" t="str">
        <f t="shared" si="8"/>
        <v/>
      </c>
      <c r="CA11" t="str">
        <f>IF(ISNA(VLOOKUP(BZ11,'ODBC Data'!$B$1:$J$500,3,0)),"",VLOOKUP(BZ11,'ODBC Data'!$B$1:$J$500,3,0))</f>
        <v/>
      </c>
      <c r="CB11" s="57" t="str">
        <f>IF(ISNA(VLOOKUP(BZ11,'ODBC Data'!$B$1:$J$500,4,0)),"",VLOOKUP(BZ11,'ODBC Data'!$B$1:$J$500,4,0))</f>
        <v/>
      </c>
      <c r="CC11" t="str">
        <f>IF(ISNA(VLOOKUP(BZ11,'ODBC Data'!$B$1:$J$500,5,0)),"",VLOOKUP(BZ11,'ODBC Data'!$B$1:$J$500,5,0))</f>
        <v/>
      </c>
      <c r="CE11" s="19" t="str">
        <f>IF('ODBC Data'!$I$13&gt;7,'ODBC Data'!$H$13,"")</f>
        <v/>
      </c>
      <c r="CF11" s="19" t="str">
        <f>IF('ODBC Data'!$I$13&gt;7,8,"")</f>
        <v/>
      </c>
      <c r="CG11" s="17" t="str">
        <f t="shared" si="9"/>
        <v/>
      </c>
      <c r="CH11" t="str">
        <f>IF(ISNA(VLOOKUP(CG11,'ODBC Data'!$B$1:$J$500,3,0)),"",VLOOKUP(CG11,'ODBC Data'!$B$1:$J$500,3,0))</f>
        <v/>
      </c>
      <c r="CI11" s="57" t="str">
        <f>IF(ISNA(VLOOKUP(CG11,'ODBC Data'!$B$1:$J$500,4,0)),"",VLOOKUP(CG11,'ODBC Data'!$B$1:$J$500,4,0))</f>
        <v/>
      </c>
      <c r="CJ11" t="str">
        <f>IF(ISNA(VLOOKUP(CG11,'ODBC Data'!$B$1:$J$500,5,0)),"",VLOOKUP(CG11,'ODBC Data'!$B$1:$J$500,5,0))</f>
        <v/>
      </c>
      <c r="CL11" s="19" t="str">
        <f>IF('ODBC Data'!$I$14&gt;7,'ODBC Data'!$H$14,"")</f>
        <v/>
      </c>
      <c r="CM11" s="19" t="str">
        <f>IF('ODBC Data'!$I$14&gt;7,8,"")</f>
        <v/>
      </c>
      <c r="CN11" s="17" t="str">
        <f t="shared" si="10"/>
        <v/>
      </c>
      <c r="CO11" s="57" t="str">
        <f>IF(ISNA(VLOOKUP(CN11,'ODBC Data'!$B$1:$J$500,3,0)),"",VLOOKUP(CN11,'ODBC Data'!$B$1:$J$500,3,0))</f>
        <v/>
      </c>
      <c r="CP11" s="57" t="str">
        <f>IF(ISNA(VLOOKUP(CN11,'ODBC Data'!$B$1:$J$500,4,0)),"",VLOOKUP(CN11,'ODBC Data'!$B$1:$J$500,4,0))</f>
        <v/>
      </c>
      <c r="CQ11" s="57" t="str">
        <f>IF(ISNA(VLOOKUP(CN11,'ODBC Data'!$B$1:$J$500,5,0)),"",VLOOKUP(CN11,'ODBC Data'!$B$1:$J$500,5,0))</f>
        <v/>
      </c>
      <c r="CS11" s="19" t="str">
        <f>IF('ODBC Data'!$I$15&gt;7,'ODBC Data'!$H$15,"")</f>
        <v/>
      </c>
      <c r="CT11" s="19" t="str">
        <f>IF('ODBC Data'!$I$15&gt;7,8,"")</f>
        <v/>
      </c>
      <c r="CU11" s="17" t="str">
        <f t="shared" si="11"/>
        <v/>
      </c>
      <c r="CV11" t="str">
        <f>IF(ISNA(VLOOKUP(CU11,'ODBC Data'!$B$1:$J$500,3,0)),"",VLOOKUP(CU11,'ODBC Data'!$B$1:$J$500,3,0))</f>
        <v/>
      </c>
      <c r="CW11" s="57" t="str">
        <f>IF(ISNA(VLOOKUP(CU11,'ODBC Data'!$B$1:$J$500,4,0)),"",VLOOKUP(CU11,'ODBC Data'!$B$1:$J$500,4,0))</f>
        <v/>
      </c>
      <c r="CX11" t="str">
        <f>IF(ISNA(VLOOKUP(CU11,'ODBC Data'!$B$1:$J$500,5,0)),"",VLOOKUP(CU11,'ODBC Data'!$B$1:$J$500,5,0))</f>
        <v/>
      </c>
      <c r="CZ11" s="19" t="str">
        <f>IF('ODBC Data'!$I$16&gt;7,'ODBC Data'!$H$16,"")</f>
        <v/>
      </c>
      <c r="DA11" s="19" t="str">
        <f>IF('ODBC Data'!$I$16&gt;7,8,"")</f>
        <v/>
      </c>
      <c r="DB11" s="17" t="str">
        <f t="shared" si="12"/>
        <v/>
      </c>
      <c r="DC11" t="str">
        <f>IF(ISNA(VLOOKUP(DB11,'ODBC Data'!$B$1:$J$500,3,0)),"",VLOOKUP(DB11,'ODBC Data'!$B$1:$J$500,3,0))</f>
        <v/>
      </c>
      <c r="DD11" s="57" t="str">
        <f>IF(ISNA(VLOOKUP(DB11,'ODBC Data'!$B$1:$J$500,4,0)),"",VLOOKUP(DB11,'ODBC Data'!$B$1:$J$500,4,0))</f>
        <v/>
      </c>
      <c r="DE11" t="str">
        <f>IF(ISNA(VLOOKUP(DB11,'ODBC Data'!$B$1:$J$500,5,0)),"",VLOOKUP(DB11,'ODBC Data'!$B$1:$J$500,5,0))</f>
        <v/>
      </c>
      <c r="DG11" s="19" t="str">
        <f>IF('ODBC Data'!$I$17&gt;7,'ODBC Data'!$H$17,"")</f>
        <v/>
      </c>
      <c r="DH11" s="19" t="str">
        <f>IF('ODBC Data'!$I$17&gt;7,8,"")</f>
        <v/>
      </c>
      <c r="DI11" s="17" t="str">
        <f t="shared" si="13"/>
        <v/>
      </c>
      <c r="DJ11" t="str">
        <f>IF(ISNA(VLOOKUP(DI11,'ODBC Data'!$B$1:$J$500,3,0)),"",VLOOKUP(DI11,'ODBC Data'!$B$1:$J$500,3,0))</f>
        <v/>
      </c>
      <c r="DK11" s="57" t="str">
        <f>IF(ISNA(VLOOKUP(DI11,'ODBC Data'!$B$1:$J$500,4,0)),"",VLOOKUP(DI11,'ODBC Data'!$B$1:$J$500,4,0))</f>
        <v/>
      </c>
      <c r="DL11" t="str">
        <f>IF(ISNA(VLOOKUP(DI11,'ODBC Data'!$B$1:$J$500,5,0)),"",VLOOKUP(DI11,'ODBC Data'!$B$1:$J$500,5,0))</f>
        <v/>
      </c>
      <c r="DN11" s="19" t="str">
        <f>IF('ODBC Data'!$I$18&gt;7,'ODBC Data'!$H$18,"")</f>
        <v/>
      </c>
      <c r="DO11" s="19" t="str">
        <f>IF('ODBC Data'!$I$18&gt;7,8,"")</f>
        <v/>
      </c>
      <c r="DP11" s="17" t="str">
        <f t="shared" si="14"/>
        <v/>
      </c>
      <c r="DQ11" t="str">
        <f>IF(ISNA(VLOOKUP(DP11,'ODBC Data'!$B$1:$J$500,3,0)),"",VLOOKUP(DP11,'ODBC Data'!$B$1:$J$500,3,0))</f>
        <v/>
      </c>
      <c r="DR11" s="57" t="str">
        <f>IF(ISNA(VLOOKUP(DP11,'ODBC Data'!$B$1:$J$500,4,0)),"",VLOOKUP(DP11,'ODBC Data'!$B$1:$J$500,4,0))</f>
        <v/>
      </c>
      <c r="DS11" t="str">
        <f>IF(ISNA(VLOOKUP(DP11,'ODBC Data'!$B$1:$J$500,5,0)),"",VLOOKUP(DP11,'ODBC Data'!$B$1:$J$500,5,0))</f>
        <v/>
      </c>
      <c r="DU11" s="19" t="str">
        <f>IF('ODBC Data'!$I$19&gt;7,'ODBC Data'!$H$19,"")</f>
        <v/>
      </c>
      <c r="DV11" s="19" t="str">
        <f>IF('ODBC Data'!$I$19&gt;7,8,"")</f>
        <v/>
      </c>
      <c r="DW11" s="17" t="str">
        <f t="shared" si="15"/>
        <v/>
      </c>
      <c r="DX11" t="str">
        <f>IF(ISNA(VLOOKUP(DW11,'ODBC Data'!$B$1:$J$500,3,0)),"",VLOOKUP(DW11,'ODBC Data'!$B$1:$J$500,3,0))</f>
        <v/>
      </c>
      <c r="DY11" s="57" t="str">
        <f>IF(ISNA(VLOOKUP(DW11,'ODBC Data'!$B$1:$J$500,4,0)),"",VLOOKUP(DW11,'ODBC Data'!$B$1:$J$500,4,0))</f>
        <v/>
      </c>
      <c r="DZ11" t="str">
        <f>IF(ISNA(VLOOKUP(DW11,'ODBC Data'!$B$1:$J$500,5,0)),"",VLOOKUP(DW11,'ODBC Data'!$B$1:$J$500,5,0))</f>
        <v/>
      </c>
      <c r="EB11" s="19" t="str">
        <f>IF('ODBC Data'!$I$20&gt;7,'ODBC Data'!$H$20,"")</f>
        <v/>
      </c>
      <c r="EC11" s="19" t="str">
        <f>IF('ODBC Data'!$I$20&gt;7,8,"")</f>
        <v/>
      </c>
      <c r="ED11" s="17" t="str">
        <f t="shared" si="16"/>
        <v/>
      </c>
      <c r="EE11" s="57" t="str">
        <f>IF(ISNA(VLOOKUP(ED11,'ODBC Data'!$B$1:$J$500,3,0)),"",VLOOKUP(ED11,'ODBC Data'!$B$1:$J$500,3,0))</f>
        <v/>
      </c>
      <c r="EF11" s="57" t="str">
        <f>IF(ISNA(VLOOKUP(ED11,'ODBC Data'!$B$1:$J$500,4,0)),"",VLOOKUP(ED11,'ODBC Data'!$B$1:$J$500,4,0))</f>
        <v/>
      </c>
      <c r="EG11" s="57" t="str">
        <f>IF(ISNA(VLOOKUP(ED11,'ODBC Data'!$B$1:$J$500,5,0)),"",VLOOKUP(ED11,'ODBC Data'!$B$1:$J$500,5,0))</f>
        <v/>
      </c>
      <c r="EI11" s="19" t="str">
        <f>IF('ODBC Data'!$I$21&gt;7,'ODBC Data'!$H$21,"")</f>
        <v/>
      </c>
      <c r="EJ11" s="19" t="str">
        <f>IF('ODBC Data'!$I$21&gt;7,8,"")</f>
        <v/>
      </c>
      <c r="EK11" s="17" t="str">
        <f t="shared" si="17"/>
        <v/>
      </c>
      <c r="EL11" t="str">
        <f>IF(ISNA(VLOOKUP(EK11,'ODBC Data'!$B$1:$J$500,3,0)),"",VLOOKUP(EK11,'ODBC Data'!$B$1:$J$500,3,0))</f>
        <v/>
      </c>
      <c r="EM11" s="57" t="str">
        <f>IF(ISNA(VLOOKUP(EK11,'ODBC Data'!$B$1:$J$500,4,0)),"",VLOOKUP(EK11,'ODBC Data'!$B$1:$J$500,4,0))</f>
        <v/>
      </c>
      <c r="EN11" t="str">
        <f>IF(ISNA(VLOOKUP(EK11,'ODBC Data'!$B$1:$J$500,5,0)),"",VLOOKUP(EK11,'ODBC Data'!$B$1:$J$500,5,0))</f>
        <v/>
      </c>
      <c r="EP11" s="19" t="str">
        <f>IF('ODBC Data'!$I$22&gt;7,'ODBC Data'!$H$22,"")</f>
        <v/>
      </c>
      <c r="EQ11" s="19" t="str">
        <f>IF('ODBC Data'!$I$22&gt;7,8,"")</f>
        <v/>
      </c>
      <c r="ER11" s="17" t="str">
        <f t="shared" si="18"/>
        <v/>
      </c>
      <c r="ES11" t="str">
        <f>IF(ISNA(VLOOKUP(ER11,'ODBC Data'!$B$1:$J$500,3,0)),"",VLOOKUP(ER11,'ODBC Data'!$B$1:$J$500,3,0))</f>
        <v/>
      </c>
      <c r="ET11" s="57" t="str">
        <f>IF(ISNA(VLOOKUP(ER11,'ODBC Data'!$B$1:$J$500,4,0)),"",VLOOKUP(ER11,'ODBC Data'!$B$1:$J$500,4,0))</f>
        <v/>
      </c>
      <c r="EU11" t="str">
        <f>IF(ISNA(VLOOKUP(ER11,'ODBC Data'!$B$1:$J$500,5,0)),"",VLOOKUP(ER11,'ODBC Data'!$B$1:$J$500,5,0))</f>
        <v/>
      </c>
      <c r="EW11" s="19" t="str">
        <f>IF('ODBC Data'!$I$23&gt;7,'ODBC Data'!$H$23,"")</f>
        <v/>
      </c>
      <c r="EX11" s="19" t="str">
        <f>IF('ODBC Data'!$I$23&gt;7,8,"")</f>
        <v/>
      </c>
      <c r="EY11" s="17" t="str">
        <f t="shared" si="19"/>
        <v/>
      </c>
      <c r="EZ11" t="str">
        <f>IF(ISNA(VLOOKUP(EY11,'ODBC Data'!$B$1:$J$500,3,0)),"",VLOOKUP(EY11,'ODBC Data'!$B$1:$J$500,3,0))</f>
        <v/>
      </c>
      <c r="FA11" s="57" t="str">
        <f>IF(ISNA(VLOOKUP(EY11,'ODBC Data'!$B$1:$J$500,4,0)),"",VLOOKUP(EY11,'ODBC Data'!$B$1:$J$500,4,0))</f>
        <v/>
      </c>
      <c r="FB11" t="str">
        <f>IF(ISNA(VLOOKUP(EY11,'ODBC Data'!$B$1:$J$500,5,0)),"",VLOOKUP(EY11,'ODBC Data'!$B$1:$J$500,5,0))</f>
        <v/>
      </c>
      <c r="FD11" s="19" t="str">
        <f>IF('ODBC Data'!$I$24&gt;7,'ODBC Data'!$H$24,"")</f>
        <v/>
      </c>
      <c r="FE11" s="19" t="str">
        <f>IF('ODBC Data'!$I$24&gt;7,8,"")</f>
        <v/>
      </c>
      <c r="FF11" s="17" t="str">
        <f t="shared" si="20"/>
        <v/>
      </c>
      <c r="FG11" t="str">
        <f>IF(ISNA(VLOOKUP(FF11,'ODBC Data'!$B$1:$J$500,3,0)),"",VLOOKUP(FF11,'ODBC Data'!$B$1:$J$500,3,0))</f>
        <v/>
      </c>
      <c r="FH11" s="57" t="str">
        <f>IF(ISNA(VLOOKUP(FF11,'ODBC Data'!$B$1:$J$500,4,0)),"",VLOOKUP(FF11,'ODBC Data'!$B$1:$J$500,4,0))</f>
        <v/>
      </c>
      <c r="FI11" t="str">
        <f>IF(ISNA(VLOOKUP(FF11,'ODBC Data'!$B$1:$J$500,5,0)),"",VLOOKUP(FF11,'ODBC Data'!$B$1:$J$500,5,0))</f>
        <v/>
      </c>
      <c r="FK11" s="19" t="str">
        <f>IF('ODBC Data'!$I$25&gt;7,'ODBC Data'!$H$25,"")</f>
        <v/>
      </c>
      <c r="FL11" s="19" t="str">
        <f>IF('ODBC Data'!$I$25&gt;7,8,"")</f>
        <v/>
      </c>
      <c r="FM11" s="17" t="str">
        <f t="shared" si="21"/>
        <v/>
      </c>
      <c r="FN11" t="str">
        <f>IF(ISNA(VLOOKUP(FM11,'ODBC Data'!$B$1:$J$500,3,0)),"",VLOOKUP(FM11,'ODBC Data'!$B$1:$J$500,3,0))</f>
        <v/>
      </c>
      <c r="FO11" s="57" t="str">
        <f>IF(ISNA(VLOOKUP(FM11,'ODBC Data'!$B$1:$J$500,4,0)),"",VLOOKUP(FM11,'ODBC Data'!$B$1:$J$500,4,0))</f>
        <v/>
      </c>
      <c r="FP11" t="str">
        <f>IF(ISNA(VLOOKUP(FM11,'ODBC Data'!$B$1:$J$500,5,0)),"",VLOOKUP(FM11,'ODBC Data'!$B$1:$J$500,5,0))</f>
        <v/>
      </c>
      <c r="FR11" s="19" t="str">
        <f>IF('ODBC Data'!$I$26&gt;7,'ODBC Data'!$H$26,"")</f>
        <v/>
      </c>
      <c r="FS11" s="19" t="str">
        <f>IF('ODBC Data'!$I$26&gt;7,8,"")</f>
        <v/>
      </c>
      <c r="FT11" s="17" t="str">
        <f t="shared" si="22"/>
        <v/>
      </c>
      <c r="FU11" s="57" t="str">
        <f>IF(ISNA(VLOOKUP(FT11,'ODBC Data'!$B$1:$J$500,3,0)),"",VLOOKUP(FT11,'ODBC Data'!$B$1:$J$500,3,0))</f>
        <v/>
      </c>
      <c r="FV11" s="57" t="str">
        <f>IF(ISNA(VLOOKUP(FT11,'ODBC Data'!$B$1:$J$500,4,0)),"",VLOOKUP(FT11,'ODBC Data'!$B$1:$J$500,4,0))</f>
        <v/>
      </c>
      <c r="FW11" s="57" t="str">
        <f>IF(ISNA(VLOOKUP(FT11,'ODBC Data'!$B$1:$J$500,5,0)),"",VLOOKUP(FT11,'ODBC Data'!$B$1:$J$500,5,0))</f>
        <v/>
      </c>
      <c r="FY11" s="19" t="str">
        <f>IF('ODBC Data'!$I$27&gt;7,'ODBC Data'!$H$27,"")</f>
        <v/>
      </c>
      <c r="FZ11" s="19" t="str">
        <f>IF('ODBC Data'!$I$27&gt;7,8,"")</f>
        <v/>
      </c>
      <c r="GA11" s="17" t="str">
        <f t="shared" si="23"/>
        <v/>
      </c>
      <c r="GB11" s="57" t="str">
        <f>IF(ISNA(VLOOKUP(GA11,'ODBC Data'!$B$1:$J$500,3,0)),"",VLOOKUP(GA11,'ODBC Data'!$B$1:$J$500,3,0))</f>
        <v/>
      </c>
      <c r="GC11" s="57" t="str">
        <f>IF(ISNA(VLOOKUP(GA11,'ODBC Data'!$B$1:$J$500,4,0)),"",VLOOKUP(GA11,'ODBC Data'!$B$1:$J$500,4,0))</f>
        <v/>
      </c>
      <c r="GD11" s="57" t="str">
        <f>IF(ISNA(VLOOKUP(GA11,'ODBC Data'!$B$1:$J$500,5,0)),"",VLOOKUP(GA11,'ODBC Data'!$B$1:$J$500,5,0))</f>
        <v/>
      </c>
    </row>
    <row r="12" spans="1:186">
      <c r="A12" s="19" t="str">
        <f>IF('ODBC Data'!$I$1&gt;8,'ODBC Data'!$H$1,"")</f>
        <v/>
      </c>
      <c r="B12" s="19" t="str">
        <f>IF('ODBC Data'!$I$1&gt;8,9,"")</f>
        <v/>
      </c>
      <c r="C12" s="17" t="str">
        <f t="shared" si="27"/>
        <v/>
      </c>
      <c r="D12" t="str">
        <f>IF(ISNA(VLOOKUP(C12,'ODBC Data'!$B$1:$J$500,3,0)),"",VLOOKUP(C12,'ODBC Data'!$B$1:$J$500,3,0))</f>
        <v/>
      </c>
      <c r="E12" t="str">
        <f>IF(ISNA(VLOOKUP(C12,'ODBC Data'!$B$1:$J$500,5,0)),"",VLOOKUP(C12,'ODBC Data'!$B$1:$J$500,5,0))</f>
        <v/>
      </c>
      <c r="F12" t="str">
        <f t="shared" si="28"/>
        <v/>
      </c>
      <c r="G12" s="19" t="str">
        <f>IF('ODBC Data'!$I$2&gt;8,'ODBC Data'!$H$2,"")</f>
        <v/>
      </c>
      <c r="H12" s="19" t="str">
        <f>IF('ODBC Data'!$I$2&gt;8,9,"")</f>
        <v/>
      </c>
      <c r="I12" s="17" t="str">
        <f t="shared" si="24"/>
        <v/>
      </c>
      <c r="J12" t="str">
        <f>IF(ISNA(VLOOKUP(I12,'ODBC Data'!$B$1:$J$500,3,0)),"",VLOOKUP(I12,'ODBC Data'!$B$1:$J$500,3,0))</f>
        <v/>
      </c>
      <c r="K12" t="str">
        <f>IF(ISNA(VLOOKUP(I12,'ODBC Data'!$B$1:$J$500,5,0)),"",VLOOKUP(I12,'ODBC Data'!$B$1:$J$500,5,0))</f>
        <v/>
      </c>
      <c r="M12" s="19" t="str">
        <f>IF('ODBC Data'!$I$3&gt;8,'ODBC Data'!$H$3,"")</f>
        <v/>
      </c>
      <c r="N12" s="19" t="str">
        <f>IF('ODBC Data'!$I$3&gt;8,9,"")</f>
        <v/>
      </c>
      <c r="O12" s="17" t="str">
        <f t="shared" si="25"/>
        <v/>
      </c>
      <c r="P12" t="str">
        <f>IF(ISNA(VLOOKUP(O12,'ODBC Data'!$B$1:$J$500,3,0)),"",VLOOKUP(O12,'ODBC Data'!$B$1:$J$500,3,0))</f>
        <v/>
      </c>
      <c r="Q12" t="str">
        <f>IF(ISNA(VLOOKUP(O12,'ODBC Data'!$B$1:$J$500,5,0)),"",VLOOKUP(O12,'ODBC Data'!$B$1:$J$500,4,0))</f>
        <v/>
      </c>
      <c r="S12" s="19" t="str">
        <f>IF('ODBC Data'!$I$3&gt;8,'ODBC Data'!$H$3,"")</f>
        <v/>
      </c>
      <c r="T12" s="19" t="str">
        <f>IF('ODBC Data'!$I$3&gt;8,9,"")</f>
        <v/>
      </c>
      <c r="U12" s="17" t="str">
        <f t="shared" si="26"/>
        <v/>
      </c>
      <c r="V12" t="str">
        <f>IF(ISNA(VLOOKUP(U12,'ODBC Data'!$B$1:$J$500,3,0)),"",VLOOKUP(U12,'ODBC Data'!$B$1:$J$500,3,0))</f>
        <v/>
      </c>
      <c r="W12" t="str">
        <f>IF(ISNA(VLOOKUP(U12,'ODBC Data'!$B$1:$J$500,5,0)),"",VLOOKUP(U12,'ODBC Data'!$B$1:$J$500,5,0))</f>
        <v/>
      </c>
      <c r="Y12" s="19" t="str">
        <f>IF('ODBC Data'!$I$4&gt;8,'ODBC Data'!$H$4,"")</f>
        <v/>
      </c>
      <c r="Z12" s="19" t="str">
        <f>IF('ODBC Data'!$I$4&gt;8,9,"")</f>
        <v/>
      </c>
      <c r="AA12" s="17" t="str">
        <f t="shared" si="0"/>
        <v/>
      </c>
      <c r="AB12" s="57" t="str">
        <f>IF(ISNA(VLOOKUP(AA12,'ODBC Data'!$B$1:$J$500,3,0)),"",VLOOKUP(AA12,'ODBC Data'!$B$1:$J$500,3,0))</f>
        <v/>
      </c>
      <c r="AC12" s="57" t="str">
        <f>IF(ISNA(VLOOKUP(AA12,'ODBC Data'!$B$1:$J$500,5,0)),"",VLOOKUP(AA12,'ODBC Data'!$B$1:$J$500,5,0))</f>
        <v/>
      </c>
      <c r="AE12" s="19" t="str">
        <f>IF('ODBC Data'!$I$5&gt;8,'ODBC Data'!$H$5,"")</f>
        <v/>
      </c>
      <c r="AF12" s="19" t="str">
        <f>IF('ODBC Data'!$I$5&gt;8,9,"")</f>
        <v/>
      </c>
      <c r="AG12" s="17" t="str">
        <f t="shared" si="1"/>
        <v/>
      </c>
      <c r="AH12" t="str">
        <f>IF(ISNA(VLOOKUP(AG12,'ODBC Data'!$B$1:$J$500,3,0)),"",VLOOKUP(AG12,'ODBC Data'!$B$1:$J$500,3,0))</f>
        <v/>
      </c>
      <c r="AI12" t="str">
        <f>IF(ISNA(VLOOKUP(AG12,'ODBC Data'!$B$1:$J$500,5,0)),"",VLOOKUP(AG12,'ODBC Data'!$B$1:$J$500,5,0))</f>
        <v/>
      </c>
      <c r="AK12" s="19" t="str">
        <f>IF('ODBC Data'!$I$6&gt;8,'ODBC Data'!$H$6,"")</f>
        <v/>
      </c>
      <c r="AL12" s="19" t="str">
        <f>IF('ODBC Data'!$I$6&gt;8,9,"")</f>
        <v/>
      </c>
      <c r="AM12" s="17" t="str">
        <f t="shared" si="2"/>
        <v/>
      </c>
      <c r="AN12" t="str">
        <f>IF(ISNA(VLOOKUP(AM12,'ODBC Data'!$B$1:$J$500,3,0)),"",VLOOKUP(AM12,'ODBC Data'!$B$1:$J$500,3,0))</f>
        <v/>
      </c>
      <c r="AO12" t="str">
        <f>IF(ISNA(VLOOKUP(AM12,'ODBC Data'!$B$1:$J$500,5,0)),"",VLOOKUP(AM12,'ODBC Data'!$B$1:$J$500,5,0))</f>
        <v/>
      </c>
      <c r="AQ12" s="19" t="str">
        <f>IF('ODBC Data'!$I$7&gt;8,'ODBC Data'!$H$7,"")</f>
        <v/>
      </c>
      <c r="AR12" s="19" t="str">
        <f>IF('ODBC Data'!$I$7&gt;8,9,"")</f>
        <v/>
      </c>
      <c r="AS12" s="17" t="str">
        <f t="shared" si="3"/>
        <v/>
      </c>
      <c r="AT12" t="str">
        <f>IF(ISNA(VLOOKUP(AS12,'ODBC Data'!$B$1:$J$500,3,0)),"",VLOOKUP(AS12,'ODBC Data'!$B$1:$J$500,3,0))</f>
        <v/>
      </c>
      <c r="AU12" t="str">
        <f>IF(ISNA(VLOOKUP(AS12,'ODBC Data'!$B$1:$J$500,5,0)),"",VLOOKUP(AS12,'ODBC Data'!$B$1:$J$500,5,0))</f>
        <v/>
      </c>
      <c r="AW12" s="19" t="str">
        <f>IF('ODBC Data'!$I$8&gt;8,'ODBC Data'!$H$8,"")</f>
        <v/>
      </c>
      <c r="AX12" s="19" t="str">
        <f>IF('ODBC Data'!$I$8&gt;8,9,"")</f>
        <v/>
      </c>
      <c r="AY12" s="17" t="str">
        <f t="shared" si="4"/>
        <v/>
      </c>
      <c r="AZ12" t="str">
        <f>IF(ISNA(VLOOKUP(AY12,'ODBC Data'!$B$1:$J$500,3,0)),"",VLOOKUP(AY12,'ODBC Data'!$B$1:$J$500,3,0))</f>
        <v/>
      </c>
      <c r="BA12" t="str">
        <f>IF(ISNA(VLOOKUP(AY12,'ODBC Data'!$B$1:$J$500,5,0)),"",VLOOKUP(AY12,'ODBC Data'!$B$1:$J$500,5,0))</f>
        <v/>
      </c>
      <c r="BC12" s="19" t="str">
        <f>IF('ODBC Data'!$I$9&gt;8,'ODBC Data'!$H$9,"")</f>
        <v/>
      </c>
      <c r="BD12" s="19" t="str">
        <f>IF('ODBC Data'!$I$9&gt;8,9,"")</f>
        <v/>
      </c>
      <c r="BE12" s="17" t="str">
        <f t="shared" si="5"/>
        <v/>
      </c>
      <c r="BF12" t="str">
        <f>IF(ISNA(VLOOKUP(BE12,'ODBC Data'!$B$1:$J$500,3,0)),"",VLOOKUP(BE12,'ODBC Data'!$B$1:$J$500,3,0))</f>
        <v/>
      </c>
      <c r="BG12" s="57" t="str">
        <f>IF(ISNA(VLOOKUP(BE12,'ODBC Data'!$B$1:$J$500,4,0)),"",VLOOKUP(BE12,'ODBC Data'!$B$1:$J$500,4,0))</f>
        <v/>
      </c>
      <c r="BH12" t="str">
        <f>IF(ISNA(VLOOKUP(BE12,'ODBC Data'!$B$1:$J$500,5,0)),"",VLOOKUP(BE12,'ODBC Data'!$B$1:$J$500,5,0))</f>
        <v/>
      </c>
      <c r="BJ12" s="19" t="str">
        <f>IF('ODBC Data'!$I$10&gt;8,'ODBC Data'!$H$10,"")</f>
        <v/>
      </c>
      <c r="BK12" s="19" t="str">
        <f>IF('ODBC Data'!$I$10&gt;8,9,"")</f>
        <v/>
      </c>
      <c r="BL12" s="17" t="str">
        <f t="shared" si="6"/>
        <v/>
      </c>
      <c r="BM12" t="str">
        <f>IF(ISNA(VLOOKUP(BL12,'ODBC Data'!$B$1:$J$500,3,0)),"",VLOOKUP(BL12,'ODBC Data'!$B$1:$J$500,3,0))</f>
        <v/>
      </c>
      <c r="BN12" s="57" t="str">
        <f>IF(ISNA(VLOOKUP(BL12,'ODBC Data'!$B$1:$J$500,4,0)),"",VLOOKUP(BL12,'ODBC Data'!$B$1:$J$500,4,0))</f>
        <v/>
      </c>
      <c r="BO12" t="str">
        <f>IF(ISNA(VLOOKUP(BL12,'ODBC Data'!$B$1:$J$500,5,0)),"",VLOOKUP(BL12,'ODBC Data'!$B$1:$J$500,5,0))</f>
        <v/>
      </c>
      <c r="BQ12" s="19" t="str">
        <f>IF('ODBC Data'!$I$11&gt;8,'ODBC Data'!$H$11,"")</f>
        <v/>
      </c>
      <c r="BR12" s="19" t="str">
        <f>IF('ODBC Data'!$I$11&gt;8,9,"")</f>
        <v/>
      </c>
      <c r="BS12" s="17" t="str">
        <f t="shared" si="7"/>
        <v/>
      </c>
      <c r="BT12" t="str">
        <f>IF(ISNA(VLOOKUP(BS12,'ODBC Data'!$B$1:$J$500,3,0)),"",VLOOKUP(BS12,'ODBC Data'!$B$1:$J$500,3,0))</f>
        <v/>
      </c>
      <c r="BU12" s="57" t="str">
        <f>IF(ISNA(VLOOKUP(BS12,'ODBC Data'!$B$1:$J$500,4,0)),"",VLOOKUP(BS12,'ODBC Data'!$B$1:$J$500,4,0))</f>
        <v/>
      </c>
      <c r="BV12" t="str">
        <f>IF(ISNA(VLOOKUP(BS12,'ODBC Data'!$B$1:$J$500,5,0)),"",VLOOKUP(BS12,'ODBC Data'!$B$1:$J$500,5,0))</f>
        <v/>
      </c>
      <c r="BX12" s="19" t="str">
        <f>IF('ODBC Data'!$I$12&gt;8,'ODBC Data'!$H$12,"")</f>
        <v/>
      </c>
      <c r="BY12" s="19" t="str">
        <f>IF('ODBC Data'!$I$12&gt;8,9,"")</f>
        <v/>
      </c>
      <c r="BZ12" s="17" t="str">
        <f t="shared" si="8"/>
        <v/>
      </c>
      <c r="CA12" t="str">
        <f>IF(ISNA(VLOOKUP(BZ12,'ODBC Data'!$B$1:$J$500,3,0)),"",VLOOKUP(BZ12,'ODBC Data'!$B$1:$J$500,3,0))</f>
        <v/>
      </c>
      <c r="CB12" s="57" t="str">
        <f>IF(ISNA(VLOOKUP(BZ12,'ODBC Data'!$B$1:$J$500,4,0)),"",VLOOKUP(BZ12,'ODBC Data'!$B$1:$J$500,4,0))</f>
        <v/>
      </c>
      <c r="CC12" t="str">
        <f>IF(ISNA(VLOOKUP(BZ12,'ODBC Data'!$B$1:$J$500,5,0)),"",VLOOKUP(BZ12,'ODBC Data'!$B$1:$J$500,5,0))</f>
        <v/>
      </c>
      <c r="CE12" s="19" t="str">
        <f>IF('ODBC Data'!$I$13&gt;8,'ODBC Data'!$H$13,"")</f>
        <v/>
      </c>
      <c r="CF12" s="19" t="str">
        <f>IF('ODBC Data'!$I$13&gt;8,9,"")</f>
        <v/>
      </c>
      <c r="CG12" s="17" t="str">
        <f t="shared" si="9"/>
        <v/>
      </c>
      <c r="CH12" t="str">
        <f>IF(ISNA(VLOOKUP(CG12,'ODBC Data'!$B$1:$J$500,3,0)),"",VLOOKUP(CG12,'ODBC Data'!$B$1:$J$500,3,0))</f>
        <v/>
      </c>
      <c r="CI12" s="57" t="str">
        <f>IF(ISNA(VLOOKUP(CG12,'ODBC Data'!$B$1:$J$500,4,0)),"",VLOOKUP(CG12,'ODBC Data'!$B$1:$J$500,4,0))</f>
        <v/>
      </c>
      <c r="CJ12" t="str">
        <f>IF(ISNA(VLOOKUP(CG12,'ODBC Data'!$B$1:$J$500,5,0)),"",VLOOKUP(CG12,'ODBC Data'!$B$1:$J$500,5,0))</f>
        <v/>
      </c>
      <c r="CL12" s="19" t="str">
        <f>IF('ODBC Data'!$I$14&gt;8,'ODBC Data'!$H$14,"")</f>
        <v/>
      </c>
      <c r="CM12" s="19" t="str">
        <f>IF('ODBC Data'!$I$14&gt;8,9,"")</f>
        <v/>
      </c>
      <c r="CN12" s="17" t="str">
        <f t="shared" si="10"/>
        <v/>
      </c>
      <c r="CO12" s="57" t="str">
        <f>IF(ISNA(VLOOKUP(CN12,'ODBC Data'!$B$1:$J$500,3,0)),"",VLOOKUP(CN12,'ODBC Data'!$B$1:$J$500,3,0))</f>
        <v/>
      </c>
      <c r="CP12" s="57" t="str">
        <f>IF(ISNA(VLOOKUP(CN12,'ODBC Data'!$B$1:$J$500,4,0)),"",VLOOKUP(CN12,'ODBC Data'!$B$1:$J$500,4,0))</f>
        <v/>
      </c>
      <c r="CQ12" s="57" t="str">
        <f>IF(ISNA(VLOOKUP(CN12,'ODBC Data'!$B$1:$J$500,5,0)),"",VLOOKUP(CN12,'ODBC Data'!$B$1:$J$500,5,0))</f>
        <v/>
      </c>
      <c r="CS12" s="19" t="str">
        <f>IF('ODBC Data'!$I$15&gt;8,'ODBC Data'!$H$15,"")</f>
        <v/>
      </c>
      <c r="CT12" s="19" t="str">
        <f>IF('ODBC Data'!$I$15&gt;8,9,"")</f>
        <v/>
      </c>
      <c r="CU12" s="17" t="str">
        <f t="shared" si="11"/>
        <v/>
      </c>
      <c r="CV12" t="str">
        <f>IF(ISNA(VLOOKUP(CU12,'ODBC Data'!$B$1:$J$500,3,0)),"",VLOOKUP(CU12,'ODBC Data'!$B$1:$J$500,3,0))</f>
        <v/>
      </c>
      <c r="CW12" s="57" t="str">
        <f>IF(ISNA(VLOOKUP(CU12,'ODBC Data'!$B$1:$J$500,4,0)),"",VLOOKUP(CU12,'ODBC Data'!$B$1:$J$500,4,0))</f>
        <v/>
      </c>
      <c r="CX12" t="str">
        <f>IF(ISNA(VLOOKUP(CU12,'ODBC Data'!$B$1:$J$500,5,0)),"",VLOOKUP(CU12,'ODBC Data'!$B$1:$J$500,5,0))</f>
        <v/>
      </c>
      <c r="CZ12" s="19" t="str">
        <f>IF('ODBC Data'!$I$16&gt;8,'ODBC Data'!$H$16,"")</f>
        <v/>
      </c>
      <c r="DA12" s="19" t="str">
        <f>IF('ODBC Data'!$I$16&gt;8,9,"")</f>
        <v/>
      </c>
      <c r="DB12" s="17" t="str">
        <f t="shared" si="12"/>
        <v/>
      </c>
      <c r="DC12" t="str">
        <f>IF(ISNA(VLOOKUP(DB12,'ODBC Data'!$B$1:$J$500,3,0)),"",VLOOKUP(DB12,'ODBC Data'!$B$1:$J$500,3,0))</f>
        <v/>
      </c>
      <c r="DD12" s="57" t="str">
        <f>IF(ISNA(VLOOKUP(DB12,'ODBC Data'!$B$1:$J$500,4,0)),"",VLOOKUP(DB12,'ODBC Data'!$B$1:$J$500,4,0))</f>
        <v/>
      </c>
      <c r="DE12" t="str">
        <f>IF(ISNA(VLOOKUP(DB12,'ODBC Data'!$B$1:$J$500,5,0)),"",VLOOKUP(DB12,'ODBC Data'!$B$1:$J$500,5,0))</f>
        <v/>
      </c>
      <c r="DG12" s="19" t="str">
        <f>IF('ODBC Data'!$I$17&gt;8,'ODBC Data'!$H$17,"")</f>
        <v/>
      </c>
      <c r="DH12" s="19" t="str">
        <f>IF('ODBC Data'!$I$17&gt;8,9,"")</f>
        <v/>
      </c>
      <c r="DI12" s="17" t="str">
        <f t="shared" si="13"/>
        <v/>
      </c>
      <c r="DJ12" t="str">
        <f>IF(ISNA(VLOOKUP(DI12,'ODBC Data'!$B$1:$J$500,3,0)),"",VLOOKUP(DI12,'ODBC Data'!$B$1:$J$500,3,0))</f>
        <v/>
      </c>
      <c r="DK12" s="57" t="str">
        <f>IF(ISNA(VLOOKUP(DI12,'ODBC Data'!$B$1:$J$500,4,0)),"",VLOOKUP(DI12,'ODBC Data'!$B$1:$J$500,4,0))</f>
        <v/>
      </c>
      <c r="DL12" t="str">
        <f>IF(ISNA(VLOOKUP(DI12,'ODBC Data'!$B$1:$J$500,5,0)),"",VLOOKUP(DI12,'ODBC Data'!$B$1:$J$500,5,0))</f>
        <v/>
      </c>
      <c r="DN12" s="19" t="str">
        <f>IF('ODBC Data'!$I$18&gt;8,'ODBC Data'!$H$18,"")</f>
        <v/>
      </c>
      <c r="DO12" s="19" t="str">
        <f>IF('ODBC Data'!$I$18&gt;8,9,"")</f>
        <v/>
      </c>
      <c r="DP12" s="17" t="str">
        <f t="shared" si="14"/>
        <v/>
      </c>
      <c r="DQ12" t="str">
        <f>IF(ISNA(VLOOKUP(DP12,'ODBC Data'!$B$1:$J$500,3,0)),"",VLOOKUP(DP12,'ODBC Data'!$B$1:$J$500,3,0))</f>
        <v/>
      </c>
      <c r="DR12" s="57" t="str">
        <f>IF(ISNA(VLOOKUP(DP12,'ODBC Data'!$B$1:$J$500,4,0)),"",VLOOKUP(DP12,'ODBC Data'!$B$1:$J$500,4,0))</f>
        <v/>
      </c>
      <c r="DS12" t="str">
        <f>IF(ISNA(VLOOKUP(DP12,'ODBC Data'!$B$1:$J$500,5,0)),"",VLOOKUP(DP12,'ODBC Data'!$B$1:$J$500,5,0))</f>
        <v/>
      </c>
      <c r="DU12" s="19" t="str">
        <f>IF('ODBC Data'!$I$19&gt;8,'ODBC Data'!$H$19,"")</f>
        <v/>
      </c>
      <c r="DV12" s="19" t="str">
        <f>IF('ODBC Data'!$I$19&gt;8,9,"")</f>
        <v/>
      </c>
      <c r="DW12" s="17" t="str">
        <f t="shared" si="15"/>
        <v/>
      </c>
      <c r="DX12" t="str">
        <f>IF(ISNA(VLOOKUP(DW12,'ODBC Data'!$B$1:$J$500,3,0)),"",VLOOKUP(DW12,'ODBC Data'!$B$1:$J$500,3,0))</f>
        <v/>
      </c>
      <c r="DY12" s="57" t="str">
        <f>IF(ISNA(VLOOKUP(DW12,'ODBC Data'!$B$1:$J$500,4,0)),"",VLOOKUP(DW12,'ODBC Data'!$B$1:$J$500,4,0))</f>
        <v/>
      </c>
      <c r="DZ12" t="str">
        <f>IF(ISNA(VLOOKUP(DW12,'ODBC Data'!$B$1:$J$500,5,0)),"",VLOOKUP(DW12,'ODBC Data'!$B$1:$J$500,5,0))</f>
        <v/>
      </c>
      <c r="EB12" s="19" t="str">
        <f>IF('ODBC Data'!$I$20&gt;8,'ODBC Data'!$H$20,"")</f>
        <v/>
      </c>
      <c r="EC12" s="19" t="str">
        <f>IF('ODBC Data'!$I$20&gt;8,9,"")</f>
        <v/>
      </c>
      <c r="ED12" s="17" t="str">
        <f t="shared" si="16"/>
        <v/>
      </c>
      <c r="EE12" s="57" t="str">
        <f>IF(ISNA(VLOOKUP(ED12,'ODBC Data'!$B$1:$J$500,3,0)),"",VLOOKUP(ED12,'ODBC Data'!$B$1:$J$500,3,0))</f>
        <v/>
      </c>
      <c r="EF12" s="57" t="str">
        <f>IF(ISNA(VLOOKUP(ED12,'ODBC Data'!$B$1:$J$500,4,0)),"",VLOOKUP(ED12,'ODBC Data'!$B$1:$J$500,4,0))</f>
        <v/>
      </c>
      <c r="EG12" s="57" t="str">
        <f>IF(ISNA(VLOOKUP(ED12,'ODBC Data'!$B$1:$J$500,5,0)),"",VLOOKUP(ED12,'ODBC Data'!$B$1:$J$500,5,0))</f>
        <v/>
      </c>
      <c r="EI12" s="19" t="str">
        <f>IF('ODBC Data'!$I$21&gt;8,'ODBC Data'!$H$21,"")</f>
        <v/>
      </c>
      <c r="EJ12" s="19" t="str">
        <f>IF('ODBC Data'!$I$21&gt;8,9,"")</f>
        <v/>
      </c>
      <c r="EK12" s="17" t="str">
        <f t="shared" si="17"/>
        <v/>
      </c>
      <c r="EL12" t="str">
        <f>IF(ISNA(VLOOKUP(EK12,'ODBC Data'!$B$1:$J$500,3,0)),"",VLOOKUP(EK12,'ODBC Data'!$B$1:$J$500,3,0))</f>
        <v/>
      </c>
      <c r="EM12" s="57" t="str">
        <f>IF(ISNA(VLOOKUP(EK12,'ODBC Data'!$B$1:$J$500,4,0)),"",VLOOKUP(EK12,'ODBC Data'!$B$1:$J$500,4,0))</f>
        <v/>
      </c>
      <c r="EN12" t="str">
        <f>IF(ISNA(VLOOKUP(EK12,'ODBC Data'!$B$1:$J$500,5,0)),"",VLOOKUP(EK12,'ODBC Data'!$B$1:$J$500,5,0))</f>
        <v/>
      </c>
      <c r="EP12" s="19" t="str">
        <f>IF('ODBC Data'!$I$22&gt;8,'ODBC Data'!$H$22,"")</f>
        <v/>
      </c>
      <c r="EQ12" s="19" t="str">
        <f>IF('ODBC Data'!$I$22&gt;8,9,"")</f>
        <v/>
      </c>
      <c r="ER12" s="17" t="str">
        <f t="shared" si="18"/>
        <v/>
      </c>
      <c r="ES12" t="str">
        <f>IF(ISNA(VLOOKUP(ER12,'ODBC Data'!$B$1:$J$500,3,0)),"",VLOOKUP(ER12,'ODBC Data'!$B$1:$J$500,3,0))</f>
        <v/>
      </c>
      <c r="ET12" s="57" t="str">
        <f>IF(ISNA(VLOOKUP(ER12,'ODBC Data'!$B$1:$J$500,4,0)),"",VLOOKUP(ER12,'ODBC Data'!$B$1:$J$500,4,0))</f>
        <v/>
      </c>
      <c r="EU12" t="str">
        <f>IF(ISNA(VLOOKUP(ER12,'ODBC Data'!$B$1:$J$500,5,0)),"",VLOOKUP(ER12,'ODBC Data'!$B$1:$J$500,5,0))</f>
        <v/>
      </c>
      <c r="EW12" s="19" t="str">
        <f>IF('ODBC Data'!$I$23&gt;8,'ODBC Data'!$H$23,"")</f>
        <v/>
      </c>
      <c r="EX12" s="19" t="str">
        <f>IF('ODBC Data'!$I$23&gt;8,9,"")</f>
        <v/>
      </c>
      <c r="EY12" s="17" t="str">
        <f t="shared" si="19"/>
        <v/>
      </c>
      <c r="EZ12" t="str">
        <f>IF(ISNA(VLOOKUP(EY12,'ODBC Data'!$B$1:$J$500,3,0)),"",VLOOKUP(EY12,'ODBC Data'!$B$1:$J$500,3,0))</f>
        <v/>
      </c>
      <c r="FA12" s="57" t="str">
        <f>IF(ISNA(VLOOKUP(EY12,'ODBC Data'!$B$1:$J$500,4,0)),"",VLOOKUP(EY12,'ODBC Data'!$B$1:$J$500,4,0))</f>
        <v/>
      </c>
      <c r="FB12" t="str">
        <f>IF(ISNA(VLOOKUP(EY12,'ODBC Data'!$B$1:$J$500,5,0)),"",VLOOKUP(EY12,'ODBC Data'!$B$1:$J$500,5,0))</f>
        <v/>
      </c>
      <c r="FD12" s="19" t="str">
        <f>IF('ODBC Data'!$I$24&gt;8,'ODBC Data'!$H$24,"")</f>
        <v/>
      </c>
      <c r="FE12" s="19" t="str">
        <f>IF('ODBC Data'!$I$24&gt;8,9,"")</f>
        <v/>
      </c>
      <c r="FF12" s="17" t="str">
        <f t="shared" si="20"/>
        <v/>
      </c>
      <c r="FG12" t="str">
        <f>IF(ISNA(VLOOKUP(FF12,'ODBC Data'!$B$1:$J$500,3,0)),"",VLOOKUP(FF12,'ODBC Data'!$B$1:$J$500,3,0))</f>
        <v/>
      </c>
      <c r="FH12" s="57" t="str">
        <f>IF(ISNA(VLOOKUP(FF12,'ODBC Data'!$B$1:$J$500,4,0)),"",VLOOKUP(FF12,'ODBC Data'!$B$1:$J$500,4,0))</f>
        <v/>
      </c>
      <c r="FI12" t="str">
        <f>IF(ISNA(VLOOKUP(FF12,'ODBC Data'!$B$1:$J$500,5,0)),"",VLOOKUP(FF12,'ODBC Data'!$B$1:$J$500,5,0))</f>
        <v/>
      </c>
      <c r="FK12" s="19" t="str">
        <f>IF('ODBC Data'!$I$25&gt;8,'ODBC Data'!$H$25,"")</f>
        <v/>
      </c>
      <c r="FL12" s="19" t="str">
        <f>IF('ODBC Data'!$I$25&gt;8,9,"")</f>
        <v/>
      </c>
      <c r="FM12" s="17" t="str">
        <f t="shared" si="21"/>
        <v/>
      </c>
      <c r="FN12" t="str">
        <f>IF(ISNA(VLOOKUP(FM12,'ODBC Data'!$B$1:$J$500,3,0)),"",VLOOKUP(FM12,'ODBC Data'!$B$1:$J$500,3,0))</f>
        <v/>
      </c>
      <c r="FO12" s="57" t="str">
        <f>IF(ISNA(VLOOKUP(FM12,'ODBC Data'!$B$1:$J$500,4,0)),"",VLOOKUP(FM12,'ODBC Data'!$B$1:$J$500,4,0))</f>
        <v/>
      </c>
      <c r="FP12" t="str">
        <f>IF(ISNA(VLOOKUP(FM12,'ODBC Data'!$B$1:$J$500,5,0)),"",VLOOKUP(FM12,'ODBC Data'!$B$1:$J$500,5,0))</f>
        <v/>
      </c>
      <c r="FR12" s="19" t="str">
        <f>IF('ODBC Data'!$I$26&gt;8,'ODBC Data'!$H$26,"")</f>
        <v/>
      </c>
      <c r="FS12" s="19" t="str">
        <f>IF('ODBC Data'!$I$26&gt;8,9,"")</f>
        <v/>
      </c>
      <c r="FT12" s="17" t="str">
        <f t="shared" si="22"/>
        <v/>
      </c>
      <c r="FU12" s="57" t="str">
        <f>IF(ISNA(VLOOKUP(FT12,'ODBC Data'!$B$1:$J$500,3,0)),"",VLOOKUP(FT12,'ODBC Data'!$B$1:$J$500,3,0))</f>
        <v/>
      </c>
      <c r="FV12" s="57" t="str">
        <f>IF(ISNA(VLOOKUP(FT12,'ODBC Data'!$B$1:$J$500,4,0)),"",VLOOKUP(FT12,'ODBC Data'!$B$1:$J$500,4,0))</f>
        <v/>
      </c>
      <c r="FW12" s="57" t="str">
        <f>IF(ISNA(VLOOKUP(FT12,'ODBC Data'!$B$1:$J$500,5,0)),"",VLOOKUP(FT12,'ODBC Data'!$B$1:$J$500,5,0))</f>
        <v/>
      </c>
      <c r="FY12" s="19" t="str">
        <f>IF('ODBC Data'!$I$27&gt;8,'ODBC Data'!$H$27,"")</f>
        <v/>
      </c>
      <c r="FZ12" s="19" t="str">
        <f>IF('ODBC Data'!$I$27&gt;8,9,"")</f>
        <v/>
      </c>
      <c r="GA12" s="17" t="str">
        <f t="shared" si="23"/>
        <v/>
      </c>
      <c r="GB12" s="57" t="str">
        <f>IF(ISNA(VLOOKUP(GA12,'ODBC Data'!$B$1:$J$500,3,0)),"",VLOOKUP(GA12,'ODBC Data'!$B$1:$J$500,3,0))</f>
        <v/>
      </c>
      <c r="GC12" s="57" t="str">
        <f>IF(ISNA(VLOOKUP(GA12,'ODBC Data'!$B$1:$J$500,4,0)),"",VLOOKUP(GA12,'ODBC Data'!$B$1:$J$500,4,0))</f>
        <v/>
      </c>
      <c r="GD12" s="57" t="str">
        <f>IF(ISNA(VLOOKUP(GA12,'ODBC Data'!$B$1:$J$500,5,0)),"",VLOOKUP(GA12,'ODBC Data'!$B$1:$J$500,5,0))</f>
        <v/>
      </c>
    </row>
    <row r="13" spans="1:186">
      <c r="A13" s="19" t="str">
        <f>IF('ODBC Data'!$I$1&gt;9,'ODBC Data'!$H$1,"")</f>
        <v/>
      </c>
      <c r="B13" s="19" t="str">
        <f>IF('ODBC Data'!$I$1&gt;9,10,"")</f>
        <v/>
      </c>
      <c r="C13" s="17" t="str">
        <f t="shared" si="27"/>
        <v/>
      </c>
      <c r="D13" t="str">
        <f>IF(ISNA(VLOOKUP(C13,'ODBC Data'!$B$1:$J$500,3,0)),"",VLOOKUP(C13,'ODBC Data'!$B$1:$J$500,3,0))</f>
        <v/>
      </c>
      <c r="E13" t="str">
        <f>IF(ISNA(VLOOKUP(C13,'ODBC Data'!$B$1:$J$500,5,0)),"",VLOOKUP(C13,'ODBC Data'!$B$1:$J$500,5,0))</f>
        <v/>
      </c>
      <c r="F13" t="str">
        <f t="shared" si="28"/>
        <v/>
      </c>
      <c r="G13" s="19" t="str">
        <f>IF('ODBC Data'!$I$2&gt;9,'ODBC Data'!$H$2,"")</f>
        <v/>
      </c>
      <c r="H13" s="19" t="str">
        <f>IF('ODBC Data'!$I$2&gt;9,10,"")</f>
        <v/>
      </c>
      <c r="I13" s="17" t="str">
        <f t="shared" si="24"/>
        <v/>
      </c>
      <c r="J13" t="str">
        <f>IF(ISNA(VLOOKUP(I13,'ODBC Data'!$B$1:$J$500,3,0)),"",VLOOKUP(I13,'ODBC Data'!$B$1:$J$500,3,0))</f>
        <v/>
      </c>
      <c r="K13" t="str">
        <f>IF(ISNA(VLOOKUP(I13,'ODBC Data'!$B$1:$J$500,5,0)),"",VLOOKUP(I13,'ODBC Data'!$B$1:$J$500,5,0))</f>
        <v/>
      </c>
      <c r="M13" s="19" t="str">
        <f>IF('ODBC Data'!$I$3&gt;9,'ODBC Data'!$H$3,"")</f>
        <v/>
      </c>
      <c r="N13" s="19" t="str">
        <f>IF('ODBC Data'!$I$3&gt;9,10,"")</f>
        <v/>
      </c>
      <c r="O13" s="17" t="str">
        <f t="shared" si="25"/>
        <v/>
      </c>
      <c r="P13" t="str">
        <f>IF(ISNA(VLOOKUP(O13,'ODBC Data'!$B$1:$J$500,3,0)),"",VLOOKUP(O13,'ODBC Data'!$B$1:$J$500,3,0))</f>
        <v/>
      </c>
      <c r="Q13" t="str">
        <f>IF(ISNA(VLOOKUP(O13,'ODBC Data'!$B$1:$J$500,5,0)),"",VLOOKUP(O13,'ODBC Data'!$B$1:$J$500,4,0))</f>
        <v/>
      </c>
      <c r="S13" s="19" t="str">
        <f>IF('ODBC Data'!$I$3&gt;9,'ODBC Data'!$H$3,"")</f>
        <v/>
      </c>
      <c r="T13" s="19" t="str">
        <f>IF('ODBC Data'!$I$3&gt;9,10,"")</f>
        <v/>
      </c>
      <c r="U13" s="17" t="str">
        <f t="shared" si="26"/>
        <v/>
      </c>
      <c r="V13" t="str">
        <f>IF(ISNA(VLOOKUP(U13,'ODBC Data'!$B$1:$J$500,3,0)),"",VLOOKUP(U13,'ODBC Data'!$B$1:$J$500,3,0))</f>
        <v/>
      </c>
      <c r="W13" t="str">
        <f>IF(ISNA(VLOOKUP(U13,'ODBC Data'!$B$1:$J$500,5,0)),"",VLOOKUP(U13,'ODBC Data'!$B$1:$J$500,5,0))</f>
        <v/>
      </c>
      <c r="Y13" s="19" t="str">
        <f>IF('ODBC Data'!$I$4&gt;9,'ODBC Data'!$H$4,"")</f>
        <v/>
      </c>
      <c r="Z13" s="19" t="str">
        <f>IF('ODBC Data'!$I$4&gt;9,10,"")</f>
        <v/>
      </c>
      <c r="AA13" s="17" t="str">
        <f t="shared" si="0"/>
        <v/>
      </c>
      <c r="AB13" s="57" t="str">
        <f>IF(ISNA(VLOOKUP(AA13,'ODBC Data'!$B$1:$J$500,3,0)),"",VLOOKUP(AA13,'ODBC Data'!$B$1:$J$500,3,0))</f>
        <v/>
      </c>
      <c r="AC13" s="57" t="str">
        <f>IF(ISNA(VLOOKUP(AA13,'ODBC Data'!$B$1:$J$500,5,0)),"",VLOOKUP(AA13,'ODBC Data'!$B$1:$J$500,5,0))</f>
        <v/>
      </c>
      <c r="AE13" s="19" t="str">
        <f>IF('ODBC Data'!$I$5&gt;9,'ODBC Data'!$H$5,"")</f>
        <v/>
      </c>
      <c r="AF13" s="19" t="str">
        <f>IF('ODBC Data'!$I$5&gt;9,10,"")</f>
        <v/>
      </c>
      <c r="AG13" s="17" t="str">
        <f t="shared" si="1"/>
        <v/>
      </c>
      <c r="AH13" t="str">
        <f>IF(ISNA(VLOOKUP(AG13,'ODBC Data'!$B$1:$J$500,3,0)),"",VLOOKUP(AG13,'ODBC Data'!$B$1:$J$500,3,0))</f>
        <v/>
      </c>
      <c r="AI13" t="str">
        <f>IF(ISNA(VLOOKUP(AG13,'ODBC Data'!$B$1:$J$500,5,0)),"",VLOOKUP(AG13,'ODBC Data'!$B$1:$J$500,5,0))</f>
        <v/>
      </c>
      <c r="AK13" s="19" t="str">
        <f>IF('ODBC Data'!$I$6&gt;9,'ODBC Data'!$H$6,"")</f>
        <v/>
      </c>
      <c r="AL13" s="19" t="str">
        <f>IF('ODBC Data'!$I$6&gt;9,10,"")</f>
        <v/>
      </c>
      <c r="AM13" s="17" t="str">
        <f t="shared" si="2"/>
        <v/>
      </c>
      <c r="AN13" t="str">
        <f>IF(ISNA(VLOOKUP(AM13,'ODBC Data'!$B$1:$J$500,3,0)),"",VLOOKUP(AM13,'ODBC Data'!$B$1:$J$500,3,0))</f>
        <v/>
      </c>
      <c r="AO13" t="str">
        <f>IF(ISNA(VLOOKUP(AM13,'ODBC Data'!$B$1:$J$500,5,0)),"",VLOOKUP(AM13,'ODBC Data'!$B$1:$J$500,5,0))</f>
        <v/>
      </c>
      <c r="AQ13" s="19" t="str">
        <f>IF('ODBC Data'!$I$7&gt;9,'ODBC Data'!$H$7,"")</f>
        <v/>
      </c>
      <c r="AR13" s="19" t="str">
        <f>IF('ODBC Data'!$I$7&gt;9,10,"")</f>
        <v/>
      </c>
      <c r="AS13" s="17" t="str">
        <f t="shared" si="3"/>
        <v/>
      </c>
      <c r="AT13" t="str">
        <f>IF(ISNA(VLOOKUP(AS13,'ODBC Data'!$B$1:$J$500,3,0)),"",VLOOKUP(AS13,'ODBC Data'!$B$1:$J$500,3,0))</f>
        <v/>
      </c>
      <c r="AU13" t="str">
        <f>IF(ISNA(VLOOKUP(AS13,'ODBC Data'!$B$1:$J$500,5,0)),"",VLOOKUP(AS13,'ODBC Data'!$B$1:$J$500,5,0))</f>
        <v/>
      </c>
      <c r="AW13" s="19" t="str">
        <f>IF('ODBC Data'!$I$8&gt;9,'ODBC Data'!$H$8,"")</f>
        <v/>
      </c>
      <c r="AX13" s="19" t="str">
        <f>IF('ODBC Data'!$I$8&gt;9,10,"")</f>
        <v/>
      </c>
      <c r="AY13" s="17" t="str">
        <f t="shared" si="4"/>
        <v/>
      </c>
      <c r="AZ13" t="str">
        <f>IF(ISNA(VLOOKUP(AY13,'ODBC Data'!$B$1:$J$500,3,0)),"",VLOOKUP(AY13,'ODBC Data'!$B$1:$J$500,3,0))</f>
        <v/>
      </c>
      <c r="BA13" t="str">
        <f>IF(ISNA(VLOOKUP(AY13,'ODBC Data'!$B$1:$J$500,5,0)),"",VLOOKUP(AY13,'ODBC Data'!$B$1:$J$500,5,0))</f>
        <v/>
      </c>
      <c r="BC13" s="19" t="str">
        <f>IF('ODBC Data'!$I$9&gt;9,'ODBC Data'!$H$9,"")</f>
        <v/>
      </c>
      <c r="BD13" s="19" t="str">
        <f>IF('ODBC Data'!$I$9&gt;9,10,"")</f>
        <v/>
      </c>
      <c r="BE13" s="17" t="str">
        <f t="shared" si="5"/>
        <v/>
      </c>
      <c r="BF13" t="str">
        <f>IF(ISNA(VLOOKUP(BE13,'ODBC Data'!$B$1:$J$500,3,0)),"",VLOOKUP(BE13,'ODBC Data'!$B$1:$J$500,3,0))</f>
        <v/>
      </c>
      <c r="BG13" s="57" t="str">
        <f>IF(ISNA(VLOOKUP(BE13,'ODBC Data'!$B$1:$J$500,4,0)),"",VLOOKUP(BE13,'ODBC Data'!$B$1:$J$500,4,0))</f>
        <v/>
      </c>
      <c r="BH13" t="str">
        <f>IF(ISNA(VLOOKUP(BE13,'ODBC Data'!$B$1:$J$500,5,0)),"",VLOOKUP(BE13,'ODBC Data'!$B$1:$J$500,5,0))</f>
        <v/>
      </c>
      <c r="BJ13" s="19" t="str">
        <f>IF('ODBC Data'!$I$10&gt;9,'ODBC Data'!$H$10,"")</f>
        <v/>
      </c>
      <c r="BK13" s="19" t="str">
        <f>IF('ODBC Data'!$I$10&gt;9,10,"")</f>
        <v/>
      </c>
      <c r="BL13" s="17" t="str">
        <f t="shared" si="6"/>
        <v/>
      </c>
      <c r="BM13" t="str">
        <f>IF(ISNA(VLOOKUP(BL13,'ODBC Data'!$B$1:$J$500,3,0)),"",VLOOKUP(BL13,'ODBC Data'!$B$1:$J$500,3,0))</f>
        <v/>
      </c>
      <c r="BN13" s="57" t="str">
        <f>IF(ISNA(VLOOKUP(BL13,'ODBC Data'!$B$1:$J$500,4,0)),"",VLOOKUP(BL13,'ODBC Data'!$B$1:$J$500,4,0))</f>
        <v/>
      </c>
      <c r="BO13" t="str">
        <f>IF(ISNA(VLOOKUP(BL13,'ODBC Data'!$B$1:$J$500,5,0)),"",VLOOKUP(BL13,'ODBC Data'!$B$1:$J$500,5,0))</f>
        <v/>
      </c>
      <c r="BQ13" s="19" t="str">
        <f>IF('ODBC Data'!$I$11&gt;9,'ODBC Data'!$H$11,"")</f>
        <v/>
      </c>
      <c r="BR13" s="19" t="str">
        <f>IF('ODBC Data'!$I$11&gt;9,10,"")</f>
        <v/>
      </c>
      <c r="BS13" s="17" t="str">
        <f t="shared" si="7"/>
        <v/>
      </c>
      <c r="BT13" t="str">
        <f>IF(ISNA(VLOOKUP(BS13,'ODBC Data'!$B$1:$J$500,3,0)),"",VLOOKUP(BS13,'ODBC Data'!$B$1:$J$500,3,0))</f>
        <v/>
      </c>
      <c r="BU13" s="57" t="str">
        <f>IF(ISNA(VLOOKUP(BS13,'ODBC Data'!$B$1:$J$500,4,0)),"",VLOOKUP(BS13,'ODBC Data'!$B$1:$J$500,4,0))</f>
        <v/>
      </c>
      <c r="BV13" t="str">
        <f>IF(ISNA(VLOOKUP(BS13,'ODBC Data'!$B$1:$J$500,5,0)),"",VLOOKUP(BS13,'ODBC Data'!$B$1:$J$500,5,0))</f>
        <v/>
      </c>
      <c r="BX13" s="19" t="str">
        <f>IF('ODBC Data'!$I$12&gt;9,'ODBC Data'!$H$12,"")</f>
        <v/>
      </c>
      <c r="BY13" s="19" t="str">
        <f>IF('ODBC Data'!$I$12&gt;9,10,"")</f>
        <v/>
      </c>
      <c r="BZ13" s="17" t="str">
        <f t="shared" si="8"/>
        <v/>
      </c>
      <c r="CA13" t="str">
        <f>IF(ISNA(VLOOKUP(BZ13,'ODBC Data'!$B$1:$J$500,3,0)),"",VLOOKUP(BZ13,'ODBC Data'!$B$1:$J$500,3,0))</f>
        <v/>
      </c>
      <c r="CB13" s="57" t="str">
        <f>IF(ISNA(VLOOKUP(BZ13,'ODBC Data'!$B$1:$J$500,4,0)),"",VLOOKUP(BZ13,'ODBC Data'!$B$1:$J$500,4,0))</f>
        <v/>
      </c>
      <c r="CC13" t="str">
        <f>IF(ISNA(VLOOKUP(BZ13,'ODBC Data'!$B$1:$J$500,5,0)),"",VLOOKUP(BZ13,'ODBC Data'!$B$1:$J$500,5,0))</f>
        <v/>
      </c>
      <c r="CE13" s="19" t="str">
        <f>IF('ODBC Data'!$I$13&gt;9,'ODBC Data'!$H$13,"")</f>
        <v/>
      </c>
      <c r="CF13" s="19" t="str">
        <f>IF('ODBC Data'!$I$13&gt;9,10,"")</f>
        <v/>
      </c>
      <c r="CG13" s="17" t="str">
        <f t="shared" si="9"/>
        <v/>
      </c>
      <c r="CH13" t="str">
        <f>IF(ISNA(VLOOKUP(CG13,'ODBC Data'!$B$1:$J$500,3,0)),"",VLOOKUP(CG13,'ODBC Data'!$B$1:$J$500,3,0))</f>
        <v/>
      </c>
      <c r="CI13" s="57" t="str">
        <f>IF(ISNA(VLOOKUP(CG13,'ODBC Data'!$B$1:$J$500,4,0)),"",VLOOKUP(CG13,'ODBC Data'!$B$1:$J$500,4,0))</f>
        <v/>
      </c>
      <c r="CJ13" t="str">
        <f>IF(ISNA(VLOOKUP(CG13,'ODBC Data'!$B$1:$J$500,5,0)),"",VLOOKUP(CG13,'ODBC Data'!$B$1:$J$500,5,0))</f>
        <v/>
      </c>
      <c r="CL13" s="19" t="str">
        <f>IF('ODBC Data'!$I$14&gt;9,'ODBC Data'!$H$14,"")</f>
        <v/>
      </c>
      <c r="CM13" s="19" t="str">
        <f>IF('ODBC Data'!$I$14&gt;9,10,"")</f>
        <v/>
      </c>
      <c r="CN13" s="17" t="str">
        <f t="shared" si="10"/>
        <v/>
      </c>
      <c r="CO13" s="57" t="str">
        <f>IF(ISNA(VLOOKUP(CN13,'ODBC Data'!$B$1:$J$500,3,0)),"",VLOOKUP(CN13,'ODBC Data'!$B$1:$J$500,3,0))</f>
        <v/>
      </c>
      <c r="CP13" s="57" t="str">
        <f>IF(ISNA(VLOOKUP(CN13,'ODBC Data'!$B$1:$J$500,4,0)),"",VLOOKUP(CN13,'ODBC Data'!$B$1:$J$500,4,0))</f>
        <v/>
      </c>
      <c r="CQ13" s="57" t="str">
        <f>IF(ISNA(VLOOKUP(CN13,'ODBC Data'!$B$1:$J$500,5,0)),"",VLOOKUP(CN13,'ODBC Data'!$B$1:$J$500,5,0))</f>
        <v/>
      </c>
      <c r="CS13" s="19" t="str">
        <f>IF('ODBC Data'!$I$15&gt;9,'ODBC Data'!$H$15,"")</f>
        <v/>
      </c>
      <c r="CT13" s="19" t="str">
        <f>IF('ODBC Data'!$I$15&gt;9,10,"")</f>
        <v/>
      </c>
      <c r="CU13" s="17" t="str">
        <f t="shared" si="11"/>
        <v/>
      </c>
      <c r="CV13" t="str">
        <f>IF(ISNA(VLOOKUP(CU13,'ODBC Data'!$B$1:$J$500,3,0)),"",VLOOKUP(CU13,'ODBC Data'!$B$1:$J$500,3,0))</f>
        <v/>
      </c>
      <c r="CW13" s="57" t="str">
        <f>IF(ISNA(VLOOKUP(CU13,'ODBC Data'!$B$1:$J$500,4,0)),"",VLOOKUP(CU13,'ODBC Data'!$B$1:$J$500,4,0))</f>
        <v/>
      </c>
      <c r="CX13" t="str">
        <f>IF(ISNA(VLOOKUP(CU13,'ODBC Data'!$B$1:$J$500,5,0)),"",VLOOKUP(CU13,'ODBC Data'!$B$1:$J$500,5,0))</f>
        <v/>
      </c>
      <c r="CZ13" s="19" t="str">
        <f>IF('ODBC Data'!$I$16&gt;9,'ODBC Data'!$H$16,"")</f>
        <v/>
      </c>
      <c r="DA13" s="19" t="str">
        <f>IF('ODBC Data'!$I$16&gt;9,10,"")</f>
        <v/>
      </c>
      <c r="DB13" s="17" t="str">
        <f t="shared" si="12"/>
        <v/>
      </c>
      <c r="DC13" t="str">
        <f>IF(ISNA(VLOOKUP(DB13,'ODBC Data'!$B$1:$J$500,3,0)),"",VLOOKUP(DB13,'ODBC Data'!$B$1:$J$500,3,0))</f>
        <v/>
      </c>
      <c r="DD13" s="57" t="str">
        <f>IF(ISNA(VLOOKUP(DB13,'ODBC Data'!$B$1:$J$500,4,0)),"",VLOOKUP(DB13,'ODBC Data'!$B$1:$J$500,4,0))</f>
        <v/>
      </c>
      <c r="DE13" t="str">
        <f>IF(ISNA(VLOOKUP(DB13,'ODBC Data'!$B$1:$J$500,5,0)),"",VLOOKUP(DB13,'ODBC Data'!$B$1:$J$500,5,0))</f>
        <v/>
      </c>
      <c r="DG13" s="19" t="str">
        <f>IF('ODBC Data'!$I$17&gt;9,'ODBC Data'!$H$17,"")</f>
        <v/>
      </c>
      <c r="DH13" s="19" t="str">
        <f>IF('ODBC Data'!$I$17&gt;9,10,"")</f>
        <v/>
      </c>
      <c r="DI13" s="17" t="str">
        <f t="shared" si="13"/>
        <v/>
      </c>
      <c r="DJ13" t="str">
        <f>IF(ISNA(VLOOKUP(DI13,'ODBC Data'!$B$1:$J$500,3,0)),"",VLOOKUP(DI13,'ODBC Data'!$B$1:$J$500,3,0))</f>
        <v/>
      </c>
      <c r="DK13" s="57" t="str">
        <f>IF(ISNA(VLOOKUP(DI13,'ODBC Data'!$B$1:$J$500,4,0)),"",VLOOKUP(DI13,'ODBC Data'!$B$1:$J$500,4,0))</f>
        <v/>
      </c>
      <c r="DL13" t="str">
        <f>IF(ISNA(VLOOKUP(DI13,'ODBC Data'!$B$1:$J$500,5,0)),"",VLOOKUP(DI13,'ODBC Data'!$B$1:$J$500,5,0))</f>
        <v/>
      </c>
      <c r="DN13" s="19" t="str">
        <f>IF('ODBC Data'!$I$18&gt;9,'ODBC Data'!$H$18,"")</f>
        <v/>
      </c>
      <c r="DO13" s="19" t="str">
        <f>IF('ODBC Data'!$I$18&gt;9,10,"")</f>
        <v/>
      </c>
      <c r="DP13" s="17" t="str">
        <f t="shared" si="14"/>
        <v/>
      </c>
      <c r="DQ13" t="str">
        <f>IF(ISNA(VLOOKUP(DP13,'ODBC Data'!$B$1:$J$500,3,0)),"",VLOOKUP(DP13,'ODBC Data'!$B$1:$J$500,3,0))</f>
        <v/>
      </c>
      <c r="DR13" s="57" t="str">
        <f>IF(ISNA(VLOOKUP(DP13,'ODBC Data'!$B$1:$J$500,4,0)),"",VLOOKUP(DP13,'ODBC Data'!$B$1:$J$500,4,0))</f>
        <v/>
      </c>
      <c r="DS13" t="str">
        <f>IF(ISNA(VLOOKUP(DP13,'ODBC Data'!$B$1:$J$500,5,0)),"",VLOOKUP(DP13,'ODBC Data'!$B$1:$J$500,5,0))</f>
        <v/>
      </c>
      <c r="DU13" s="19" t="str">
        <f>IF('ODBC Data'!$I$19&gt;9,'ODBC Data'!$H$19,"")</f>
        <v/>
      </c>
      <c r="DV13" s="19" t="str">
        <f>IF('ODBC Data'!$I$19&gt;9,10,"")</f>
        <v/>
      </c>
      <c r="DW13" s="17" t="str">
        <f t="shared" si="15"/>
        <v/>
      </c>
      <c r="DX13" t="str">
        <f>IF(ISNA(VLOOKUP(DW13,'ODBC Data'!$B$1:$J$500,3,0)),"",VLOOKUP(DW13,'ODBC Data'!$B$1:$J$500,3,0))</f>
        <v/>
      </c>
      <c r="DY13" s="57" t="str">
        <f>IF(ISNA(VLOOKUP(DW13,'ODBC Data'!$B$1:$J$500,4,0)),"",VLOOKUP(DW13,'ODBC Data'!$B$1:$J$500,4,0))</f>
        <v/>
      </c>
      <c r="DZ13" t="str">
        <f>IF(ISNA(VLOOKUP(DW13,'ODBC Data'!$B$1:$J$500,5,0)),"",VLOOKUP(DW13,'ODBC Data'!$B$1:$J$500,5,0))</f>
        <v/>
      </c>
      <c r="EB13" s="19" t="str">
        <f>IF('ODBC Data'!$I$20&gt;9,'ODBC Data'!$H$20,"")</f>
        <v/>
      </c>
      <c r="EC13" s="19" t="str">
        <f>IF('ODBC Data'!$I$20&gt;9,10,"")</f>
        <v/>
      </c>
      <c r="ED13" s="17" t="str">
        <f t="shared" si="16"/>
        <v/>
      </c>
      <c r="EE13" s="57" t="str">
        <f>IF(ISNA(VLOOKUP(ED13,'ODBC Data'!$B$1:$J$500,3,0)),"",VLOOKUP(ED13,'ODBC Data'!$B$1:$J$500,3,0))</f>
        <v/>
      </c>
      <c r="EF13" s="57" t="str">
        <f>IF(ISNA(VLOOKUP(ED13,'ODBC Data'!$B$1:$J$500,4,0)),"",VLOOKUP(ED13,'ODBC Data'!$B$1:$J$500,4,0))</f>
        <v/>
      </c>
      <c r="EG13" s="57" t="str">
        <f>IF(ISNA(VLOOKUP(ED13,'ODBC Data'!$B$1:$J$500,5,0)),"",VLOOKUP(ED13,'ODBC Data'!$B$1:$J$500,5,0))</f>
        <v/>
      </c>
      <c r="EI13" s="19" t="str">
        <f>IF('ODBC Data'!$I$21&gt;9,'ODBC Data'!$H$21,"")</f>
        <v/>
      </c>
      <c r="EJ13" s="19" t="str">
        <f>IF('ODBC Data'!$I$21&gt;9,10,"")</f>
        <v/>
      </c>
      <c r="EK13" s="17" t="str">
        <f t="shared" si="17"/>
        <v/>
      </c>
      <c r="EL13" t="str">
        <f>IF(ISNA(VLOOKUP(EK13,'ODBC Data'!$B$1:$J$500,3,0)),"",VLOOKUP(EK13,'ODBC Data'!$B$1:$J$500,3,0))</f>
        <v/>
      </c>
      <c r="EM13" s="57" t="str">
        <f>IF(ISNA(VLOOKUP(EK13,'ODBC Data'!$B$1:$J$500,4,0)),"",VLOOKUP(EK13,'ODBC Data'!$B$1:$J$500,4,0))</f>
        <v/>
      </c>
      <c r="EN13" t="str">
        <f>IF(ISNA(VLOOKUP(EK13,'ODBC Data'!$B$1:$J$500,5,0)),"",VLOOKUP(EK13,'ODBC Data'!$B$1:$J$500,5,0))</f>
        <v/>
      </c>
      <c r="EP13" s="19" t="str">
        <f>IF('ODBC Data'!$I$22&gt;9,'ODBC Data'!$H$22,"")</f>
        <v/>
      </c>
      <c r="EQ13" s="19" t="str">
        <f>IF('ODBC Data'!$I$22&gt;9,10,"")</f>
        <v/>
      </c>
      <c r="ER13" s="17" t="str">
        <f t="shared" si="18"/>
        <v/>
      </c>
      <c r="ES13" t="str">
        <f>IF(ISNA(VLOOKUP(ER13,'ODBC Data'!$B$1:$J$500,3,0)),"",VLOOKUP(ER13,'ODBC Data'!$B$1:$J$500,3,0))</f>
        <v/>
      </c>
      <c r="ET13" s="57" t="str">
        <f>IF(ISNA(VLOOKUP(ER13,'ODBC Data'!$B$1:$J$500,4,0)),"",VLOOKUP(ER13,'ODBC Data'!$B$1:$J$500,4,0))</f>
        <v/>
      </c>
      <c r="EU13" t="str">
        <f>IF(ISNA(VLOOKUP(ER13,'ODBC Data'!$B$1:$J$500,5,0)),"",VLOOKUP(ER13,'ODBC Data'!$B$1:$J$500,5,0))</f>
        <v/>
      </c>
      <c r="EW13" s="19" t="str">
        <f>IF('ODBC Data'!$I$23&gt;9,'ODBC Data'!$H$23,"")</f>
        <v/>
      </c>
      <c r="EX13" s="19" t="str">
        <f>IF('ODBC Data'!$I$23&gt;9,10,"")</f>
        <v/>
      </c>
      <c r="EY13" s="17" t="str">
        <f t="shared" si="19"/>
        <v/>
      </c>
      <c r="EZ13" t="str">
        <f>IF(ISNA(VLOOKUP(EY13,'ODBC Data'!$B$1:$J$500,3,0)),"",VLOOKUP(EY13,'ODBC Data'!$B$1:$J$500,3,0))</f>
        <v/>
      </c>
      <c r="FA13" s="57" t="str">
        <f>IF(ISNA(VLOOKUP(EY13,'ODBC Data'!$B$1:$J$500,4,0)),"",VLOOKUP(EY13,'ODBC Data'!$B$1:$J$500,4,0))</f>
        <v/>
      </c>
      <c r="FB13" t="str">
        <f>IF(ISNA(VLOOKUP(EY13,'ODBC Data'!$B$1:$J$500,5,0)),"",VLOOKUP(EY13,'ODBC Data'!$B$1:$J$500,5,0))</f>
        <v/>
      </c>
      <c r="FD13" s="19" t="str">
        <f>IF('ODBC Data'!$I$24&gt;9,'ODBC Data'!$H$24,"")</f>
        <v/>
      </c>
      <c r="FE13" s="19" t="str">
        <f>IF('ODBC Data'!$I$24&gt;9,10,"")</f>
        <v/>
      </c>
      <c r="FF13" s="17" t="str">
        <f t="shared" si="20"/>
        <v/>
      </c>
      <c r="FG13" t="str">
        <f>IF(ISNA(VLOOKUP(FF13,'ODBC Data'!$B$1:$J$500,3,0)),"",VLOOKUP(FF13,'ODBC Data'!$B$1:$J$500,3,0))</f>
        <v/>
      </c>
      <c r="FH13" s="57" t="str">
        <f>IF(ISNA(VLOOKUP(FF13,'ODBC Data'!$B$1:$J$500,4,0)),"",VLOOKUP(FF13,'ODBC Data'!$B$1:$J$500,4,0))</f>
        <v/>
      </c>
      <c r="FI13" t="str">
        <f>IF(ISNA(VLOOKUP(FF13,'ODBC Data'!$B$1:$J$500,5,0)),"",VLOOKUP(FF13,'ODBC Data'!$B$1:$J$500,5,0))</f>
        <v/>
      </c>
      <c r="FK13" s="19" t="str">
        <f>IF('ODBC Data'!$I$25&gt;9,'ODBC Data'!$H$25,"")</f>
        <v/>
      </c>
      <c r="FL13" s="19" t="str">
        <f>IF('ODBC Data'!$I$25&gt;9,10,"")</f>
        <v/>
      </c>
      <c r="FM13" s="17" t="str">
        <f t="shared" si="21"/>
        <v/>
      </c>
      <c r="FN13" t="str">
        <f>IF(ISNA(VLOOKUP(FM13,'ODBC Data'!$B$1:$J$500,3,0)),"",VLOOKUP(FM13,'ODBC Data'!$B$1:$J$500,3,0))</f>
        <v/>
      </c>
      <c r="FO13" s="57" t="str">
        <f>IF(ISNA(VLOOKUP(FM13,'ODBC Data'!$B$1:$J$500,4,0)),"",VLOOKUP(FM13,'ODBC Data'!$B$1:$J$500,4,0))</f>
        <v/>
      </c>
      <c r="FP13" t="str">
        <f>IF(ISNA(VLOOKUP(FM13,'ODBC Data'!$B$1:$J$500,5,0)),"",VLOOKUP(FM13,'ODBC Data'!$B$1:$J$500,5,0))</f>
        <v/>
      </c>
      <c r="FR13" s="19" t="str">
        <f>IF('ODBC Data'!$I$26&gt;9,'ODBC Data'!$H$26,"")</f>
        <v/>
      </c>
      <c r="FS13" s="19" t="str">
        <f>IF('ODBC Data'!$I$26&gt;9,10,"")</f>
        <v/>
      </c>
      <c r="FT13" s="17" t="str">
        <f t="shared" si="22"/>
        <v/>
      </c>
      <c r="FU13" s="57" t="str">
        <f>IF(ISNA(VLOOKUP(FT13,'ODBC Data'!$B$1:$J$500,3,0)),"",VLOOKUP(FT13,'ODBC Data'!$B$1:$J$500,3,0))</f>
        <v/>
      </c>
      <c r="FV13" s="57" t="str">
        <f>IF(ISNA(VLOOKUP(FT13,'ODBC Data'!$B$1:$J$500,4,0)),"",VLOOKUP(FT13,'ODBC Data'!$B$1:$J$500,4,0))</f>
        <v/>
      </c>
      <c r="FW13" s="57" t="str">
        <f>IF(ISNA(VLOOKUP(FT13,'ODBC Data'!$B$1:$J$500,5,0)),"",VLOOKUP(FT13,'ODBC Data'!$B$1:$J$500,5,0))</f>
        <v/>
      </c>
      <c r="FY13" s="19" t="str">
        <f>IF('ODBC Data'!$I$27&gt;9,'ODBC Data'!$H$27,"")</f>
        <v/>
      </c>
      <c r="FZ13" s="19" t="str">
        <f>IF('ODBC Data'!$I$27&gt;9,10,"")</f>
        <v/>
      </c>
      <c r="GA13" s="17" t="str">
        <f t="shared" si="23"/>
        <v/>
      </c>
      <c r="GB13" s="57" t="str">
        <f>IF(ISNA(VLOOKUP(GA13,'ODBC Data'!$B$1:$J$500,3,0)),"",VLOOKUP(GA13,'ODBC Data'!$B$1:$J$500,3,0))</f>
        <v/>
      </c>
      <c r="GC13" s="57" t="str">
        <f>IF(ISNA(VLOOKUP(GA13,'ODBC Data'!$B$1:$J$500,4,0)),"",VLOOKUP(GA13,'ODBC Data'!$B$1:$J$500,4,0))</f>
        <v/>
      </c>
      <c r="GD13" s="57" t="str">
        <f>IF(ISNA(VLOOKUP(GA13,'ODBC Data'!$B$1:$J$500,5,0)),"",VLOOKUP(GA13,'ODBC Data'!$B$1:$J$500,5,0))</f>
        <v/>
      </c>
    </row>
    <row r="14" spans="1:186">
      <c r="A14" s="19" t="str">
        <f>IF('ODBC Data'!$I$1&gt;10,'ODBC Data'!$H$1,"")</f>
        <v/>
      </c>
      <c r="B14" s="19" t="str">
        <f>IF('ODBC Data'!$I$1&gt;10,11,"")</f>
        <v/>
      </c>
      <c r="C14" s="17" t="str">
        <f t="shared" si="27"/>
        <v/>
      </c>
      <c r="D14" t="str">
        <f>IF(ISNA(VLOOKUP(C14,'ODBC Data'!$B$1:$J$500,3,0)),"",VLOOKUP(C14,'ODBC Data'!$B$1:$J$500,3,0))</f>
        <v/>
      </c>
      <c r="E14" t="str">
        <f>IF(ISNA(VLOOKUP(C14,'ODBC Data'!$B$1:$J$500,5,0)),"",VLOOKUP(C14,'ODBC Data'!$B$1:$J$500,5,0))</f>
        <v/>
      </c>
      <c r="F14" t="str">
        <f t="shared" si="28"/>
        <v/>
      </c>
      <c r="G14" s="19" t="str">
        <f>IF('ODBC Data'!$I$2&gt;10,'ODBC Data'!$H$2,"")</f>
        <v/>
      </c>
      <c r="H14" s="19" t="str">
        <f>IF('ODBC Data'!$I$2&gt;10,11,"")</f>
        <v/>
      </c>
      <c r="I14" s="17" t="str">
        <f t="shared" si="24"/>
        <v/>
      </c>
      <c r="J14" t="str">
        <f>IF(ISNA(VLOOKUP(I14,'ODBC Data'!$B$1:$J$500,3,0)),"",VLOOKUP(I14,'ODBC Data'!$B$1:$J$500,3,0))</f>
        <v/>
      </c>
      <c r="K14" t="str">
        <f>IF(ISNA(VLOOKUP(I14,'ODBC Data'!$B$1:$J$500,5,0)),"",VLOOKUP(I14,'ODBC Data'!$B$1:$J$500,5,0))</f>
        <v/>
      </c>
      <c r="M14" s="19" t="str">
        <f>IF('ODBC Data'!$I$3&gt;10,'ODBC Data'!$H$3,"")</f>
        <v/>
      </c>
      <c r="N14" s="19" t="str">
        <f>IF('ODBC Data'!$I$3&gt;10,11,"")</f>
        <v/>
      </c>
      <c r="O14" s="17" t="str">
        <f t="shared" si="25"/>
        <v/>
      </c>
      <c r="P14" t="str">
        <f>IF(ISNA(VLOOKUP(O14,'ODBC Data'!$B$1:$J$500,3,0)),"",VLOOKUP(O14,'ODBC Data'!$B$1:$J$500,3,0))</f>
        <v/>
      </c>
      <c r="Q14" t="str">
        <f>IF(ISNA(VLOOKUP(O14,'ODBC Data'!$B$1:$J$500,5,0)),"",VLOOKUP(O14,'ODBC Data'!$B$1:$J$500,4,0))</f>
        <v/>
      </c>
      <c r="S14" s="19" t="str">
        <f>IF('ODBC Data'!$I$3&gt;10,'ODBC Data'!$H$3,"")</f>
        <v/>
      </c>
      <c r="T14" s="19" t="str">
        <f>IF('ODBC Data'!$I$3&gt;10,11,"")</f>
        <v/>
      </c>
      <c r="U14" s="17" t="str">
        <f t="shared" si="26"/>
        <v/>
      </c>
      <c r="V14" t="str">
        <f>IF(ISNA(VLOOKUP(U14,'ODBC Data'!$B$1:$J$500,3,0)),"",VLOOKUP(U14,'ODBC Data'!$B$1:$J$500,3,0))</f>
        <v/>
      </c>
      <c r="W14" t="str">
        <f>IF(ISNA(VLOOKUP(U14,'ODBC Data'!$B$1:$J$500,5,0)),"",VLOOKUP(U14,'ODBC Data'!$B$1:$J$500,5,0))</f>
        <v/>
      </c>
      <c r="Y14" s="19" t="str">
        <f>IF('ODBC Data'!$I$4&gt;10,'ODBC Data'!$H$4,"")</f>
        <v/>
      </c>
      <c r="Z14" s="19" t="str">
        <f>IF('ODBC Data'!$I$4&gt;10,11,"")</f>
        <v/>
      </c>
      <c r="AA14" s="17" t="str">
        <f t="shared" si="0"/>
        <v/>
      </c>
      <c r="AB14" s="57" t="str">
        <f>IF(ISNA(VLOOKUP(AA14,'ODBC Data'!$B$1:$J$500,3,0)),"",VLOOKUP(AA14,'ODBC Data'!$B$1:$J$500,3,0))</f>
        <v/>
      </c>
      <c r="AC14" s="57" t="str">
        <f>IF(ISNA(VLOOKUP(AA14,'ODBC Data'!$B$1:$J$500,5,0)),"",VLOOKUP(AA14,'ODBC Data'!$B$1:$J$500,5,0))</f>
        <v/>
      </c>
      <c r="AE14" s="19" t="str">
        <f>IF('ODBC Data'!$I$5&gt;10,'ODBC Data'!$H$5,"")</f>
        <v/>
      </c>
      <c r="AF14" s="19" t="str">
        <f>IF('ODBC Data'!$I$5&gt;10,11,"")</f>
        <v/>
      </c>
      <c r="AG14" s="17" t="str">
        <f t="shared" si="1"/>
        <v/>
      </c>
      <c r="AH14" t="str">
        <f>IF(ISNA(VLOOKUP(AG14,'ODBC Data'!$B$1:$J$500,3,0)),"",VLOOKUP(AG14,'ODBC Data'!$B$1:$J$500,3,0))</f>
        <v/>
      </c>
      <c r="AI14" t="str">
        <f>IF(ISNA(VLOOKUP(AG14,'ODBC Data'!$B$1:$J$500,5,0)),"",VLOOKUP(AG14,'ODBC Data'!$B$1:$J$500,5,0))</f>
        <v/>
      </c>
      <c r="AK14" s="19" t="str">
        <f>IF('ODBC Data'!$I$6&gt;10,'ODBC Data'!$H$6,"")</f>
        <v/>
      </c>
      <c r="AL14" s="19" t="str">
        <f>IF('ODBC Data'!$I$6&gt;10,11,"")</f>
        <v/>
      </c>
      <c r="AM14" s="17" t="str">
        <f t="shared" si="2"/>
        <v/>
      </c>
      <c r="AN14" t="str">
        <f>IF(ISNA(VLOOKUP(AM14,'ODBC Data'!$B$1:$J$500,3,0)),"",VLOOKUP(AM14,'ODBC Data'!$B$1:$J$500,3,0))</f>
        <v/>
      </c>
      <c r="AO14" t="str">
        <f>IF(ISNA(VLOOKUP(AM14,'ODBC Data'!$B$1:$J$500,5,0)),"",VLOOKUP(AM14,'ODBC Data'!$B$1:$J$500,5,0))</f>
        <v/>
      </c>
      <c r="AQ14" s="19" t="str">
        <f>IF('ODBC Data'!$I$7&gt;10,'ODBC Data'!$H$7,"")</f>
        <v/>
      </c>
      <c r="AR14" s="19" t="str">
        <f>IF('ODBC Data'!$I$7&gt;10,11,"")</f>
        <v/>
      </c>
      <c r="AS14" s="17" t="str">
        <f t="shared" si="3"/>
        <v/>
      </c>
      <c r="AT14" t="str">
        <f>IF(ISNA(VLOOKUP(AS14,'ODBC Data'!$B$1:$J$500,3,0)),"",VLOOKUP(AS14,'ODBC Data'!$B$1:$J$500,3,0))</f>
        <v/>
      </c>
      <c r="AU14" t="str">
        <f>IF(ISNA(VLOOKUP(AS14,'ODBC Data'!$B$1:$J$500,5,0)),"",VLOOKUP(AS14,'ODBC Data'!$B$1:$J$500,5,0))</f>
        <v/>
      </c>
      <c r="AW14" s="19" t="str">
        <f>IF('ODBC Data'!$I$8&gt;10,'ODBC Data'!$H$8,"")</f>
        <v/>
      </c>
      <c r="AX14" s="19" t="str">
        <f>IF('ODBC Data'!$I$8&gt;10,11,"")</f>
        <v/>
      </c>
      <c r="AY14" s="17" t="str">
        <f t="shared" si="4"/>
        <v/>
      </c>
      <c r="AZ14" t="str">
        <f>IF(ISNA(VLOOKUP(AY14,'ODBC Data'!$B$1:$J$500,3,0)),"",VLOOKUP(AY14,'ODBC Data'!$B$1:$J$500,3,0))</f>
        <v/>
      </c>
      <c r="BA14" t="str">
        <f>IF(ISNA(VLOOKUP(AY14,'ODBC Data'!$B$1:$J$500,5,0)),"",VLOOKUP(AY14,'ODBC Data'!$B$1:$J$500,5,0))</f>
        <v/>
      </c>
      <c r="BC14" s="19" t="str">
        <f>IF('ODBC Data'!$I$9&gt;10,'ODBC Data'!$H$9,"")</f>
        <v/>
      </c>
      <c r="BD14" s="19" t="str">
        <f>IF('ODBC Data'!$I$9&gt;10,11,"")</f>
        <v/>
      </c>
      <c r="BE14" s="17" t="str">
        <f t="shared" si="5"/>
        <v/>
      </c>
      <c r="BF14" t="str">
        <f>IF(ISNA(VLOOKUP(BE14,'ODBC Data'!$B$1:$J$500,3,0)),"",VLOOKUP(BE14,'ODBC Data'!$B$1:$J$500,3,0))</f>
        <v/>
      </c>
      <c r="BG14" s="57" t="str">
        <f>IF(ISNA(VLOOKUP(BE14,'ODBC Data'!$B$1:$J$500,4,0)),"",VLOOKUP(BE14,'ODBC Data'!$B$1:$J$500,4,0))</f>
        <v/>
      </c>
      <c r="BH14" t="str">
        <f>IF(ISNA(VLOOKUP(BE14,'ODBC Data'!$B$1:$J$500,5,0)),"",VLOOKUP(BE14,'ODBC Data'!$B$1:$J$500,5,0))</f>
        <v/>
      </c>
      <c r="BJ14" s="19" t="str">
        <f>IF('ODBC Data'!$I$10&gt;10,'ODBC Data'!$H$10,"")</f>
        <v/>
      </c>
      <c r="BK14" s="19" t="str">
        <f>IF('ODBC Data'!$I$10&gt;10,11,"")</f>
        <v/>
      </c>
      <c r="BL14" s="17" t="str">
        <f t="shared" si="6"/>
        <v/>
      </c>
      <c r="BM14" t="str">
        <f>IF(ISNA(VLOOKUP(BL14,'ODBC Data'!$B$1:$J$500,3,0)),"",VLOOKUP(BL14,'ODBC Data'!$B$1:$J$500,3,0))</f>
        <v/>
      </c>
      <c r="BN14" s="57" t="str">
        <f>IF(ISNA(VLOOKUP(BL14,'ODBC Data'!$B$1:$J$500,4,0)),"",VLOOKUP(BL14,'ODBC Data'!$B$1:$J$500,4,0))</f>
        <v/>
      </c>
      <c r="BO14" t="str">
        <f>IF(ISNA(VLOOKUP(BL14,'ODBC Data'!$B$1:$J$500,5,0)),"",VLOOKUP(BL14,'ODBC Data'!$B$1:$J$500,5,0))</f>
        <v/>
      </c>
      <c r="BQ14" s="19" t="str">
        <f>IF('ODBC Data'!$I$11&gt;10,'ODBC Data'!$H$11,"")</f>
        <v/>
      </c>
      <c r="BR14" s="19" t="str">
        <f>IF('ODBC Data'!$I$11&gt;10,11,"")</f>
        <v/>
      </c>
      <c r="BS14" s="17" t="str">
        <f t="shared" si="7"/>
        <v/>
      </c>
      <c r="BT14" t="str">
        <f>IF(ISNA(VLOOKUP(BS14,'ODBC Data'!$B$1:$J$500,3,0)),"",VLOOKUP(BS14,'ODBC Data'!$B$1:$J$500,3,0))</f>
        <v/>
      </c>
      <c r="BU14" s="57" t="str">
        <f>IF(ISNA(VLOOKUP(BS14,'ODBC Data'!$B$1:$J$500,4,0)),"",VLOOKUP(BS14,'ODBC Data'!$B$1:$J$500,4,0))</f>
        <v/>
      </c>
      <c r="BV14" t="str">
        <f>IF(ISNA(VLOOKUP(BS14,'ODBC Data'!$B$1:$J$500,5,0)),"",VLOOKUP(BS14,'ODBC Data'!$B$1:$J$500,5,0))</f>
        <v/>
      </c>
      <c r="BX14" s="19" t="str">
        <f>IF('ODBC Data'!$I$12&gt;10,'ODBC Data'!$H$12,"")</f>
        <v/>
      </c>
      <c r="BY14" s="19" t="str">
        <f>IF('ODBC Data'!$I$12&gt;10,11,"")</f>
        <v/>
      </c>
      <c r="BZ14" s="17" t="str">
        <f t="shared" si="8"/>
        <v/>
      </c>
      <c r="CA14" t="str">
        <f>IF(ISNA(VLOOKUP(BZ14,'ODBC Data'!$B$1:$J$500,3,0)),"",VLOOKUP(BZ14,'ODBC Data'!$B$1:$J$500,3,0))</f>
        <v/>
      </c>
      <c r="CB14" s="57" t="str">
        <f>IF(ISNA(VLOOKUP(BZ14,'ODBC Data'!$B$1:$J$500,4,0)),"",VLOOKUP(BZ14,'ODBC Data'!$B$1:$J$500,4,0))</f>
        <v/>
      </c>
      <c r="CC14" t="str">
        <f>IF(ISNA(VLOOKUP(BZ14,'ODBC Data'!$B$1:$J$500,5,0)),"",VLOOKUP(BZ14,'ODBC Data'!$B$1:$J$500,5,0))</f>
        <v/>
      </c>
      <c r="CE14" s="19" t="str">
        <f>IF('ODBC Data'!$I$13&gt;10,'ODBC Data'!$H$13,"")</f>
        <v/>
      </c>
      <c r="CF14" s="19" t="str">
        <f>IF('ODBC Data'!$I$13&gt;10,11,"")</f>
        <v/>
      </c>
      <c r="CG14" s="17" t="str">
        <f t="shared" si="9"/>
        <v/>
      </c>
      <c r="CH14" t="str">
        <f>IF(ISNA(VLOOKUP(CG14,'ODBC Data'!$B$1:$J$500,3,0)),"",VLOOKUP(CG14,'ODBC Data'!$B$1:$J$500,3,0))</f>
        <v/>
      </c>
      <c r="CI14" s="57" t="str">
        <f>IF(ISNA(VLOOKUP(CG14,'ODBC Data'!$B$1:$J$500,4,0)),"",VLOOKUP(CG14,'ODBC Data'!$B$1:$J$500,4,0))</f>
        <v/>
      </c>
      <c r="CJ14" t="str">
        <f>IF(ISNA(VLOOKUP(CG14,'ODBC Data'!$B$1:$J$500,5,0)),"",VLOOKUP(CG14,'ODBC Data'!$B$1:$J$500,5,0))</f>
        <v/>
      </c>
      <c r="CL14" s="19" t="str">
        <f>IF('ODBC Data'!$I$14&gt;10,'ODBC Data'!$H$14,"")</f>
        <v/>
      </c>
      <c r="CM14" s="19" t="str">
        <f>IF('ODBC Data'!$I$14&gt;10,11,"")</f>
        <v/>
      </c>
      <c r="CN14" s="17" t="str">
        <f t="shared" si="10"/>
        <v/>
      </c>
      <c r="CO14" s="57" t="str">
        <f>IF(ISNA(VLOOKUP(CN14,'ODBC Data'!$B$1:$J$500,3,0)),"",VLOOKUP(CN14,'ODBC Data'!$B$1:$J$500,3,0))</f>
        <v/>
      </c>
      <c r="CP14" s="57" t="str">
        <f>IF(ISNA(VLOOKUP(CN14,'ODBC Data'!$B$1:$J$500,4,0)),"",VLOOKUP(CN14,'ODBC Data'!$B$1:$J$500,4,0))</f>
        <v/>
      </c>
      <c r="CQ14" s="57" t="str">
        <f>IF(ISNA(VLOOKUP(CN14,'ODBC Data'!$B$1:$J$500,5,0)),"",VLOOKUP(CN14,'ODBC Data'!$B$1:$J$500,5,0))</f>
        <v/>
      </c>
      <c r="CS14" s="19" t="str">
        <f>IF('ODBC Data'!$I$15&gt;10,'ODBC Data'!$H$15,"")</f>
        <v/>
      </c>
      <c r="CT14" s="19" t="str">
        <f>IF('ODBC Data'!$I$15&gt;10,11,"")</f>
        <v/>
      </c>
      <c r="CU14" s="17" t="str">
        <f t="shared" si="11"/>
        <v/>
      </c>
      <c r="CV14" t="str">
        <f>IF(ISNA(VLOOKUP(CU14,'ODBC Data'!$B$1:$J$500,3,0)),"",VLOOKUP(CU14,'ODBC Data'!$B$1:$J$500,3,0))</f>
        <v/>
      </c>
      <c r="CW14" s="57" t="str">
        <f>IF(ISNA(VLOOKUP(CU14,'ODBC Data'!$B$1:$J$500,4,0)),"",VLOOKUP(CU14,'ODBC Data'!$B$1:$J$500,4,0))</f>
        <v/>
      </c>
      <c r="CX14" t="str">
        <f>IF(ISNA(VLOOKUP(CU14,'ODBC Data'!$B$1:$J$500,5,0)),"",VLOOKUP(CU14,'ODBC Data'!$B$1:$J$500,5,0))</f>
        <v/>
      </c>
      <c r="CZ14" s="19" t="str">
        <f>IF('ODBC Data'!$I$16&gt;10,'ODBC Data'!$H$16,"")</f>
        <v/>
      </c>
      <c r="DA14" s="19" t="str">
        <f>IF('ODBC Data'!$I$16&gt;10,11,"")</f>
        <v/>
      </c>
      <c r="DB14" s="17" t="str">
        <f t="shared" si="12"/>
        <v/>
      </c>
      <c r="DC14" t="str">
        <f>IF(ISNA(VLOOKUP(DB14,'ODBC Data'!$B$1:$J$500,3,0)),"",VLOOKUP(DB14,'ODBC Data'!$B$1:$J$500,3,0))</f>
        <v/>
      </c>
      <c r="DD14" s="57" t="str">
        <f>IF(ISNA(VLOOKUP(DB14,'ODBC Data'!$B$1:$J$500,4,0)),"",VLOOKUP(DB14,'ODBC Data'!$B$1:$J$500,4,0))</f>
        <v/>
      </c>
      <c r="DE14" t="str">
        <f>IF(ISNA(VLOOKUP(DB14,'ODBC Data'!$B$1:$J$500,5,0)),"",VLOOKUP(DB14,'ODBC Data'!$B$1:$J$500,5,0))</f>
        <v/>
      </c>
      <c r="DG14" s="19" t="str">
        <f>IF('ODBC Data'!$I$17&gt;10,'ODBC Data'!$H$17,"")</f>
        <v/>
      </c>
      <c r="DH14" s="19" t="str">
        <f>IF('ODBC Data'!$I$17&gt;10,11,"")</f>
        <v/>
      </c>
      <c r="DI14" s="17" t="str">
        <f t="shared" si="13"/>
        <v/>
      </c>
      <c r="DJ14" t="str">
        <f>IF(ISNA(VLOOKUP(DI14,'ODBC Data'!$B$1:$J$500,3,0)),"",VLOOKUP(DI14,'ODBC Data'!$B$1:$J$500,3,0))</f>
        <v/>
      </c>
      <c r="DK14" s="57" t="str">
        <f>IF(ISNA(VLOOKUP(DI14,'ODBC Data'!$B$1:$J$500,4,0)),"",VLOOKUP(DI14,'ODBC Data'!$B$1:$J$500,4,0))</f>
        <v/>
      </c>
      <c r="DL14" t="str">
        <f>IF(ISNA(VLOOKUP(DI14,'ODBC Data'!$B$1:$J$500,5,0)),"",VLOOKUP(DI14,'ODBC Data'!$B$1:$J$500,5,0))</f>
        <v/>
      </c>
      <c r="DN14" s="19" t="str">
        <f>IF('ODBC Data'!$I$18&gt;10,'ODBC Data'!$H$18,"")</f>
        <v/>
      </c>
      <c r="DO14" s="19" t="str">
        <f>IF('ODBC Data'!$I$18&gt;10,11,"")</f>
        <v/>
      </c>
      <c r="DP14" s="17" t="str">
        <f t="shared" si="14"/>
        <v/>
      </c>
      <c r="DQ14" t="str">
        <f>IF(ISNA(VLOOKUP(DP14,'ODBC Data'!$B$1:$J$500,3,0)),"",VLOOKUP(DP14,'ODBC Data'!$B$1:$J$500,3,0))</f>
        <v/>
      </c>
      <c r="DR14" s="57" t="str">
        <f>IF(ISNA(VLOOKUP(DP14,'ODBC Data'!$B$1:$J$500,4,0)),"",VLOOKUP(DP14,'ODBC Data'!$B$1:$J$500,4,0))</f>
        <v/>
      </c>
      <c r="DS14" t="str">
        <f>IF(ISNA(VLOOKUP(DP14,'ODBC Data'!$B$1:$J$500,5,0)),"",VLOOKUP(DP14,'ODBC Data'!$B$1:$J$500,5,0))</f>
        <v/>
      </c>
      <c r="DU14" s="19" t="str">
        <f>IF('ODBC Data'!$I$19&gt;10,'ODBC Data'!$H$19,"")</f>
        <v/>
      </c>
      <c r="DV14" s="19" t="str">
        <f>IF('ODBC Data'!$I$19&gt;10,11,"")</f>
        <v/>
      </c>
      <c r="DW14" s="17" t="str">
        <f t="shared" si="15"/>
        <v/>
      </c>
      <c r="DX14" t="str">
        <f>IF(ISNA(VLOOKUP(DW14,'ODBC Data'!$B$1:$J$500,3,0)),"",VLOOKUP(DW14,'ODBC Data'!$B$1:$J$500,3,0))</f>
        <v/>
      </c>
      <c r="DY14" s="57" t="str">
        <f>IF(ISNA(VLOOKUP(DW14,'ODBC Data'!$B$1:$J$500,4,0)),"",VLOOKUP(DW14,'ODBC Data'!$B$1:$J$500,4,0))</f>
        <v/>
      </c>
      <c r="DZ14" t="str">
        <f>IF(ISNA(VLOOKUP(DW14,'ODBC Data'!$B$1:$J$500,5,0)),"",VLOOKUP(DW14,'ODBC Data'!$B$1:$J$500,5,0))</f>
        <v/>
      </c>
      <c r="EB14" s="19" t="str">
        <f>IF('ODBC Data'!$I$20&gt;10,'ODBC Data'!$H$20,"")</f>
        <v/>
      </c>
      <c r="EC14" s="19" t="str">
        <f>IF('ODBC Data'!$I$20&gt;10,11,"")</f>
        <v/>
      </c>
      <c r="ED14" s="17" t="str">
        <f t="shared" si="16"/>
        <v/>
      </c>
      <c r="EE14" s="57" t="str">
        <f>IF(ISNA(VLOOKUP(ED14,'ODBC Data'!$B$1:$J$500,3,0)),"",VLOOKUP(ED14,'ODBC Data'!$B$1:$J$500,3,0))</f>
        <v/>
      </c>
      <c r="EF14" s="57" t="str">
        <f>IF(ISNA(VLOOKUP(ED14,'ODBC Data'!$B$1:$J$500,4,0)),"",VLOOKUP(ED14,'ODBC Data'!$B$1:$J$500,4,0))</f>
        <v/>
      </c>
      <c r="EG14" s="57" t="str">
        <f>IF(ISNA(VLOOKUP(ED14,'ODBC Data'!$B$1:$J$500,5,0)),"",VLOOKUP(ED14,'ODBC Data'!$B$1:$J$500,5,0))</f>
        <v/>
      </c>
      <c r="EI14" s="19" t="str">
        <f>IF('ODBC Data'!$I$21&gt;10,'ODBC Data'!$H$21,"")</f>
        <v/>
      </c>
      <c r="EJ14" s="19" t="str">
        <f>IF('ODBC Data'!$I$21&gt;10,11,"")</f>
        <v/>
      </c>
      <c r="EK14" s="17" t="str">
        <f t="shared" si="17"/>
        <v/>
      </c>
      <c r="EL14" t="str">
        <f>IF(ISNA(VLOOKUP(EK14,'ODBC Data'!$B$1:$J$500,3,0)),"",VLOOKUP(EK14,'ODBC Data'!$B$1:$J$500,3,0))</f>
        <v/>
      </c>
      <c r="EM14" s="57" t="str">
        <f>IF(ISNA(VLOOKUP(EK14,'ODBC Data'!$B$1:$J$500,4,0)),"",VLOOKUP(EK14,'ODBC Data'!$B$1:$J$500,4,0))</f>
        <v/>
      </c>
      <c r="EN14" t="str">
        <f>IF(ISNA(VLOOKUP(EK14,'ODBC Data'!$B$1:$J$500,5,0)),"",VLOOKUP(EK14,'ODBC Data'!$B$1:$J$500,5,0))</f>
        <v/>
      </c>
      <c r="EP14" s="19" t="str">
        <f>IF('ODBC Data'!$I$22&gt;10,'ODBC Data'!$H$22,"")</f>
        <v/>
      </c>
      <c r="EQ14" s="19" t="str">
        <f>IF('ODBC Data'!$I$22&gt;10,11,"")</f>
        <v/>
      </c>
      <c r="ER14" s="17" t="str">
        <f t="shared" si="18"/>
        <v/>
      </c>
      <c r="ES14" t="str">
        <f>IF(ISNA(VLOOKUP(ER14,'ODBC Data'!$B$1:$J$500,3,0)),"",VLOOKUP(ER14,'ODBC Data'!$B$1:$J$500,3,0))</f>
        <v/>
      </c>
      <c r="ET14" s="57" t="str">
        <f>IF(ISNA(VLOOKUP(ER14,'ODBC Data'!$B$1:$J$500,4,0)),"",VLOOKUP(ER14,'ODBC Data'!$B$1:$J$500,4,0))</f>
        <v/>
      </c>
      <c r="EU14" t="str">
        <f>IF(ISNA(VLOOKUP(ER14,'ODBC Data'!$B$1:$J$500,5,0)),"",VLOOKUP(ER14,'ODBC Data'!$B$1:$J$500,5,0))</f>
        <v/>
      </c>
      <c r="EW14" s="19" t="str">
        <f>IF('ODBC Data'!$I$23&gt;10,'ODBC Data'!$H$23,"")</f>
        <v/>
      </c>
      <c r="EX14" s="19" t="str">
        <f>IF('ODBC Data'!$I$23&gt;10,11,"")</f>
        <v/>
      </c>
      <c r="EY14" s="17" t="str">
        <f t="shared" si="19"/>
        <v/>
      </c>
      <c r="EZ14" t="str">
        <f>IF(ISNA(VLOOKUP(EY14,'ODBC Data'!$B$1:$J$500,3,0)),"",VLOOKUP(EY14,'ODBC Data'!$B$1:$J$500,3,0))</f>
        <v/>
      </c>
      <c r="FA14" s="57" t="str">
        <f>IF(ISNA(VLOOKUP(EY14,'ODBC Data'!$B$1:$J$500,4,0)),"",VLOOKUP(EY14,'ODBC Data'!$B$1:$J$500,4,0))</f>
        <v/>
      </c>
      <c r="FB14" t="str">
        <f>IF(ISNA(VLOOKUP(EY14,'ODBC Data'!$B$1:$J$500,5,0)),"",VLOOKUP(EY14,'ODBC Data'!$B$1:$J$500,5,0))</f>
        <v/>
      </c>
      <c r="FD14" s="19" t="str">
        <f>IF('ODBC Data'!$I$24&gt;10,'ODBC Data'!$H$24,"")</f>
        <v/>
      </c>
      <c r="FE14" s="19" t="str">
        <f>IF('ODBC Data'!$I$24&gt;10,11,"")</f>
        <v/>
      </c>
      <c r="FF14" s="17" t="str">
        <f t="shared" si="20"/>
        <v/>
      </c>
      <c r="FG14" t="str">
        <f>IF(ISNA(VLOOKUP(FF14,'ODBC Data'!$B$1:$J$500,3,0)),"",VLOOKUP(FF14,'ODBC Data'!$B$1:$J$500,3,0))</f>
        <v/>
      </c>
      <c r="FH14" s="57" t="str">
        <f>IF(ISNA(VLOOKUP(FF14,'ODBC Data'!$B$1:$J$500,4,0)),"",VLOOKUP(FF14,'ODBC Data'!$B$1:$J$500,4,0))</f>
        <v/>
      </c>
      <c r="FI14" t="str">
        <f>IF(ISNA(VLOOKUP(FF14,'ODBC Data'!$B$1:$J$500,5,0)),"",VLOOKUP(FF14,'ODBC Data'!$B$1:$J$500,5,0))</f>
        <v/>
      </c>
      <c r="FK14" s="19" t="str">
        <f>IF('ODBC Data'!$I$25&gt;10,'ODBC Data'!$H$25,"")</f>
        <v/>
      </c>
      <c r="FL14" s="19" t="str">
        <f>IF('ODBC Data'!$I$25&gt;10,11,"")</f>
        <v/>
      </c>
      <c r="FM14" s="17" t="str">
        <f t="shared" si="21"/>
        <v/>
      </c>
      <c r="FN14" t="str">
        <f>IF(ISNA(VLOOKUP(FM14,'ODBC Data'!$B$1:$J$500,3,0)),"",VLOOKUP(FM14,'ODBC Data'!$B$1:$J$500,3,0))</f>
        <v/>
      </c>
      <c r="FO14" s="57" t="str">
        <f>IF(ISNA(VLOOKUP(FM14,'ODBC Data'!$B$1:$J$500,4,0)),"",VLOOKUP(FM14,'ODBC Data'!$B$1:$J$500,4,0))</f>
        <v/>
      </c>
      <c r="FP14" t="str">
        <f>IF(ISNA(VLOOKUP(FM14,'ODBC Data'!$B$1:$J$500,5,0)),"",VLOOKUP(FM14,'ODBC Data'!$B$1:$J$500,5,0))</f>
        <v/>
      </c>
      <c r="FR14" s="19" t="str">
        <f>IF('ODBC Data'!$I$26&gt;10,'ODBC Data'!$H$26,"")</f>
        <v/>
      </c>
      <c r="FS14" s="19" t="str">
        <f>IF('ODBC Data'!$I$26&gt;10,11,"")</f>
        <v/>
      </c>
      <c r="FT14" s="17" t="str">
        <f t="shared" si="22"/>
        <v/>
      </c>
      <c r="FU14" s="57" t="str">
        <f>IF(ISNA(VLOOKUP(FT14,'ODBC Data'!$B$1:$J$500,3,0)),"",VLOOKUP(FT14,'ODBC Data'!$B$1:$J$500,3,0))</f>
        <v/>
      </c>
      <c r="FV14" s="57" t="str">
        <f>IF(ISNA(VLOOKUP(FT14,'ODBC Data'!$B$1:$J$500,4,0)),"",VLOOKUP(FT14,'ODBC Data'!$B$1:$J$500,4,0))</f>
        <v/>
      </c>
      <c r="FW14" s="57" t="str">
        <f>IF(ISNA(VLOOKUP(FT14,'ODBC Data'!$B$1:$J$500,5,0)),"",VLOOKUP(FT14,'ODBC Data'!$B$1:$J$500,5,0))</f>
        <v/>
      </c>
      <c r="FY14" s="19" t="str">
        <f>IF('ODBC Data'!$I$27&gt;10,'ODBC Data'!$H$27,"")</f>
        <v/>
      </c>
      <c r="FZ14" s="19" t="str">
        <f>IF('ODBC Data'!$I$27&gt;10,11,"")</f>
        <v/>
      </c>
      <c r="GA14" s="17" t="str">
        <f t="shared" si="23"/>
        <v/>
      </c>
      <c r="GB14" s="57" t="str">
        <f>IF(ISNA(VLOOKUP(GA14,'ODBC Data'!$B$1:$J$500,3,0)),"",VLOOKUP(GA14,'ODBC Data'!$B$1:$J$500,3,0))</f>
        <v/>
      </c>
      <c r="GC14" s="57" t="str">
        <f>IF(ISNA(VLOOKUP(GA14,'ODBC Data'!$B$1:$J$500,4,0)),"",VLOOKUP(GA14,'ODBC Data'!$B$1:$J$500,4,0))</f>
        <v/>
      </c>
      <c r="GD14" s="57" t="str">
        <f>IF(ISNA(VLOOKUP(GA14,'ODBC Data'!$B$1:$J$500,5,0)),"",VLOOKUP(GA14,'ODBC Data'!$B$1:$J$500,5,0))</f>
        <v/>
      </c>
    </row>
    <row r="15" spans="1:186">
      <c r="A15" s="19" t="str">
        <f>IF('ODBC Data'!$I$1&gt;11,'ODBC Data'!$H$1,"")</f>
        <v/>
      </c>
      <c r="B15" s="19" t="str">
        <f>IF('ODBC Data'!$I$1&gt;11,12,"")</f>
        <v/>
      </c>
      <c r="C15" s="17" t="str">
        <f t="shared" si="27"/>
        <v/>
      </c>
      <c r="D15" t="str">
        <f>IF(ISNA(VLOOKUP(C15,'ODBC Data'!$B$1:$J$500,3,0)),"",VLOOKUP(C15,'ODBC Data'!$B$1:$J$500,3,0))</f>
        <v/>
      </c>
      <c r="E15" t="str">
        <f>IF(ISNA(VLOOKUP(C15,'ODBC Data'!$B$1:$J$500,5,0)),"",VLOOKUP(C15,'ODBC Data'!$B$1:$J$500,5,0))</f>
        <v/>
      </c>
      <c r="F15" t="str">
        <f t="shared" si="28"/>
        <v/>
      </c>
      <c r="G15" s="19" t="str">
        <f>IF('ODBC Data'!$I$2&gt;11,'ODBC Data'!$H$2,"")</f>
        <v/>
      </c>
      <c r="H15" s="19" t="str">
        <f>IF('ODBC Data'!$I$2&gt;11,12,"")</f>
        <v/>
      </c>
      <c r="I15" s="17" t="str">
        <f t="shared" si="24"/>
        <v/>
      </c>
      <c r="J15" t="str">
        <f>IF(ISNA(VLOOKUP(I15,'ODBC Data'!$B$1:$J$500,3,0)),"",VLOOKUP(I15,'ODBC Data'!$B$1:$J$500,3,0))</f>
        <v/>
      </c>
      <c r="K15" t="str">
        <f>IF(ISNA(VLOOKUP(I15,'ODBC Data'!$B$1:$J$500,5,0)),"",VLOOKUP(I15,'ODBC Data'!$B$1:$J$500,5,0))</f>
        <v/>
      </c>
      <c r="M15" s="19" t="str">
        <f>IF('ODBC Data'!$I$3&gt;11,'ODBC Data'!$H$3,"")</f>
        <v/>
      </c>
      <c r="N15" s="19" t="str">
        <f>IF('ODBC Data'!$I$3&gt;11,12,"")</f>
        <v/>
      </c>
      <c r="O15" s="17" t="str">
        <f t="shared" si="25"/>
        <v/>
      </c>
      <c r="P15" t="str">
        <f>IF(ISNA(VLOOKUP(O15,'ODBC Data'!$B$1:$J$500,3,0)),"",VLOOKUP(O15,'ODBC Data'!$B$1:$J$500,3,0))</f>
        <v/>
      </c>
      <c r="Q15" t="str">
        <f>IF(ISNA(VLOOKUP(O15,'ODBC Data'!$B$1:$J$500,5,0)),"",VLOOKUP(O15,'ODBC Data'!$B$1:$J$500,4,0))</f>
        <v/>
      </c>
      <c r="S15" s="19" t="str">
        <f>IF('ODBC Data'!$I$3&gt;11,'ODBC Data'!$H$3,"")</f>
        <v/>
      </c>
      <c r="T15" s="19" t="str">
        <f>IF('ODBC Data'!$I$3&gt;11,12,"")</f>
        <v/>
      </c>
      <c r="U15" s="17" t="str">
        <f t="shared" si="26"/>
        <v/>
      </c>
      <c r="V15" t="str">
        <f>IF(ISNA(VLOOKUP(U15,'ODBC Data'!$B$1:$J$500,3,0)),"",VLOOKUP(U15,'ODBC Data'!$B$1:$J$500,3,0))</f>
        <v/>
      </c>
      <c r="W15" t="str">
        <f>IF(ISNA(VLOOKUP(U15,'ODBC Data'!$B$1:$J$500,5,0)),"",VLOOKUP(U15,'ODBC Data'!$B$1:$J$500,5,0))</f>
        <v/>
      </c>
      <c r="Y15" s="19" t="str">
        <f>IF('ODBC Data'!$I$4&gt;11,'ODBC Data'!$H$4,"")</f>
        <v/>
      </c>
      <c r="Z15" s="19" t="str">
        <f>IF('ODBC Data'!$I$4&gt;11,12,"")</f>
        <v/>
      </c>
      <c r="AA15" s="17" t="str">
        <f t="shared" si="0"/>
        <v/>
      </c>
      <c r="AB15" s="57" t="str">
        <f>IF(ISNA(VLOOKUP(AA15,'ODBC Data'!$B$1:$J$500,3,0)),"",VLOOKUP(AA15,'ODBC Data'!$B$1:$J$500,3,0))</f>
        <v/>
      </c>
      <c r="AC15" s="57" t="str">
        <f>IF(ISNA(VLOOKUP(AA15,'ODBC Data'!$B$1:$J$500,5,0)),"",VLOOKUP(AA15,'ODBC Data'!$B$1:$J$500,5,0))</f>
        <v/>
      </c>
      <c r="AE15" s="19" t="str">
        <f>IF('ODBC Data'!$I$5&gt;11,'ODBC Data'!$H$5,"")</f>
        <v/>
      </c>
      <c r="AF15" s="19" t="str">
        <f>IF('ODBC Data'!$I$5&gt;11,12,"")</f>
        <v/>
      </c>
      <c r="AG15" s="17" t="str">
        <f t="shared" si="1"/>
        <v/>
      </c>
      <c r="AH15" t="str">
        <f>IF(ISNA(VLOOKUP(AG15,'ODBC Data'!$B$1:$J$500,3,0)),"",VLOOKUP(AG15,'ODBC Data'!$B$1:$J$500,3,0))</f>
        <v/>
      </c>
      <c r="AI15" t="str">
        <f>IF(ISNA(VLOOKUP(AG15,'ODBC Data'!$B$1:$J$500,5,0)),"",VLOOKUP(AG15,'ODBC Data'!$B$1:$J$500,5,0))</f>
        <v/>
      </c>
      <c r="AK15" s="19" t="str">
        <f>IF('ODBC Data'!$I$6&gt;11,'ODBC Data'!$H$6,"")</f>
        <v/>
      </c>
      <c r="AL15" s="19" t="str">
        <f>IF('ODBC Data'!$I$6&gt;11,12,"")</f>
        <v/>
      </c>
      <c r="AM15" s="17" t="str">
        <f t="shared" si="2"/>
        <v/>
      </c>
      <c r="AN15" t="str">
        <f>IF(ISNA(VLOOKUP(AM15,'ODBC Data'!$B$1:$J$500,3,0)),"",VLOOKUP(AM15,'ODBC Data'!$B$1:$J$500,3,0))</f>
        <v/>
      </c>
      <c r="AO15" t="str">
        <f>IF(ISNA(VLOOKUP(AM15,'ODBC Data'!$B$1:$J$500,5,0)),"",VLOOKUP(AM15,'ODBC Data'!$B$1:$J$500,5,0))</f>
        <v/>
      </c>
      <c r="AQ15" s="19" t="str">
        <f>IF('ODBC Data'!$I$7&gt;11,'ODBC Data'!$H$7,"")</f>
        <v/>
      </c>
      <c r="AR15" s="19" t="str">
        <f>IF('ODBC Data'!$I$7&gt;11,12,"")</f>
        <v/>
      </c>
      <c r="AS15" s="17" t="str">
        <f t="shared" si="3"/>
        <v/>
      </c>
      <c r="AT15" t="str">
        <f>IF(ISNA(VLOOKUP(AS15,'ODBC Data'!$B$1:$J$500,3,0)),"",VLOOKUP(AS15,'ODBC Data'!$B$1:$J$500,3,0))</f>
        <v/>
      </c>
      <c r="AU15" t="str">
        <f>IF(ISNA(VLOOKUP(AS15,'ODBC Data'!$B$1:$J$500,5,0)),"",VLOOKUP(AS15,'ODBC Data'!$B$1:$J$500,5,0))</f>
        <v/>
      </c>
      <c r="AW15" s="19" t="str">
        <f>IF('ODBC Data'!$I$8&gt;11,'ODBC Data'!$H$8,"")</f>
        <v/>
      </c>
      <c r="AX15" s="19" t="str">
        <f>IF('ODBC Data'!$I$8&gt;11,12,"")</f>
        <v/>
      </c>
      <c r="AY15" s="17" t="str">
        <f t="shared" si="4"/>
        <v/>
      </c>
      <c r="AZ15" t="str">
        <f>IF(ISNA(VLOOKUP(AY15,'ODBC Data'!$B$1:$J$500,3,0)),"",VLOOKUP(AY15,'ODBC Data'!$B$1:$J$500,3,0))</f>
        <v/>
      </c>
      <c r="BA15" t="str">
        <f>IF(ISNA(VLOOKUP(AY15,'ODBC Data'!$B$1:$J$500,5,0)),"",VLOOKUP(AY15,'ODBC Data'!$B$1:$J$500,5,0))</f>
        <v/>
      </c>
      <c r="BC15" s="19" t="str">
        <f>IF('ODBC Data'!$I$9&gt;11,'ODBC Data'!$H$9,"")</f>
        <v/>
      </c>
      <c r="BD15" s="19" t="str">
        <f>IF('ODBC Data'!$I$9&gt;11,12,"")</f>
        <v/>
      </c>
      <c r="BE15" s="17" t="str">
        <f t="shared" si="5"/>
        <v/>
      </c>
      <c r="BF15" t="str">
        <f>IF(ISNA(VLOOKUP(BE15,'ODBC Data'!$B$1:$J$500,3,0)),"",VLOOKUP(BE15,'ODBC Data'!$B$1:$J$500,3,0))</f>
        <v/>
      </c>
      <c r="BG15" s="57" t="str">
        <f>IF(ISNA(VLOOKUP(BE15,'ODBC Data'!$B$1:$J$500,4,0)),"",VLOOKUP(BE15,'ODBC Data'!$B$1:$J$500,4,0))</f>
        <v/>
      </c>
      <c r="BH15" t="str">
        <f>IF(ISNA(VLOOKUP(BE15,'ODBC Data'!$B$1:$J$500,5,0)),"",VLOOKUP(BE15,'ODBC Data'!$B$1:$J$500,5,0))</f>
        <v/>
      </c>
      <c r="BJ15" s="19" t="str">
        <f>IF('ODBC Data'!$I$10&gt;11,'ODBC Data'!$H$10,"")</f>
        <v/>
      </c>
      <c r="BK15" s="19" t="str">
        <f>IF('ODBC Data'!$I$10&gt;11,12,"")</f>
        <v/>
      </c>
      <c r="BL15" s="17" t="str">
        <f t="shared" si="6"/>
        <v/>
      </c>
      <c r="BM15" t="str">
        <f>IF(ISNA(VLOOKUP(BL15,'ODBC Data'!$B$1:$J$500,3,0)),"",VLOOKUP(BL15,'ODBC Data'!$B$1:$J$500,3,0))</f>
        <v/>
      </c>
      <c r="BN15" s="57" t="str">
        <f>IF(ISNA(VLOOKUP(BL15,'ODBC Data'!$B$1:$J$500,4,0)),"",VLOOKUP(BL15,'ODBC Data'!$B$1:$J$500,4,0))</f>
        <v/>
      </c>
      <c r="BO15" t="str">
        <f>IF(ISNA(VLOOKUP(BL15,'ODBC Data'!$B$1:$J$500,5,0)),"",VLOOKUP(BL15,'ODBC Data'!$B$1:$J$500,5,0))</f>
        <v/>
      </c>
      <c r="BQ15" s="19" t="str">
        <f>IF('ODBC Data'!$I$11&gt;11,'ODBC Data'!$H$11,"")</f>
        <v/>
      </c>
      <c r="BR15" s="19" t="str">
        <f>IF('ODBC Data'!$I$11&gt;11,12,"")</f>
        <v/>
      </c>
      <c r="BS15" s="17" t="str">
        <f t="shared" si="7"/>
        <v/>
      </c>
      <c r="BT15" t="str">
        <f>IF(ISNA(VLOOKUP(BS15,'ODBC Data'!$B$1:$J$500,3,0)),"",VLOOKUP(BS15,'ODBC Data'!$B$1:$J$500,3,0))</f>
        <v/>
      </c>
      <c r="BU15" s="57" t="str">
        <f>IF(ISNA(VLOOKUP(BS15,'ODBC Data'!$B$1:$J$500,4,0)),"",VLOOKUP(BS15,'ODBC Data'!$B$1:$J$500,4,0))</f>
        <v/>
      </c>
      <c r="BV15" t="str">
        <f>IF(ISNA(VLOOKUP(BS15,'ODBC Data'!$B$1:$J$500,5,0)),"",VLOOKUP(BS15,'ODBC Data'!$B$1:$J$500,5,0))</f>
        <v/>
      </c>
      <c r="BX15" s="19" t="str">
        <f>IF('ODBC Data'!$I$12&gt;11,'ODBC Data'!$H$12,"")</f>
        <v/>
      </c>
      <c r="BY15" s="19" t="str">
        <f>IF('ODBC Data'!$I$12&gt;11,12,"")</f>
        <v/>
      </c>
      <c r="BZ15" s="17" t="str">
        <f t="shared" si="8"/>
        <v/>
      </c>
      <c r="CA15" t="str">
        <f>IF(ISNA(VLOOKUP(BZ15,'ODBC Data'!$B$1:$J$500,3,0)),"",VLOOKUP(BZ15,'ODBC Data'!$B$1:$J$500,3,0))</f>
        <v/>
      </c>
      <c r="CB15" s="57" t="str">
        <f>IF(ISNA(VLOOKUP(BZ15,'ODBC Data'!$B$1:$J$500,4,0)),"",VLOOKUP(BZ15,'ODBC Data'!$B$1:$J$500,4,0))</f>
        <v/>
      </c>
      <c r="CC15" t="str">
        <f>IF(ISNA(VLOOKUP(BZ15,'ODBC Data'!$B$1:$J$500,5,0)),"",VLOOKUP(BZ15,'ODBC Data'!$B$1:$J$500,5,0))</f>
        <v/>
      </c>
      <c r="CE15" s="19" t="str">
        <f>IF('ODBC Data'!$I$13&gt;11,'ODBC Data'!$H$13,"")</f>
        <v/>
      </c>
      <c r="CF15" s="19" t="str">
        <f>IF('ODBC Data'!$I$13&gt;11,12,"")</f>
        <v/>
      </c>
      <c r="CG15" s="17" t="str">
        <f t="shared" si="9"/>
        <v/>
      </c>
      <c r="CH15" t="str">
        <f>IF(ISNA(VLOOKUP(CG15,'ODBC Data'!$B$1:$J$500,3,0)),"",VLOOKUP(CG15,'ODBC Data'!$B$1:$J$500,3,0))</f>
        <v/>
      </c>
      <c r="CI15" s="57" t="str">
        <f>IF(ISNA(VLOOKUP(CG15,'ODBC Data'!$B$1:$J$500,4,0)),"",VLOOKUP(CG15,'ODBC Data'!$B$1:$J$500,4,0))</f>
        <v/>
      </c>
      <c r="CJ15" t="str">
        <f>IF(ISNA(VLOOKUP(CG15,'ODBC Data'!$B$1:$J$500,5,0)),"",VLOOKUP(CG15,'ODBC Data'!$B$1:$J$500,5,0))</f>
        <v/>
      </c>
      <c r="CL15" s="19" t="str">
        <f>IF('ODBC Data'!$I$14&gt;11,'ODBC Data'!$H$14,"")</f>
        <v/>
      </c>
      <c r="CM15" s="19" t="str">
        <f>IF('ODBC Data'!$I$14&gt;11,12,"")</f>
        <v/>
      </c>
      <c r="CN15" s="17" t="str">
        <f t="shared" si="10"/>
        <v/>
      </c>
      <c r="CO15" s="57" t="str">
        <f>IF(ISNA(VLOOKUP(CN15,'ODBC Data'!$B$1:$J$500,3,0)),"",VLOOKUP(CN15,'ODBC Data'!$B$1:$J$500,3,0))</f>
        <v/>
      </c>
      <c r="CP15" s="57" t="str">
        <f>IF(ISNA(VLOOKUP(CN15,'ODBC Data'!$B$1:$J$500,4,0)),"",VLOOKUP(CN15,'ODBC Data'!$B$1:$J$500,4,0))</f>
        <v/>
      </c>
      <c r="CQ15" s="57" t="str">
        <f>IF(ISNA(VLOOKUP(CN15,'ODBC Data'!$B$1:$J$500,5,0)),"",VLOOKUP(CN15,'ODBC Data'!$B$1:$J$500,5,0))</f>
        <v/>
      </c>
      <c r="CS15" s="19" t="str">
        <f>IF('ODBC Data'!$I$15&gt;11,'ODBC Data'!$H$15,"")</f>
        <v/>
      </c>
      <c r="CT15" s="19" t="str">
        <f>IF('ODBC Data'!$I$15&gt;11,12,"")</f>
        <v/>
      </c>
      <c r="CU15" s="17" t="str">
        <f t="shared" si="11"/>
        <v/>
      </c>
      <c r="CV15" t="str">
        <f>IF(ISNA(VLOOKUP(CU15,'ODBC Data'!$B$1:$J$500,3,0)),"",VLOOKUP(CU15,'ODBC Data'!$B$1:$J$500,3,0))</f>
        <v/>
      </c>
      <c r="CW15" s="57" t="str">
        <f>IF(ISNA(VLOOKUP(CU15,'ODBC Data'!$B$1:$J$500,4,0)),"",VLOOKUP(CU15,'ODBC Data'!$B$1:$J$500,4,0))</f>
        <v/>
      </c>
      <c r="CX15" t="str">
        <f>IF(ISNA(VLOOKUP(CU15,'ODBC Data'!$B$1:$J$500,5,0)),"",VLOOKUP(CU15,'ODBC Data'!$B$1:$J$500,5,0))</f>
        <v/>
      </c>
      <c r="CZ15" s="19" t="str">
        <f>IF('ODBC Data'!$I$16&gt;11,'ODBC Data'!$H$16,"")</f>
        <v/>
      </c>
      <c r="DA15" s="19" t="str">
        <f>IF('ODBC Data'!$I$16&gt;11,12,"")</f>
        <v/>
      </c>
      <c r="DB15" s="17" t="str">
        <f t="shared" si="12"/>
        <v/>
      </c>
      <c r="DC15" t="str">
        <f>IF(ISNA(VLOOKUP(DB15,'ODBC Data'!$B$1:$J$500,3,0)),"",VLOOKUP(DB15,'ODBC Data'!$B$1:$J$500,3,0))</f>
        <v/>
      </c>
      <c r="DD15" s="57" t="str">
        <f>IF(ISNA(VLOOKUP(DB15,'ODBC Data'!$B$1:$J$500,4,0)),"",VLOOKUP(DB15,'ODBC Data'!$B$1:$J$500,4,0))</f>
        <v/>
      </c>
      <c r="DE15" t="str">
        <f>IF(ISNA(VLOOKUP(DB15,'ODBC Data'!$B$1:$J$500,5,0)),"",VLOOKUP(DB15,'ODBC Data'!$B$1:$J$500,5,0))</f>
        <v/>
      </c>
      <c r="DG15" s="19" t="str">
        <f>IF('ODBC Data'!$I$17&gt;11,'ODBC Data'!$H$17,"")</f>
        <v/>
      </c>
      <c r="DH15" s="19" t="str">
        <f>IF('ODBC Data'!$I$17&gt;11,12,"")</f>
        <v/>
      </c>
      <c r="DI15" s="17" t="str">
        <f t="shared" si="13"/>
        <v/>
      </c>
      <c r="DJ15" t="str">
        <f>IF(ISNA(VLOOKUP(DI15,'ODBC Data'!$B$1:$J$500,3,0)),"",VLOOKUP(DI15,'ODBC Data'!$B$1:$J$500,3,0))</f>
        <v/>
      </c>
      <c r="DK15" s="57" t="str">
        <f>IF(ISNA(VLOOKUP(DI15,'ODBC Data'!$B$1:$J$500,4,0)),"",VLOOKUP(DI15,'ODBC Data'!$B$1:$J$500,4,0))</f>
        <v/>
      </c>
      <c r="DL15" t="str">
        <f>IF(ISNA(VLOOKUP(DI15,'ODBC Data'!$B$1:$J$500,5,0)),"",VLOOKUP(DI15,'ODBC Data'!$B$1:$J$500,5,0))</f>
        <v/>
      </c>
      <c r="DN15" s="19" t="str">
        <f>IF('ODBC Data'!$I$18&gt;11,'ODBC Data'!$H$18,"")</f>
        <v/>
      </c>
      <c r="DO15" s="19" t="str">
        <f>IF('ODBC Data'!$I$18&gt;11,12,"")</f>
        <v/>
      </c>
      <c r="DP15" s="17" t="str">
        <f t="shared" si="14"/>
        <v/>
      </c>
      <c r="DQ15" t="str">
        <f>IF(ISNA(VLOOKUP(DP15,'ODBC Data'!$B$1:$J$500,3,0)),"",VLOOKUP(DP15,'ODBC Data'!$B$1:$J$500,3,0))</f>
        <v/>
      </c>
      <c r="DR15" s="57" t="str">
        <f>IF(ISNA(VLOOKUP(DP15,'ODBC Data'!$B$1:$J$500,4,0)),"",VLOOKUP(DP15,'ODBC Data'!$B$1:$J$500,4,0))</f>
        <v/>
      </c>
      <c r="DS15" t="str">
        <f>IF(ISNA(VLOOKUP(DP15,'ODBC Data'!$B$1:$J$500,5,0)),"",VLOOKUP(DP15,'ODBC Data'!$B$1:$J$500,5,0))</f>
        <v/>
      </c>
      <c r="DU15" s="19" t="str">
        <f>IF('ODBC Data'!$I$19&gt;11,'ODBC Data'!$H$19,"")</f>
        <v/>
      </c>
      <c r="DV15" s="19" t="str">
        <f>IF('ODBC Data'!$I$19&gt;11,12,"")</f>
        <v/>
      </c>
      <c r="DW15" s="17" t="str">
        <f t="shared" si="15"/>
        <v/>
      </c>
      <c r="DX15" t="str">
        <f>IF(ISNA(VLOOKUP(DW15,'ODBC Data'!$B$1:$J$500,3,0)),"",VLOOKUP(DW15,'ODBC Data'!$B$1:$J$500,3,0))</f>
        <v/>
      </c>
      <c r="DY15" s="57" t="str">
        <f>IF(ISNA(VLOOKUP(DW15,'ODBC Data'!$B$1:$J$500,4,0)),"",VLOOKUP(DW15,'ODBC Data'!$B$1:$J$500,4,0))</f>
        <v/>
      </c>
      <c r="DZ15" t="str">
        <f>IF(ISNA(VLOOKUP(DW15,'ODBC Data'!$B$1:$J$500,5,0)),"",VLOOKUP(DW15,'ODBC Data'!$B$1:$J$500,5,0))</f>
        <v/>
      </c>
      <c r="EB15" s="19" t="str">
        <f>IF('ODBC Data'!$I$20&gt;11,'ODBC Data'!$H$20,"")</f>
        <v/>
      </c>
      <c r="EC15" s="19" t="str">
        <f>IF('ODBC Data'!$I$20&gt;11,12,"")</f>
        <v/>
      </c>
      <c r="ED15" s="17" t="str">
        <f t="shared" si="16"/>
        <v/>
      </c>
      <c r="EE15" s="57" t="str">
        <f>IF(ISNA(VLOOKUP(ED15,'ODBC Data'!$B$1:$J$500,3,0)),"",VLOOKUP(ED15,'ODBC Data'!$B$1:$J$500,3,0))</f>
        <v/>
      </c>
      <c r="EF15" s="57" t="str">
        <f>IF(ISNA(VLOOKUP(ED15,'ODBC Data'!$B$1:$J$500,4,0)),"",VLOOKUP(ED15,'ODBC Data'!$B$1:$J$500,4,0))</f>
        <v/>
      </c>
      <c r="EG15" s="57" t="str">
        <f>IF(ISNA(VLOOKUP(ED15,'ODBC Data'!$B$1:$J$500,5,0)),"",VLOOKUP(ED15,'ODBC Data'!$B$1:$J$500,5,0))</f>
        <v/>
      </c>
      <c r="EI15" s="19" t="str">
        <f>IF('ODBC Data'!$I$21&gt;11,'ODBC Data'!$H$21,"")</f>
        <v/>
      </c>
      <c r="EJ15" s="19" t="str">
        <f>IF('ODBC Data'!$I$21&gt;11,12,"")</f>
        <v/>
      </c>
      <c r="EK15" s="17" t="str">
        <f t="shared" si="17"/>
        <v/>
      </c>
      <c r="EL15" t="str">
        <f>IF(ISNA(VLOOKUP(EK15,'ODBC Data'!$B$1:$J$500,3,0)),"",VLOOKUP(EK15,'ODBC Data'!$B$1:$J$500,3,0))</f>
        <v/>
      </c>
      <c r="EM15" s="57" t="str">
        <f>IF(ISNA(VLOOKUP(EK15,'ODBC Data'!$B$1:$J$500,4,0)),"",VLOOKUP(EK15,'ODBC Data'!$B$1:$J$500,4,0))</f>
        <v/>
      </c>
      <c r="EN15" t="str">
        <f>IF(ISNA(VLOOKUP(EK15,'ODBC Data'!$B$1:$J$500,5,0)),"",VLOOKUP(EK15,'ODBC Data'!$B$1:$J$500,5,0))</f>
        <v/>
      </c>
      <c r="EP15" s="19" t="str">
        <f>IF('ODBC Data'!$I$22&gt;11,'ODBC Data'!$H$22,"")</f>
        <v/>
      </c>
      <c r="EQ15" s="19" t="str">
        <f>IF('ODBC Data'!$I$22&gt;11,12,"")</f>
        <v/>
      </c>
      <c r="ER15" s="17" t="str">
        <f t="shared" si="18"/>
        <v/>
      </c>
      <c r="ES15" t="str">
        <f>IF(ISNA(VLOOKUP(ER15,'ODBC Data'!$B$1:$J$500,3,0)),"",VLOOKUP(ER15,'ODBC Data'!$B$1:$J$500,3,0))</f>
        <v/>
      </c>
      <c r="ET15" s="57" t="str">
        <f>IF(ISNA(VLOOKUP(ER15,'ODBC Data'!$B$1:$J$500,4,0)),"",VLOOKUP(ER15,'ODBC Data'!$B$1:$J$500,4,0))</f>
        <v/>
      </c>
      <c r="EU15" t="str">
        <f>IF(ISNA(VLOOKUP(ER15,'ODBC Data'!$B$1:$J$500,5,0)),"",VLOOKUP(ER15,'ODBC Data'!$B$1:$J$500,5,0))</f>
        <v/>
      </c>
      <c r="EW15" s="19" t="str">
        <f>IF('ODBC Data'!$I$23&gt;11,'ODBC Data'!$H$23,"")</f>
        <v/>
      </c>
      <c r="EX15" s="19" t="str">
        <f>IF('ODBC Data'!$I$23&gt;11,12,"")</f>
        <v/>
      </c>
      <c r="EY15" s="17" t="str">
        <f t="shared" si="19"/>
        <v/>
      </c>
      <c r="EZ15" t="str">
        <f>IF(ISNA(VLOOKUP(EY15,'ODBC Data'!$B$1:$J$500,3,0)),"",VLOOKUP(EY15,'ODBC Data'!$B$1:$J$500,3,0))</f>
        <v/>
      </c>
      <c r="FA15" s="57" t="str">
        <f>IF(ISNA(VLOOKUP(EY15,'ODBC Data'!$B$1:$J$500,4,0)),"",VLOOKUP(EY15,'ODBC Data'!$B$1:$J$500,4,0))</f>
        <v/>
      </c>
      <c r="FB15" t="str">
        <f>IF(ISNA(VLOOKUP(EY15,'ODBC Data'!$B$1:$J$500,5,0)),"",VLOOKUP(EY15,'ODBC Data'!$B$1:$J$500,5,0))</f>
        <v/>
      </c>
      <c r="FD15" s="19" t="str">
        <f>IF('ODBC Data'!$I$24&gt;11,'ODBC Data'!$H$24,"")</f>
        <v/>
      </c>
      <c r="FE15" s="19" t="str">
        <f>IF('ODBC Data'!$I$24&gt;11,12,"")</f>
        <v/>
      </c>
      <c r="FF15" s="17" t="str">
        <f t="shared" si="20"/>
        <v/>
      </c>
      <c r="FG15" t="str">
        <f>IF(ISNA(VLOOKUP(FF15,'ODBC Data'!$B$1:$J$500,3,0)),"",VLOOKUP(FF15,'ODBC Data'!$B$1:$J$500,3,0))</f>
        <v/>
      </c>
      <c r="FH15" s="57" t="str">
        <f>IF(ISNA(VLOOKUP(FF15,'ODBC Data'!$B$1:$J$500,4,0)),"",VLOOKUP(FF15,'ODBC Data'!$B$1:$J$500,4,0))</f>
        <v/>
      </c>
      <c r="FI15" t="str">
        <f>IF(ISNA(VLOOKUP(FF15,'ODBC Data'!$B$1:$J$500,5,0)),"",VLOOKUP(FF15,'ODBC Data'!$B$1:$J$500,5,0))</f>
        <v/>
      </c>
      <c r="FK15" s="19" t="str">
        <f>IF('ODBC Data'!$I$25&gt;11,'ODBC Data'!$H$25,"")</f>
        <v/>
      </c>
      <c r="FL15" s="19" t="str">
        <f>IF('ODBC Data'!$I$25&gt;11,12,"")</f>
        <v/>
      </c>
      <c r="FM15" s="17" t="str">
        <f t="shared" si="21"/>
        <v/>
      </c>
      <c r="FN15" t="str">
        <f>IF(ISNA(VLOOKUP(FM15,'ODBC Data'!$B$1:$J$500,3,0)),"",VLOOKUP(FM15,'ODBC Data'!$B$1:$J$500,3,0))</f>
        <v/>
      </c>
      <c r="FO15" s="57" t="str">
        <f>IF(ISNA(VLOOKUP(FM15,'ODBC Data'!$B$1:$J$500,4,0)),"",VLOOKUP(FM15,'ODBC Data'!$B$1:$J$500,4,0))</f>
        <v/>
      </c>
      <c r="FP15" t="str">
        <f>IF(ISNA(VLOOKUP(FM15,'ODBC Data'!$B$1:$J$500,5,0)),"",VLOOKUP(FM15,'ODBC Data'!$B$1:$J$500,5,0))</f>
        <v/>
      </c>
      <c r="FR15" s="19" t="str">
        <f>IF('ODBC Data'!$I$26&gt;11,'ODBC Data'!$H$26,"")</f>
        <v/>
      </c>
      <c r="FS15" s="19" t="str">
        <f>IF('ODBC Data'!$I$26&gt;11,12,"")</f>
        <v/>
      </c>
      <c r="FT15" s="17" t="str">
        <f t="shared" si="22"/>
        <v/>
      </c>
      <c r="FU15" s="57" t="str">
        <f>IF(ISNA(VLOOKUP(FT15,'ODBC Data'!$B$1:$J$500,3,0)),"",VLOOKUP(FT15,'ODBC Data'!$B$1:$J$500,3,0))</f>
        <v/>
      </c>
      <c r="FV15" s="57" t="str">
        <f>IF(ISNA(VLOOKUP(FT15,'ODBC Data'!$B$1:$J$500,4,0)),"",VLOOKUP(FT15,'ODBC Data'!$B$1:$J$500,4,0))</f>
        <v/>
      </c>
      <c r="FW15" s="57" t="str">
        <f>IF(ISNA(VLOOKUP(FT15,'ODBC Data'!$B$1:$J$500,5,0)),"",VLOOKUP(FT15,'ODBC Data'!$B$1:$J$500,5,0))</f>
        <v/>
      </c>
      <c r="FY15" s="19" t="str">
        <f>IF('ODBC Data'!$I$27&gt;11,'ODBC Data'!$H$27,"")</f>
        <v/>
      </c>
      <c r="FZ15" s="19" t="str">
        <f>IF('ODBC Data'!$I$27&gt;11,12,"")</f>
        <v/>
      </c>
      <c r="GA15" s="17" t="str">
        <f t="shared" si="23"/>
        <v/>
      </c>
      <c r="GB15" s="57" t="str">
        <f>IF(ISNA(VLOOKUP(GA15,'ODBC Data'!$B$1:$J$500,3,0)),"",VLOOKUP(GA15,'ODBC Data'!$B$1:$J$500,3,0))</f>
        <v/>
      </c>
      <c r="GC15" s="57" t="str">
        <f>IF(ISNA(VLOOKUP(GA15,'ODBC Data'!$B$1:$J$500,4,0)),"",VLOOKUP(GA15,'ODBC Data'!$B$1:$J$500,4,0))</f>
        <v/>
      </c>
      <c r="GD15" s="57" t="str">
        <f>IF(ISNA(VLOOKUP(GA15,'ODBC Data'!$B$1:$J$500,5,0)),"",VLOOKUP(GA15,'ODBC Data'!$B$1:$J$500,5,0))</f>
        <v/>
      </c>
    </row>
    <row r="16" spans="1:186">
      <c r="A16" s="19" t="str">
        <f>IF('ODBC Data'!$I$1&gt;12,'ODBC Data'!$H$1,"")</f>
        <v/>
      </c>
      <c r="B16" s="19" t="str">
        <f>IF('ODBC Data'!$I$1&gt;12,13,"")</f>
        <v/>
      </c>
      <c r="C16" s="17" t="str">
        <f t="shared" si="27"/>
        <v/>
      </c>
      <c r="D16" t="str">
        <f>IF(ISNA(VLOOKUP(C16,'ODBC Data'!$B$1:$J$500,3,0)),"",VLOOKUP(C16,'ODBC Data'!$B$1:$J$500,3,0))</f>
        <v/>
      </c>
      <c r="E16" t="str">
        <f>IF(ISNA(VLOOKUP(C16,'ODBC Data'!$B$1:$J$500,5,0)),"",VLOOKUP(C16,'ODBC Data'!$B$1:$J$500,5,0))</f>
        <v/>
      </c>
      <c r="F16" t="str">
        <f t="shared" si="28"/>
        <v/>
      </c>
      <c r="G16" s="19" t="str">
        <f>IF('ODBC Data'!$I$2&gt;12,'ODBC Data'!$H$2,"")</f>
        <v/>
      </c>
      <c r="H16" s="19" t="str">
        <f>IF('ODBC Data'!$I$2&gt;12,13,"")</f>
        <v/>
      </c>
      <c r="I16" s="17" t="str">
        <f t="shared" si="24"/>
        <v/>
      </c>
      <c r="J16" t="str">
        <f>IF(ISNA(VLOOKUP(I16,'ODBC Data'!$B$1:$J$500,3,0)),"",VLOOKUP(I16,'ODBC Data'!$B$1:$J$500,3,0))</f>
        <v/>
      </c>
      <c r="K16" t="str">
        <f>IF(ISNA(VLOOKUP(I16,'ODBC Data'!$B$1:$J$500,5,0)),"",VLOOKUP(I16,'ODBC Data'!$B$1:$J$500,5,0))</f>
        <v/>
      </c>
      <c r="M16" s="19" t="str">
        <f>IF('ODBC Data'!$I$3&gt;12,'ODBC Data'!$H$3,"")</f>
        <v/>
      </c>
      <c r="N16" s="19" t="str">
        <f>IF('ODBC Data'!$I$3&gt;12,13,"")</f>
        <v/>
      </c>
      <c r="O16" s="17" t="str">
        <f t="shared" si="25"/>
        <v/>
      </c>
      <c r="P16" t="str">
        <f>IF(ISNA(VLOOKUP(O16,'ODBC Data'!$B$1:$J$500,3,0)),"",VLOOKUP(O16,'ODBC Data'!$B$1:$J$500,3,0))</f>
        <v/>
      </c>
      <c r="Q16" t="str">
        <f>IF(ISNA(VLOOKUP(O16,'ODBC Data'!$B$1:$J$500,5,0)),"",VLOOKUP(O16,'ODBC Data'!$B$1:$J$500,4,0))</f>
        <v/>
      </c>
      <c r="S16" s="19" t="str">
        <f>IF('ODBC Data'!$I$3&gt;12,'ODBC Data'!$H$3,"")</f>
        <v/>
      </c>
      <c r="T16" s="19" t="str">
        <f>IF('ODBC Data'!$I$3&gt;12,13,"")</f>
        <v/>
      </c>
      <c r="U16" s="17" t="str">
        <f t="shared" si="26"/>
        <v/>
      </c>
      <c r="V16" t="str">
        <f>IF(ISNA(VLOOKUP(U16,'ODBC Data'!$B$1:$J$500,3,0)),"",VLOOKUP(U16,'ODBC Data'!$B$1:$J$500,3,0))</f>
        <v/>
      </c>
      <c r="W16" t="str">
        <f>IF(ISNA(VLOOKUP(U16,'ODBC Data'!$B$1:$J$500,5,0)),"",VLOOKUP(U16,'ODBC Data'!$B$1:$J$500,5,0))</f>
        <v/>
      </c>
      <c r="Y16" s="19" t="str">
        <f>IF('ODBC Data'!$I$4&gt;12,'ODBC Data'!$H$4,"")</f>
        <v/>
      </c>
      <c r="Z16" s="19" t="str">
        <f>IF('ODBC Data'!$I$4&gt;12,13,"")</f>
        <v/>
      </c>
      <c r="AA16" s="17" t="str">
        <f t="shared" si="0"/>
        <v/>
      </c>
      <c r="AB16" s="57" t="str">
        <f>IF(ISNA(VLOOKUP(AA16,'ODBC Data'!$B$1:$J$500,3,0)),"",VLOOKUP(AA16,'ODBC Data'!$B$1:$J$500,3,0))</f>
        <v/>
      </c>
      <c r="AC16" s="57" t="str">
        <f>IF(ISNA(VLOOKUP(AA16,'ODBC Data'!$B$1:$J$500,5,0)),"",VLOOKUP(AA16,'ODBC Data'!$B$1:$J$500,5,0))</f>
        <v/>
      </c>
      <c r="AE16" s="19" t="str">
        <f>IF('ODBC Data'!$I$5&gt;12,'ODBC Data'!$H$5,"")</f>
        <v/>
      </c>
      <c r="AF16" s="19" t="str">
        <f>IF('ODBC Data'!$I$5&gt;12,13,"")</f>
        <v/>
      </c>
      <c r="AG16" s="17" t="str">
        <f t="shared" si="1"/>
        <v/>
      </c>
      <c r="AH16" t="str">
        <f>IF(ISNA(VLOOKUP(AG16,'ODBC Data'!$B$1:$J$500,3,0)),"",VLOOKUP(AG16,'ODBC Data'!$B$1:$J$500,3,0))</f>
        <v/>
      </c>
      <c r="AI16" t="str">
        <f>IF(ISNA(VLOOKUP(AG16,'ODBC Data'!$B$1:$J$500,5,0)),"",VLOOKUP(AG16,'ODBC Data'!$B$1:$J$500,5,0))</f>
        <v/>
      </c>
      <c r="AK16" s="19" t="str">
        <f>IF('ODBC Data'!$I$6&gt;12,'ODBC Data'!$H$6,"")</f>
        <v/>
      </c>
      <c r="AL16" s="19" t="str">
        <f>IF('ODBC Data'!$I$6&gt;12,13,"")</f>
        <v/>
      </c>
      <c r="AM16" s="17" t="str">
        <f t="shared" si="2"/>
        <v/>
      </c>
      <c r="AN16" t="str">
        <f>IF(ISNA(VLOOKUP(AM16,'ODBC Data'!$B$1:$J$500,3,0)),"",VLOOKUP(AM16,'ODBC Data'!$B$1:$J$500,3,0))</f>
        <v/>
      </c>
      <c r="AO16" t="str">
        <f>IF(ISNA(VLOOKUP(AM16,'ODBC Data'!$B$1:$J$500,5,0)),"",VLOOKUP(AM16,'ODBC Data'!$B$1:$J$500,5,0))</f>
        <v/>
      </c>
      <c r="AQ16" s="19" t="str">
        <f>IF('ODBC Data'!$I$7&gt;12,'ODBC Data'!$H$7,"")</f>
        <v/>
      </c>
      <c r="AR16" s="19" t="str">
        <f>IF('ODBC Data'!$I$7&gt;12,13,"")</f>
        <v/>
      </c>
      <c r="AS16" s="17" t="str">
        <f t="shared" si="3"/>
        <v/>
      </c>
      <c r="AT16" t="str">
        <f>IF(ISNA(VLOOKUP(AS16,'ODBC Data'!$B$1:$J$500,3,0)),"",VLOOKUP(AS16,'ODBC Data'!$B$1:$J$500,3,0))</f>
        <v/>
      </c>
      <c r="AU16" t="str">
        <f>IF(ISNA(VLOOKUP(AS16,'ODBC Data'!$B$1:$J$500,5,0)),"",VLOOKUP(AS16,'ODBC Data'!$B$1:$J$500,5,0))</f>
        <v/>
      </c>
      <c r="AW16" s="19" t="str">
        <f>IF('ODBC Data'!$I$8&gt;12,'ODBC Data'!$H$8,"")</f>
        <v/>
      </c>
      <c r="AX16" s="19" t="str">
        <f>IF('ODBC Data'!$I$8&gt;12,13,"")</f>
        <v/>
      </c>
      <c r="AY16" s="17" t="str">
        <f t="shared" si="4"/>
        <v/>
      </c>
      <c r="AZ16" t="str">
        <f>IF(ISNA(VLOOKUP(AY16,'ODBC Data'!$B$1:$J$500,3,0)),"",VLOOKUP(AY16,'ODBC Data'!$B$1:$J$500,3,0))</f>
        <v/>
      </c>
      <c r="BA16" t="str">
        <f>IF(ISNA(VLOOKUP(AY16,'ODBC Data'!$B$1:$J$500,5,0)),"",VLOOKUP(AY16,'ODBC Data'!$B$1:$J$500,5,0))</f>
        <v/>
      </c>
      <c r="BC16" s="19" t="str">
        <f>IF('ODBC Data'!$I$9&gt;12,'ODBC Data'!$H$9,"")</f>
        <v/>
      </c>
      <c r="BD16" s="19" t="str">
        <f>IF('ODBC Data'!$I$9&gt;12,13,"")</f>
        <v/>
      </c>
      <c r="BE16" s="17" t="str">
        <f t="shared" si="5"/>
        <v/>
      </c>
      <c r="BF16" t="str">
        <f>IF(ISNA(VLOOKUP(BE16,'ODBC Data'!$B$1:$J$500,3,0)),"",VLOOKUP(BE16,'ODBC Data'!$B$1:$J$500,3,0))</f>
        <v/>
      </c>
      <c r="BG16" s="57" t="str">
        <f>IF(ISNA(VLOOKUP(BE16,'ODBC Data'!$B$1:$J$500,4,0)),"",VLOOKUP(BE16,'ODBC Data'!$B$1:$J$500,4,0))</f>
        <v/>
      </c>
      <c r="BH16" t="str">
        <f>IF(ISNA(VLOOKUP(BE16,'ODBC Data'!$B$1:$J$500,5,0)),"",VLOOKUP(BE16,'ODBC Data'!$B$1:$J$500,5,0))</f>
        <v/>
      </c>
      <c r="BJ16" s="19" t="str">
        <f>IF('ODBC Data'!$I$10&gt;12,'ODBC Data'!$H$10,"")</f>
        <v/>
      </c>
      <c r="BK16" s="19" t="str">
        <f>IF('ODBC Data'!$I$10&gt;12,13,"")</f>
        <v/>
      </c>
      <c r="BL16" s="17" t="str">
        <f t="shared" si="6"/>
        <v/>
      </c>
      <c r="BM16" t="str">
        <f>IF(ISNA(VLOOKUP(BL16,'ODBC Data'!$B$1:$J$500,3,0)),"",VLOOKUP(BL16,'ODBC Data'!$B$1:$J$500,3,0))</f>
        <v/>
      </c>
      <c r="BN16" s="57" t="str">
        <f>IF(ISNA(VLOOKUP(BL16,'ODBC Data'!$B$1:$J$500,4,0)),"",VLOOKUP(BL16,'ODBC Data'!$B$1:$J$500,4,0))</f>
        <v/>
      </c>
      <c r="BO16" t="str">
        <f>IF(ISNA(VLOOKUP(BL16,'ODBC Data'!$B$1:$J$500,5,0)),"",VLOOKUP(BL16,'ODBC Data'!$B$1:$J$500,5,0))</f>
        <v/>
      </c>
      <c r="BQ16" s="19" t="str">
        <f>IF('ODBC Data'!$I$11&gt;12,'ODBC Data'!$H$11,"")</f>
        <v/>
      </c>
      <c r="BR16" s="19" t="str">
        <f>IF('ODBC Data'!$I$11&gt;12,13,"")</f>
        <v/>
      </c>
      <c r="BS16" s="17" t="str">
        <f t="shared" si="7"/>
        <v/>
      </c>
      <c r="BT16" t="str">
        <f>IF(ISNA(VLOOKUP(BS16,'ODBC Data'!$B$1:$J$500,3,0)),"",VLOOKUP(BS16,'ODBC Data'!$B$1:$J$500,3,0))</f>
        <v/>
      </c>
      <c r="BU16" s="57" t="str">
        <f>IF(ISNA(VLOOKUP(BS16,'ODBC Data'!$B$1:$J$500,4,0)),"",VLOOKUP(BS16,'ODBC Data'!$B$1:$J$500,4,0))</f>
        <v/>
      </c>
      <c r="BV16" t="str">
        <f>IF(ISNA(VLOOKUP(BS16,'ODBC Data'!$B$1:$J$500,5,0)),"",VLOOKUP(BS16,'ODBC Data'!$B$1:$J$500,5,0))</f>
        <v/>
      </c>
      <c r="BX16" s="19" t="str">
        <f>IF('ODBC Data'!$I$12&gt;12,'ODBC Data'!$H$12,"")</f>
        <v/>
      </c>
      <c r="BY16" s="19" t="str">
        <f>IF('ODBC Data'!$I$12&gt;12,13,"")</f>
        <v/>
      </c>
      <c r="BZ16" s="17" t="str">
        <f t="shared" si="8"/>
        <v/>
      </c>
      <c r="CA16" t="str">
        <f>IF(ISNA(VLOOKUP(BZ16,'ODBC Data'!$B$1:$J$500,3,0)),"",VLOOKUP(BZ16,'ODBC Data'!$B$1:$J$500,3,0))</f>
        <v/>
      </c>
      <c r="CB16" s="57" t="str">
        <f>IF(ISNA(VLOOKUP(BZ16,'ODBC Data'!$B$1:$J$500,4,0)),"",VLOOKUP(BZ16,'ODBC Data'!$B$1:$J$500,4,0))</f>
        <v/>
      </c>
      <c r="CC16" t="str">
        <f>IF(ISNA(VLOOKUP(BZ16,'ODBC Data'!$B$1:$J$500,5,0)),"",VLOOKUP(BZ16,'ODBC Data'!$B$1:$J$500,5,0))</f>
        <v/>
      </c>
      <c r="CE16" s="19" t="str">
        <f>IF('ODBC Data'!$I$13&gt;12,'ODBC Data'!$H$13,"")</f>
        <v/>
      </c>
      <c r="CF16" s="19" t="str">
        <f>IF('ODBC Data'!$I$13&gt;12,13,"")</f>
        <v/>
      </c>
      <c r="CG16" s="17" t="str">
        <f t="shared" si="9"/>
        <v/>
      </c>
      <c r="CH16" t="str">
        <f>IF(ISNA(VLOOKUP(CG16,'ODBC Data'!$B$1:$J$500,3,0)),"",VLOOKUP(CG16,'ODBC Data'!$B$1:$J$500,3,0))</f>
        <v/>
      </c>
      <c r="CI16" s="57" t="str">
        <f>IF(ISNA(VLOOKUP(CG16,'ODBC Data'!$B$1:$J$500,4,0)),"",VLOOKUP(CG16,'ODBC Data'!$B$1:$J$500,4,0))</f>
        <v/>
      </c>
      <c r="CJ16" t="str">
        <f>IF(ISNA(VLOOKUP(CG16,'ODBC Data'!$B$1:$J$500,5,0)),"",VLOOKUP(CG16,'ODBC Data'!$B$1:$J$500,5,0))</f>
        <v/>
      </c>
      <c r="CL16" s="19" t="str">
        <f>IF('ODBC Data'!$I$14&gt;12,'ODBC Data'!$H$14,"")</f>
        <v/>
      </c>
      <c r="CM16" s="19" t="str">
        <f>IF('ODBC Data'!$I$14&gt;12,13,"")</f>
        <v/>
      </c>
      <c r="CN16" s="17" t="str">
        <f t="shared" si="10"/>
        <v/>
      </c>
      <c r="CO16" s="57" t="str">
        <f>IF(ISNA(VLOOKUP(CN16,'ODBC Data'!$B$1:$J$500,3,0)),"",VLOOKUP(CN16,'ODBC Data'!$B$1:$J$500,3,0))</f>
        <v/>
      </c>
      <c r="CP16" s="57" t="str">
        <f>IF(ISNA(VLOOKUP(CN16,'ODBC Data'!$B$1:$J$500,4,0)),"",VLOOKUP(CN16,'ODBC Data'!$B$1:$J$500,4,0))</f>
        <v/>
      </c>
      <c r="CQ16" s="57" t="str">
        <f>IF(ISNA(VLOOKUP(CN16,'ODBC Data'!$B$1:$J$500,5,0)),"",VLOOKUP(CN16,'ODBC Data'!$B$1:$J$500,5,0))</f>
        <v/>
      </c>
      <c r="CS16" s="19" t="str">
        <f>IF('ODBC Data'!$I$15&gt;12,'ODBC Data'!$H$15,"")</f>
        <v/>
      </c>
      <c r="CT16" s="19" t="str">
        <f>IF('ODBC Data'!$I$15&gt;12,13,"")</f>
        <v/>
      </c>
      <c r="CU16" s="17" t="str">
        <f t="shared" si="11"/>
        <v/>
      </c>
      <c r="CV16" t="str">
        <f>IF(ISNA(VLOOKUP(CU16,'ODBC Data'!$B$1:$J$500,3,0)),"",VLOOKUP(CU16,'ODBC Data'!$B$1:$J$500,3,0))</f>
        <v/>
      </c>
      <c r="CW16" s="57" t="str">
        <f>IF(ISNA(VLOOKUP(CU16,'ODBC Data'!$B$1:$J$500,4,0)),"",VLOOKUP(CU16,'ODBC Data'!$B$1:$J$500,4,0))</f>
        <v/>
      </c>
      <c r="CX16" t="str">
        <f>IF(ISNA(VLOOKUP(CU16,'ODBC Data'!$B$1:$J$500,5,0)),"",VLOOKUP(CU16,'ODBC Data'!$B$1:$J$500,5,0))</f>
        <v/>
      </c>
      <c r="CZ16" s="19" t="str">
        <f>IF('ODBC Data'!$I$16&gt;12,'ODBC Data'!$H$16,"")</f>
        <v/>
      </c>
      <c r="DA16" s="19" t="str">
        <f>IF('ODBC Data'!$I$16&gt;12,13,"")</f>
        <v/>
      </c>
      <c r="DB16" s="17" t="str">
        <f t="shared" si="12"/>
        <v/>
      </c>
      <c r="DC16" t="str">
        <f>IF(ISNA(VLOOKUP(DB16,'ODBC Data'!$B$1:$J$500,3,0)),"",VLOOKUP(DB16,'ODBC Data'!$B$1:$J$500,3,0))</f>
        <v/>
      </c>
      <c r="DD16" s="57" t="str">
        <f>IF(ISNA(VLOOKUP(DB16,'ODBC Data'!$B$1:$J$500,4,0)),"",VLOOKUP(DB16,'ODBC Data'!$B$1:$J$500,4,0))</f>
        <v/>
      </c>
      <c r="DE16" t="str">
        <f>IF(ISNA(VLOOKUP(DB16,'ODBC Data'!$B$1:$J$500,5,0)),"",VLOOKUP(DB16,'ODBC Data'!$B$1:$J$500,5,0))</f>
        <v/>
      </c>
      <c r="DG16" s="19" t="str">
        <f>IF('ODBC Data'!$I$17&gt;12,'ODBC Data'!$H$17,"")</f>
        <v/>
      </c>
      <c r="DH16" s="19" t="str">
        <f>IF('ODBC Data'!$I$17&gt;12,13,"")</f>
        <v/>
      </c>
      <c r="DI16" s="17" t="str">
        <f t="shared" si="13"/>
        <v/>
      </c>
      <c r="DJ16" t="str">
        <f>IF(ISNA(VLOOKUP(DI16,'ODBC Data'!$B$1:$J$500,3,0)),"",VLOOKUP(DI16,'ODBC Data'!$B$1:$J$500,3,0))</f>
        <v/>
      </c>
      <c r="DK16" s="57" t="str">
        <f>IF(ISNA(VLOOKUP(DI16,'ODBC Data'!$B$1:$J$500,4,0)),"",VLOOKUP(DI16,'ODBC Data'!$B$1:$J$500,4,0))</f>
        <v/>
      </c>
      <c r="DL16" t="str">
        <f>IF(ISNA(VLOOKUP(DI16,'ODBC Data'!$B$1:$J$500,5,0)),"",VLOOKUP(DI16,'ODBC Data'!$B$1:$J$500,5,0))</f>
        <v/>
      </c>
      <c r="DN16" s="19" t="str">
        <f>IF('ODBC Data'!$I$18&gt;12,'ODBC Data'!$H$18,"")</f>
        <v/>
      </c>
      <c r="DO16" s="19" t="str">
        <f>IF('ODBC Data'!$I$18&gt;12,13,"")</f>
        <v/>
      </c>
      <c r="DP16" s="17" t="str">
        <f t="shared" si="14"/>
        <v/>
      </c>
      <c r="DQ16" t="str">
        <f>IF(ISNA(VLOOKUP(DP16,'ODBC Data'!$B$1:$J$500,3,0)),"",VLOOKUP(DP16,'ODBC Data'!$B$1:$J$500,3,0))</f>
        <v/>
      </c>
      <c r="DR16" s="57" t="str">
        <f>IF(ISNA(VLOOKUP(DP16,'ODBC Data'!$B$1:$J$500,4,0)),"",VLOOKUP(DP16,'ODBC Data'!$B$1:$J$500,4,0))</f>
        <v/>
      </c>
      <c r="DS16" t="str">
        <f>IF(ISNA(VLOOKUP(DP16,'ODBC Data'!$B$1:$J$500,5,0)),"",VLOOKUP(DP16,'ODBC Data'!$B$1:$J$500,5,0))</f>
        <v/>
      </c>
      <c r="DU16" s="19" t="str">
        <f>IF('ODBC Data'!$I$19&gt;12,'ODBC Data'!$H$19,"")</f>
        <v/>
      </c>
      <c r="DV16" s="19" t="str">
        <f>IF('ODBC Data'!$I$19&gt;12,13,"")</f>
        <v/>
      </c>
      <c r="DW16" s="17" t="str">
        <f t="shared" si="15"/>
        <v/>
      </c>
      <c r="DX16" t="str">
        <f>IF(ISNA(VLOOKUP(DW16,'ODBC Data'!$B$1:$J$500,3,0)),"",VLOOKUP(DW16,'ODBC Data'!$B$1:$J$500,3,0))</f>
        <v/>
      </c>
      <c r="DY16" s="57" t="str">
        <f>IF(ISNA(VLOOKUP(DW16,'ODBC Data'!$B$1:$J$500,4,0)),"",VLOOKUP(DW16,'ODBC Data'!$B$1:$J$500,4,0))</f>
        <v/>
      </c>
      <c r="DZ16" t="str">
        <f>IF(ISNA(VLOOKUP(DW16,'ODBC Data'!$B$1:$J$500,5,0)),"",VLOOKUP(DW16,'ODBC Data'!$B$1:$J$500,5,0))</f>
        <v/>
      </c>
      <c r="EB16" s="19" t="str">
        <f>IF('ODBC Data'!$I$20&gt;12,'ODBC Data'!$H$20,"")</f>
        <v/>
      </c>
      <c r="EC16" s="19" t="str">
        <f>IF('ODBC Data'!$I$20&gt;12,13,"")</f>
        <v/>
      </c>
      <c r="ED16" s="17" t="str">
        <f t="shared" si="16"/>
        <v/>
      </c>
      <c r="EE16" s="57" t="str">
        <f>IF(ISNA(VLOOKUP(ED16,'ODBC Data'!$B$1:$J$500,3,0)),"",VLOOKUP(ED16,'ODBC Data'!$B$1:$J$500,3,0))</f>
        <v/>
      </c>
      <c r="EF16" s="57" t="str">
        <f>IF(ISNA(VLOOKUP(ED16,'ODBC Data'!$B$1:$J$500,4,0)),"",VLOOKUP(ED16,'ODBC Data'!$B$1:$J$500,4,0))</f>
        <v/>
      </c>
      <c r="EG16" s="57" t="str">
        <f>IF(ISNA(VLOOKUP(ED16,'ODBC Data'!$B$1:$J$500,5,0)),"",VLOOKUP(ED16,'ODBC Data'!$B$1:$J$500,5,0))</f>
        <v/>
      </c>
      <c r="EI16" s="19" t="str">
        <f>IF('ODBC Data'!$I$21&gt;12,'ODBC Data'!$H$21,"")</f>
        <v/>
      </c>
      <c r="EJ16" s="19" t="str">
        <f>IF('ODBC Data'!$I$21&gt;12,13,"")</f>
        <v/>
      </c>
      <c r="EK16" s="17" t="str">
        <f t="shared" si="17"/>
        <v/>
      </c>
      <c r="EL16" t="str">
        <f>IF(ISNA(VLOOKUP(EK16,'ODBC Data'!$B$1:$J$500,3,0)),"",VLOOKUP(EK16,'ODBC Data'!$B$1:$J$500,3,0))</f>
        <v/>
      </c>
      <c r="EM16" s="57" t="str">
        <f>IF(ISNA(VLOOKUP(EK16,'ODBC Data'!$B$1:$J$500,4,0)),"",VLOOKUP(EK16,'ODBC Data'!$B$1:$J$500,4,0))</f>
        <v/>
      </c>
      <c r="EN16" t="str">
        <f>IF(ISNA(VLOOKUP(EK16,'ODBC Data'!$B$1:$J$500,5,0)),"",VLOOKUP(EK16,'ODBC Data'!$B$1:$J$500,5,0))</f>
        <v/>
      </c>
      <c r="EP16" s="19" t="str">
        <f>IF('ODBC Data'!$I$22&gt;12,'ODBC Data'!$H$22,"")</f>
        <v/>
      </c>
      <c r="EQ16" s="19" t="str">
        <f>IF('ODBC Data'!$I$22&gt;12,13,"")</f>
        <v/>
      </c>
      <c r="ER16" s="17" t="str">
        <f t="shared" si="18"/>
        <v/>
      </c>
      <c r="ES16" t="str">
        <f>IF(ISNA(VLOOKUP(ER16,'ODBC Data'!$B$1:$J$500,3,0)),"",VLOOKUP(ER16,'ODBC Data'!$B$1:$J$500,3,0))</f>
        <v/>
      </c>
      <c r="ET16" s="57" t="str">
        <f>IF(ISNA(VLOOKUP(ER16,'ODBC Data'!$B$1:$J$500,4,0)),"",VLOOKUP(ER16,'ODBC Data'!$B$1:$J$500,4,0))</f>
        <v/>
      </c>
      <c r="EU16" t="str">
        <f>IF(ISNA(VLOOKUP(ER16,'ODBC Data'!$B$1:$J$500,5,0)),"",VLOOKUP(ER16,'ODBC Data'!$B$1:$J$500,5,0))</f>
        <v/>
      </c>
      <c r="EW16" s="19" t="str">
        <f>IF('ODBC Data'!$I$23&gt;12,'ODBC Data'!$H$23,"")</f>
        <v/>
      </c>
      <c r="EX16" s="19" t="str">
        <f>IF('ODBC Data'!$I$23&gt;12,13,"")</f>
        <v/>
      </c>
      <c r="EY16" s="17" t="str">
        <f t="shared" si="19"/>
        <v/>
      </c>
      <c r="EZ16" t="str">
        <f>IF(ISNA(VLOOKUP(EY16,'ODBC Data'!$B$1:$J$500,3,0)),"",VLOOKUP(EY16,'ODBC Data'!$B$1:$J$500,3,0))</f>
        <v/>
      </c>
      <c r="FA16" s="57" t="str">
        <f>IF(ISNA(VLOOKUP(EY16,'ODBC Data'!$B$1:$J$500,4,0)),"",VLOOKUP(EY16,'ODBC Data'!$B$1:$J$500,4,0))</f>
        <v/>
      </c>
      <c r="FB16" t="str">
        <f>IF(ISNA(VLOOKUP(EY16,'ODBC Data'!$B$1:$J$500,5,0)),"",VLOOKUP(EY16,'ODBC Data'!$B$1:$J$500,5,0))</f>
        <v/>
      </c>
      <c r="FD16" s="19" t="str">
        <f>IF('ODBC Data'!$I$24&gt;12,'ODBC Data'!$H$24,"")</f>
        <v/>
      </c>
      <c r="FE16" s="19" t="str">
        <f>IF('ODBC Data'!$I$24&gt;12,13,"")</f>
        <v/>
      </c>
      <c r="FF16" s="17" t="str">
        <f t="shared" si="20"/>
        <v/>
      </c>
      <c r="FG16" t="str">
        <f>IF(ISNA(VLOOKUP(FF16,'ODBC Data'!$B$1:$J$500,3,0)),"",VLOOKUP(FF16,'ODBC Data'!$B$1:$J$500,3,0))</f>
        <v/>
      </c>
      <c r="FH16" s="57" t="str">
        <f>IF(ISNA(VLOOKUP(FF16,'ODBC Data'!$B$1:$J$500,4,0)),"",VLOOKUP(FF16,'ODBC Data'!$B$1:$J$500,4,0))</f>
        <v/>
      </c>
      <c r="FI16" t="str">
        <f>IF(ISNA(VLOOKUP(FF16,'ODBC Data'!$B$1:$J$500,5,0)),"",VLOOKUP(FF16,'ODBC Data'!$B$1:$J$500,5,0))</f>
        <v/>
      </c>
      <c r="FK16" s="19" t="str">
        <f>IF('ODBC Data'!$I$25&gt;12,'ODBC Data'!$H$25,"")</f>
        <v/>
      </c>
      <c r="FL16" s="19" t="str">
        <f>IF('ODBC Data'!$I$25&gt;12,13,"")</f>
        <v/>
      </c>
      <c r="FM16" s="17" t="str">
        <f t="shared" si="21"/>
        <v/>
      </c>
      <c r="FN16" t="str">
        <f>IF(ISNA(VLOOKUP(FM16,'ODBC Data'!$B$1:$J$500,3,0)),"",VLOOKUP(FM16,'ODBC Data'!$B$1:$J$500,3,0))</f>
        <v/>
      </c>
      <c r="FO16" s="57" t="str">
        <f>IF(ISNA(VLOOKUP(FM16,'ODBC Data'!$B$1:$J$500,4,0)),"",VLOOKUP(FM16,'ODBC Data'!$B$1:$J$500,4,0))</f>
        <v/>
      </c>
      <c r="FP16" t="str">
        <f>IF(ISNA(VLOOKUP(FM16,'ODBC Data'!$B$1:$J$500,5,0)),"",VLOOKUP(FM16,'ODBC Data'!$B$1:$J$500,5,0))</f>
        <v/>
      </c>
      <c r="FR16" s="19" t="str">
        <f>IF('ODBC Data'!$I$26&gt;12,'ODBC Data'!$H$26,"")</f>
        <v/>
      </c>
      <c r="FS16" s="19" t="str">
        <f>IF('ODBC Data'!$I$26&gt;12,13,"")</f>
        <v/>
      </c>
      <c r="FT16" s="17" t="str">
        <f t="shared" si="22"/>
        <v/>
      </c>
      <c r="FU16" s="57" t="str">
        <f>IF(ISNA(VLOOKUP(FT16,'ODBC Data'!$B$1:$J$500,3,0)),"",VLOOKUP(FT16,'ODBC Data'!$B$1:$J$500,3,0))</f>
        <v/>
      </c>
      <c r="FV16" s="57" t="str">
        <f>IF(ISNA(VLOOKUP(FT16,'ODBC Data'!$B$1:$J$500,4,0)),"",VLOOKUP(FT16,'ODBC Data'!$B$1:$J$500,4,0))</f>
        <v/>
      </c>
      <c r="FW16" s="57" t="str">
        <f>IF(ISNA(VLOOKUP(FT16,'ODBC Data'!$B$1:$J$500,5,0)),"",VLOOKUP(FT16,'ODBC Data'!$B$1:$J$500,5,0))</f>
        <v/>
      </c>
      <c r="FY16" s="19" t="str">
        <f>IF('ODBC Data'!$I$27&gt;12,'ODBC Data'!$H$27,"")</f>
        <v/>
      </c>
      <c r="FZ16" s="19" t="str">
        <f>IF('ODBC Data'!$I$27&gt;12,13,"")</f>
        <v/>
      </c>
      <c r="GA16" s="17" t="str">
        <f t="shared" si="23"/>
        <v/>
      </c>
      <c r="GB16" s="57" t="str">
        <f>IF(ISNA(VLOOKUP(GA16,'ODBC Data'!$B$1:$J$500,3,0)),"",VLOOKUP(GA16,'ODBC Data'!$B$1:$J$500,3,0))</f>
        <v/>
      </c>
      <c r="GC16" s="57" t="str">
        <f>IF(ISNA(VLOOKUP(GA16,'ODBC Data'!$B$1:$J$500,4,0)),"",VLOOKUP(GA16,'ODBC Data'!$B$1:$J$500,4,0))</f>
        <v/>
      </c>
      <c r="GD16" s="57" t="str">
        <f>IF(ISNA(VLOOKUP(GA16,'ODBC Data'!$B$1:$J$500,5,0)),"",VLOOKUP(GA16,'ODBC Data'!$B$1:$J$500,5,0))</f>
        <v/>
      </c>
    </row>
    <row r="17" spans="1:186">
      <c r="A17" s="19" t="str">
        <f>IF('ODBC Data'!$I$1&gt;13,'ODBC Data'!$H$1,"")</f>
        <v/>
      </c>
      <c r="B17" s="19" t="str">
        <f>IF('ODBC Data'!$I$1&gt;13,14,"")</f>
        <v/>
      </c>
      <c r="C17" s="17" t="str">
        <f t="shared" si="27"/>
        <v/>
      </c>
      <c r="D17" t="str">
        <f>IF(ISNA(VLOOKUP(C17,'ODBC Data'!$B$1:$J$500,3,0)),"",VLOOKUP(C17,'ODBC Data'!$B$1:$J$500,3,0))</f>
        <v/>
      </c>
      <c r="E17" t="str">
        <f>IF(ISNA(VLOOKUP(C17,'ODBC Data'!$B$1:$J$500,5,0)),"",VLOOKUP(C17,'ODBC Data'!$B$1:$J$500,5,0))</f>
        <v/>
      </c>
      <c r="F17" t="str">
        <f t="shared" si="28"/>
        <v/>
      </c>
      <c r="G17" s="19" t="str">
        <f>IF('ODBC Data'!$I$2&gt;13,'ODBC Data'!$H$2,"")</f>
        <v/>
      </c>
      <c r="H17" s="19" t="str">
        <f>IF('ODBC Data'!$I$2&gt;13,14,"")</f>
        <v/>
      </c>
      <c r="I17" s="17" t="str">
        <f t="shared" si="24"/>
        <v/>
      </c>
      <c r="J17" t="str">
        <f>IF(ISNA(VLOOKUP(I17,'ODBC Data'!$B$1:$J$500,3,0)),"",VLOOKUP(I17,'ODBC Data'!$B$1:$J$500,3,0))</f>
        <v/>
      </c>
      <c r="K17" t="str">
        <f>IF(ISNA(VLOOKUP(I17,'ODBC Data'!$B$1:$J$500,5,0)),"",VLOOKUP(I17,'ODBC Data'!$B$1:$J$500,5,0))</f>
        <v/>
      </c>
      <c r="M17" s="19" t="str">
        <f>IF('ODBC Data'!$I$3&gt;13,'ODBC Data'!$H$3,"")</f>
        <v/>
      </c>
      <c r="N17" s="19" t="str">
        <f>IF('ODBC Data'!$I$3&gt;13,14,"")</f>
        <v/>
      </c>
      <c r="O17" s="17" t="str">
        <f t="shared" si="25"/>
        <v/>
      </c>
      <c r="P17" t="str">
        <f>IF(ISNA(VLOOKUP(O17,'ODBC Data'!$B$1:$J$500,3,0)),"",VLOOKUP(O17,'ODBC Data'!$B$1:$J$500,3,0))</f>
        <v/>
      </c>
      <c r="Q17" t="str">
        <f>IF(ISNA(VLOOKUP(O17,'ODBC Data'!$B$1:$J$500,5,0)),"",VLOOKUP(O17,'ODBC Data'!$B$1:$J$500,4,0))</f>
        <v/>
      </c>
      <c r="S17" s="19" t="str">
        <f>IF('ODBC Data'!$I$3&gt;13,'ODBC Data'!$H$3,"")</f>
        <v/>
      </c>
      <c r="T17" s="19" t="str">
        <f>IF('ODBC Data'!$I$3&gt;13,14,"")</f>
        <v/>
      </c>
      <c r="U17" s="17" t="str">
        <f t="shared" si="26"/>
        <v/>
      </c>
      <c r="V17" t="str">
        <f>IF(ISNA(VLOOKUP(U17,'ODBC Data'!$B$1:$J$500,3,0)),"",VLOOKUP(U17,'ODBC Data'!$B$1:$J$500,3,0))</f>
        <v/>
      </c>
      <c r="W17" t="str">
        <f>IF(ISNA(VLOOKUP(U17,'ODBC Data'!$B$1:$J$500,5,0)),"",VLOOKUP(U17,'ODBC Data'!$B$1:$J$500,5,0))</f>
        <v/>
      </c>
      <c r="Y17" s="19" t="str">
        <f>IF('ODBC Data'!$I$4&gt;13,'ODBC Data'!$H$4,"")</f>
        <v/>
      </c>
      <c r="Z17" s="19" t="str">
        <f>IF('ODBC Data'!$I$4&gt;13,14,"")</f>
        <v/>
      </c>
      <c r="AA17" s="17" t="str">
        <f t="shared" si="0"/>
        <v/>
      </c>
      <c r="AB17" s="57" t="str">
        <f>IF(ISNA(VLOOKUP(AA17,'ODBC Data'!$B$1:$J$500,3,0)),"",VLOOKUP(AA17,'ODBC Data'!$B$1:$J$500,3,0))</f>
        <v/>
      </c>
      <c r="AC17" s="57" t="str">
        <f>IF(ISNA(VLOOKUP(AA17,'ODBC Data'!$B$1:$J$500,5,0)),"",VLOOKUP(AA17,'ODBC Data'!$B$1:$J$500,5,0))</f>
        <v/>
      </c>
      <c r="AE17" s="19" t="str">
        <f>IF('ODBC Data'!$I$5&gt;13,'ODBC Data'!$H$5,"")</f>
        <v/>
      </c>
      <c r="AF17" s="19" t="str">
        <f>IF('ODBC Data'!$I$5&gt;13,14,"")</f>
        <v/>
      </c>
      <c r="AG17" s="17" t="str">
        <f t="shared" si="1"/>
        <v/>
      </c>
      <c r="AH17" t="str">
        <f>IF(ISNA(VLOOKUP(AG17,'ODBC Data'!$B$1:$J$500,3,0)),"",VLOOKUP(AG17,'ODBC Data'!$B$1:$J$500,3,0))</f>
        <v/>
      </c>
      <c r="AI17" t="str">
        <f>IF(ISNA(VLOOKUP(AG17,'ODBC Data'!$B$1:$J$500,5,0)),"",VLOOKUP(AG17,'ODBC Data'!$B$1:$J$500,5,0))</f>
        <v/>
      </c>
      <c r="AK17" s="19" t="str">
        <f>IF('ODBC Data'!$I$6&gt;13,'ODBC Data'!$H$6,"")</f>
        <v/>
      </c>
      <c r="AL17" s="19" t="str">
        <f>IF('ODBC Data'!$I$6&gt;13,14,"")</f>
        <v/>
      </c>
      <c r="AM17" s="17" t="str">
        <f t="shared" si="2"/>
        <v/>
      </c>
      <c r="AN17" t="str">
        <f>IF(ISNA(VLOOKUP(AM17,'ODBC Data'!$B$1:$J$500,3,0)),"",VLOOKUP(AM17,'ODBC Data'!$B$1:$J$500,3,0))</f>
        <v/>
      </c>
      <c r="AO17" t="str">
        <f>IF(ISNA(VLOOKUP(AM17,'ODBC Data'!$B$1:$J$500,5,0)),"",VLOOKUP(AM17,'ODBC Data'!$B$1:$J$500,5,0))</f>
        <v/>
      </c>
      <c r="AQ17" s="19" t="str">
        <f>IF('ODBC Data'!$I$7&gt;13,'ODBC Data'!$H$7,"")</f>
        <v/>
      </c>
      <c r="AR17" s="19" t="str">
        <f>IF('ODBC Data'!$I$7&gt;13,14,"")</f>
        <v/>
      </c>
      <c r="AS17" s="17" t="str">
        <f t="shared" si="3"/>
        <v/>
      </c>
      <c r="AT17" t="str">
        <f>IF(ISNA(VLOOKUP(AS17,'ODBC Data'!$B$1:$J$500,3,0)),"",VLOOKUP(AS17,'ODBC Data'!$B$1:$J$500,3,0))</f>
        <v/>
      </c>
      <c r="AU17" t="str">
        <f>IF(ISNA(VLOOKUP(AS17,'ODBC Data'!$B$1:$J$500,5,0)),"",VLOOKUP(AS17,'ODBC Data'!$B$1:$J$500,5,0))</f>
        <v/>
      </c>
      <c r="AW17" s="19" t="str">
        <f>IF('ODBC Data'!$I$8&gt;13,'ODBC Data'!$H$8,"")</f>
        <v/>
      </c>
      <c r="AX17" s="19" t="str">
        <f>IF('ODBC Data'!$I$8&gt;13,14,"")</f>
        <v/>
      </c>
      <c r="AY17" s="17" t="str">
        <f t="shared" si="4"/>
        <v/>
      </c>
      <c r="AZ17" t="str">
        <f>IF(ISNA(VLOOKUP(AY17,'ODBC Data'!$B$1:$J$500,3,0)),"",VLOOKUP(AY17,'ODBC Data'!$B$1:$J$500,3,0))</f>
        <v/>
      </c>
      <c r="BA17" t="str">
        <f>IF(ISNA(VLOOKUP(AY17,'ODBC Data'!$B$1:$J$500,5,0)),"",VLOOKUP(AY17,'ODBC Data'!$B$1:$J$500,5,0))</f>
        <v/>
      </c>
      <c r="BC17" s="19" t="str">
        <f>IF('ODBC Data'!$I$9&gt;13,'ODBC Data'!$H$9,"")</f>
        <v/>
      </c>
      <c r="BD17" s="19" t="str">
        <f>IF('ODBC Data'!$I$9&gt;13,14,"")</f>
        <v/>
      </c>
      <c r="BE17" s="17" t="str">
        <f t="shared" si="5"/>
        <v/>
      </c>
      <c r="BF17" t="str">
        <f>IF(ISNA(VLOOKUP(BE17,'ODBC Data'!$B$1:$J$500,3,0)),"",VLOOKUP(BE17,'ODBC Data'!$B$1:$J$500,3,0))</f>
        <v/>
      </c>
      <c r="BG17" s="57" t="str">
        <f>IF(ISNA(VLOOKUP(BE17,'ODBC Data'!$B$1:$J$500,4,0)),"",VLOOKUP(BE17,'ODBC Data'!$B$1:$J$500,4,0))</f>
        <v/>
      </c>
      <c r="BH17" t="str">
        <f>IF(ISNA(VLOOKUP(BE17,'ODBC Data'!$B$1:$J$500,5,0)),"",VLOOKUP(BE17,'ODBC Data'!$B$1:$J$500,5,0))</f>
        <v/>
      </c>
      <c r="BJ17" s="19" t="str">
        <f>IF('ODBC Data'!$I$10&gt;13,'ODBC Data'!$H$10,"")</f>
        <v/>
      </c>
      <c r="BK17" s="19" t="str">
        <f>IF('ODBC Data'!$I$10&gt;13,14,"")</f>
        <v/>
      </c>
      <c r="BL17" s="17" t="str">
        <f t="shared" si="6"/>
        <v/>
      </c>
      <c r="BM17" t="str">
        <f>IF(ISNA(VLOOKUP(BL17,'ODBC Data'!$B$1:$J$500,3,0)),"",VLOOKUP(BL17,'ODBC Data'!$B$1:$J$500,3,0))</f>
        <v/>
      </c>
      <c r="BN17" s="57" t="str">
        <f>IF(ISNA(VLOOKUP(BL17,'ODBC Data'!$B$1:$J$500,4,0)),"",VLOOKUP(BL17,'ODBC Data'!$B$1:$J$500,4,0))</f>
        <v/>
      </c>
      <c r="BO17" t="str">
        <f>IF(ISNA(VLOOKUP(BL17,'ODBC Data'!$B$1:$J$500,5,0)),"",VLOOKUP(BL17,'ODBC Data'!$B$1:$J$500,5,0))</f>
        <v/>
      </c>
      <c r="BQ17" s="19" t="str">
        <f>IF('ODBC Data'!$I$11&gt;13,'ODBC Data'!$H$11,"")</f>
        <v/>
      </c>
      <c r="BR17" s="19" t="str">
        <f>IF('ODBC Data'!$I$11&gt;13,14,"")</f>
        <v/>
      </c>
      <c r="BS17" s="17" t="str">
        <f t="shared" si="7"/>
        <v/>
      </c>
      <c r="BT17" t="str">
        <f>IF(ISNA(VLOOKUP(BS17,'ODBC Data'!$B$1:$J$500,3,0)),"",VLOOKUP(BS17,'ODBC Data'!$B$1:$J$500,3,0))</f>
        <v/>
      </c>
      <c r="BU17" s="57" t="str">
        <f>IF(ISNA(VLOOKUP(BS17,'ODBC Data'!$B$1:$J$500,4,0)),"",VLOOKUP(BS17,'ODBC Data'!$B$1:$J$500,4,0))</f>
        <v/>
      </c>
      <c r="BV17" t="str">
        <f>IF(ISNA(VLOOKUP(BS17,'ODBC Data'!$B$1:$J$500,5,0)),"",VLOOKUP(BS17,'ODBC Data'!$B$1:$J$500,5,0))</f>
        <v/>
      </c>
      <c r="BX17" s="19" t="str">
        <f>IF('ODBC Data'!$I$12&gt;13,'ODBC Data'!$H$12,"")</f>
        <v/>
      </c>
      <c r="BY17" s="19" t="str">
        <f>IF('ODBC Data'!$I$12&gt;13,14,"")</f>
        <v/>
      </c>
      <c r="BZ17" s="17" t="str">
        <f t="shared" si="8"/>
        <v/>
      </c>
      <c r="CA17" t="str">
        <f>IF(ISNA(VLOOKUP(BZ17,'ODBC Data'!$B$1:$J$500,3,0)),"",VLOOKUP(BZ17,'ODBC Data'!$B$1:$J$500,3,0))</f>
        <v/>
      </c>
      <c r="CB17" s="57" t="str">
        <f>IF(ISNA(VLOOKUP(BZ17,'ODBC Data'!$B$1:$J$500,4,0)),"",VLOOKUP(BZ17,'ODBC Data'!$B$1:$J$500,4,0))</f>
        <v/>
      </c>
      <c r="CC17" t="str">
        <f>IF(ISNA(VLOOKUP(BZ17,'ODBC Data'!$B$1:$J$500,5,0)),"",VLOOKUP(BZ17,'ODBC Data'!$B$1:$J$500,5,0))</f>
        <v/>
      </c>
      <c r="CE17" s="19" t="str">
        <f>IF('ODBC Data'!$I$13&gt;13,'ODBC Data'!$H$13,"")</f>
        <v/>
      </c>
      <c r="CF17" s="19" t="str">
        <f>IF('ODBC Data'!$I$13&gt;13,14,"")</f>
        <v/>
      </c>
      <c r="CG17" s="17" t="str">
        <f t="shared" si="9"/>
        <v/>
      </c>
      <c r="CH17" t="str">
        <f>IF(ISNA(VLOOKUP(CG17,'ODBC Data'!$B$1:$J$500,3,0)),"",VLOOKUP(CG17,'ODBC Data'!$B$1:$J$500,3,0))</f>
        <v/>
      </c>
      <c r="CI17" s="57" t="str">
        <f>IF(ISNA(VLOOKUP(CG17,'ODBC Data'!$B$1:$J$500,4,0)),"",VLOOKUP(CG17,'ODBC Data'!$B$1:$J$500,4,0))</f>
        <v/>
      </c>
      <c r="CJ17" t="str">
        <f>IF(ISNA(VLOOKUP(CG17,'ODBC Data'!$B$1:$J$500,5,0)),"",VLOOKUP(CG17,'ODBC Data'!$B$1:$J$500,5,0))</f>
        <v/>
      </c>
      <c r="CL17" s="19" t="str">
        <f>IF('ODBC Data'!$I$14&gt;13,'ODBC Data'!$H$14,"")</f>
        <v/>
      </c>
      <c r="CM17" s="19" t="str">
        <f>IF('ODBC Data'!$I$14&gt;13,14,"")</f>
        <v/>
      </c>
      <c r="CN17" s="17" t="str">
        <f t="shared" si="10"/>
        <v/>
      </c>
      <c r="CO17" s="57" t="str">
        <f>IF(ISNA(VLOOKUP(CN17,'ODBC Data'!$B$1:$J$500,3,0)),"",VLOOKUP(CN17,'ODBC Data'!$B$1:$J$500,3,0))</f>
        <v/>
      </c>
      <c r="CP17" s="57" t="str">
        <f>IF(ISNA(VLOOKUP(CN17,'ODBC Data'!$B$1:$J$500,4,0)),"",VLOOKUP(CN17,'ODBC Data'!$B$1:$J$500,4,0))</f>
        <v/>
      </c>
      <c r="CQ17" s="57" t="str">
        <f>IF(ISNA(VLOOKUP(CN17,'ODBC Data'!$B$1:$J$500,5,0)),"",VLOOKUP(CN17,'ODBC Data'!$B$1:$J$500,5,0))</f>
        <v/>
      </c>
      <c r="CS17" s="19" t="str">
        <f>IF('ODBC Data'!$I$15&gt;13,'ODBC Data'!$H$15,"")</f>
        <v/>
      </c>
      <c r="CT17" s="19" t="str">
        <f>IF('ODBC Data'!$I$15&gt;13,14,"")</f>
        <v/>
      </c>
      <c r="CU17" s="17" t="str">
        <f t="shared" si="11"/>
        <v/>
      </c>
      <c r="CV17" t="str">
        <f>IF(ISNA(VLOOKUP(CU17,'ODBC Data'!$B$1:$J$500,3,0)),"",VLOOKUP(CU17,'ODBC Data'!$B$1:$J$500,3,0))</f>
        <v/>
      </c>
      <c r="CW17" s="57" t="str">
        <f>IF(ISNA(VLOOKUP(CU17,'ODBC Data'!$B$1:$J$500,4,0)),"",VLOOKUP(CU17,'ODBC Data'!$B$1:$J$500,4,0))</f>
        <v/>
      </c>
      <c r="CX17" t="str">
        <f>IF(ISNA(VLOOKUP(CU17,'ODBC Data'!$B$1:$J$500,5,0)),"",VLOOKUP(CU17,'ODBC Data'!$B$1:$J$500,5,0))</f>
        <v/>
      </c>
      <c r="CZ17" s="19" t="str">
        <f>IF('ODBC Data'!$I$16&gt;13,'ODBC Data'!$H$16,"")</f>
        <v/>
      </c>
      <c r="DA17" s="19" t="str">
        <f>IF('ODBC Data'!$I$16&gt;13,14,"")</f>
        <v/>
      </c>
      <c r="DB17" s="17" t="str">
        <f t="shared" si="12"/>
        <v/>
      </c>
      <c r="DC17" t="str">
        <f>IF(ISNA(VLOOKUP(DB17,'ODBC Data'!$B$1:$J$500,3,0)),"",VLOOKUP(DB17,'ODBC Data'!$B$1:$J$500,3,0))</f>
        <v/>
      </c>
      <c r="DD17" s="57" t="str">
        <f>IF(ISNA(VLOOKUP(DB17,'ODBC Data'!$B$1:$J$500,4,0)),"",VLOOKUP(DB17,'ODBC Data'!$B$1:$J$500,4,0))</f>
        <v/>
      </c>
      <c r="DE17" t="str">
        <f>IF(ISNA(VLOOKUP(DB17,'ODBC Data'!$B$1:$J$500,5,0)),"",VLOOKUP(DB17,'ODBC Data'!$B$1:$J$500,5,0))</f>
        <v/>
      </c>
      <c r="DG17" s="19" t="str">
        <f>IF('ODBC Data'!$I$17&gt;13,'ODBC Data'!$H$17,"")</f>
        <v/>
      </c>
      <c r="DH17" s="19" t="str">
        <f>IF('ODBC Data'!$I$17&gt;13,14,"")</f>
        <v/>
      </c>
      <c r="DI17" s="17" t="str">
        <f t="shared" si="13"/>
        <v/>
      </c>
      <c r="DJ17" t="str">
        <f>IF(ISNA(VLOOKUP(DI17,'ODBC Data'!$B$1:$J$500,3,0)),"",VLOOKUP(DI17,'ODBC Data'!$B$1:$J$500,3,0))</f>
        <v/>
      </c>
      <c r="DK17" s="57" t="str">
        <f>IF(ISNA(VLOOKUP(DI17,'ODBC Data'!$B$1:$J$500,4,0)),"",VLOOKUP(DI17,'ODBC Data'!$B$1:$J$500,4,0))</f>
        <v/>
      </c>
      <c r="DL17" t="str">
        <f>IF(ISNA(VLOOKUP(DI17,'ODBC Data'!$B$1:$J$500,5,0)),"",VLOOKUP(DI17,'ODBC Data'!$B$1:$J$500,5,0))</f>
        <v/>
      </c>
      <c r="DN17" s="19" t="str">
        <f>IF('ODBC Data'!$I$18&gt;13,'ODBC Data'!$H$18,"")</f>
        <v/>
      </c>
      <c r="DO17" s="19" t="str">
        <f>IF('ODBC Data'!$I$18&gt;13,14,"")</f>
        <v/>
      </c>
      <c r="DP17" s="17" t="str">
        <f t="shared" si="14"/>
        <v/>
      </c>
      <c r="DQ17" t="str">
        <f>IF(ISNA(VLOOKUP(DP17,'ODBC Data'!$B$1:$J$500,3,0)),"",VLOOKUP(DP17,'ODBC Data'!$B$1:$J$500,3,0))</f>
        <v/>
      </c>
      <c r="DR17" s="57" t="str">
        <f>IF(ISNA(VLOOKUP(DP17,'ODBC Data'!$B$1:$J$500,4,0)),"",VLOOKUP(DP17,'ODBC Data'!$B$1:$J$500,4,0))</f>
        <v/>
      </c>
      <c r="DS17" t="str">
        <f>IF(ISNA(VLOOKUP(DP17,'ODBC Data'!$B$1:$J$500,5,0)),"",VLOOKUP(DP17,'ODBC Data'!$B$1:$J$500,5,0))</f>
        <v/>
      </c>
      <c r="DU17" s="19" t="str">
        <f>IF('ODBC Data'!$I$19&gt;13,'ODBC Data'!$H$19,"")</f>
        <v/>
      </c>
      <c r="DV17" s="19" t="str">
        <f>IF('ODBC Data'!$I$19&gt;13,14,"")</f>
        <v/>
      </c>
      <c r="DW17" s="17" t="str">
        <f t="shared" si="15"/>
        <v/>
      </c>
      <c r="DX17" t="str">
        <f>IF(ISNA(VLOOKUP(DW17,'ODBC Data'!$B$1:$J$500,3,0)),"",VLOOKUP(DW17,'ODBC Data'!$B$1:$J$500,3,0))</f>
        <v/>
      </c>
      <c r="DY17" s="57" t="str">
        <f>IF(ISNA(VLOOKUP(DW17,'ODBC Data'!$B$1:$J$500,4,0)),"",VLOOKUP(DW17,'ODBC Data'!$B$1:$J$500,4,0))</f>
        <v/>
      </c>
      <c r="DZ17" t="str">
        <f>IF(ISNA(VLOOKUP(DW17,'ODBC Data'!$B$1:$J$500,5,0)),"",VLOOKUP(DW17,'ODBC Data'!$B$1:$J$500,5,0))</f>
        <v/>
      </c>
      <c r="EB17" s="19" t="str">
        <f>IF('ODBC Data'!$I$20&gt;13,'ODBC Data'!$H$20,"")</f>
        <v/>
      </c>
      <c r="EC17" s="19" t="str">
        <f>IF('ODBC Data'!$I$20&gt;13,14,"")</f>
        <v/>
      </c>
      <c r="ED17" s="17" t="str">
        <f t="shared" si="16"/>
        <v/>
      </c>
      <c r="EE17" s="57" t="str">
        <f>IF(ISNA(VLOOKUP(ED17,'ODBC Data'!$B$1:$J$500,3,0)),"",VLOOKUP(ED17,'ODBC Data'!$B$1:$J$500,3,0))</f>
        <v/>
      </c>
      <c r="EF17" s="57" t="str">
        <f>IF(ISNA(VLOOKUP(ED17,'ODBC Data'!$B$1:$J$500,4,0)),"",VLOOKUP(ED17,'ODBC Data'!$B$1:$J$500,4,0))</f>
        <v/>
      </c>
      <c r="EG17" s="57" t="str">
        <f>IF(ISNA(VLOOKUP(ED17,'ODBC Data'!$B$1:$J$500,5,0)),"",VLOOKUP(ED17,'ODBC Data'!$B$1:$J$500,5,0))</f>
        <v/>
      </c>
      <c r="EI17" s="19" t="str">
        <f>IF('ODBC Data'!$I$21&gt;13,'ODBC Data'!$H$21,"")</f>
        <v/>
      </c>
      <c r="EJ17" s="19" t="str">
        <f>IF('ODBC Data'!$I$21&gt;13,14,"")</f>
        <v/>
      </c>
      <c r="EK17" s="17" t="str">
        <f t="shared" si="17"/>
        <v/>
      </c>
      <c r="EL17" t="str">
        <f>IF(ISNA(VLOOKUP(EK17,'ODBC Data'!$B$1:$J$500,3,0)),"",VLOOKUP(EK17,'ODBC Data'!$B$1:$J$500,3,0))</f>
        <v/>
      </c>
      <c r="EM17" s="57" t="str">
        <f>IF(ISNA(VLOOKUP(EK17,'ODBC Data'!$B$1:$J$500,4,0)),"",VLOOKUP(EK17,'ODBC Data'!$B$1:$J$500,4,0))</f>
        <v/>
      </c>
      <c r="EN17" t="str">
        <f>IF(ISNA(VLOOKUP(EK17,'ODBC Data'!$B$1:$J$500,5,0)),"",VLOOKUP(EK17,'ODBC Data'!$B$1:$J$500,5,0))</f>
        <v/>
      </c>
      <c r="EP17" s="19" t="str">
        <f>IF('ODBC Data'!$I$22&gt;13,'ODBC Data'!$H$22,"")</f>
        <v/>
      </c>
      <c r="EQ17" s="19" t="str">
        <f>IF('ODBC Data'!$I$22&gt;13,14,"")</f>
        <v/>
      </c>
      <c r="ER17" s="17" t="str">
        <f t="shared" si="18"/>
        <v/>
      </c>
      <c r="ES17" t="str">
        <f>IF(ISNA(VLOOKUP(ER17,'ODBC Data'!$B$1:$J$500,3,0)),"",VLOOKUP(ER17,'ODBC Data'!$B$1:$J$500,3,0))</f>
        <v/>
      </c>
      <c r="ET17" s="57" t="str">
        <f>IF(ISNA(VLOOKUP(ER17,'ODBC Data'!$B$1:$J$500,4,0)),"",VLOOKUP(ER17,'ODBC Data'!$B$1:$J$500,4,0))</f>
        <v/>
      </c>
      <c r="EU17" t="str">
        <f>IF(ISNA(VLOOKUP(ER17,'ODBC Data'!$B$1:$J$500,5,0)),"",VLOOKUP(ER17,'ODBC Data'!$B$1:$J$500,5,0))</f>
        <v/>
      </c>
      <c r="EW17" s="19" t="str">
        <f>IF('ODBC Data'!$I$23&gt;13,'ODBC Data'!$H$23,"")</f>
        <v/>
      </c>
      <c r="EX17" s="19" t="str">
        <f>IF('ODBC Data'!$I$23&gt;13,14,"")</f>
        <v/>
      </c>
      <c r="EY17" s="17" t="str">
        <f t="shared" si="19"/>
        <v/>
      </c>
      <c r="EZ17" t="str">
        <f>IF(ISNA(VLOOKUP(EY17,'ODBC Data'!$B$1:$J$500,3,0)),"",VLOOKUP(EY17,'ODBC Data'!$B$1:$J$500,3,0))</f>
        <v/>
      </c>
      <c r="FA17" s="57" t="str">
        <f>IF(ISNA(VLOOKUP(EY17,'ODBC Data'!$B$1:$J$500,4,0)),"",VLOOKUP(EY17,'ODBC Data'!$B$1:$J$500,4,0))</f>
        <v/>
      </c>
      <c r="FB17" t="str">
        <f>IF(ISNA(VLOOKUP(EY17,'ODBC Data'!$B$1:$J$500,5,0)),"",VLOOKUP(EY17,'ODBC Data'!$B$1:$J$500,5,0))</f>
        <v/>
      </c>
      <c r="FD17" s="19" t="str">
        <f>IF('ODBC Data'!$I$24&gt;13,'ODBC Data'!$H$24,"")</f>
        <v/>
      </c>
      <c r="FE17" s="19" t="str">
        <f>IF('ODBC Data'!$I$24&gt;13,14,"")</f>
        <v/>
      </c>
      <c r="FF17" s="17" t="str">
        <f t="shared" si="20"/>
        <v/>
      </c>
      <c r="FG17" t="str">
        <f>IF(ISNA(VLOOKUP(FF17,'ODBC Data'!$B$1:$J$500,3,0)),"",VLOOKUP(FF17,'ODBC Data'!$B$1:$J$500,3,0))</f>
        <v/>
      </c>
      <c r="FH17" s="57" t="str">
        <f>IF(ISNA(VLOOKUP(FF17,'ODBC Data'!$B$1:$J$500,4,0)),"",VLOOKUP(FF17,'ODBC Data'!$B$1:$J$500,4,0))</f>
        <v/>
      </c>
      <c r="FI17" t="str">
        <f>IF(ISNA(VLOOKUP(FF17,'ODBC Data'!$B$1:$J$500,5,0)),"",VLOOKUP(FF17,'ODBC Data'!$B$1:$J$500,5,0))</f>
        <v/>
      </c>
      <c r="FK17" s="19" t="str">
        <f>IF('ODBC Data'!$I$25&gt;13,'ODBC Data'!$H$25,"")</f>
        <v/>
      </c>
      <c r="FL17" s="19" t="str">
        <f>IF('ODBC Data'!$I$25&gt;13,14,"")</f>
        <v/>
      </c>
      <c r="FM17" s="17" t="str">
        <f t="shared" si="21"/>
        <v/>
      </c>
      <c r="FN17" t="str">
        <f>IF(ISNA(VLOOKUP(FM17,'ODBC Data'!$B$1:$J$500,3,0)),"",VLOOKUP(FM17,'ODBC Data'!$B$1:$J$500,3,0))</f>
        <v/>
      </c>
      <c r="FO17" s="57" t="str">
        <f>IF(ISNA(VLOOKUP(FM17,'ODBC Data'!$B$1:$J$500,4,0)),"",VLOOKUP(FM17,'ODBC Data'!$B$1:$J$500,4,0))</f>
        <v/>
      </c>
      <c r="FP17" t="str">
        <f>IF(ISNA(VLOOKUP(FM17,'ODBC Data'!$B$1:$J$500,5,0)),"",VLOOKUP(FM17,'ODBC Data'!$B$1:$J$500,5,0))</f>
        <v/>
      </c>
      <c r="FR17" s="19" t="str">
        <f>IF('ODBC Data'!$I$26&gt;13,'ODBC Data'!$H$26,"")</f>
        <v/>
      </c>
      <c r="FS17" s="19" t="str">
        <f>IF('ODBC Data'!$I$26&gt;13,14,"")</f>
        <v/>
      </c>
      <c r="FT17" s="17" t="str">
        <f t="shared" si="22"/>
        <v/>
      </c>
      <c r="FU17" s="57" t="str">
        <f>IF(ISNA(VLOOKUP(FT17,'ODBC Data'!$B$1:$J$500,3,0)),"",VLOOKUP(FT17,'ODBC Data'!$B$1:$J$500,3,0))</f>
        <v/>
      </c>
      <c r="FV17" s="57" t="str">
        <f>IF(ISNA(VLOOKUP(FT17,'ODBC Data'!$B$1:$J$500,4,0)),"",VLOOKUP(FT17,'ODBC Data'!$B$1:$J$500,4,0))</f>
        <v/>
      </c>
      <c r="FW17" s="57" t="str">
        <f>IF(ISNA(VLOOKUP(FT17,'ODBC Data'!$B$1:$J$500,5,0)),"",VLOOKUP(FT17,'ODBC Data'!$B$1:$J$500,5,0))</f>
        <v/>
      </c>
      <c r="FY17" s="19" t="str">
        <f>IF('ODBC Data'!$I$27&gt;13,'ODBC Data'!$H$27,"")</f>
        <v/>
      </c>
      <c r="FZ17" s="19" t="str">
        <f>IF('ODBC Data'!$I$27&gt;13,14,"")</f>
        <v/>
      </c>
      <c r="GA17" s="17" t="str">
        <f t="shared" si="23"/>
        <v/>
      </c>
      <c r="GB17" s="57" t="str">
        <f>IF(ISNA(VLOOKUP(GA17,'ODBC Data'!$B$1:$J$500,3,0)),"",VLOOKUP(GA17,'ODBC Data'!$B$1:$J$500,3,0))</f>
        <v/>
      </c>
      <c r="GC17" s="57" t="str">
        <f>IF(ISNA(VLOOKUP(GA17,'ODBC Data'!$B$1:$J$500,4,0)),"",VLOOKUP(GA17,'ODBC Data'!$B$1:$J$500,4,0))</f>
        <v/>
      </c>
      <c r="GD17" s="57" t="str">
        <f>IF(ISNA(VLOOKUP(GA17,'ODBC Data'!$B$1:$J$500,5,0)),"",VLOOKUP(GA17,'ODBC Data'!$B$1:$J$500,5,0))</f>
        <v/>
      </c>
    </row>
    <row r="18" spans="1:186">
      <c r="A18" s="19" t="str">
        <f>IF('ODBC Data'!$I$1&gt;14,'ODBC Data'!$H$1,"")</f>
        <v/>
      </c>
      <c r="B18" s="19" t="str">
        <f>IF('ODBC Data'!$I$1&gt;14,15,"")</f>
        <v/>
      </c>
      <c r="C18" s="17" t="str">
        <f t="shared" si="27"/>
        <v/>
      </c>
      <c r="D18" t="str">
        <f>IF(ISNA(VLOOKUP(C18,'ODBC Data'!$B$1:$J$500,3,0)),"",VLOOKUP(C18,'ODBC Data'!$B$1:$J$500,3,0))</f>
        <v/>
      </c>
      <c r="E18" t="str">
        <f>IF(ISNA(VLOOKUP(C18,'ODBC Data'!$B$1:$J$500,5,0)),"",VLOOKUP(C18,'ODBC Data'!$B$1:$J$500,5,0))</f>
        <v/>
      </c>
      <c r="F18" t="str">
        <f t="shared" si="28"/>
        <v/>
      </c>
      <c r="G18" s="19" t="str">
        <f>IF('ODBC Data'!$I$2&gt;14,'ODBC Data'!$H$2,"")</f>
        <v/>
      </c>
      <c r="H18" s="19" t="str">
        <f>IF('ODBC Data'!$I$2&gt;14,15,"")</f>
        <v/>
      </c>
      <c r="I18" s="17" t="str">
        <f t="shared" si="24"/>
        <v/>
      </c>
      <c r="J18" t="str">
        <f>IF(ISNA(VLOOKUP(I18,'ODBC Data'!$B$1:$J$500,3,0)),"",VLOOKUP(I18,'ODBC Data'!$B$1:$J$500,3,0))</f>
        <v/>
      </c>
      <c r="K18" t="str">
        <f>IF(ISNA(VLOOKUP(I18,'ODBC Data'!$B$1:$J$500,5,0)),"",VLOOKUP(I18,'ODBC Data'!$B$1:$J$500,5,0))</f>
        <v/>
      </c>
      <c r="M18" s="19" t="str">
        <f>IF('ODBC Data'!$I$3&gt;14,'ODBC Data'!$H$3,"")</f>
        <v/>
      </c>
      <c r="N18" s="19" t="str">
        <f>IF('ODBC Data'!$I$3&gt;14,15,"")</f>
        <v/>
      </c>
      <c r="O18" s="17" t="str">
        <f t="shared" si="25"/>
        <v/>
      </c>
      <c r="P18" t="str">
        <f>IF(ISNA(VLOOKUP(O18,'ODBC Data'!$B$1:$J$500,3,0)),"",VLOOKUP(O18,'ODBC Data'!$B$1:$J$500,3,0))</f>
        <v/>
      </c>
      <c r="Q18" t="str">
        <f>IF(ISNA(VLOOKUP(O18,'ODBC Data'!$B$1:$J$500,5,0)),"",VLOOKUP(O18,'ODBC Data'!$B$1:$J$500,4,0))</f>
        <v/>
      </c>
      <c r="S18" s="19" t="str">
        <f>IF('ODBC Data'!$I$3&gt;14,'ODBC Data'!$H$3,"")</f>
        <v/>
      </c>
      <c r="T18" s="19" t="str">
        <f>IF('ODBC Data'!$I$3&gt;14,15,"")</f>
        <v/>
      </c>
      <c r="U18" s="17" t="str">
        <f t="shared" si="26"/>
        <v/>
      </c>
      <c r="V18" t="str">
        <f>IF(ISNA(VLOOKUP(U18,'ODBC Data'!$B$1:$J$500,3,0)),"",VLOOKUP(U18,'ODBC Data'!$B$1:$J$500,3,0))</f>
        <v/>
      </c>
      <c r="W18" t="str">
        <f>IF(ISNA(VLOOKUP(U18,'ODBC Data'!$B$1:$J$500,5,0)),"",VLOOKUP(U18,'ODBC Data'!$B$1:$J$500,5,0))</f>
        <v/>
      </c>
      <c r="Y18" s="19" t="str">
        <f>IF('ODBC Data'!$I$4&gt;14,'ODBC Data'!$H$4,"")</f>
        <v/>
      </c>
      <c r="Z18" s="19" t="str">
        <f>IF('ODBC Data'!$I$4&gt;14,15,"")</f>
        <v/>
      </c>
      <c r="AA18" s="17" t="str">
        <f t="shared" si="0"/>
        <v/>
      </c>
      <c r="AB18" s="57" t="str">
        <f>IF(ISNA(VLOOKUP(AA18,'ODBC Data'!$B$1:$J$500,3,0)),"",VLOOKUP(AA18,'ODBC Data'!$B$1:$J$500,3,0))</f>
        <v/>
      </c>
      <c r="AC18" s="57" t="str">
        <f>IF(ISNA(VLOOKUP(AA18,'ODBC Data'!$B$1:$J$500,5,0)),"",VLOOKUP(AA18,'ODBC Data'!$B$1:$J$500,5,0))</f>
        <v/>
      </c>
      <c r="AE18" s="19" t="str">
        <f>IF('ODBC Data'!$I$5&gt;14,'ODBC Data'!$H$5,"")</f>
        <v/>
      </c>
      <c r="AF18" s="19" t="str">
        <f>IF('ODBC Data'!$I$5&gt;14,15,"")</f>
        <v/>
      </c>
      <c r="AG18" s="17" t="str">
        <f t="shared" si="1"/>
        <v/>
      </c>
      <c r="AH18" t="str">
        <f>IF(ISNA(VLOOKUP(AG18,'ODBC Data'!$B$1:$J$500,3,0)),"",VLOOKUP(AG18,'ODBC Data'!$B$1:$J$500,3,0))</f>
        <v/>
      </c>
      <c r="AI18" t="str">
        <f>IF(ISNA(VLOOKUP(AG18,'ODBC Data'!$B$1:$J$500,5,0)),"",VLOOKUP(AG18,'ODBC Data'!$B$1:$J$500,5,0))</f>
        <v/>
      </c>
      <c r="AK18" s="19" t="str">
        <f>IF('ODBC Data'!$I$6&gt;14,'ODBC Data'!$H$6,"")</f>
        <v/>
      </c>
      <c r="AL18" s="19" t="str">
        <f>IF('ODBC Data'!$I$6&gt;14,15,"")</f>
        <v/>
      </c>
      <c r="AM18" s="17" t="str">
        <f t="shared" si="2"/>
        <v/>
      </c>
      <c r="AN18" t="str">
        <f>IF(ISNA(VLOOKUP(AM18,'ODBC Data'!$B$1:$J$500,3,0)),"",VLOOKUP(AM18,'ODBC Data'!$B$1:$J$500,3,0))</f>
        <v/>
      </c>
      <c r="AO18" t="str">
        <f>IF(ISNA(VLOOKUP(AM18,'ODBC Data'!$B$1:$J$500,5,0)),"",VLOOKUP(AM18,'ODBC Data'!$B$1:$J$500,5,0))</f>
        <v/>
      </c>
      <c r="AQ18" s="19" t="str">
        <f>IF('ODBC Data'!$I$7&gt;14,'ODBC Data'!$H$7,"")</f>
        <v/>
      </c>
      <c r="AR18" s="19" t="str">
        <f>IF('ODBC Data'!$I$7&gt;14,15,"")</f>
        <v/>
      </c>
      <c r="AS18" s="17" t="str">
        <f t="shared" si="3"/>
        <v/>
      </c>
      <c r="AT18" t="str">
        <f>IF(ISNA(VLOOKUP(AS18,'ODBC Data'!$B$1:$J$500,3,0)),"",VLOOKUP(AS18,'ODBC Data'!$B$1:$J$500,3,0))</f>
        <v/>
      </c>
      <c r="AU18" t="str">
        <f>IF(ISNA(VLOOKUP(AS18,'ODBC Data'!$B$1:$J$500,5,0)),"",VLOOKUP(AS18,'ODBC Data'!$B$1:$J$500,5,0))</f>
        <v/>
      </c>
      <c r="AW18" s="19" t="str">
        <f>IF('ODBC Data'!$I$8&gt;14,'ODBC Data'!$H$8,"")</f>
        <v/>
      </c>
      <c r="AX18" s="19" t="str">
        <f>IF('ODBC Data'!$I$8&gt;14,15,"")</f>
        <v/>
      </c>
      <c r="AY18" s="17" t="str">
        <f t="shared" si="4"/>
        <v/>
      </c>
      <c r="AZ18" t="str">
        <f>IF(ISNA(VLOOKUP(AY18,'ODBC Data'!$B$1:$J$500,3,0)),"",VLOOKUP(AY18,'ODBC Data'!$B$1:$J$500,3,0))</f>
        <v/>
      </c>
      <c r="BA18" t="str">
        <f>IF(ISNA(VLOOKUP(AY18,'ODBC Data'!$B$1:$J$500,5,0)),"",VLOOKUP(AY18,'ODBC Data'!$B$1:$J$500,5,0))</f>
        <v/>
      </c>
      <c r="BC18" s="19" t="str">
        <f>IF('ODBC Data'!$I$9&gt;14,'ODBC Data'!$H$9,"")</f>
        <v/>
      </c>
      <c r="BD18" s="19" t="str">
        <f>IF('ODBC Data'!$I$9&gt;14,15,"")</f>
        <v/>
      </c>
      <c r="BE18" s="17" t="str">
        <f t="shared" si="5"/>
        <v/>
      </c>
      <c r="BF18" t="str">
        <f>IF(ISNA(VLOOKUP(BE18,'ODBC Data'!$B$1:$J$500,3,0)),"",VLOOKUP(BE18,'ODBC Data'!$B$1:$J$500,3,0))</f>
        <v/>
      </c>
      <c r="BG18" s="57" t="str">
        <f>IF(ISNA(VLOOKUP(BE18,'ODBC Data'!$B$1:$J$500,4,0)),"",VLOOKUP(BE18,'ODBC Data'!$B$1:$J$500,4,0))</f>
        <v/>
      </c>
      <c r="BH18" t="str">
        <f>IF(ISNA(VLOOKUP(BE18,'ODBC Data'!$B$1:$J$500,5,0)),"",VLOOKUP(BE18,'ODBC Data'!$B$1:$J$500,5,0))</f>
        <v/>
      </c>
      <c r="BJ18" s="19" t="str">
        <f>IF('ODBC Data'!$I$10&gt;14,'ODBC Data'!$H$10,"")</f>
        <v/>
      </c>
      <c r="BK18" s="19" t="str">
        <f>IF('ODBC Data'!$I$10&gt;14,15,"")</f>
        <v/>
      </c>
      <c r="BL18" s="17" t="str">
        <f t="shared" si="6"/>
        <v/>
      </c>
      <c r="BM18" t="str">
        <f>IF(ISNA(VLOOKUP(BL18,'ODBC Data'!$B$1:$J$500,3,0)),"",VLOOKUP(BL18,'ODBC Data'!$B$1:$J$500,3,0))</f>
        <v/>
      </c>
      <c r="BN18" s="57" t="str">
        <f>IF(ISNA(VLOOKUP(BL18,'ODBC Data'!$B$1:$J$500,4,0)),"",VLOOKUP(BL18,'ODBC Data'!$B$1:$J$500,4,0))</f>
        <v/>
      </c>
      <c r="BO18" t="str">
        <f>IF(ISNA(VLOOKUP(BL18,'ODBC Data'!$B$1:$J$500,5,0)),"",VLOOKUP(BL18,'ODBC Data'!$B$1:$J$500,5,0))</f>
        <v/>
      </c>
      <c r="BQ18" s="19" t="str">
        <f>IF('ODBC Data'!$I$11&gt;14,'ODBC Data'!$H$11,"")</f>
        <v/>
      </c>
      <c r="BR18" s="19" t="str">
        <f>IF('ODBC Data'!$I$11&gt;14,15,"")</f>
        <v/>
      </c>
      <c r="BS18" s="17" t="str">
        <f t="shared" si="7"/>
        <v/>
      </c>
      <c r="BT18" t="str">
        <f>IF(ISNA(VLOOKUP(BS18,'ODBC Data'!$B$1:$J$500,3,0)),"",VLOOKUP(BS18,'ODBC Data'!$B$1:$J$500,3,0))</f>
        <v/>
      </c>
      <c r="BU18" s="57" t="str">
        <f>IF(ISNA(VLOOKUP(BS18,'ODBC Data'!$B$1:$J$500,4,0)),"",VLOOKUP(BS18,'ODBC Data'!$B$1:$J$500,4,0))</f>
        <v/>
      </c>
      <c r="BV18" t="str">
        <f>IF(ISNA(VLOOKUP(BS18,'ODBC Data'!$B$1:$J$500,5,0)),"",VLOOKUP(BS18,'ODBC Data'!$B$1:$J$500,5,0))</f>
        <v/>
      </c>
      <c r="BX18" s="19" t="str">
        <f>IF('ODBC Data'!$I$12&gt;14,'ODBC Data'!$H$12,"")</f>
        <v/>
      </c>
      <c r="BY18" s="19" t="str">
        <f>IF('ODBC Data'!$I$12&gt;14,15,"")</f>
        <v/>
      </c>
      <c r="BZ18" s="17" t="str">
        <f t="shared" si="8"/>
        <v/>
      </c>
      <c r="CA18" t="str">
        <f>IF(ISNA(VLOOKUP(BZ18,'ODBC Data'!$B$1:$J$500,3,0)),"",VLOOKUP(BZ18,'ODBC Data'!$B$1:$J$500,3,0))</f>
        <v/>
      </c>
      <c r="CB18" s="57" t="str">
        <f>IF(ISNA(VLOOKUP(BZ18,'ODBC Data'!$B$1:$J$500,4,0)),"",VLOOKUP(BZ18,'ODBC Data'!$B$1:$J$500,4,0))</f>
        <v/>
      </c>
      <c r="CC18" t="str">
        <f>IF(ISNA(VLOOKUP(BZ18,'ODBC Data'!$B$1:$J$500,5,0)),"",VLOOKUP(BZ18,'ODBC Data'!$B$1:$J$500,5,0))</f>
        <v/>
      </c>
      <c r="CE18" s="19" t="str">
        <f>IF('ODBC Data'!$I$13&gt;14,'ODBC Data'!$H$13,"")</f>
        <v/>
      </c>
      <c r="CF18" s="19" t="str">
        <f>IF('ODBC Data'!$I$13&gt;14,15,"")</f>
        <v/>
      </c>
      <c r="CG18" s="17" t="str">
        <f t="shared" si="9"/>
        <v/>
      </c>
      <c r="CH18" t="str">
        <f>IF(ISNA(VLOOKUP(CG18,'ODBC Data'!$B$1:$J$500,3,0)),"",VLOOKUP(CG18,'ODBC Data'!$B$1:$J$500,3,0))</f>
        <v/>
      </c>
      <c r="CI18" s="57" t="str">
        <f>IF(ISNA(VLOOKUP(CG18,'ODBC Data'!$B$1:$J$500,4,0)),"",VLOOKUP(CG18,'ODBC Data'!$B$1:$J$500,4,0))</f>
        <v/>
      </c>
      <c r="CJ18" t="str">
        <f>IF(ISNA(VLOOKUP(CG18,'ODBC Data'!$B$1:$J$500,5,0)),"",VLOOKUP(CG18,'ODBC Data'!$B$1:$J$500,5,0))</f>
        <v/>
      </c>
      <c r="CL18" s="19" t="str">
        <f>IF('ODBC Data'!$I$14&gt;14,'ODBC Data'!$H$14,"")</f>
        <v/>
      </c>
      <c r="CM18" s="19" t="str">
        <f>IF('ODBC Data'!$I$14&gt;14,15,"")</f>
        <v/>
      </c>
      <c r="CN18" s="17" t="str">
        <f t="shared" si="10"/>
        <v/>
      </c>
      <c r="CO18" s="57" t="str">
        <f>IF(ISNA(VLOOKUP(CN18,'ODBC Data'!$B$1:$J$500,3,0)),"",VLOOKUP(CN18,'ODBC Data'!$B$1:$J$500,3,0))</f>
        <v/>
      </c>
      <c r="CP18" s="57" t="str">
        <f>IF(ISNA(VLOOKUP(CN18,'ODBC Data'!$B$1:$J$500,4,0)),"",VLOOKUP(CN18,'ODBC Data'!$B$1:$J$500,4,0))</f>
        <v/>
      </c>
      <c r="CQ18" s="57" t="str">
        <f>IF(ISNA(VLOOKUP(CN18,'ODBC Data'!$B$1:$J$500,5,0)),"",VLOOKUP(CN18,'ODBC Data'!$B$1:$J$500,5,0))</f>
        <v/>
      </c>
      <c r="CS18" s="19" t="str">
        <f>IF('ODBC Data'!$I$15&gt;14,'ODBC Data'!$H$15,"")</f>
        <v/>
      </c>
      <c r="CT18" s="19" t="str">
        <f>IF('ODBC Data'!$I$15&gt;14,15,"")</f>
        <v/>
      </c>
      <c r="CU18" s="17" t="str">
        <f t="shared" si="11"/>
        <v/>
      </c>
      <c r="CV18" t="str">
        <f>IF(ISNA(VLOOKUP(CU18,'ODBC Data'!$B$1:$J$500,3,0)),"",VLOOKUP(CU18,'ODBC Data'!$B$1:$J$500,3,0))</f>
        <v/>
      </c>
      <c r="CW18" s="57" t="str">
        <f>IF(ISNA(VLOOKUP(CU18,'ODBC Data'!$B$1:$J$500,4,0)),"",VLOOKUP(CU18,'ODBC Data'!$B$1:$J$500,4,0))</f>
        <v/>
      </c>
      <c r="CX18" t="str">
        <f>IF(ISNA(VLOOKUP(CU18,'ODBC Data'!$B$1:$J$500,5,0)),"",VLOOKUP(CU18,'ODBC Data'!$B$1:$J$500,5,0))</f>
        <v/>
      </c>
      <c r="CZ18" s="19" t="str">
        <f>IF('ODBC Data'!$I$16&gt;14,'ODBC Data'!$H$16,"")</f>
        <v/>
      </c>
      <c r="DA18" s="19" t="str">
        <f>IF('ODBC Data'!$I$16&gt;14,15,"")</f>
        <v/>
      </c>
      <c r="DB18" s="17" t="str">
        <f t="shared" si="12"/>
        <v/>
      </c>
      <c r="DC18" t="str">
        <f>IF(ISNA(VLOOKUP(DB18,'ODBC Data'!$B$1:$J$500,3,0)),"",VLOOKUP(DB18,'ODBC Data'!$B$1:$J$500,3,0))</f>
        <v/>
      </c>
      <c r="DD18" s="57" t="str">
        <f>IF(ISNA(VLOOKUP(DB18,'ODBC Data'!$B$1:$J$500,4,0)),"",VLOOKUP(DB18,'ODBC Data'!$B$1:$J$500,4,0))</f>
        <v/>
      </c>
      <c r="DE18" t="str">
        <f>IF(ISNA(VLOOKUP(DB18,'ODBC Data'!$B$1:$J$500,5,0)),"",VLOOKUP(DB18,'ODBC Data'!$B$1:$J$500,5,0))</f>
        <v/>
      </c>
      <c r="DG18" s="19" t="str">
        <f>IF('ODBC Data'!$I$17&gt;14,'ODBC Data'!$H$17,"")</f>
        <v/>
      </c>
      <c r="DH18" s="19" t="str">
        <f>IF('ODBC Data'!$I$17&gt;14,15,"")</f>
        <v/>
      </c>
      <c r="DI18" s="17" t="str">
        <f t="shared" si="13"/>
        <v/>
      </c>
      <c r="DJ18" t="str">
        <f>IF(ISNA(VLOOKUP(DI18,'ODBC Data'!$B$1:$J$500,3,0)),"",VLOOKUP(DI18,'ODBC Data'!$B$1:$J$500,3,0))</f>
        <v/>
      </c>
      <c r="DK18" s="57" t="str">
        <f>IF(ISNA(VLOOKUP(DI18,'ODBC Data'!$B$1:$J$500,4,0)),"",VLOOKUP(DI18,'ODBC Data'!$B$1:$J$500,4,0))</f>
        <v/>
      </c>
      <c r="DL18" t="str">
        <f>IF(ISNA(VLOOKUP(DI18,'ODBC Data'!$B$1:$J$500,5,0)),"",VLOOKUP(DI18,'ODBC Data'!$B$1:$J$500,5,0))</f>
        <v/>
      </c>
      <c r="DN18" s="19" t="str">
        <f>IF('ODBC Data'!$I$18&gt;14,'ODBC Data'!$H$18,"")</f>
        <v/>
      </c>
      <c r="DO18" s="19" t="str">
        <f>IF('ODBC Data'!$I$18&gt;14,15,"")</f>
        <v/>
      </c>
      <c r="DP18" s="17" t="str">
        <f t="shared" si="14"/>
        <v/>
      </c>
      <c r="DQ18" t="str">
        <f>IF(ISNA(VLOOKUP(DP18,'ODBC Data'!$B$1:$J$500,3,0)),"",VLOOKUP(DP18,'ODBC Data'!$B$1:$J$500,3,0))</f>
        <v/>
      </c>
      <c r="DR18" s="57" t="str">
        <f>IF(ISNA(VLOOKUP(DP18,'ODBC Data'!$B$1:$J$500,4,0)),"",VLOOKUP(DP18,'ODBC Data'!$B$1:$J$500,4,0))</f>
        <v/>
      </c>
      <c r="DS18" t="str">
        <f>IF(ISNA(VLOOKUP(DP18,'ODBC Data'!$B$1:$J$500,5,0)),"",VLOOKUP(DP18,'ODBC Data'!$B$1:$J$500,5,0))</f>
        <v/>
      </c>
      <c r="DU18" s="19" t="str">
        <f>IF('ODBC Data'!$I$19&gt;14,'ODBC Data'!$H$19,"")</f>
        <v/>
      </c>
      <c r="DV18" s="19" t="str">
        <f>IF('ODBC Data'!$I$19&gt;14,15,"")</f>
        <v/>
      </c>
      <c r="DW18" s="17" t="str">
        <f t="shared" si="15"/>
        <v/>
      </c>
      <c r="DX18" t="str">
        <f>IF(ISNA(VLOOKUP(DW18,'ODBC Data'!$B$1:$J$500,3,0)),"",VLOOKUP(DW18,'ODBC Data'!$B$1:$J$500,3,0))</f>
        <v/>
      </c>
      <c r="DY18" s="57" t="str">
        <f>IF(ISNA(VLOOKUP(DW18,'ODBC Data'!$B$1:$J$500,4,0)),"",VLOOKUP(DW18,'ODBC Data'!$B$1:$J$500,4,0))</f>
        <v/>
      </c>
      <c r="DZ18" t="str">
        <f>IF(ISNA(VLOOKUP(DW18,'ODBC Data'!$B$1:$J$500,5,0)),"",VLOOKUP(DW18,'ODBC Data'!$B$1:$J$500,5,0))</f>
        <v/>
      </c>
      <c r="EB18" s="19" t="str">
        <f>IF('ODBC Data'!$I$20&gt;14,'ODBC Data'!$H$20,"")</f>
        <v/>
      </c>
      <c r="EC18" s="19" t="str">
        <f>IF('ODBC Data'!$I$20&gt;14,15,"")</f>
        <v/>
      </c>
      <c r="ED18" s="17" t="str">
        <f t="shared" si="16"/>
        <v/>
      </c>
      <c r="EE18" s="57" t="str">
        <f>IF(ISNA(VLOOKUP(ED18,'ODBC Data'!$B$1:$J$500,3,0)),"",VLOOKUP(ED18,'ODBC Data'!$B$1:$J$500,3,0))</f>
        <v/>
      </c>
      <c r="EF18" s="57" t="str">
        <f>IF(ISNA(VLOOKUP(ED18,'ODBC Data'!$B$1:$J$500,4,0)),"",VLOOKUP(ED18,'ODBC Data'!$B$1:$J$500,4,0))</f>
        <v/>
      </c>
      <c r="EG18" s="57" t="str">
        <f>IF(ISNA(VLOOKUP(ED18,'ODBC Data'!$B$1:$J$500,5,0)),"",VLOOKUP(ED18,'ODBC Data'!$B$1:$J$500,5,0))</f>
        <v/>
      </c>
      <c r="EI18" s="19" t="str">
        <f>IF('ODBC Data'!$I$21&gt;14,'ODBC Data'!$H$21,"")</f>
        <v/>
      </c>
      <c r="EJ18" s="19" t="str">
        <f>IF('ODBC Data'!$I$21&gt;14,15,"")</f>
        <v/>
      </c>
      <c r="EK18" s="17" t="str">
        <f t="shared" si="17"/>
        <v/>
      </c>
      <c r="EL18" t="str">
        <f>IF(ISNA(VLOOKUP(EK18,'ODBC Data'!$B$1:$J$500,3,0)),"",VLOOKUP(EK18,'ODBC Data'!$B$1:$J$500,3,0))</f>
        <v/>
      </c>
      <c r="EM18" s="57" t="str">
        <f>IF(ISNA(VLOOKUP(EK18,'ODBC Data'!$B$1:$J$500,4,0)),"",VLOOKUP(EK18,'ODBC Data'!$B$1:$J$500,4,0))</f>
        <v/>
      </c>
      <c r="EN18" t="str">
        <f>IF(ISNA(VLOOKUP(EK18,'ODBC Data'!$B$1:$J$500,5,0)),"",VLOOKUP(EK18,'ODBC Data'!$B$1:$J$500,5,0))</f>
        <v/>
      </c>
      <c r="EP18" s="19" t="str">
        <f>IF('ODBC Data'!$I$22&gt;14,'ODBC Data'!$H$22,"")</f>
        <v/>
      </c>
      <c r="EQ18" s="19" t="str">
        <f>IF('ODBC Data'!$I$22&gt;14,15,"")</f>
        <v/>
      </c>
      <c r="ER18" s="17" t="str">
        <f t="shared" si="18"/>
        <v/>
      </c>
      <c r="ES18" t="str">
        <f>IF(ISNA(VLOOKUP(ER18,'ODBC Data'!$B$1:$J$500,3,0)),"",VLOOKUP(ER18,'ODBC Data'!$B$1:$J$500,3,0))</f>
        <v/>
      </c>
      <c r="ET18" s="57" t="str">
        <f>IF(ISNA(VLOOKUP(ER18,'ODBC Data'!$B$1:$J$500,4,0)),"",VLOOKUP(ER18,'ODBC Data'!$B$1:$J$500,4,0))</f>
        <v/>
      </c>
      <c r="EU18" t="str">
        <f>IF(ISNA(VLOOKUP(ER18,'ODBC Data'!$B$1:$J$500,5,0)),"",VLOOKUP(ER18,'ODBC Data'!$B$1:$J$500,5,0))</f>
        <v/>
      </c>
      <c r="EW18" s="19" t="str">
        <f>IF('ODBC Data'!$I$23&gt;14,'ODBC Data'!$H$23,"")</f>
        <v/>
      </c>
      <c r="EX18" s="19" t="str">
        <f>IF('ODBC Data'!$I$23&gt;14,15,"")</f>
        <v/>
      </c>
      <c r="EY18" s="17" t="str">
        <f t="shared" si="19"/>
        <v/>
      </c>
      <c r="EZ18" t="str">
        <f>IF(ISNA(VLOOKUP(EY18,'ODBC Data'!$B$1:$J$500,3,0)),"",VLOOKUP(EY18,'ODBC Data'!$B$1:$J$500,3,0))</f>
        <v/>
      </c>
      <c r="FA18" s="57" t="str">
        <f>IF(ISNA(VLOOKUP(EY18,'ODBC Data'!$B$1:$J$500,4,0)),"",VLOOKUP(EY18,'ODBC Data'!$B$1:$J$500,4,0))</f>
        <v/>
      </c>
      <c r="FB18" t="str">
        <f>IF(ISNA(VLOOKUP(EY18,'ODBC Data'!$B$1:$J$500,5,0)),"",VLOOKUP(EY18,'ODBC Data'!$B$1:$J$500,5,0))</f>
        <v/>
      </c>
      <c r="FD18" s="19" t="str">
        <f>IF('ODBC Data'!$I$24&gt;14,'ODBC Data'!$H$24,"")</f>
        <v/>
      </c>
      <c r="FE18" s="19" t="str">
        <f>IF('ODBC Data'!$I$24&gt;14,15,"")</f>
        <v/>
      </c>
      <c r="FF18" s="17" t="str">
        <f t="shared" si="20"/>
        <v/>
      </c>
      <c r="FG18" t="str">
        <f>IF(ISNA(VLOOKUP(FF18,'ODBC Data'!$B$1:$J$500,3,0)),"",VLOOKUP(FF18,'ODBC Data'!$B$1:$J$500,3,0))</f>
        <v/>
      </c>
      <c r="FH18" s="57" t="str">
        <f>IF(ISNA(VLOOKUP(FF18,'ODBC Data'!$B$1:$J$500,4,0)),"",VLOOKUP(FF18,'ODBC Data'!$B$1:$J$500,4,0))</f>
        <v/>
      </c>
      <c r="FI18" t="str">
        <f>IF(ISNA(VLOOKUP(FF18,'ODBC Data'!$B$1:$J$500,5,0)),"",VLOOKUP(FF18,'ODBC Data'!$B$1:$J$500,5,0))</f>
        <v/>
      </c>
      <c r="FK18" s="19" t="str">
        <f>IF('ODBC Data'!$I$25&gt;14,'ODBC Data'!$H$25,"")</f>
        <v/>
      </c>
      <c r="FL18" s="19" t="str">
        <f>IF('ODBC Data'!$I$25&gt;14,15,"")</f>
        <v/>
      </c>
      <c r="FM18" s="17" t="str">
        <f t="shared" si="21"/>
        <v/>
      </c>
      <c r="FN18" t="str">
        <f>IF(ISNA(VLOOKUP(FM18,'ODBC Data'!$B$1:$J$500,3,0)),"",VLOOKUP(FM18,'ODBC Data'!$B$1:$J$500,3,0))</f>
        <v/>
      </c>
      <c r="FO18" s="57" t="str">
        <f>IF(ISNA(VLOOKUP(FM18,'ODBC Data'!$B$1:$J$500,4,0)),"",VLOOKUP(FM18,'ODBC Data'!$B$1:$J$500,4,0))</f>
        <v/>
      </c>
      <c r="FP18" t="str">
        <f>IF(ISNA(VLOOKUP(FM18,'ODBC Data'!$B$1:$J$500,5,0)),"",VLOOKUP(FM18,'ODBC Data'!$B$1:$J$500,5,0))</f>
        <v/>
      </c>
      <c r="FR18" s="19" t="str">
        <f>IF('ODBC Data'!$I$26&gt;14,'ODBC Data'!$H$26,"")</f>
        <v/>
      </c>
      <c r="FS18" s="19" t="str">
        <f>IF('ODBC Data'!$I$26&gt;14,15,"")</f>
        <v/>
      </c>
      <c r="FT18" s="17" t="str">
        <f t="shared" si="22"/>
        <v/>
      </c>
      <c r="FU18" s="57" t="str">
        <f>IF(ISNA(VLOOKUP(FT18,'ODBC Data'!$B$1:$J$500,3,0)),"",VLOOKUP(FT18,'ODBC Data'!$B$1:$J$500,3,0))</f>
        <v/>
      </c>
      <c r="FV18" s="57" t="str">
        <f>IF(ISNA(VLOOKUP(FT18,'ODBC Data'!$B$1:$J$500,4,0)),"",VLOOKUP(FT18,'ODBC Data'!$B$1:$J$500,4,0))</f>
        <v/>
      </c>
      <c r="FW18" s="57" t="str">
        <f>IF(ISNA(VLOOKUP(FT18,'ODBC Data'!$B$1:$J$500,5,0)),"",VLOOKUP(FT18,'ODBC Data'!$B$1:$J$500,5,0))</f>
        <v/>
      </c>
      <c r="FY18" s="19" t="str">
        <f>IF('ODBC Data'!$I$27&gt;14,'ODBC Data'!$H$27,"")</f>
        <v/>
      </c>
      <c r="FZ18" s="19" t="str">
        <f>IF('ODBC Data'!$I$27&gt;14,15,"")</f>
        <v/>
      </c>
      <c r="GA18" s="17" t="str">
        <f t="shared" si="23"/>
        <v/>
      </c>
      <c r="GB18" s="57" t="str">
        <f>IF(ISNA(VLOOKUP(GA18,'ODBC Data'!$B$1:$J$500,3,0)),"",VLOOKUP(GA18,'ODBC Data'!$B$1:$J$500,3,0))</f>
        <v/>
      </c>
      <c r="GC18" s="57" t="str">
        <f>IF(ISNA(VLOOKUP(GA18,'ODBC Data'!$B$1:$J$500,4,0)),"",VLOOKUP(GA18,'ODBC Data'!$B$1:$J$500,4,0))</f>
        <v/>
      </c>
      <c r="GD18" s="57" t="str">
        <f>IF(ISNA(VLOOKUP(GA18,'ODBC Data'!$B$1:$J$500,5,0)),"",VLOOKUP(GA18,'ODBC Data'!$B$1:$J$500,5,0))</f>
        <v/>
      </c>
    </row>
    <row r="19" spans="1:186">
      <c r="A19" s="19" t="str">
        <f>IF('ODBC Data'!$I$1&gt;15,'ODBC Data'!$H$1,"")</f>
        <v/>
      </c>
      <c r="B19" s="19" t="str">
        <f>IF('ODBC Data'!$I$1&gt;15,16,"")</f>
        <v/>
      </c>
      <c r="C19" s="17" t="str">
        <f t="shared" si="27"/>
        <v/>
      </c>
      <c r="D19" t="str">
        <f>IF(ISNA(VLOOKUP(C19,'ODBC Data'!$B$1:$J$500,3,0)),"",VLOOKUP(C19,'ODBC Data'!$B$1:$J$500,3,0))</f>
        <v/>
      </c>
      <c r="E19" t="str">
        <f>IF(ISNA(VLOOKUP(C19,'ODBC Data'!$B$1:$J$500,5,0)),"",VLOOKUP(C19,'ODBC Data'!$B$1:$J$500,5,0))</f>
        <v/>
      </c>
      <c r="F19" t="str">
        <f t="shared" si="28"/>
        <v/>
      </c>
      <c r="G19" s="19" t="str">
        <f>IF('ODBC Data'!$I$2&gt;15,'ODBC Data'!$H$2,"")</f>
        <v/>
      </c>
      <c r="H19" s="19" t="str">
        <f>IF('ODBC Data'!$I$2&gt;15,16,"")</f>
        <v/>
      </c>
      <c r="I19" s="17" t="str">
        <f t="shared" si="24"/>
        <v/>
      </c>
      <c r="J19" t="str">
        <f>IF(ISNA(VLOOKUP(I19,'ODBC Data'!$B$1:$J$500,3,0)),"",VLOOKUP(I19,'ODBC Data'!$B$1:$J$500,3,0))</f>
        <v/>
      </c>
      <c r="K19" t="str">
        <f>IF(ISNA(VLOOKUP(I19,'ODBC Data'!$B$1:$J$500,5,0)),"",VLOOKUP(I19,'ODBC Data'!$B$1:$J$500,5,0))</f>
        <v/>
      </c>
      <c r="M19" s="19" t="str">
        <f>IF('ODBC Data'!$I$3&gt;15,'ODBC Data'!$H$3,"")</f>
        <v/>
      </c>
      <c r="N19" s="19" t="str">
        <f>IF('ODBC Data'!$I$3&gt;15,16,"")</f>
        <v/>
      </c>
      <c r="O19" s="17" t="str">
        <f t="shared" si="25"/>
        <v/>
      </c>
      <c r="P19" t="str">
        <f>IF(ISNA(VLOOKUP(O19,'ODBC Data'!$B$1:$J$500,3,0)),"",VLOOKUP(O19,'ODBC Data'!$B$1:$J$500,3,0))</f>
        <v/>
      </c>
      <c r="Q19" t="str">
        <f>IF(ISNA(VLOOKUP(O19,'ODBC Data'!$B$1:$J$500,5,0)),"",VLOOKUP(O19,'ODBC Data'!$B$1:$J$500,4,0))</f>
        <v/>
      </c>
      <c r="S19" s="19" t="str">
        <f>IF('ODBC Data'!$I$3&gt;15,'ODBC Data'!$H$3,"")</f>
        <v/>
      </c>
      <c r="T19" s="19" t="str">
        <f>IF('ODBC Data'!$I$3&gt;15,16,"")</f>
        <v/>
      </c>
      <c r="U19" s="17" t="str">
        <f t="shared" si="26"/>
        <v/>
      </c>
      <c r="V19" t="str">
        <f>IF(ISNA(VLOOKUP(U19,'ODBC Data'!$B$1:$J$500,3,0)),"",VLOOKUP(U19,'ODBC Data'!$B$1:$J$500,3,0))</f>
        <v/>
      </c>
      <c r="W19" t="str">
        <f>IF(ISNA(VLOOKUP(U19,'ODBC Data'!$B$1:$J$500,5,0)),"",VLOOKUP(U19,'ODBC Data'!$B$1:$J$500,5,0))</f>
        <v/>
      </c>
      <c r="Y19" s="19" t="str">
        <f>IF('ODBC Data'!$I$4&gt;15,'ODBC Data'!$H$4,"")</f>
        <v/>
      </c>
      <c r="Z19" s="19" t="str">
        <f>IF('ODBC Data'!$I$4&gt;15,16,"")</f>
        <v/>
      </c>
      <c r="AA19" s="17" t="str">
        <f t="shared" si="0"/>
        <v/>
      </c>
      <c r="AB19" s="57" t="str">
        <f>IF(ISNA(VLOOKUP(AA19,'ODBC Data'!$B$1:$J$500,3,0)),"",VLOOKUP(AA19,'ODBC Data'!$B$1:$J$500,3,0))</f>
        <v/>
      </c>
      <c r="AC19" s="57" t="str">
        <f>IF(ISNA(VLOOKUP(AA19,'ODBC Data'!$B$1:$J$500,5,0)),"",VLOOKUP(AA19,'ODBC Data'!$B$1:$J$500,5,0))</f>
        <v/>
      </c>
      <c r="AE19" s="19" t="str">
        <f>IF('ODBC Data'!$I$5&gt;15,'ODBC Data'!$H$5,"")</f>
        <v/>
      </c>
      <c r="AF19" s="19" t="str">
        <f>IF('ODBC Data'!$I$5&gt;15,16,"")</f>
        <v/>
      </c>
      <c r="AG19" s="17" t="str">
        <f t="shared" si="1"/>
        <v/>
      </c>
      <c r="AH19" t="str">
        <f>IF(ISNA(VLOOKUP(AG19,'ODBC Data'!$B$1:$J$500,3,0)),"",VLOOKUP(AG19,'ODBC Data'!$B$1:$J$500,3,0))</f>
        <v/>
      </c>
      <c r="AI19" t="str">
        <f>IF(ISNA(VLOOKUP(AG19,'ODBC Data'!$B$1:$J$500,5,0)),"",VLOOKUP(AG19,'ODBC Data'!$B$1:$J$500,5,0))</f>
        <v/>
      </c>
      <c r="AK19" s="19" t="str">
        <f>IF('ODBC Data'!$I$6&gt;15,'ODBC Data'!$H$6,"")</f>
        <v/>
      </c>
      <c r="AL19" s="19" t="str">
        <f>IF('ODBC Data'!$I$6&gt;15,16,"")</f>
        <v/>
      </c>
      <c r="AM19" s="17" t="str">
        <f t="shared" si="2"/>
        <v/>
      </c>
      <c r="AN19" t="str">
        <f>IF(ISNA(VLOOKUP(AM19,'ODBC Data'!$B$1:$J$500,3,0)),"",VLOOKUP(AM19,'ODBC Data'!$B$1:$J$500,3,0))</f>
        <v/>
      </c>
      <c r="AO19" t="str">
        <f>IF(ISNA(VLOOKUP(AM19,'ODBC Data'!$B$1:$J$500,5,0)),"",VLOOKUP(AM19,'ODBC Data'!$B$1:$J$500,5,0))</f>
        <v/>
      </c>
      <c r="AQ19" s="19" t="str">
        <f>IF('ODBC Data'!$I$7&gt;15,'ODBC Data'!$H$7,"")</f>
        <v/>
      </c>
      <c r="AR19" s="19" t="str">
        <f>IF('ODBC Data'!$I$7&gt;15,16,"")</f>
        <v/>
      </c>
      <c r="AS19" s="17" t="str">
        <f t="shared" si="3"/>
        <v/>
      </c>
      <c r="AT19" t="str">
        <f>IF(ISNA(VLOOKUP(AS19,'ODBC Data'!$B$1:$J$500,3,0)),"",VLOOKUP(AS19,'ODBC Data'!$B$1:$J$500,3,0))</f>
        <v/>
      </c>
      <c r="AU19" t="str">
        <f>IF(ISNA(VLOOKUP(AS19,'ODBC Data'!$B$1:$J$500,5,0)),"",VLOOKUP(AS19,'ODBC Data'!$B$1:$J$500,5,0))</f>
        <v/>
      </c>
      <c r="AW19" s="19" t="str">
        <f>IF('ODBC Data'!$I$8&gt;15,'ODBC Data'!$H$8,"")</f>
        <v/>
      </c>
      <c r="AX19" s="19" t="str">
        <f>IF('ODBC Data'!$I$8&gt;15,16,"")</f>
        <v/>
      </c>
      <c r="AY19" s="17" t="str">
        <f t="shared" si="4"/>
        <v/>
      </c>
      <c r="AZ19" t="str">
        <f>IF(ISNA(VLOOKUP(AY19,'ODBC Data'!$B$1:$J$500,3,0)),"",VLOOKUP(AY19,'ODBC Data'!$B$1:$J$500,3,0))</f>
        <v/>
      </c>
      <c r="BA19" t="str">
        <f>IF(ISNA(VLOOKUP(AY19,'ODBC Data'!$B$1:$J$500,5,0)),"",VLOOKUP(AY19,'ODBC Data'!$B$1:$J$500,5,0))</f>
        <v/>
      </c>
      <c r="BC19" s="19" t="str">
        <f>IF('ODBC Data'!$I$9&gt;15,'ODBC Data'!$H$9,"")</f>
        <v/>
      </c>
      <c r="BD19" s="19" t="str">
        <f>IF('ODBC Data'!$I$9&gt;15,16,"")</f>
        <v/>
      </c>
      <c r="BE19" s="17" t="str">
        <f t="shared" si="5"/>
        <v/>
      </c>
      <c r="BF19" t="str">
        <f>IF(ISNA(VLOOKUP(BE19,'ODBC Data'!$B$1:$J$500,3,0)),"",VLOOKUP(BE19,'ODBC Data'!$B$1:$J$500,3,0))</f>
        <v/>
      </c>
      <c r="BG19" s="57" t="str">
        <f>IF(ISNA(VLOOKUP(BE19,'ODBC Data'!$B$1:$J$500,4,0)),"",VLOOKUP(BE19,'ODBC Data'!$B$1:$J$500,4,0))</f>
        <v/>
      </c>
      <c r="BH19" t="str">
        <f>IF(ISNA(VLOOKUP(BE19,'ODBC Data'!$B$1:$J$500,5,0)),"",VLOOKUP(BE19,'ODBC Data'!$B$1:$J$500,5,0))</f>
        <v/>
      </c>
      <c r="BJ19" s="19" t="str">
        <f>IF('ODBC Data'!$I$10&gt;15,'ODBC Data'!$H$10,"")</f>
        <v/>
      </c>
      <c r="BK19" s="19" t="str">
        <f>IF('ODBC Data'!$I$10&gt;15,16,"")</f>
        <v/>
      </c>
      <c r="BL19" s="17" t="str">
        <f t="shared" si="6"/>
        <v/>
      </c>
      <c r="BM19" t="str">
        <f>IF(ISNA(VLOOKUP(BL19,'ODBC Data'!$B$1:$J$500,3,0)),"",VLOOKUP(BL19,'ODBC Data'!$B$1:$J$500,3,0))</f>
        <v/>
      </c>
      <c r="BN19" s="57" t="str">
        <f>IF(ISNA(VLOOKUP(BL19,'ODBC Data'!$B$1:$J$500,4,0)),"",VLOOKUP(BL19,'ODBC Data'!$B$1:$J$500,4,0))</f>
        <v/>
      </c>
      <c r="BO19" t="str">
        <f>IF(ISNA(VLOOKUP(BL19,'ODBC Data'!$B$1:$J$500,5,0)),"",VLOOKUP(BL19,'ODBC Data'!$B$1:$J$500,5,0))</f>
        <v/>
      </c>
      <c r="BQ19" s="19" t="str">
        <f>IF('ODBC Data'!$I$11&gt;15,'ODBC Data'!$H$11,"")</f>
        <v/>
      </c>
      <c r="BR19" s="19" t="str">
        <f>IF('ODBC Data'!$I$11&gt;15,16,"")</f>
        <v/>
      </c>
      <c r="BS19" s="17" t="str">
        <f t="shared" si="7"/>
        <v/>
      </c>
      <c r="BT19" t="str">
        <f>IF(ISNA(VLOOKUP(BS19,'ODBC Data'!$B$1:$J$500,3,0)),"",VLOOKUP(BS19,'ODBC Data'!$B$1:$J$500,3,0))</f>
        <v/>
      </c>
      <c r="BU19" s="57" t="str">
        <f>IF(ISNA(VLOOKUP(BS19,'ODBC Data'!$B$1:$J$500,4,0)),"",VLOOKUP(BS19,'ODBC Data'!$B$1:$J$500,4,0))</f>
        <v/>
      </c>
      <c r="BV19" t="str">
        <f>IF(ISNA(VLOOKUP(BS19,'ODBC Data'!$B$1:$J$500,5,0)),"",VLOOKUP(BS19,'ODBC Data'!$B$1:$J$500,5,0))</f>
        <v/>
      </c>
      <c r="BX19" s="19" t="str">
        <f>IF('ODBC Data'!$I$12&gt;15,'ODBC Data'!$H$12,"")</f>
        <v/>
      </c>
      <c r="BY19" s="19" t="str">
        <f>IF('ODBC Data'!$I$12&gt;15,16,"")</f>
        <v/>
      </c>
      <c r="BZ19" s="17" t="str">
        <f t="shared" si="8"/>
        <v/>
      </c>
      <c r="CA19" t="str">
        <f>IF(ISNA(VLOOKUP(BZ19,'ODBC Data'!$B$1:$J$500,3,0)),"",VLOOKUP(BZ19,'ODBC Data'!$B$1:$J$500,3,0))</f>
        <v/>
      </c>
      <c r="CB19" s="57" t="str">
        <f>IF(ISNA(VLOOKUP(BZ19,'ODBC Data'!$B$1:$J$500,4,0)),"",VLOOKUP(BZ19,'ODBC Data'!$B$1:$J$500,4,0))</f>
        <v/>
      </c>
      <c r="CC19" t="str">
        <f>IF(ISNA(VLOOKUP(BZ19,'ODBC Data'!$B$1:$J$500,5,0)),"",VLOOKUP(BZ19,'ODBC Data'!$B$1:$J$500,5,0))</f>
        <v/>
      </c>
      <c r="CE19" s="19" t="str">
        <f>IF('ODBC Data'!$I$13&gt;15,'ODBC Data'!$H$13,"")</f>
        <v/>
      </c>
      <c r="CF19" s="19" t="str">
        <f>IF('ODBC Data'!$I$13&gt;15,16,"")</f>
        <v/>
      </c>
      <c r="CG19" s="17" t="str">
        <f t="shared" si="9"/>
        <v/>
      </c>
      <c r="CH19" t="str">
        <f>IF(ISNA(VLOOKUP(CG19,'ODBC Data'!$B$1:$J$500,3,0)),"",VLOOKUP(CG19,'ODBC Data'!$B$1:$J$500,3,0))</f>
        <v/>
      </c>
      <c r="CI19" s="57" t="str">
        <f>IF(ISNA(VLOOKUP(CG19,'ODBC Data'!$B$1:$J$500,4,0)),"",VLOOKUP(CG19,'ODBC Data'!$B$1:$J$500,4,0))</f>
        <v/>
      </c>
      <c r="CJ19" t="str">
        <f>IF(ISNA(VLOOKUP(CG19,'ODBC Data'!$B$1:$J$500,5,0)),"",VLOOKUP(CG19,'ODBC Data'!$B$1:$J$500,5,0))</f>
        <v/>
      </c>
      <c r="CL19" s="19" t="str">
        <f>IF('ODBC Data'!$I$14&gt;15,'ODBC Data'!$H$14,"")</f>
        <v/>
      </c>
      <c r="CM19" s="19" t="str">
        <f>IF('ODBC Data'!$I$14&gt;15,16,"")</f>
        <v/>
      </c>
      <c r="CN19" s="17" t="str">
        <f t="shared" si="10"/>
        <v/>
      </c>
      <c r="CO19" s="57" t="str">
        <f>IF(ISNA(VLOOKUP(CN19,'ODBC Data'!$B$1:$J$500,3,0)),"",VLOOKUP(CN19,'ODBC Data'!$B$1:$J$500,3,0))</f>
        <v/>
      </c>
      <c r="CP19" s="57" t="str">
        <f>IF(ISNA(VLOOKUP(CN19,'ODBC Data'!$B$1:$J$500,4,0)),"",VLOOKUP(CN19,'ODBC Data'!$B$1:$J$500,4,0))</f>
        <v/>
      </c>
      <c r="CQ19" s="57" t="str">
        <f>IF(ISNA(VLOOKUP(CN19,'ODBC Data'!$B$1:$J$500,5,0)),"",VLOOKUP(CN19,'ODBC Data'!$B$1:$J$500,5,0))</f>
        <v/>
      </c>
      <c r="CS19" s="19" t="str">
        <f>IF('ODBC Data'!$I$15&gt;15,'ODBC Data'!$H$15,"")</f>
        <v/>
      </c>
      <c r="CT19" s="19" t="str">
        <f>IF('ODBC Data'!$I$15&gt;15,16,"")</f>
        <v/>
      </c>
      <c r="CU19" s="17" t="str">
        <f t="shared" si="11"/>
        <v/>
      </c>
      <c r="CV19" t="str">
        <f>IF(ISNA(VLOOKUP(CU19,'ODBC Data'!$B$1:$J$500,3,0)),"",VLOOKUP(CU19,'ODBC Data'!$B$1:$J$500,3,0))</f>
        <v/>
      </c>
      <c r="CW19" s="57" t="str">
        <f>IF(ISNA(VLOOKUP(CU19,'ODBC Data'!$B$1:$J$500,4,0)),"",VLOOKUP(CU19,'ODBC Data'!$B$1:$J$500,4,0))</f>
        <v/>
      </c>
      <c r="CX19" t="str">
        <f>IF(ISNA(VLOOKUP(CU19,'ODBC Data'!$B$1:$J$500,5,0)),"",VLOOKUP(CU19,'ODBC Data'!$B$1:$J$500,5,0))</f>
        <v/>
      </c>
      <c r="CZ19" s="19" t="str">
        <f>IF('ODBC Data'!$I$16&gt;15,'ODBC Data'!$H$16,"")</f>
        <v/>
      </c>
      <c r="DA19" s="19" t="str">
        <f>IF('ODBC Data'!$I$16&gt;15,16,"")</f>
        <v/>
      </c>
      <c r="DB19" s="17" t="str">
        <f t="shared" si="12"/>
        <v/>
      </c>
      <c r="DC19" t="str">
        <f>IF(ISNA(VLOOKUP(DB19,'ODBC Data'!$B$1:$J$500,3,0)),"",VLOOKUP(DB19,'ODBC Data'!$B$1:$J$500,3,0))</f>
        <v/>
      </c>
      <c r="DD19" s="57" t="str">
        <f>IF(ISNA(VLOOKUP(DB19,'ODBC Data'!$B$1:$J$500,4,0)),"",VLOOKUP(DB19,'ODBC Data'!$B$1:$J$500,4,0))</f>
        <v/>
      </c>
      <c r="DE19" t="str">
        <f>IF(ISNA(VLOOKUP(DB19,'ODBC Data'!$B$1:$J$500,5,0)),"",VLOOKUP(DB19,'ODBC Data'!$B$1:$J$500,5,0))</f>
        <v/>
      </c>
      <c r="DG19" s="19" t="str">
        <f>IF('ODBC Data'!$I$17&gt;15,'ODBC Data'!$H$17,"")</f>
        <v/>
      </c>
      <c r="DH19" s="19" t="str">
        <f>IF('ODBC Data'!$I$17&gt;15,16,"")</f>
        <v/>
      </c>
      <c r="DI19" s="17" t="str">
        <f t="shared" si="13"/>
        <v/>
      </c>
      <c r="DJ19" t="str">
        <f>IF(ISNA(VLOOKUP(DI19,'ODBC Data'!$B$1:$J$500,3,0)),"",VLOOKUP(DI19,'ODBC Data'!$B$1:$J$500,3,0))</f>
        <v/>
      </c>
      <c r="DK19" s="57" t="str">
        <f>IF(ISNA(VLOOKUP(DI19,'ODBC Data'!$B$1:$J$500,4,0)),"",VLOOKUP(DI19,'ODBC Data'!$B$1:$J$500,4,0))</f>
        <v/>
      </c>
      <c r="DL19" t="str">
        <f>IF(ISNA(VLOOKUP(DI19,'ODBC Data'!$B$1:$J$500,5,0)),"",VLOOKUP(DI19,'ODBC Data'!$B$1:$J$500,5,0))</f>
        <v/>
      </c>
      <c r="DN19" s="19" t="str">
        <f>IF('ODBC Data'!$I$18&gt;15,'ODBC Data'!$H$18,"")</f>
        <v/>
      </c>
      <c r="DO19" s="19" t="str">
        <f>IF('ODBC Data'!$I$18&gt;15,16,"")</f>
        <v/>
      </c>
      <c r="DP19" s="17" t="str">
        <f t="shared" si="14"/>
        <v/>
      </c>
      <c r="DQ19" t="str">
        <f>IF(ISNA(VLOOKUP(DP19,'ODBC Data'!$B$1:$J$500,3,0)),"",VLOOKUP(DP19,'ODBC Data'!$B$1:$J$500,3,0))</f>
        <v/>
      </c>
      <c r="DR19" s="57" t="str">
        <f>IF(ISNA(VLOOKUP(DP19,'ODBC Data'!$B$1:$J$500,4,0)),"",VLOOKUP(DP19,'ODBC Data'!$B$1:$J$500,4,0))</f>
        <v/>
      </c>
      <c r="DS19" t="str">
        <f>IF(ISNA(VLOOKUP(DP19,'ODBC Data'!$B$1:$J$500,5,0)),"",VLOOKUP(DP19,'ODBC Data'!$B$1:$J$500,5,0))</f>
        <v/>
      </c>
      <c r="DU19" s="19" t="str">
        <f>IF('ODBC Data'!$I$19&gt;15,'ODBC Data'!$H$19,"")</f>
        <v/>
      </c>
      <c r="DV19" s="19" t="str">
        <f>IF('ODBC Data'!$I$19&gt;15,16,"")</f>
        <v/>
      </c>
      <c r="DW19" s="17" t="str">
        <f t="shared" si="15"/>
        <v/>
      </c>
      <c r="DX19" t="str">
        <f>IF(ISNA(VLOOKUP(DW19,'ODBC Data'!$B$1:$J$500,3,0)),"",VLOOKUP(DW19,'ODBC Data'!$B$1:$J$500,3,0))</f>
        <v/>
      </c>
      <c r="DY19" s="57" t="str">
        <f>IF(ISNA(VLOOKUP(DW19,'ODBC Data'!$B$1:$J$500,4,0)),"",VLOOKUP(DW19,'ODBC Data'!$B$1:$J$500,4,0))</f>
        <v/>
      </c>
      <c r="DZ19" t="str">
        <f>IF(ISNA(VLOOKUP(DW19,'ODBC Data'!$B$1:$J$500,5,0)),"",VLOOKUP(DW19,'ODBC Data'!$B$1:$J$500,5,0))</f>
        <v/>
      </c>
      <c r="EB19" s="19" t="str">
        <f>IF('ODBC Data'!$I$20&gt;15,'ODBC Data'!$H$20,"")</f>
        <v/>
      </c>
      <c r="EC19" s="19" t="str">
        <f>IF('ODBC Data'!$I$20&gt;15,16,"")</f>
        <v/>
      </c>
      <c r="ED19" s="17" t="str">
        <f t="shared" si="16"/>
        <v/>
      </c>
      <c r="EE19" s="57" t="str">
        <f>IF(ISNA(VLOOKUP(ED19,'ODBC Data'!$B$1:$J$500,3,0)),"",VLOOKUP(ED19,'ODBC Data'!$B$1:$J$500,3,0))</f>
        <v/>
      </c>
      <c r="EF19" s="57" t="str">
        <f>IF(ISNA(VLOOKUP(ED19,'ODBC Data'!$B$1:$J$500,4,0)),"",VLOOKUP(ED19,'ODBC Data'!$B$1:$J$500,4,0))</f>
        <v/>
      </c>
      <c r="EG19" s="57" t="str">
        <f>IF(ISNA(VLOOKUP(ED19,'ODBC Data'!$B$1:$J$500,5,0)),"",VLOOKUP(ED19,'ODBC Data'!$B$1:$J$500,5,0))</f>
        <v/>
      </c>
      <c r="EI19" s="19" t="str">
        <f>IF('ODBC Data'!$I$21&gt;15,'ODBC Data'!$H$21,"")</f>
        <v/>
      </c>
      <c r="EJ19" s="19" t="str">
        <f>IF('ODBC Data'!$I$21&gt;15,16,"")</f>
        <v/>
      </c>
      <c r="EK19" s="17" t="str">
        <f t="shared" si="17"/>
        <v/>
      </c>
      <c r="EL19" t="str">
        <f>IF(ISNA(VLOOKUP(EK19,'ODBC Data'!$B$1:$J$500,3,0)),"",VLOOKUP(EK19,'ODBC Data'!$B$1:$J$500,3,0))</f>
        <v/>
      </c>
      <c r="EM19" s="57" t="str">
        <f>IF(ISNA(VLOOKUP(EK19,'ODBC Data'!$B$1:$J$500,4,0)),"",VLOOKUP(EK19,'ODBC Data'!$B$1:$J$500,4,0))</f>
        <v/>
      </c>
      <c r="EN19" t="str">
        <f>IF(ISNA(VLOOKUP(EK19,'ODBC Data'!$B$1:$J$500,5,0)),"",VLOOKUP(EK19,'ODBC Data'!$B$1:$J$500,5,0))</f>
        <v/>
      </c>
      <c r="EP19" s="19" t="str">
        <f>IF('ODBC Data'!$I$22&gt;15,'ODBC Data'!$H$22,"")</f>
        <v/>
      </c>
      <c r="EQ19" s="19" t="str">
        <f>IF('ODBC Data'!$I$22&gt;15,16,"")</f>
        <v/>
      </c>
      <c r="ER19" s="17" t="str">
        <f t="shared" si="18"/>
        <v/>
      </c>
      <c r="ES19" t="str">
        <f>IF(ISNA(VLOOKUP(ER19,'ODBC Data'!$B$1:$J$500,3,0)),"",VLOOKUP(ER19,'ODBC Data'!$B$1:$J$500,3,0))</f>
        <v/>
      </c>
      <c r="ET19" s="57" t="str">
        <f>IF(ISNA(VLOOKUP(ER19,'ODBC Data'!$B$1:$J$500,4,0)),"",VLOOKUP(ER19,'ODBC Data'!$B$1:$J$500,4,0))</f>
        <v/>
      </c>
      <c r="EU19" t="str">
        <f>IF(ISNA(VLOOKUP(ER19,'ODBC Data'!$B$1:$J$500,5,0)),"",VLOOKUP(ER19,'ODBC Data'!$B$1:$J$500,5,0))</f>
        <v/>
      </c>
      <c r="EW19" s="19" t="str">
        <f>IF('ODBC Data'!$I$23&gt;15,'ODBC Data'!$H$23,"")</f>
        <v/>
      </c>
      <c r="EX19" s="19" t="str">
        <f>IF('ODBC Data'!$I$23&gt;15,16,"")</f>
        <v/>
      </c>
      <c r="EY19" s="17" t="str">
        <f t="shared" si="19"/>
        <v/>
      </c>
      <c r="EZ19" t="str">
        <f>IF(ISNA(VLOOKUP(EY19,'ODBC Data'!$B$1:$J$500,3,0)),"",VLOOKUP(EY19,'ODBC Data'!$B$1:$J$500,3,0))</f>
        <v/>
      </c>
      <c r="FA19" s="57" t="str">
        <f>IF(ISNA(VLOOKUP(EY19,'ODBC Data'!$B$1:$J$500,4,0)),"",VLOOKUP(EY19,'ODBC Data'!$B$1:$J$500,4,0))</f>
        <v/>
      </c>
      <c r="FB19" t="str">
        <f>IF(ISNA(VLOOKUP(EY19,'ODBC Data'!$B$1:$J$500,5,0)),"",VLOOKUP(EY19,'ODBC Data'!$B$1:$J$500,5,0))</f>
        <v/>
      </c>
      <c r="FD19" s="19" t="str">
        <f>IF('ODBC Data'!$I$24&gt;15,'ODBC Data'!$H$24,"")</f>
        <v/>
      </c>
      <c r="FE19" s="19" t="str">
        <f>IF('ODBC Data'!$I$24&gt;15,16,"")</f>
        <v/>
      </c>
      <c r="FF19" s="17" t="str">
        <f t="shared" si="20"/>
        <v/>
      </c>
      <c r="FG19" t="str">
        <f>IF(ISNA(VLOOKUP(FF19,'ODBC Data'!$B$1:$J$500,3,0)),"",VLOOKUP(FF19,'ODBC Data'!$B$1:$J$500,3,0))</f>
        <v/>
      </c>
      <c r="FH19" s="57" t="str">
        <f>IF(ISNA(VLOOKUP(FF19,'ODBC Data'!$B$1:$J$500,4,0)),"",VLOOKUP(FF19,'ODBC Data'!$B$1:$J$500,4,0))</f>
        <v/>
      </c>
      <c r="FI19" t="str">
        <f>IF(ISNA(VLOOKUP(FF19,'ODBC Data'!$B$1:$J$500,5,0)),"",VLOOKUP(FF19,'ODBC Data'!$B$1:$J$500,5,0))</f>
        <v/>
      </c>
      <c r="FK19" s="19" t="str">
        <f>IF('ODBC Data'!$I$25&gt;15,'ODBC Data'!$H$25,"")</f>
        <v/>
      </c>
      <c r="FL19" s="19" t="str">
        <f>IF('ODBC Data'!$I$25&gt;15,16,"")</f>
        <v/>
      </c>
      <c r="FM19" s="17" t="str">
        <f t="shared" si="21"/>
        <v/>
      </c>
      <c r="FN19" t="str">
        <f>IF(ISNA(VLOOKUP(FM19,'ODBC Data'!$B$1:$J$500,3,0)),"",VLOOKUP(FM19,'ODBC Data'!$B$1:$J$500,3,0))</f>
        <v/>
      </c>
      <c r="FO19" s="57" t="str">
        <f>IF(ISNA(VLOOKUP(FM19,'ODBC Data'!$B$1:$J$500,4,0)),"",VLOOKUP(FM19,'ODBC Data'!$B$1:$J$500,4,0))</f>
        <v/>
      </c>
      <c r="FP19" t="str">
        <f>IF(ISNA(VLOOKUP(FM19,'ODBC Data'!$B$1:$J$500,5,0)),"",VLOOKUP(FM19,'ODBC Data'!$B$1:$J$500,5,0))</f>
        <v/>
      </c>
      <c r="FR19" s="19" t="str">
        <f>IF('ODBC Data'!$I$26&gt;15,'ODBC Data'!$H$26,"")</f>
        <v/>
      </c>
      <c r="FS19" s="19" t="str">
        <f>IF('ODBC Data'!$I$26&gt;15,16,"")</f>
        <v/>
      </c>
      <c r="FT19" s="17" t="str">
        <f t="shared" si="22"/>
        <v/>
      </c>
      <c r="FU19" s="57" t="str">
        <f>IF(ISNA(VLOOKUP(FT19,'ODBC Data'!$B$1:$J$500,3,0)),"",VLOOKUP(FT19,'ODBC Data'!$B$1:$J$500,3,0))</f>
        <v/>
      </c>
      <c r="FV19" s="57" t="str">
        <f>IF(ISNA(VLOOKUP(FT19,'ODBC Data'!$B$1:$J$500,4,0)),"",VLOOKUP(FT19,'ODBC Data'!$B$1:$J$500,4,0))</f>
        <v/>
      </c>
      <c r="FW19" s="57" t="str">
        <f>IF(ISNA(VLOOKUP(FT19,'ODBC Data'!$B$1:$J$500,5,0)),"",VLOOKUP(FT19,'ODBC Data'!$B$1:$J$500,5,0))</f>
        <v/>
      </c>
      <c r="FY19" s="19" t="str">
        <f>IF('ODBC Data'!$I$27&gt;15,'ODBC Data'!$H$27,"")</f>
        <v/>
      </c>
      <c r="FZ19" s="19" t="str">
        <f>IF('ODBC Data'!$I$27&gt;15,16,"")</f>
        <v/>
      </c>
      <c r="GA19" s="17" t="str">
        <f t="shared" si="23"/>
        <v/>
      </c>
      <c r="GB19" s="57" t="str">
        <f>IF(ISNA(VLOOKUP(GA19,'ODBC Data'!$B$1:$J$500,3,0)),"",VLOOKUP(GA19,'ODBC Data'!$B$1:$J$500,3,0))</f>
        <v/>
      </c>
      <c r="GC19" s="57" t="str">
        <f>IF(ISNA(VLOOKUP(GA19,'ODBC Data'!$B$1:$J$500,4,0)),"",VLOOKUP(GA19,'ODBC Data'!$B$1:$J$500,4,0))</f>
        <v/>
      </c>
      <c r="GD19" s="57" t="str">
        <f>IF(ISNA(VLOOKUP(GA19,'ODBC Data'!$B$1:$J$500,5,0)),"",VLOOKUP(GA19,'ODBC Data'!$B$1:$J$500,5,0))</f>
        <v/>
      </c>
    </row>
    <row r="20" spans="1:186">
      <c r="A20" s="19" t="str">
        <f>IF('ODBC Data'!$I$1&gt;16,'ODBC Data'!$H$1,"")</f>
        <v/>
      </c>
      <c r="B20" s="19" t="str">
        <f>IF('ODBC Data'!$I$1&gt;16,17,"")</f>
        <v/>
      </c>
      <c r="C20" s="17" t="str">
        <f t="shared" si="27"/>
        <v/>
      </c>
      <c r="D20" t="str">
        <f>IF(ISNA(VLOOKUP(C20,'ODBC Data'!$B$1:$J$500,3,0)),"",VLOOKUP(C20,'ODBC Data'!$B$1:$J$500,3,0))</f>
        <v/>
      </c>
      <c r="E20" t="str">
        <f>IF(ISNA(VLOOKUP(C20,'ODBC Data'!$B$1:$J$500,5,0)),"",VLOOKUP(C20,'ODBC Data'!$B$1:$J$500,5,0))</f>
        <v/>
      </c>
      <c r="F20" t="str">
        <f t="shared" si="28"/>
        <v/>
      </c>
      <c r="G20" s="19" t="str">
        <f>IF('ODBC Data'!$I$2&gt;16,'ODBC Data'!$H$2,"")</f>
        <v/>
      </c>
      <c r="H20" s="19" t="str">
        <f>IF('ODBC Data'!$I$2&gt;16,17,"")</f>
        <v/>
      </c>
      <c r="I20" s="17" t="str">
        <f t="shared" si="24"/>
        <v/>
      </c>
      <c r="J20" t="str">
        <f>IF(ISNA(VLOOKUP(I20,'ODBC Data'!$B$1:$J$500,3,0)),"",VLOOKUP(I20,'ODBC Data'!$B$1:$J$500,3,0))</f>
        <v/>
      </c>
      <c r="K20" t="str">
        <f>IF(ISNA(VLOOKUP(I20,'ODBC Data'!$B$1:$J$500,5,0)),"",VLOOKUP(I20,'ODBC Data'!$B$1:$J$500,5,0))</f>
        <v/>
      </c>
      <c r="M20" s="19" t="str">
        <f>IF('ODBC Data'!$I$3&gt;16,'ODBC Data'!$H$3,"")</f>
        <v/>
      </c>
      <c r="N20" s="19" t="str">
        <f>IF('ODBC Data'!$I$3&gt;16,17,"")</f>
        <v/>
      </c>
      <c r="O20" s="17" t="str">
        <f t="shared" si="25"/>
        <v/>
      </c>
      <c r="P20" t="str">
        <f>IF(ISNA(VLOOKUP(O20,'ODBC Data'!$B$1:$J$500,3,0)),"",VLOOKUP(O20,'ODBC Data'!$B$1:$J$500,3,0))</f>
        <v/>
      </c>
      <c r="Q20" t="str">
        <f>IF(ISNA(VLOOKUP(O20,'ODBC Data'!$B$1:$J$500,5,0)),"",VLOOKUP(O20,'ODBC Data'!$B$1:$J$500,4,0))</f>
        <v/>
      </c>
      <c r="S20" s="19" t="str">
        <f>IF('ODBC Data'!$I$3&gt;16,'ODBC Data'!$H$3,"")</f>
        <v/>
      </c>
      <c r="T20" s="19" t="str">
        <f>IF('ODBC Data'!$I$3&gt;16,17,"")</f>
        <v/>
      </c>
      <c r="U20" s="17" t="str">
        <f t="shared" si="26"/>
        <v/>
      </c>
      <c r="V20" t="str">
        <f>IF(ISNA(VLOOKUP(U20,'ODBC Data'!$B$1:$J$500,3,0)),"",VLOOKUP(U20,'ODBC Data'!$B$1:$J$500,3,0))</f>
        <v/>
      </c>
      <c r="W20" t="str">
        <f>IF(ISNA(VLOOKUP(U20,'ODBC Data'!$B$1:$J$500,5,0)),"",VLOOKUP(U20,'ODBC Data'!$B$1:$J$500,5,0))</f>
        <v/>
      </c>
      <c r="Y20" s="19" t="str">
        <f>IF('ODBC Data'!$I$4&gt;16,'ODBC Data'!$H$4,"")</f>
        <v/>
      </c>
      <c r="Z20" s="19" t="str">
        <f>IF('ODBC Data'!$I$4&gt;16,17,"")</f>
        <v/>
      </c>
      <c r="AA20" s="17" t="str">
        <f t="shared" si="0"/>
        <v/>
      </c>
      <c r="AB20" s="57" t="str">
        <f>IF(ISNA(VLOOKUP(AA20,'ODBC Data'!$B$1:$J$500,3,0)),"",VLOOKUP(AA20,'ODBC Data'!$B$1:$J$500,3,0))</f>
        <v/>
      </c>
      <c r="AC20" s="57" t="str">
        <f>IF(ISNA(VLOOKUP(AA20,'ODBC Data'!$B$1:$J$500,5,0)),"",VLOOKUP(AA20,'ODBC Data'!$B$1:$J$500,5,0))</f>
        <v/>
      </c>
      <c r="AE20" s="19" t="str">
        <f>IF('ODBC Data'!$I$5&gt;16,'ODBC Data'!$H$5,"")</f>
        <v/>
      </c>
      <c r="AF20" s="19" t="str">
        <f>IF('ODBC Data'!$I$5&gt;16,17,"")</f>
        <v/>
      </c>
      <c r="AG20" s="17" t="str">
        <f t="shared" si="1"/>
        <v/>
      </c>
      <c r="AH20" t="str">
        <f>IF(ISNA(VLOOKUP(AG20,'ODBC Data'!$B$1:$J$500,3,0)),"",VLOOKUP(AG20,'ODBC Data'!$B$1:$J$500,3,0))</f>
        <v/>
      </c>
      <c r="AI20" t="str">
        <f>IF(ISNA(VLOOKUP(AG20,'ODBC Data'!$B$1:$J$500,5,0)),"",VLOOKUP(AG20,'ODBC Data'!$B$1:$J$500,5,0))</f>
        <v/>
      </c>
      <c r="AK20" s="19" t="str">
        <f>IF('ODBC Data'!$I$6&gt;16,'ODBC Data'!$H$6,"")</f>
        <v/>
      </c>
      <c r="AL20" s="19" t="str">
        <f>IF('ODBC Data'!$I$6&gt;16,17,"")</f>
        <v/>
      </c>
      <c r="AM20" s="17" t="str">
        <f t="shared" si="2"/>
        <v/>
      </c>
      <c r="AN20" t="str">
        <f>IF(ISNA(VLOOKUP(AM20,'ODBC Data'!$B$1:$J$500,3,0)),"",VLOOKUP(AM20,'ODBC Data'!$B$1:$J$500,3,0))</f>
        <v/>
      </c>
      <c r="AO20" t="str">
        <f>IF(ISNA(VLOOKUP(AM20,'ODBC Data'!$B$1:$J$500,5,0)),"",VLOOKUP(AM20,'ODBC Data'!$B$1:$J$500,5,0))</f>
        <v/>
      </c>
      <c r="AQ20" s="19" t="str">
        <f>IF('ODBC Data'!$I$7&gt;16,'ODBC Data'!$H$7,"")</f>
        <v/>
      </c>
      <c r="AR20" s="19" t="str">
        <f>IF('ODBC Data'!$I$7&gt;16,17,"")</f>
        <v/>
      </c>
      <c r="AS20" s="17" t="str">
        <f t="shared" si="3"/>
        <v/>
      </c>
      <c r="AT20" t="str">
        <f>IF(ISNA(VLOOKUP(AS20,'ODBC Data'!$B$1:$J$500,3,0)),"",VLOOKUP(AS20,'ODBC Data'!$B$1:$J$500,3,0))</f>
        <v/>
      </c>
      <c r="AU20" t="str">
        <f>IF(ISNA(VLOOKUP(AS20,'ODBC Data'!$B$1:$J$500,5,0)),"",VLOOKUP(AS20,'ODBC Data'!$B$1:$J$500,5,0))</f>
        <v/>
      </c>
      <c r="AW20" s="19" t="str">
        <f>IF('ODBC Data'!$I$8&gt;16,'ODBC Data'!$H$8,"")</f>
        <v/>
      </c>
      <c r="AX20" s="19" t="str">
        <f>IF('ODBC Data'!$I$8&gt;16,17,"")</f>
        <v/>
      </c>
      <c r="AY20" s="17" t="str">
        <f t="shared" si="4"/>
        <v/>
      </c>
      <c r="AZ20" t="str">
        <f>IF(ISNA(VLOOKUP(AY20,'ODBC Data'!$B$1:$J$500,3,0)),"",VLOOKUP(AY20,'ODBC Data'!$B$1:$J$500,3,0))</f>
        <v/>
      </c>
      <c r="BA20" t="str">
        <f>IF(ISNA(VLOOKUP(AY20,'ODBC Data'!$B$1:$J$500,5,0)),"",VLOOKUP(AY20,'ODBC Data'!$B$1:$J$500,5,0))</f>
        <v/>
      </c>
      <c r="BC20" s="19" t="str">
        <f>IF('ODBC Data'!$I$9&gt;16,'ODBC Data'!$H$9,"")</f>
        <v/>
      </c>
      <c r="BD20" s="19" t="str">
        <f>IF('ODBC Data'!$I$9&gt;16,17,"")</f>
        <v/>
      </c>
      <c r="BE20" s="17" t="str">
        <f t="shared" si="5"/>
        <v/>
      </c>
      <c r="BF20" t="str">
        <f>IF(ISNA(VLOOKUP(BE20,'ODBC Data'!$B$1:$J$500,3,0)),"",VLOOKUP(BE20,'ODBC Data'!$B$1:$J$500,3,0))</f>
        <v/>
      </c>
      <c r="BG20" s="57" t="str">
        <f>IF(ISNA(VLOOKUP(BE20,'ODBC Data'!$B$1:$J$500,4,0)),"",VLOOKUP(BE20,'ODBC Data'!$B$1:$J$500,4,0))</f>
        <v/>
      </c>
      <c r="BH20" t="str">
        <f>IF(ISNA(VLOOKUP(BE20,'ODBC Data'!$B$1:$J$500,5,0)),"",VLOOKUP(BE20,'ODBC Data'!$B$1:$J$500,5,0))</f>
        <v/>
      </c>
      <c r="BJ20" s="19" t="str">
        <f>IF('ODBC Data'!$I$10&gt;16,'ODBC Data'!$H$10,"")</f>
        <v/>
      </c>
      <c r="BK20" s="19" t="str">
        <f>IF('ODBC Data'!$I$10&gt;16,17,"")</f>
        <v/>
      </c>
      <c r="BL20" s="17" t="str">
        <f t="shared" si="6"/>
        <v/>
      </c>
      <c r="BM20" t="str">
        <f>IF(ISNA(VLOOKUP(BL20,'ODBC Data'!$B$1:$J$500,3,0)),"",VLOOKUP(BL20,'ODBC Data'!$B$1:$J$500,3,0))</f>
        <v/>
      </c>
      <c r="BN20" s="57" t="str">
        <f>IF(ISNA(VLOOKUP(BL20,'ODBC Data'!$B$1:$J$500,4,0)),"",VLOOKUP(BL20,'ODBC Data'!$B$1:$J$500,4,0))</f>
        <v/>
      </c>
      <c r="BO20" t="str">
        <f>IF(ISNA(VLOOKUP(BL20,'ODBC Data'!$B$1:$J$500,5,0)),"",VLOOKUP(BL20,'ODBC Data'!$B$1:$J$500,5,0))</f>
        <v/>
      </c>
      <c r="BQ20" s="19" t="str">
        <f>IF('ODBC Data'!$I$11&gt;16,'ODBC Data'!$H$11,"")</f>
        <v/>
      </c>
      <c r="BR20" s="19" t="str">
        <f>IF('ODBC Data'!$I$11&gt;16,17,"")</f>
        <v/>
      </c>
      <c r="BS20" s="17" t="str">
        <f t="shared" si="7"/>
        <v/>
      </c>
      <c r="BT20" t="str">
        <f>IF(ISNA(VLOOKUP(BS20,'ODBC Data'!$B$1:$J$500,3,0)),"",VLOOKUP(BS20,'ODBC Data'!$B$1:$J$500,3,0))</f>
        <v/>
      </c>
      <c r="BU20" s="57" t="str">
        <f>IF(ISNA(VLOOKUP(BS20,'ODBC Data'!$B$1:$J$500,4,0)),"",VLOOKUP(BS20,'ODBC Data'!$B$1:$J$500,4,0))</f>
        <v/>
      </c>
      <c r="BV20" t="str">
        <f>IF(ISNA(VLOOKUP(BS20,'ODBC Data'!$B$1:$J$500,5,0)),"",VLOOKUP(BS20,'ODBC Data'!$B$1:$J$500,5,0))</f>
        <v/>
      </c>
      <c r="BX20" s="19" t="str">
        <f>IF('ODBC Data'!$I$12&gt;16,'ODBC Data'!$H$12,"")</f>
        <v/>
      </c>
      <c r="BY20" s="19" t="str">
        <f>IF('ODBC Data'!$I$12&gt;16,17,"")</f>
        <v/>
      </c>
      <c r="BZ20" s="17" t="str">
        <f t="shared" si="8"/>
        <v/>
      </c>
      <c r="CA20" t="str">
        <f>IF(ISNA(VLOOKUP(BZ20,'ODBC Data'!$B$1:$J$500,3,0)),"",VLOOKUP(BZ20,'ODBC Data'!$B$1:$J$500,3,0))</f>
        <v/>
      </c>
      <c r="CB20" s="57" t="str">
        <f>IF(ISNA(VLOOKUP(BZ20,'ODBC Data'!$B$1:$J$500,4,0)),"",VLOOKUP(BZ20,'ODBC Data'!$B$1:$J$500,4,0))</f>
        <v/>
      </c>
      <c r="CC20" t="str">
        <f>IF(ISNA(VLOOKUP(BZ20,'ODBC Data'!$B$1:$J$500,5,0)),"",VLOOKUP(BZ20,'ODBC Data'!$B$1:$J$500,5,0))</f>
        <v/>
      </c>
      <c r="CE20" s="19" t="str">
        <f>IF('ODBC Data'!$I$13&gt;16,'ODBC Data'!$H$13,"")</f>
        <v/>
      </c>
      <c r="CF20" s="19" t="str">
        <f>IF('ODBC Data'!$I$13&gt;16,17,"")</f>
        <v/>
      </c>
      <c r="CG20" s="17" t="str">
        <f t="shared" si="9"/>
        <v/>
      </c>
      <c r="CH20" t="str">
        <f>IF(ISNA(VLOOKUP(CG20,'ODBC Data'!$B$1:$J$500,3,0)),"",VLOOKUP(CG20,'ODBC Data'!$B$1:$J$500,3,0))</f>
        <v/>
      </c>
      <c r="CI20" s="57" t="str">
        <f>IF(ISNA(VLOOKUP(CG20,'ODBC Data'!$B$1:$J$500,4,0)),"",VLOOKUP(CG20,'ODBC Data'!$B$1:$J$500,4,0))</f>
        <v/>
      </c>
      <c r="CJ20" t="str">
        <f>IF(ISNA(VLOOKUP(CG20,'ODBC Data'!$B$1:$J$500,5,0)),"",VLOOKUP(CG20,'ODBC Data'!$B$1:$J$500,5,0))</f>
        <v/>
      </c>
      <c r="CL20" s="19" t="str">
        <f>IF('ODBC Data'!$I$14&gt;16,'ODBC Data'!$H$14,"")</f>
        <v/>
      </c>
      <c r="CM20" s="19" t="str">
        <f>IF('ODBC Data'!$I$14&gt;16,17,"")</f>
        <v/>
      </c>
      <c r="CN20" s="17" t="str">
        <f t="shared" si="10"/>
        <v/>
      </c>
      <c r="CO20" s="57" t="str">
        <f>IF(ISNA(VLOOKUP(CN20,'ODBC Data'!$B$1:$J$500,3,0)),"",VLOOKUP(CN20,'ODBC Data'!$B$1:$J$500,3,0))</f>
        <v/>
      </c>
      <c r="CP20" s="57" t="str">
        <f>IF(ISNA(VLOOKUP(CN20,'ODBC Data'!$B$1:$J$500,4,0)),"",VLOOKUP(CN20,'ODBC Data'!$B$1:$J$500,4,0))</f>
        <v/>
      </c>
      <c r="CQ20" s="57" t="str">
        <f>IF(ISNA(VLOOKUP(CN20,'ODBC Data'!$B$1:$J$500,5,0)),"",VLOOKUP(CN20,'ODBC Data'!$B$1:$J$500,5,0))</f>
        <v/>
      </c>
      <c r="CS20" s="19" t="str">
        <f>IF('ODBC Data'!$I$15&gt;16,'ODBC Data'!$H$15,"")</f>
        <v/>
      </c>
      <c r="CT20" s="19" t="str">
        <f>IF('ODBC Data'!$I$15&gt;16,17,"")</f>
        <v/>
      </c>
      <c r="CU20" s="17" t="str">
        <f t="shared" si="11"/>
        <v/>
      </c>
      <c r="CV20" t="str">
        <f>IF(ISNA(VLOOKUP(CU20,'ODBC Data'!$B$1:$J$500,3,0)),"",VLOOKUP(CU20,'ODBC Data'!$B$1:$J$500,3,0))</f>
        <v/>
      </c>
      <c r="CW20" s="57" t="str">
        <f>IF(ISNA(VLOOKUP(CU20,'ODBC Data'!$B$1:$J$500,4,0)),"",VLOOKUP(CU20,'ODBC Data'!$B$1:$J$500,4,0))</f>
        <v/>
      </c>
      <c r="CX20" t="str">
        <f>IF(ISNA(VLOOKUP(CU20,'ODBC Data'!$B$1:$J$500,5,0)),"",VLOOKUP(CU20,'ODBC Data'!$B$1:$J$500,5,0))</f>
        <v/>
      </c>
      <c r="CZ20" s="19" t="str">
        <f>IF('ODBC Data'!$I$16&gt;16,'ODBC Data'!$H$16,"")</f>
        <v/>
      </c>
      <c r="DA20" s="19" t="str">
        <f>IF('ODBC Data'!$I$16&gt;16,17,"")</f>
        <v/>
      </c>
      <c r="DB20" s="17" t="str">
        <f t="shared" si="12"/>
        <v/>
      </c>
      <c r="DC20" t="str">
        <f>IF(ISNA(VLOOKUP(DB20,'ODBC Data'!$B$1:$J$500,3,0)),"",VLOOKUP(DB20,'ODBC Data'!$B$1:$J$500,3,0))</f>
        <v/>
      </c>
      <c r="DD20" s="57" t="str">
        <f>IF(ISNA(VLOOKUP(DB20,'ODBC Data'!$B$1:$J$500,4,0)),"",VLOOKUP(DB20,'ODBC Data'!$B$1:$J$500,4,0))</f>
        <v/>
      </c>
      <c r="DE20" t="str">
        <f>IF(ISNA(VLOOKUP(DB20,'ODBC Data'!$B$1:$J$500,5,0)),"",VLOOKUP(DB20,'ODBC Data'!$B$1:$J$500,5,0))</f>
        <v/>
      </c>
      <c r="DG20" s="19" t="str">
        <f>IF('ODBC Data'!$I$17&gt;16,'ODBC Data'!$H$17,"")</f>
        <v/>
      </c>
      <c r="DH20" s="19" t="str">
        <f>IF('ODBC Data'!$I$17&gt;16,17,"")</f>
        <v/>
      </c>
      <c r="DI20" s="17" t="str">
        <f t="shared" si="13"/>
        <v/>
      </c>
      <c r="DJ20" t="str">
        <f>IF(ISNA(VLOOKUP(DI20,'ODBC Data'!$B$1:$J$500,3,0)),"",VLOOKUP(DI20,'ODBC Data'!$B$1:$J$500,3,0))</f>
        <v/>
      </c>
      <c r="DK20" s="57" t="str">
        <f>IF(ISNA(VLOOKUP(DI20,'ODBC Data'!$B$1:$J$500,4,0)),"",VLOOKUP(DI20,'ODBC Data'!$B$1:$J$500,4,0))</f>
        <v/>
      </c>
      <c r="DL20" t="str">
        <f>IF(ISNA(VLOOKUP(DI20,'ODBC Data'!$B$1:$J$500,5,0)),"",VLOOKUP(DI20,'ODBC Data'!$B$1:$J$500,5,0))</f>
        <v/>
      </c>
      <c r="DN20" s="19" t="str">
        <f>IF('ODBC Data'!$I$18&gt;16,'ODBC Data'!$H$18,"")</f>
        <v/>
      </c>
      <c r="DO20" s="19" t="str">
        <f>IF('ODBC Data'!$I$18&gt;16,17,"")</f>
        <v/>
      </c>
      <c r="DP20" s="17" t="str">
        <f t="shared" si="14"/>
        <v/>
      </c>
      <c r="DQ20" t="str">
        <f>IF(ISNA(VLOOKUP(DP20,'ODBC Data'!$B$1:$J$500,3,0)),"",VLOOKUP(DP20,'ODBC Data'!$B$1:$J$500,3,0))</f>
        <v/>
      </c>
      <c r="DR20" s="57" t="str">
        <f>IF(ISNA(VLOOKUP(DP20,'ODBC Data'!$B$1:$J$500,4,0)),"",VLOOKUP(DP20,'ODBC Data'!$B$1:$J$500,4,0))</f>
        <v/>
      </c>
      <c r="DS20" t="str">
        <f>IF(ISNA(VLOOKUP(DP20,'ODBC Data'!$B$1:$J$500,5,0)),"",VLOOKUP(DP20,'ODBC Data'!$B$1:$J$500,5,0))</f>
        <v/>
      </c>
      <c r="DU20" s="19" t="str">
        <f>IF('ODBC Data'!$I$19&gt;16,'ODBC Data'!$H$19,"")</f>
        <v/>
      </c>
      <c r="DV20" s="19" t="str">
        <f>IF('ODBC Data'!$I$19&gt;16,17,"")</f>
        <v/>
      </c>
      <c r="DW20" s="17" t="str">
        <f t="shared" si="15"/>
        <v/>
      </c>
      <c r="DX20" t="str">
        <f>IF(ISNA(VLOOKUP(DW20,'ODBC Data'!$B$1:$J$500,3,0)),"",VLOOKUP(DW20,'ODBC Data'!$B$1:$J$500,3,0))</f>
        <v/>
      </c>
      <c r="DY20" s="57" t="str">
        <f>IF(ISNA(VLOOKUP(DW20,'ODBC Data'!$B$1:$J$500,4,0)),"",VLOOKUP(DW20,'ODBC Data'!$B$1:$J$500,4,0))</f>
        <v/>
      </c>
      <c r="DZ20" t="str">
        <f>IF(ISNA(VLOOKUP(DW20,'ODBC Data'!$B$1:$J$500,5,0)),"",VLOOKUP(DW20,'ODBC Data'!$B$1:$J$500,5,0))</f>
        <v/>
      </c>
      <c r="EB20" s="19" t="str">
        <f>IF('ODBC Data'!$I$20&gt;16,'ODBC Data'!$H$20,"")</f>
        <v/>
      </c>
      <c r="EC20" s="19" t="str">
        <f>IF('ODBC Data'!$I$20&gt;16,17,"")</f>
        <v/>
      </c>
      <c r="ED20" s="17" t="str">
        <f t="shared" si="16"/>
        <v/>
      </c>
      <c r="EE20" s="57" t="str">
        <f>IF(ISNA(VLOOKUP(ED20,'ODBC Data'!$B$1:$J$500,3,0)),"",VLOOKUP(ED20,'ODBC Data'!$B$1:$J$500,3,0))</f>
        <v/>
      </c>
      <c r="EF20" s="57" t="str">
        <f>IF(ISNA(VLOOKUP(ED20,'ODBC Data'!$B$1:$J$500,4,0)),"",VLOOKUP(ED20,'ODBC Data'!$B$1:$J$500,4,0))</f>
        <v/>
      </c>
      <c r="EG20" s="57" t="str">
        <f>IF(ISNA(VLOOKUP(ED20,'ODBC Data'!$B$1:$J$500,5,0)),"",VLOOKUP(ED20,'ODBC Data'!$B$1:$J$500,5,0))</f>
        <v/>
      </c>
      <c r="EI20" s="19" t="str">
        <f>IF('ODBC Data'!$I$21&gt;16,'ODBC Data'!$H$21,"")</f>
        <v/>
      </c>
      <c r="EJ20" s="19" t="str">
        <f>IF('ODBC Data'!$I$21&gt;16,17,"")</f>
        <v/>
      </c>
      <c r="EK20" s="17" t="str">
        <f t="shared" si="17"/>
        <v/>
      </c>
      <c r="EL20" t="str">
        <f>IF(ISNA(VLOOKUP(EK20,'ODBC Data'!$B$1:$J$500,3,0)),"",VLOOKUP(EK20,'ODBC Data'!$B$1:$J$500,3,0))</f>
        <v/>
      </c>
      <c r="EM20" s="57" t="str">
        <f>IF(ISNA(VLOOKUP(EK20,'ODBC Data'!$B$1:$J$500,4,0)),"",VLOOKUP(EK20,'ODBC Data'!$B$1:$J$500,4,0))</f>
        <v/>
      </c>
      <c r="EN20" t="str">
        <f>IF(ISNA(VLOOKUP(EK20,'ODBC Data'!$B$1:$J$500,5,0)),"",VLOOKUP(EK20,'ODBC Data'!$B$1:$J$500,5,0))</f>
        <v/>
      </c>
      <c r="EP20" s="19" t="str">
        <f>IF('ODBC Data'!$I$22&gt;16,'ODBC Data'!$H$22,"")</f>
        <v/>
      </c>
      <c r="EQ20" s="19" t="str">
        <f>IF('ODBC Data'!$I$22&gt;16,17,"")</f>
        <v/>
      </c>
      <c r="ER20" s="17" t="str">
        <f t="shared" si="18"/>
        <v/>
      </c>
      <c r="ES20" t="str">
        <f>IF(ISNA(VLOOKUP(ER20,'ODBC Data'!$B$1:$J$500,3,0)),"",VLOOKUP(ER20,'ODBC Data'!$B$1:$J$500,3,0))</f>
        <v/>
      </c>
      <c r="ET20" s="57" t="str">
        <f>IF(ISNA(VLOOKUP(ER20,'ODBC Data'!$B$1:$J$500,4,0)),"",VLOOKUP(ER20,'ODBC Data'!$B$1:$J$500,4,0))</f>
        <v/>
      </c>
      <c r="EU20" t="str">
        <f>IF(ISNA(VLOOKUP(ER20,'ODBC Data'!$B$1:$J$500,5,0)),"",VLOOKUP(ER20,'ODBC Data'!$B$1:$J$500,5,0))</f>
        <v/>
      </c>
      <c r="EW20" s="19" t="str">
        <f>IF('ODBC Data'!$I$23&gt;16,'ODBC Data'!$H$23,"")</f>
        <v/>
      </c>
      <c r="EX20" s="19" t="str">
        <f>IF('ODBC Data'!$I$23&gt;16,17,"")</f>
        <v/>
      </c>
      <c r="EY20" s="17" t="str">
        <f t="shared" si="19"/>
        <v/>
      </c>
      <c r="EZ20" t="str">
        <f>IF(ISNA(VLOOKUP(EY20,'ODBC Data'!$B$1:$J$500,3,0)),"",VLOOKUP(EY20,'ODBC Data'!$B$1:$J$500,3,0))</f>
        <v/>
      </c>
      <c r="FA20" s="57" t="str">
        <f>IF(ISNA(VLOOKUP(EY20,'ODBC Data'!$B$1:$J$500,4,0)),"",VLOOKUP(EY20,'ODBC Data'!$B$1:$J$500,4,0))</f>
        <v/>
      </c>
      <c r="FB20" t="str">
        <f>IF(ISNA(VLOOKUP(EY20,'ODBC Data'!$B$1:$J$500,5,0)),"",VLOOKUP(EY20,'ODBC Data'!$B$1:$J$500,5,0))</f>
        <v/>
      </c>
      <c r="FD20" s="19" t="str">
        <f>IF('ODBC Data'!$I$24&gt;16,'ODBC Data'!$H$24,"")</f>
        <v/>
      </c>
      <c r="FE20" s="19" t="str">
        <f>IF('ODBC Data'!$I$24&gt;16,17,"")</f>
        <v/>
      </c>
      <c r="FF20" s="17" t="str">
        <f t="shared" si="20"/>
        <v/>
      </c>
      <c r="FG20" t="str">
        <f>IF(ISNA(VLOOKUP(FF20,'ODBC Data'!$B$1:$J$500,3,0)),"",VLOOKUP(FF20,'ODBC Data'!$B$1:$J$500,3,0))</f>
        <v/>
      </c>
      <c r="FH20" s="57" t="str">
        <f>IF(ISNA(VLOOKUP(FF20,'ODBC Data'!$B$1:$J$500,4,0)),"",VLOOKUP(FF20,'ODBC Data'!$B$1:$J$500,4,0))</f>
        <v/>
      </c>
      <c r="FI20" t="str">
        <f>IF(ISNA(VLOOKUP(FF20,'ODBC Data'!$B$1:$J$500,5,0)),"",VLOOKUP(FF20,'ODBC Data'!$B$1:$J$500,5,0))</f>
        <v/>
      </c>
      <c r="FK20" s="19" t="str">
        <f>IF('ODBC Data'!$I$25&gt;16,'ODBC Data'!$H$25,"")</f>
        <v/>
      </c>
      <c r="FL20" s="19" t="str">
        <f>IF('ODBC Data'!$I$25&gt;16,17,"")</f>
        <v/>
      </c>
      <c r="FM20" s="17" t="str">
        <f t="shared" si="21"/>
        <v/>
      </c>
      <c r="FN20" t="str">
        <f>IF(ISNA(VLOOKUP(FM20,'ODBC Data'!$B$1:$J$500,3,0)),"",VLOOKUP(FM20,'ODBC Data'!$B$1:$J$500,3,0))</f>
        <v/>
      </c>
      <c r="FO20" s="57" t="str">
        <f>IF(ISNA(VLOOKUP(FM20,'ODBC Data'!$B$1:$J$500,4,0)),"",VLOOKUP(FM20,'ODBC Data'!$B$1:$J$500,4,0))</f>
        <v/>
      </c>
      <c r="FP20" t="str">
        <f>IF(ISNA(VLOOKUP(FM20,'ODBC Data'!$B$1:$J$500,5,0)),"",VLOOKUP(FM20,'ODBC Data'!$B$1:$J$500,5,0))</f>
        <v/>
      </c>
      <c r="FR20" s="19" t="str">
        <f>IF('ODBC Data'!$I$26&gt;16,'ODBC Data'!$H$26,"")</f>
        <v/>
      </c>
      <c r="FS20" s="19" t="str">
        <f>IF('ODBC Data'!$I$26&gt;16,17,"")</f>
        <v/>
      </c>
      <c r="FT20" s="17" t="str">
        <f t="shared" si="22"/>
        <v/>
      </c>
      <c r="FU20" s="57" t="str">
        <f>IF(ISNA(VLOOKUP(FT20,'ODBC Data'!$B$1:$J$500,3,0)),"",VLOOKUP(FT20,'ODBC Data'!$B$1:$J$500,3,0))</f>
        <v/>
      </c>
      <c r="FV20" s="57" t="str">
        <f>IF(ISNA(VLOOKUP(FT20,'ODBC Data'!$B$1:$J$500,4,0)),"",VLOOKUP(FT20,'ODBC Data'!$B$1:$J$500,4,0))</f>
        <v/>
      </c>
      <c r="FW20" s="57" t="str">
        <f>IF(ISNA(VLOOKUP(FT20,'ODBC Data'!$B$1:$J$500,5,0)),"",VLOOKUP(FT20,'ODBC Data'!$B$1:$J$500,5,0))</f>
        <v/>
      </c>
      <c r="FY20" s="19" t="str">
        <f>IF('ODBC Data'!$I$27&gt;16,'ODBC Data'!$H$27,"")</f>
        <v/>
      </c>
      <c r="FZ20" s="19" t="str">
        <f>IF('ODBC Data'!$I$27&gt;16,17,"")</f>
        <v/>
      </c>
      <c r="GA20" s="17" t="str">
        <f t="shared" si="23"/>
        <v/>
      </c>
      <c r="GB20" s="57" t="str">
        <f>IF(ISNA(VLOOKUP(GA20,'ODBC Data'!$B$1:$J$500,3,0)),"",VLOOKUP(GA20,'ODBC Data'!$B$1:$J$500,3,0))</f>
        <v/>
      </c>
      <c r="GC20" s="57" t="str">
        <f>IF(ISNA(VLOOKUP(GA20,'ODBC Data'!$B$1:$J$500,4,0)),"",VLOOKUP(GA20,'ODBC Data'!$B$1:$J$500,4,0))</f>
        <v/>
      </c>
      <c r="GD20" s="57" t="str">
        <f>IF(ISNA(VLOOKUP(GA20,'ODBC Data'!$B$1:$J$500,5,0)),"",VLOOKUP(GA20,'ODBC Data'!$B$1:$J$500,5,0))</f>
        <v/>
      </c>
    </row>
    <row r="21" spans="1:186">
      <c r="A21" s="19" t="str">
        <f>IF('ODBC Data'!$I$1&gt;17,'ODBC Data'!$H$1,"")</f>
        <v/>
      </c>
      <c r="B21" s="19" t="str">
        <f>IF('ODBC Data'!$I$1&gt;17,18,"")</f>
        <v/>
      </c>
      <c r="C21" s="17" t="str">
        <f t="shared" si="27"/>
        <v/>
      </c>
      <c r="D21" t="str">
        <f>IF(ISNA(VLOOKUP(C21,'ODBC Data'!$B$1:$J$500,3,0)),"",VLOOKUP(C21,'ODBC Data'!$B$1:$J$500,3,0))</f>
        <v/>
      </c>
      <c r="E21" t="str">
        <f>IF(ISNA(VLOOKUP(C21,'ODBC Data'!$B$1:$J$500,5,0)),"",VLOOKUP(C21,'ODBC Data'!$B$1:$J$500,5,0))</f>
        <v/>
      </c>
      <c r="F21" t="str">
        <f t="shared" si="28"/>
        <v/>
      </c>
      <c r="G21" s="19" t="str">
        <f>IF('ODBC Data'!$I$2&gt;17,'ODBC Data'!$H$2,"")</f>
        <v/>
      </c>
      <c r="H21" s="19" t="str">
        <f>IF('ODBC Data'!$I$2&gt;17,18,"")</f>
        <v/>
      </c>
      <c r="I21" s="17" t="str">
        <f t="shared" si="24"/>
        <v/>
      </c>
      <c r="J21" t="str">
        <f>IF(ISNA(VLOOKUP(I21,'ODBC Data'!$B$1:$J$500,3,0)),"",VLOOKUP(I21,'ODBC Data'!$B$1:$J$500,3,0))</f>
        <v/>
      </c>
      <c r="K21" t="str">
        <f>IF(ISNA(VLOOKUP(I21,'ODBC Data'!$B$1:$J$500,5,0)),"",VLOOKUP(I21,'ODBC Data'!$B$1:$J$500,5,0))</f>
        <v/>
      </c>
      <c r="M21" s="19" t="str">
        <f>IF('ODBC Data'!$I$3&gt;17,'ODBC Data'!$H$3,"")</f>
        <v/>
      </c>
      <c r="N21" s="19" t="str">
        <f>IF('ODBC Data'!$I$3&gt;17,18,"")</f>
        <v/>
      </c>
      <c r="O21" s="17" t="str">
        <f t="shared" si="25"/>
        <v/>
      </c>
      <c r="P21" t="str">
        <f>IF(ISNA(VLOOKUP(O21,'ODBC Data'!$B$1:$J$500,3,0)),"",VLOOKUP(O21,'ODBC Data'!$B$1:$J$500,3,0))</f>
        <v/>
      </c>
      <c r="Q21" t="str">
        <f>IF(ISNA(VLOOKUP(O21,'ODBC Data'!$B$1:$J$500,5,0)),"",VLOOKUP(O21,'ODBC Data'!$B$1:$J$500,4,0))</f>
        <v/>
      </c>
      <c r="S21" s="19" t="str">
        <f>IF('ODBC Data'!$I$3&gt;17,'ODBC Data'!$H$3,"")</f>
        <v/>
      </c>
      <c r="T21" s="19" t="str">
        <f>IF('ODBC Data'!$I$3&gt;17,18,"")</f>
        <v/>
      </c>
      <c r="U21" s="17" t="str">
        <f t="shared" si="26"/>
        <v/>
      </c>
      <c r="V21" t="str">
        <f>IF(ISNA(VLOOKUP(U21,'ODBC Data'!$B$1:$J$500,3,0)),"",VLOOKUP(U21,'ODBC Data'!$B$1:$J$500,3,0))</f>
        <v/>
      </c>
      <c r="W21" t="str">
        <f>IF(ISNA(VLOOKUP(U21,'ODBC Data'!$B$1:$J$500,5,0)),"",VLOOKUP(U21,'ODBC Data'!$B$1:$J$500,5,0))</f>
        <v/>
      </c>
      <c r="Y21" s="19" t="str">
        <f>IF('ODBC Data'!$I$4&gt;17,'ODBC Data'!$H$4,"")</f>
        <v/>
      </c>
      <c r="Z21" s="19" t="str">
        <f>IF('ODBC Data'!$I$4&gt;17,18,"")</f>
        <v/>
      </c>
      <c r="AA21" s="17" t="str">
        <f t="shared" si="0"/>
        <v/>
      </c>
      <c r="AB21" s="57" t="str">
        <f>IF(ISNA(VLOOKUP(AA21,'ODBC Data'!$B$1:$J$500,3,0)),"",VLOOKUP(AA21,'ODBC Data'!$B$1:$J$500,3,0))</f>
        <v/>
      </c>
      <c r="AC21" s="57" t="str">
        <f>IF(ISNA(VLOOKUP(AA21,'ODBC Data'!$B$1:$J$500,5,0)),"",VLOOKUP(AA21,'ODBC Data'!$B$1:$J$500,5,0))</f>
        <v/>
      </c>
      <c r="AE21" s="19" t="str">
        <f>IF('ODBC Data'!$I$5&gt;17,'ODBC Data'!$H$5,"")</f>
        <v/>
      </c>
      <c r="AF21" s="19" t="str">
        <f>IF('ODBC Data'!$I$5&gt;17,18,"")</f>
        <v/>
      </c>
      <c r="AG21" s="17" t="str">
        <f t="shared" si="1"/>
        <v/>
      </c>
      <c r="AH21" t="str">
        <f>IF(ISNA(VLOOKUP(AG21,'ODBC Data'!$B$1:$J$500,3,0)),"",VLOOKUP(AG21,'ODBC Data'!$B$1:$J$500,3,0))</f>
        <v/>
      </c>
      <c r="AI21" t="str">
        <f>IF(ISNA(VLOOKUP(AG21,'ODBC Data'!$B$1:$J$500,5,0)),"",VLOOKUP(AG21,'ODBC Data'!$B$1:$J$500,5,0))</f>
        <v/>
      </c>
      <c r="AK21" s="19" t="str">
        <f>IF('ODBC Data'!$I$6&gt;17,'ODBC Data'!$H$6,"")</f>
        <v/>
      </c>
      <c r="AL21" s="19" t="str">
        <f>IF('ODBC Data'!$I$6&gt;17,18,"")</f>
        <v/>
      </c>
      <c r="AM21" s="17" t="str">
        <f t="shared" si="2"/>
        <v/>
      </c>
      <c r="AN21" t="str">
        <f>IF(ISNA(VLOOKUP(AM21,'ODBC Data'!$B$1:$J$500,3,0)),"",VLOOKUP(AM21,'ODBC Data'!$B$1:$J$500,3,0))</f>
        <v/>
      </c>
      <c r="AO21" t="str">
        <f>IF(ISNA(VLOOKUP(AM21,'ODBC Data'!$B$1:$J$500,5,0)),"",VLOOKUP(AM21,'ODBC Data'!$B$1:$J$500,5,0))</f>
        <v/>
      </c>
      <c r="AQ21" s="19" t="str">
        <f>IF('ODBC Data'!$I$7&gt;17,'ODBC Data'!$H$7,"")</f>
        <v/>
      </c>
      <c r="AR21" s="19" t="str">
        <f>IF('ODBC Data'!$I$7&gt;17,18,"")</f>
        <v/>
      </c>
      <c r="AS21" s="17" t="str">
        <f t="shared" si="3"/>
        <v/>
      </c>
      <c r="AT21" t="str">
        <f>IF(ISNA(VLOOKUP(AS21,'ODBC Data'!$B$1:$J$500,3,0)),"",VLOOKUP(AS21,'ODBC Data'!$B$1:$J$500,3,0))</f>
        <v/>
      </c>
      <c r="AU21" t="str">
        <f>IF(ISNA(VLOOKUP(AS21,'ODBC Data'!$B$1:$J$500,5,0)),"",VLOOKUP(AS21,'ODBC Data'!$B$1:$J$500,5,0))</f>
        <v/>
      </c>
      <c r="AW21" s="19" t="str">
        <f>IF('ODBC Data'!$I$8&gt;17,'ODBC Data'!$H$8,"")</f>
        <v/>
      </c>
      <c r="AX21" s="19" t="str">
        <f>IF('ODBC Data'!$I$8&gt;17,18,"")</f>
        <v/>
      </c>
      <c r="AY21" s="17" t="str">
        <f t="shared" si="4"/>
        <v/>
      </c>
      <c r="AZ21" t="str">
        <f>IF(ISNA(VLOOKUP(AY21,'ODBC Data'!$B$1:$J$500,3,0)),"",VLOOKUP(AY21,'ODBC Data'!$B$1:$J$500,3,0))</f>
        <v/>
      </c>
      <c r="BA21" t="str">
        <f>IF(ISNA(VLOOKUP(AY21,'ODBC Data'!$B$1:$J$500,5,0)),"",VLOOKUP(AY21,'ODBC Data'!$B$1:$J$500,5,0))</f>
        <v/>
      </c>
      <c r="BC21" s="19" t="str">
        <f>IF('ODBC Data'!$I$9&gt;17,'ODBC Data'!$H$9,"")</f>
        <v/>
      </c>
      <c r="BD21" s="19" t="str">
        <f>IF('ODBC Data'!$I$9&gt;17,18,"")</f>
        <v/>
      </c>
      <c r="BE21" s="17" t="str">
        <f t="shared" si="5"/>
        <v/>
      </c>
      <c r="BF21" t="str">
        <f>IF(ISNA(VLOOKUP(BE21,'ODBC Data'!$B$1:$J$500,3,0)),"",VLOOKUP(BE21,'ODBC Data'!$B$1:$J$500,3,0))</f>
        <v/>
      </c>
      <c r="BG21" s="57" t="str">
        <f>IF(ISNA(VLOOKUP(BE21,'ODBC Data'!$B$1:$J$500,4,0)),"",VLOOKUP(BE21,'ODBC Data'!$B$1:$J$500,4,0))</f>
        <v/>
      </c>
      <c r="BH21" t="str">
        <f>IF(ISNA(VLOOKUP(BE21,'ODBC Data'!$B$1:$J$500,5,0)),"",VLOOKUP(BE21,'ODBC Data'!$B$1:$J$500,5,0))</f>
        <v/>
      </c>
      <c r="BJ21" s="19" t="str">
        <f>IF('ODBC Data'!$I$10&gt;17,'ODBC Data'!$H$10,"")</f>
        <v/>
      </c>
      <c r="BK21" s="19" t="str">
        <f>IF('ODBC Data'!$I$10&gt;17,18,"")</f>
        <v/>
      </c>
      <c r="BL21" s="17" t="str">
        <f t="shared" si="6"/>
        <v/>
      </c>
      <c r="BM21" t="str">
        <f>IF(ISNA(VLOOKUP(BL21,'ODBC Data'!$B$1:$J$500,3,0)),"",VLOOKUP(BL21,'ODBC Data'!$B$1:$J$500,3,0))</f>
        <v/>
      </c>
      <c r="BN21" s="57" t="str">
        <f>IF(ISNA(VLOOKUP(BL21,'ODBC Data'!$B$1:$J$500,4,0)),"",VLOOKUP(BL21,'ODBC Data'!$B$1:$J$500,4,0))</f>
        <v/>
      </c>
      <c r="BO21" t="str">
        <f>IF(ISNA(VLOOKUP(BL21,'ODBC Data'!$B$1:$J$500,5,0)),"",VLOOKUP(BL21,'ODBC Data'!$B$1:$J$500,5,0))</f>
        <v/>
      </c>
      <c r="BQ21" s="19" t="str">
        <f>IF('ODBC Data'!$I$11&gt;17,'ODBC Data'!$H$11,"")</f>
        <v/>
      </c>
      <c r="BR21" s="19" t="str">
        <f>IF('ODBC Data'!$I$11&gt;17,18,"")</f>
        <v/>
      </c>
      <c r="BS21" s="17" t="str">
        <f t="shared" si="7"/>
        <v/>
      </c>
      <c r="BT21" t="str">
        <f>IF(ISNA(VLOOKUP(BS21,'ODBC Data'!$B$1:$J$500,3,0)),"",VLOOKUP(BS21,'ODBC Data'!$B$1:$J$500,3,0))</f>
        <v/>
      </c>
      <c r="BU21" s="57" t="str">
        <f>IF(ISNA(VLOOKUP(BS21,'ODBC Data'!$B$1:$J$500,4,0)),"",VLOOKUP(BS21,'ODBC Data'!$B$1:$J$500,4,0))</f>
        <v/>
      </c>
      <c r="BV21" t="str">
        <f>IF(ISNA(VLOOKUP(BS21,'ODBC Data'!$B$1:$J$500,5,0)),"",VLOOKUP(BS21,'ODBC Data'!$B$1:$J$500,5,0))</f>
        <v/>
      </c>
      <c r="BX21" s="19" t="str">
        <f>IF('ODBC Data'!$I$12&gt;17,'ODBC Data'!$H$12,"")</f>
        <v/>
      </c>
      <c r="BY21" s="19" t="str">
        <f>IF('ODBC Data'!$I$12&gt;17,18,"")</f>
        <v/>
      </c>
      <c r="BZ21" s="17" t="str">
        <f t="shared" si="8"/>
        <v/>
      </c>
      <c r="CA21" t="str">
        <f>IF(ISNA(VLOOKUP(BZ21,'ODBC Data'!$B$1:$J$500,3,0)),"",VLOOKUP(BZ21,'ODBC Data'!$B$1:$J$500,3,0))</f>
        <v/>
      </c>
      <c r="CB21" s="57" t="str">
        <f>IF(ISNA(VLOOKUP(BZ21,'ODBC Data'!$B$1:$J$500,4,0)),"",VLOOKUP(BZ21,'ODBC Data'!$B$1:$J$500,4,0))</f>
        <v/>
      </c>
      <c r="CC21" t="str">
        <f>IF(ISNA(VLOOKUP(BZ21,'ODBC Data'!$B$1:$J$500,5,0)),"",VLOOKUP(BZ21,'ODBC Data'!$B$1:$J$500,5,0))</f>
        <v/>
      </c>
      <c r="CE21" s="19" t="str">
        <f>IF('ODBC Data'!$I$13&gt;17,'ODBC Data'!$H$13,"")</f>
        <v/>
      </c>
      <c r="CF21" s="19" t="str">
        <f>IF('ODBC Data'!$I$13&gt;17,18,"")</f>
        <v/>
      </c>
      <c r="CG21" s="17" t="str">
        <f t="shared" si="9"/>
        <v/>
      </c>
      <c r="CH21" t="str">
        <f>IF(ISNA(VLOOKUP(CG21,'ODBC Data'!$B$1:$J$500,3,0)),"",VLOOKUP(CG21,'ODBC Data'!$B$1:$J$500,3,0))</f>
        <v/>
      </c>
      <c r="CI21" s="57" t="str">
        <f>IF(ISNA(VLOOKUP(CG21,'ODBC Data'!$B$1:$J$500,4,0)),"",VLOOKUP(CG21,'ODBC Data'!$B$1:$J$500,4,0))</f>
        <v/>
      </c>
      <c r="CJ21" t="str">
        <f>IF(ISNA(VLOOKUP(CG21,'ODBC Data'!$B$1:$J$500,5,0)),"",VLOOKUP(CG21,'ODBC Data'!$B$1:$J$500,5,0))</f>
        <v/>
      </c>
      <c r="CL21" s="19" t="str">
        <f>IF('ODBC Data'!$I$14&gt;17,'ODBC Data'!$H$14,"")</f>
        <v/>
      </c>
      <c r="CM21" s="19" t="str">
        <f>IF('ODBC Data'!$I$14&gt;17,18,"")</f>
        <v/>
      </c>
      <c r="CN21" s="17" t="str">
        <f t="shared" si="10"/>
        <v/>
      </c>
      <c r="CO21" s="57" t="str">
        <f>IF(ISNA(VLOOKUP(CN21,'ODBC Data'!$B$1:$J$500,3,0)),"",VLOOKUP(CN21,'ODBC Data'!$B$1:$J$500,3,0))</f>
        <v/>
      </c>
      <c r="CP21" s="57" t="str">
        <f>IF(ISNA(VLOOKUP(CN21,'ODBC Data'!$B$1:$J$500,4,0)),"",VLOOKUP(CN21,'ODBC Data'!$B$1:$J$500,4,0))</f>
        <v/>
      </c>
      <c r="CQ21" s="57" t="str">
        <f>IF(ISNA(VLOOKUP(CN21,'ODBC Data'!$B$1:$J$500,5,0)),"",VLOOKUP(CN21,'ODBC Data'!$B$1:$J$500,5,0))</f>
        <v/>
      </c>
      <c r="CS21" s="19" t="str">
        <f>IF('ODBC Data'!$I$15&gt;17,'ODBC Data'!$H$15,"")</f>
        <v/>
      </c>
      <c r="CT21" s="19" t="str">
        <f>IF('ODBC Data'!$I$15&gt;17,18,"")</f>
        <v/>
      </c>
      <c r="CU21" s="17" t="str">
        <f t="shared" si="11"/>
        <v/>
      </c>
      <c r="CV21" t="str">
        <f>IF(ISNA(VLOOKUP(CU21,'ODBC Data'!$B$1:$J$500,3,0)),"",VLOOKUP(CU21,'ODBC Data'!$B$1:$J$500,3,0))</f>
        <v/>
      </c>
      <c r="CW21" s="57" t="str">
        <f>IF(ISNA(VLOOKUP(CU21,'ODBC Data'!$B$1:$J$500,4,0)),"",VLOOKUP(CU21,'ODBC Data'!$B$1:$J$500,4,0))</f>
        <v/>
      </c>
      <c r="CX21" t="str">
        <f>IF(ISNA(VLOOKUP(CU21,'ODBC Data'!$B$1:$J$500,5,0)),"",VLOOKUP(CU21,'ODBC Data'!$B$1:$J$500,5,0))</f>
        <v/>
      </c>
      <c r="CZ21" s="19" t="str">
        <f>IF('ODBC Data'!$I$16&gt;17,'ODBC Data'!$H$16,"")</f>
        <v/>
      </c>
      <c r="DA21" s="19" t="str">
        <f>IF('ODBC Data'!$I$16&gt;17,18,"")</f>
        <v/>
      </c>
      <c r="DB21" s="17" t="str">
        <f t="shared" si="12"/>
        <v/>
      </c>
      <c r="DC21" t="str">
        <f>IF(ISNA(VLOOKUP(DB21,'ODBC Data'!$B$1:$J$500,3,0)),"",VLOOKUP(DB21,'ODBC Data'!$B$1:$J$500,3,0))</f>
        <v/>
      </c>
      <c r="DD21" s="57" t="str">
        <f>IF(ISNA(VLOOKUP(DB21,'ODBC Data'!$B$1:$J$500,4,0)),"",VLOOKUP(DB21,'ODBC Data'!$B$1:$J$500,4,0))</f>
        <v/>
      </c>
      <c r="DE21" t="str">
        <f>IF(ISNA(VLOOKUP(DB21,'ODBC Data'!$B$1:$J$500,5,0)),"",VLOOKUP(DB21,'ODBC Data'!$B$1:$J$500,5,0))</f>
        <v/>
      </c>
      <c r="DG21" s="19" t="str">
        <f>IF('ODBC Data'!$I$17&gt;17,'ODBC Data'!$H$17,"")</f>
        <v/>
      </c>
      <c r="DH21" s="19" t="str">
        <f>IF('ODBC Data'!$I$17&gt;17,18,"")</f>
        <v/>
      </c>
      <c r="DI21" s="17" t="str">
        <f t="shared" si="13"/>
        <v/>
      </c>
      <c r="DJ21" t="str">
        <f>IF(ISNA(VLOOKUP(DI21,'ODBC Data'!$B$1:$J$500,3,0)),"",VLOOKUP(DI21,'ODBC Data'!$B$1:$J$500,3,0))</f>
        <v/>
      </c>
      <c r="DK21" s="57" t="str">
        <f>IF(ISNA(VLOOKUP(DI21,'ODBC Data'!$B$1:$J$500,4,0)),"",VLOOKUP(DI21,'ODBC Data'!$B$1:$J$500,4,0))</f>
        <v/>
      </c>
      <c r="DL21" t="str">
        <f>IF(ISNA(VLOOKUP(DI21,'ODBC Data'!$B$1:$J$500,5,0)),"",VLOOKUP(DI21,'ODBC Data'!$B$1:$J$500,5,0))</f>
        <v/>
      </c>
      <c r="DN21" s="19" t="str">
        <f>IF('ODBC Data'!$I$18&gt;17,'ODBC Data'!$H$18,"")</f>
        <v/>
      </c>
      <c r="DO21" s="19" t="str">
        <f>IF('ODBC Data'!$I$18&gt;17,18,"")</f>
        <v/>
      </c>
      <c r="DP21" s="17" t="str">
        <f t="shared" si="14"/>
        <v/>
      </c>
      <c r="DQ21" t="str">
        <f>IF(ISNA(VLOOKUP(DP21,'ODBC Data'!$B$1:$J$500,3,0)),"",VLOOKUP(DP21,'ODBC Data'!$B$1:$J$500,3,0))</f>
        <v/>
      </c>
      <c r="DR21" s="57" t="str">
        <f>IF(ISNA(VLOOKUP(DP21,'ODBC Data'!$B$1:$J$500,4,0)),"",VLOOKUP(DP21,'ODBC Data'!$B$1:$J$500,4,0))</f>
        <v/>
      </c>
      <c r="DS21" t="str">
        <f>IF(ISNA(VLOOKUP(DP21,'ODBC Data'!$B$1:$J$500,5,0)),"",VLOOKUP(DP21,'ODBC Data'!$B$1:$J$500,5,0))</f>
        <v/>
      </c>
      <c r="DU21" s="19" t="str">
        <f>IF('ODBC Data'!$I$19&gt;17,'ODBC Data'!$H$19,"")</f>
        <v/>
      </c>
      <c r="DV21" s="19" t="str">
        <f>IF('ODBC Data'!$I$19&gt;17,18,"")</f>
        <v/>
      </c>
      <c r="DW21" s="17" t="str">
        <f t="shared" si="15"/>
        <v/>
      </c>
      <c r="DX21" t="str">
        <f>IF(ISNA(VLOOKUP(DW21,'ODBC Data'!$B$1:$J$500,3,0)),"",VLOOKUP(DW21,'ODBC Data'!$B$1:$J$500,3,0))</f>
        <v/>
      </c>
      <c r="DY21" s="57" t="str">
        <f>IF(ISNA(VLOOKUP(DW21,'ODBC Data'!$B$1:$J$500,4,0)),"",VLOOKUP(DW21,'ODBC Data'!$B$1:$J$500,4,0))</f>
        <v/>
      </c>
      <c r="DZ21" t="str">
        <f>IF(ISNA(VLOOKUP(DW21,'ODBC Data'!$B$1:$J$500,5,0)),"",VLOOKUP(DW21,'ODBC Data'!$B$1:$J$500,5,0))</f>
        <v/>
      </c>
      <c r="EB21" s="19" t="str">
        <f>IF('ODBC Data'!$I$20&gt;17,'ODBC Data'!$H$20,"")</f>
        <v/>
      </c>
      <c r="EC21" s="19" t="str">
        <f>IF('ODBC Data'!$I$20&gt;17,18,"")</f>
        <v/>
      </c>
      <c r="ED21" s="17" t="str">
        <f t="shared" si="16"/>
        <v/>
      </c>
      <c r="EE21" s="57" t="str">
        <f>IF(ISNA(VLOOKUP(ED21,'ODBC Data'!$B$1:$J$500,3,0)),"",VLOOKUP(ED21,'ODBC Data'!$B$1:$J$500,3,0))</f>
        <v/>
      </c>
      <c r="EF21" s="57" t="str">
        <f>IF(ISNA(VLOOKUP(ED21,'ODBC Data'!$B$1:$J$500,4,0)),"",VLOOKUP(ED21,'ODBC Data'!$B$1:$J$500,4,0))</f>
        <v/>
      </c>
      <c r="EG21" s="57" t="str">
        <f>IF(ISNA(VLOOKUP(ED21,'ODBC Data'!$B$1:$J$500,5,0)),"",VLOOKUP(ED21,'ODBC Data'!$B$1:$J$500,5,0))</f>
        <v/>
      </c>
      <c r="EI21" s="19" t="str">
        <f>IF('ODBC Data'!$I$21&gt;17,'ODBC Data'!$H$21,"")</f>
        <v/>
      </c>
      <c r="EJ21" s="19" t="str">
        <f>IF('ODBC Data'!$I$21&gt;17,18,"")</f>
        <v/>
      </c>
      <c r="EK21" s="17" t="str">
        <f t="shared" si="17"/>
        <v/>
      </c>
      <c r="EL21" t="str">
        <f>IF(ISNA(VLOOKUP(EK21,'ODBC Data'!$B$1:$J$500,3,0)),"",VLOOKUP(EK21,'ODBC Data'!$B$1:$J$500,3,0))</f>
        <v/>
      </c>
      <c r="EM21" s="57" t="str">
        <f>IF(ISNA(VLOOKUP(EK21,'ODBC Data'!$B$1:$J$500,4,0)),"",VLOOKUP(EK21,'ODBC Data'!$B$1:$J$500,4,0))</f>
        <v/>
      </c>
      <c r="EN21" t="str">
        <f>IF(ISNA(VLOOKUP(EK21,'ODBC Data'!$B$1:$J$500,5,0)),"",VLOOKUP(EK21,'ODBC Data'!$B$1:$J$500,5,0))</f>
        <v/>
      </c>
      <c r="EP21" s="19" t="str">
        <f>IF('ODBC Data'!$I$22&gt;17,'ODBC Data'!$H$22,"")</f>
        <v/>
      </c>
      <c r="EQ21" s="19" t="str">
        <f>IF('ODBC Data'!$I$22&gt;17,18,"")</f>
        <v/>
      </c>
      <c r="ER21" s="17" t="str">
        <f t="shared" si="18"/>
        <v/>
      </c>
      <c r="ES21" t="str">
        <f>IF(ISNA(VLOOKUP(ER21,'ODBC Data'!$B$1:$J$500,3,0)),"",VLOOKUP(ER21,'ODBC Data'!$B$1:$J$500,3,0))</f>
        <v/>
      </c>
      <c r="ET21" s="57" t="str">
        <f>IF(ISNA(VLOOKUP(ER21,'ODBC Data'!$B$1:$J$500,4,0)),"",VLOOKUP(ER21,'ODBC Data'!$B$1:$J$500,4,0))</f>
        <v/>
      </c>
      <c r="EU21" t="str">
        <f>IF(ISNA(VLOOKUP(ER21,'ODBC Data'!$B$1:$J$500,5,0)),"",VLOOKUP(ER21,'ODBC Data'!$B$1:$J$500,5,0))</f>
        <v/>
      </c>
      <c r="EW21" s="19" t="str">
        <f>IF('ODBC Data'!$I$23&gt;17,'ODBC Data'!$H$23,"")</f>
        <v/>
      </c>
      <c r="EX21" s="19" t="str">
        <f>IF('ODBC Data'!$I$23&gt;17,18,"")</f>
        <v/>
      </c>
      <c r="EY21" s="17" t="str">
        <f t="shared" si="19"/>
        <v/>
      </c>
      <c r="EZ21" t="str">
        <f>IF(ISNA(VLOOKUP(EY21,'ODBC Data'!$B$1:$J$500,3,0)),"",VLOOKUP(EY21,'ODBC Data'!$B$1:$J$500,3,0))</f>
        <v/>
      </c>
      <c r="FA21" s="57" t="str">
        <f>IF(ISNA(VLOOKUP(EY21,'ODBC Data'!$B$1:$J$500,4,0)),"",VLOOKUP(EY21,'ODBC Data'!$B$1:$J$500,4,0))</f>
        <v/>
      </c>
      <c r="FB21" t="str">
        <f>IF(ISNA(VLOOKUP(EY21,'ODBC Data'!$B$1:$J$500,5,0)),"",VLOOKUP(EY21,'ODBC Data'!$B$1:$J$500,5,0))</f>
        <v/>
      </c>
      <c r="FD21" s="19" t="str">
        <f>IF('ODBC Data'!$I$24&gt;17,'ODBC Data'!$H$24,"")</f>
        <v/>
      </c>
      <c r="FE21" s="19" t="str">
        <f>IF('ODBC Data'!$I$24&gt;17,18,"")</f>
        <v/>
      </c>
      <c r="FF21" s="17" t="str">
        <f t="shared" si="20"/>
        <v/>
      </c>
      <c r="FG21" t="str">
        <f>IF(ISNA(VLOOKUP(FF21,'ODBC Data'!$B$1:$J$500,3,0)),"",VLOOKUP(FF21,'ODBC Data'!$B$1:$J$500,3,0))</f>
        <v/>
      </c>
      <c r="FH21" s="57" t="str">
        <f>IF(ISNA(VLOOKUP(FF21,'ODBC Data'!$B$1:$J$500,4,0)),"",VLOOKUP(FF21,'ODBC Data'!$B$1:$J$500,4,0))</f>
        <v/>
      </c>
      <c r="FI21" t="str">
        <f>IF(ISNA(VLOOKUP(FF21,'ODBC Data'!$B$1:$J$500,5,0)),"",VLOOKUP(FF21,'ODBC Data'!$B$1:$J$500,5,0))</f>
        <v/>
      </c>
      <c r="FK21" s="19" t="str">
        <f>IF('ODBC Data'!$I$25&gt;17,'ODBC Data'!$H$25,"")</f>
        <v/>
      </c>
      <c r="FL21" s="19" t="str">
        <f>IF('ODBC Data'!$I$25&gt;17,18,"")</f>
        <v/>
      </c>
      <c r="FM21" s="17" t="str">
        <f t="shared" si="21"/>
        <v/>
      </c>
      <c r="FN21" t="str">
        <f>IF(ISNA(VLOOKUP(FM21,'ODBC Data'!$B$1:$J$500,3,0)),"",VLOOKUP(FM21,'ODBC Data'!$B$1:$J$500,3,0))</f>
        <v/>
      </c>
      <c r="FO21" s="57" t="str">
        <f>IF(ISNA(VLOOKUP(FM21,'ODBC Data'!$B$1:$J$500,4,0)),"",VLOOKUP(FM21,'ODBC Data'!$B$1:$J$500,4,0))</f>
        <v/>
      </c>
      <c r="FP21" t="str">
        <f>IF(ISNA(VLOOKUP(FM21,'ODBC Data'!$B$1:$J$500,5,0)),"",VLOOKUP(FM21,'ODBC Data'!$B$1:$J$500,5,0))</f>
        <v/>
      </c>
      <c r="FR21" s="19" t="str">
        <f>IF('ODBC Data'!$I$26&gt;17,'ODBC Data'!$H$26,"")</f>
        <v/>
      </c>
      <c r="FS21" s="19" t="str">
        <f>IF('ODBC Data'!$I$26&gt;17,18,"")</f>
        <v/>
      </c>
      <c r="FT21" s="17" t="str">
        <f t="shared" si="22"/>
        <v/>
      </c>
      <c r="FU21" s="57" t="str">
        <f>IF(ISNA(VLOOKUP(FT21,'ODBC Data'!$B$1:$J$500,3,0)),"",VLOOKUP(FT21,'ODBC Data'!$B$1:$J$500,3,0))</f>
        <v/>
      </c>
      <c r="FV21" s="57" t="str">
        <f>IF(ISNA(VLOOKUP(FT21,'ODBC Data'!$B$1:$J$500,4,0)),"",VLOOKUP(FT21,'ODBC Data'!$B$1:$J$500,4,0))</f>
        <v/>
      </c>
      <c r="FW21" s="57" t="str">
        <f>IF(ISNA(VLOOKUP(FT21,'ODBC Data'!$B$1:$J$500,5,0)),"",VLOOKUP(FT21,'ODBC Data'!$B$1:$J$500,5,0))</f>
        <v/>
      </c>
      <c r="FY21" s="19" t="str">
        <f>IF('ODBC Data'!$I$27&gt;17,'ODBC Data'!$H$27,"")</f>
        <v/>
      </c>
      <c r="FZ21" s="19" t="str">
        <f>IF('ODBC Data'!$I$27&gt;17,18,"")</f>
        <v/>
      </c>
      <c r="GA21" s="17" t="str">
        <f t="shared" si="23"/>
        <v/>
      </c>
      <c r="GB21" s="57" t="str">
        <f>IF(ISNA(VLOOKUP(GA21,'ODBC Data'!$B$1:$J$500,3,0)),"",VLOOKUP(GA21,'ODBC Data'!$B$1:$J$500,3,0))</f>
        <v/>
      </c>
      <c r="GC21" s="57" t="str">
        <f>IF(ISNA(VLOOKUP(GA21,'ODBC Data'!$B$1:$J$500,4,0)),"",VLOOKUP(GA21,'ODBC Data'!$B$1:$J$500,4,0))</f>
        <v/>
      </c>
      <c r="GD21" s="57" t="str">
        <f>IF(ISNA(VLOOKUP(GA21,'ODBC Data'!$B$1:$J$500,5,0)),"",VLOOKUP(GA21,'ODBC Data'!$B$1:$J$500,5,0))</f>
        <v/>
      </c>
    </row>
    <row r="22" spans="1:186">
      <c r="A22" s="19" t="str">
        <f>IF('ODBC Data'!$I$1&gt;18,'ODBC Data'!$H$1,"")</f>
        <v/>
      </c>
      <c r="B22" s="19" t="str">
        <f>IF('ODBC Data'!$I$1&gt;18,19,"")</f>
        <v/>
      </c>
      <c r="C22" s="17" t="str">
        <f t="shared" si="27"/>
        <v/>
      </c>
      <c r="D22" t="str">
        <f>IF(ISNA(VLOOKUP(C22,'ODBC Data'!$B$1:$J$500,3,0)),"",VLOOKUP(C22,'ODBC Data'!$B$1:$J$500,3,0))</f>
        <v/>
      </c>
      <c r="E22" t="str">
        <f>IF(ISNA(VLOOKUP(C22,'ODBC Data'!$B$1:$J$500,5,0)),"",VLOOKUP(C22,'ODBC Data'!$B$1:$J$500,5,0))</f>
        <v/>
      </c>
      <c r="F22" t="str">
        <f t="shared" si="28"/>
        <v/>
      </c>
      <c r="G22" s="19" t="str">
        <f>IF('ODBC Data'!$I$2&gt;18,'ODBC Data'!$H$2,"")</f>
        <v/>
      </c>
      <c r="H22" s="19" t="str">
        <f>IF('ODBC Data'!$I$2&gt;18,19,"")</f>
        <v/>
      </c>
      <c r="I22" s="17" t="str">
        <f t="shared" si="24"/>
        <v/>
      </c>
      <c r="J22" t="str">
        <f>IF(ISNA(VLOOKUP(I22,'ODBC Data'!$B$1:$J$500,3,0)),"",VLOOKUP(I22,'ODBC Data'!$B$1:$J$500,3,0))</f>
        <v/>
      </c>
      <c r="K22" t="str">
        <f>IF(ISNA(VLOOKUP(I22,'ODBC Data'!$B$1:$J$500,5,0)),"",VLOOKUP(I22,'ODBC Data'!$B$1:$J$500,5,0))</f>
        <v/>
      </c>
      <c r="M22" s="19" t="str">
        <f>IF('ODBC Data'!$I$3&gt;18,'ODBC Data'!$H$3,"")</f>
        <v/>
      </c>
      <c r="N22" s="19" t="str">
        <f>IF('ODBC Data'!$I$3&gt;18,19,"")</f>
        <v/>
      </c>
      <c r="O22" s="17" t="str">
        <f t="shared" si="25"/>
        <v/>
      </c>
      <c r="P22" t="str">
        <f>IF(ISNA(VLOOKUP(O22,'ODBC Data'!$B$1:$J$500,3,0)),"",VLOOKUP(O22,'ODBC Data'!$B$1:$J$500,3,0))</f>
        <v/>
      </c>
      <c r="Q22" t="str">
        <f>IF(ISNA(VLOOKUP(O22,'ODBC Data'!$B$1:$J$500,5,0)),"",VLOOKUP(O22,'ODBC Data'!$B$1:$J$500,4,0))</f>
        <v/>
      </c>
      <c r="S22" s="19" t="str">
        <f>IF('ODBC Data'!$I$3&gt;18,'ODBC Data'!$H$3,"")</f>
        <v/>
      </c>
      <c r="T22" s="19" t="str">
        <f>IF('ODBC Data'!$I$3&gt;18,19,"")</f>
        <v/>
      </c>
      <c r="U22" s="17" t="str">
        <f t="shared" si="26"/>
        <v/>
      </c>
      <c r="V22" t="str">
        <f>IF(ISNA(VLOOKUP(U22,'ODBC Data'!$B$1:$J$500,3,0)),"",VLOOKUP(U22,'ODBC Data'!$B$1:$J$500,3,0))</f>
        <v/>
      </c>
      <c r="W22" t="str">
        <f>IF(ISNA(VLOOKUP(U22,'ODBC Data'!$B$1:$J$500,5,0)),"",VLOOKUP(U22,'ODBC Data'!$B$1:$J$500,5,0))</f>
        <v/>
      </c>
      <c r="Y22" s="19" t="str">
        <f>IF('ODBC Data'!$I$4&gt;18,'ODBC Data'!$H$4,"")</f>
        <v/>
      </c>
      <c r="Z22" s="19" t="str">
        <f>IF('ODBC Data'!$I$4&gt;18,19,"")</f>
        <v/>
      </c>
      <c r="AA22" s="17" t="str">
        <f t="shared" si="0"/>
        <v/>
      </c>
      <c r="AB22" s="57" t="str">
        <f>IF(ISNA(VLOOKUP(AA22,'ODBC Data'!$B$1:$J$500,3,0)),"",VLOOKUP(AA22,'ODBC Data'!$B$1:$J$500,3,0))</f>
        <v/>
      </c>
      <c r="AC22" s="57" t="str">
        <f>IF(ISNA(VLOOKUP(AA22,'ODBC Data'!$B$1:$J$500,5,0)),"",VLOOKUP(AA22,'ODBC Data'!$B$1:$J$500,5,0))</f>
        <v/>
      </c>
      <c r="AE22" s="19" t="str">
        <f>IF('ODBC Data'!$I$5&gt;18,'ODBC Data'!$H$5,"")</f>
        <v/>
      </c>
      <c r="AF22" s="19" t="str">
        <f>IF('ODBC Data'!$I$5&gt;18,19,"")</f>
        <v/>
      </c>
      <c r="AG22" s="17" t="str">
        <f t="shared" si="1"/>
        <v/>
      </c>
      <c r="AH22" t="str">
        <f>IF(ISNA(VLOOKUP(AG22,'ODBC Data'!$B$1:$J$500,3,0)),"",VLOOKUP(AG22,'ODBC Data'!$B$1:$J$500,3,0))</f>
        <v/>
      </c>
      <c r="AI22" t="str">
        <f>IF(ISNA(VLOOKUP(AG22,'ODBC Data'!$B$1:$J$500,5,0)),"",VLOOKUP(AG22,'ODBC Data'!$B$1:$J$500,5,0))</f>
        <v/>
      </c>
      <c r="AK22" s="19" t="str">
        <f>IF('ODBC Data'!$I$6&gt;18,'ODBC Data'!$H$6,"")</f>
        <v/>
      </c>
      <c r="AL22" s="19" t="str">
        <f>IF('ODBC Data'!$I$6&gt;18,19,"")</f>
        <v/>
      </c>
      <c r="AM22" s="17" t="str">
        <f t="shared" si="2"/>
        <v/>
      </c>
      <c r="AN22" t="str">
        <f>IF(ISNA(VLOOKUP(AM22,'ODBC Data'!$B$1:$J$500,3,0)),"",VLOOKUP(AM22,'ODBC Data'!$B$1:$J$500,3,0))</f>
        <v/>
      </c>
      <c r="AO22" t="str">
        <f>IF(ISNA(VLOOKUP(AM22,'ODBC Data'!$B$1:$J$500,5,0)),"",VLOOKUP(AM22,'ODBC Data'!$B$1:$J$500,5,0))</f>
        <v/>
      </c>
      <c r="AQ22" s="19" t="str">
        <f>IF('ODBC Data'!$I$7&gt;18,'ODBC Data'!$H$7,"")</f>
        <v/>
      </c>
      <c r="AR22" s="19" t="str">
        <f>IF('ODBC Data'!$I$7&gt;18,19,"")</f>
        <v/>
      </c>
      <c r="AS22" s="17" t="str">
        <f t="shared" si="3"/>
        <v/>
      </c>
      <c r="AT22" t="str">
        <f>IF(ISNA(VLOOKUP(AS22,'ODBC Data'!$B$1:$J$500,3,0)),"",VLOOKUP(AS22,'ODBC Data'!$B$1:$J$500,3,0))</f>
        <v/>
      </c>
      <c r="AU22" t="str">
        <f>IF(ISNA(VLOOKUP(AS22,'ODBC Data'!$B$1:$J$500,5,0)),"",VLOOKUP(AS22,'ODBC Data'!$B$1:$J$500,5,0))</f>
        <v/>
      </c>
      <c r="AW22" s="19" t="str">
        <f>IF('ODBC Data'!$I$8&gt;18,'ODBC Data'!$H$8,"")</f>
        <v/>
      </c>
      <c r="AX22" s="19" t="str">
        <f>IF('ODBC Data'!$I$8&gt;18,19,"")</f>
        <v/>
      </c>
      <c r="AY22" s="17" t="str">
        <f t="shared" si="4"/>
        <v/>
      </c>
      <c r="AZ22" t="str">
        <f>IF(ISNA(VLOOKUP(AY22,'ODBC Data'!$B$1:$J$500,3,0)),"",VLOOKUP(AY22,'ODBC Data'!$B$1:$J$500,3,0))</f>
        <v/>
      </c>
      <c r="BA22" t="str">
        <f>IF(ISNA(VLOOKUP(AY22,'ODBC Data'!$B$1:$J$500,5,0)),"",VLOOKUP(AY22,'ODBC Data'!$B$1:$J$500,5,0))</f>
        <v/>
      </c>
      <c r="BC22" s="19" t="str">
        <f>IF('ODBC Data'!$I$9&gt;18,'ODBC Data'!$H$9,"")</f>
        <v/>
      </c>
      <c r="BD22" s="19" t="str">
        <f>IF('ODBC Data'!$I$9&gt;18,19,"")</f>
        <v/>
      </c>
      <c r="BE22" s="17" t="str">
        <f t="shared" si="5"/>
        <v/>
      </c>
      <c r="BF22" t="str">
        <f>IF(ISNA(VLOOKUP(BE22,'ODBC Data'!$B$1:$J$500,3,0)),"",VLOOKUP(BE22,'ODBC Data'!$B$1:$J$500,3,0))</f>
        <v/>
      </c>
      <c r="BG22" s="57" t="str">
        <f>IF(ISNA(VLOOKUP(BE22,'ODBC Data'!$B$1:$J$500,4,0)),"",VLOOKUP(BE22,'ODBC Data'!$B$1:$J$500,4,0))</f>
        <v/>
      </c>
      <c r="BH22" t="str">
        <f>IF(ISNA(VLOOKUP(BE22,'ODBC Data'!$B$1:$J$500,5,0)),"",VLOOKUP(BE22,'ODBC Data'!$B$1:$J$500,5,0))</f>
        <v/>
      </c>
      <c r="BJ22" s="19" t="str">
        <f>IF('ODBC Data'!$I$10&gt;18,'ODBC Data'!$H$10,"")</f>
        <v/>
      </c>
      <c r="BK22" s="19" t="str">
        <f>IF('ODBC Data'!$I$10&gt;18,19,"")</f>
        <v/>
      </c>
      <c r="BL22" s="17" t="str">
        <f t="shared" si="6"/>
        <v/>
      </c>
      <c r="BM22" t="str">
        <f>IF(ISNA(VLOOKUP(BL22,'ODBC Data'!$B$1:$J$500,3,0)),"",VLOOKUP(BL22,'ODBC Data'!$B$1:$J$500,3,0))</f>
        <v/>
      </c>
      <c r="BN22" s="57" t="str">
        <f>IF(ISNA(VLOOKUP(BL22,'ODBC Data'!$B$1:$J$500,4,0)),"",VLOOKUP(BL22,'ODBC Data'!$B$1:$J$500,4,0))</f>
        <v/>
      </c>
      <c r="BO22" t="str">
        <f>IF(ISNA(VLOOKUP(BL22,'ODBC Data'!$B$1:$J$500,5,0)),"",VLOOKUP(BL22,'ODBC Data'!$B$1:$J$500,5,0))</f>
        <v/>
      </c>
      <c r="BQ22" s="19" t="str">
        <f>IF('ODBC Data'!$I$11&gt;18,'ODBC Data'!$H$11,"")</f>
        <v/>
      </c>
      <c r="BR22" s="19" t="str">
        <f>IF('ODBC Data'!$I$11&gt;18,19,"")</f>
        <v/>
      </c>
      <c r="BS22" s="17" t="str">
        <f t="shared" si="7"/>
        <v/>
      </c>
      <c r="BT22" t="str">
        <f>IF(ISNA(VLOOKUP(BS22,'ODBC Data'!$B$1:$J$500,3,0)),"",VLOOKUP(BS22,'ODBC Data'!$B$1:$J$500,3,0))</f>
        <v/>
      </c>
      <c r="BU22" s="57" t="str">
        <f>IF(ISNA(VLOOKUP(BS22,'ODBC Data'!$B$1:$J$500,4,0)),"",VLOOKUP(BS22,'ODBC Data'!$B$1:$J$500,4,0))</f>
        <v/>
      </c>
      <c r="BV22" t="str">
        <f>IF(ISNA(VLOOKUP(BS22,'ODBC Data'!$B$1:$J$500,5,0)),"",VLOOKUP(BS22,'ODBC Data'!$B$1:$J$500,5,0))</f>
        <v/>
      </c>
      <c r="BX22" s="19" t="str">
        <f>IF('ODBC Data'!$I$12&gt;18,'ODBC Data'!$H$12,"")</f>
        <v/>
      </c>
      <c r="BY22" s="19" t="str">
        <f>IF('ODBC Data'!$I$12&gt;18,19,"")</f>
        <v/>
      </c>
      <c r="BZ22" s="17" t="str">
        <f t="shared" si="8"/>
        <v/>
      </c>
      <c r="CA22" t="str">
        <f>IF(ISNA(VLOOKUP(BZ22,'ODBC Data'!$B$1:$J$500,3,0)),"",VLOOKUP(BZ22,'ODBC Data'!$B$1:$J$500,3,0))</f>
        <v/>
      </c>
      <c r="CB22" s="57" t="str">
        <f>IF(ISNA(VLOOKUP(BZ22,'ODBC Data'!$B$1:$J$500,4,0)),"",VLOOKUP(BZ22,'ODBC Data'!$B$1:$J$500,4,0))</f>
        <v/>
      </c>
      <c r="CC22" t="str">
        <f>IF(ISNA(VLOOKUP(BZ22,'ODBC Data'!$B$1:$J$500,5,0)),"",VLOOKUP(BZ22,'ODBC Data'!$B$1:$J$500,5,0))</f>
        <v/>
      </c>
      <c r="CE22" s="19" t="str">
        <f>IF('ODBC Data'!$I$13&gt;18,'ODBC Data'!$H$13,"")</f>
        <v/>
      </c>
      <c r="CF22" s="19" t="str">
        <f>IF('ODBC Data'!$I$13&gt;18,19,"")</f>
        <v/>
      </c>
      <c r="CG22" s="17" t="str">
        <f t="shared" si="9"/>
        <v/>
      </c>
      <c r="CH22" t="str">
        <f>IF(ISNA(VLOOKUP(CG22,'ODBC Data'!$B$1:$J$500,3,0)),"",VLOOKUP(CG22,'ODBC Data'!$B$1:$J$500,3,0))</f>
        <v/>
      </c>
      <c r="CI22" s="57" t="str">
        <f>IF(ISNA(VLOOKUP(CG22,'ODBC Data'!$B$1:$J$500,4,0)),"",VLOOKUP(CG22,'ODBC Data'!$B$1:$J$500,4,0))</f>
        <v/>
      </c>
      <c r="CJ22" t="str">
        <f>IF(ISNA(VLOOKUP(CG22,'ODBC Data'!$B$1:$J$500,5,0)),"",VLOOKUP(CG22,'ODBC Data'!$B$1:$J$500,5,0))</f>
        <v/>
      </c>
      <c r="CL22" s="19" t="str">
        <f>IF('ODBC Data'!$I$14&gt;18,'ODBC Data'!$H$14,"")</f>
        <v/>
      </c>
      <c r="CM22" s="19" t="str">
        <f>IF('ODBC Data'!$I$14&gt;18,19,"")</f>
        <v/>
      </c>
      <c r="CN22" s="17" t="str">
        <f t="shared" si="10"/>
        <v/>
      </c>
      <c r="CO22" s="57" t="str">
        <f>IF(ISNA(VLOOKUP(CN22,'ODBC Data'!$B$1:$J$500,3,0)),"",VLOOKUP(CN22,'ODBC Data'!$B$1:$J$500,3,0))</f>
        <v/>
      </c>
      <c r="CP22" s="57" t="str">
        <f>IF(ISNA(VLOOKUP(CN22,'ODBC Data'!$B$1:$J$500,4,0)),"",VLOOKUP(CN22,'ODBC Data'!$B$1:$J$500,4,0))</f>
        <v/>
      </c>
      <c r="CQ22" s="57" t="str">
        <f>IF(ISNA(VLOOKUP(CN22,'ODBC Data'!$B$1:$J$500,5,0)),"",VLOOKUP(CN22,'ODBC Data'!$B$1:$J$500,5,0))</f>
        <v/>
      </c>
      <c r="CS22" s="19" t="str">
        <f>IF('ODBC Data'!$I$15&gt;18,'ODBC Data'!$H$15,"")</f>
        <v/>
      </c>
      <c r="CT22" s="19" t="str">
        <f>IF('ODBC Data'!$I$15&gt;18,19,"")</f>
        <v/>
      </c>
      <c r="CU22" s="17" t="str">
        <f t="shared" si="11"/>
        <v/>
      </c>
      <c r="CV22" t="str">
        <f>IF(ISNA(VLOOKUP(CU22,'ODBC Data'!$B$1:$J$500,3,0)),"",VLOOKUP(CU22,'ODBC Data'!$B$1:$J$500,3,0))</f>
        <v/>
      </c>
      <c r="CW22" s="57" t="str">
        <f>IF(ISNA(VLOOKUP(CU22,'ODBC Data'!$B$1:$J$500,4,0)),"",VLOOKUP(CU22,'ODBC Data'!$B$1:$J$500,4,0))</f>
        <v/>
      </c>
      <c r="CX22" t="str">
        <f>IF(ISNA(VLOOKUP(CU22,'ODBC Data'!$B$1:$J$500,5,0)),"",VLOOKUP(CU22,'ODBC Data'!$B$1:$J$500,5,0))</f>
        <v/>
      </c>
      <c r="CZ22" s="19" t="str">
        <f>IF('ODBC Data'!$I$16&gt;18,'ODBC Data'!$H$16,"")</f>
        <v/>
      </c>
      <c r="DA22" s="19" t="str">
        <f>IF('ODBC Data'!$I$16&gt;18,19,"")</f>
        <v/>
      </c>
      <c r="DB22" s="17" t="str">
        <f t="shared" si="12"/>
        <v/>
      </c>
      <c r="DC22" t="str">
        <f>IF(ISNA(VLOOKUP(DB22,'ODBC Data'!$B$1:$J$500,3,0)),"",VLOOKUP(DB22,'ODBC Data'!$B$1:$J$500,3,0))</f>
        <v/>
      </c>
      <c r="DD22" s="57" t="str">
        <f>IF(ISNA(VLOOKUP(DB22,'ODBC Data'!$B$1:$J$500,4,0)),"",VLOOKUP(DB22,'ODBC Data'!$B$1:$J$500,4,0))</f>
        <v/>
      </c>
      <c r="DE22" t="str">
        <f>IF(ISNA(VLOOKUP(DB22,'ODBC Data'!$B$1:$J$500,5,0)),"",VLOOKUP(DB22,'ODBC Data'!$B$1:$J$500,5,0))</f>
        <v/>
      </c>
      <c r="DG22" s="19" t="str">
        <f>IF('ODBC Data'!$I$17&gt;18,'ODBC Data'!$H$17,"")</f>
        <v/>
      </c>
      <c r="DH22" s="19" t="str">
        <f>IF('ODBC Data'!$I$17&gt;18,19,"")</f>
        <v/>
      </c>
      <c r="DI22" s="17" t="str">
        <f t="shared" si="13"/>
        <v/>
      </c>
      <c r="DJ22" t="str">
        <f>IF(ISNA(VLOOKUP(DI22,'ODBC Data'!$B$1:$J$500,3,0)),"",VLOOKUP(DI22,'ODBC Data'!$B$1:$J$500,3,0))</f>
        <v/>
      </c>
      <c r="DK22" s="57" t="str">
        <f>IF(ISNA(VLOOKUP(DI22,'ODBC Data'!$B$1:$J$500,4,0)),"",VLOOKUP(DI22,'ODBC Data'!$B$1:$J$500,4,0))</f>
        <v/>
      </c>
      <c r="DL22" t="str">
        <f>IF(ISNA(VLOOKUP(DI22,'ODBC Data'!$B$1:$J$500,5,0)),"",VLOOKUP(DI22,'ODBC Data'!$B$1:$J$500,5,0))</f>
        <v/>
      </c>
      <c r="DN22" s="19" t="str">
        <f>IF('ODBC Data'!$I$18&gt;18,'ODBC Data'!$H$18,"")</f>
        <v/>
      </c>
      <c r="DO22" s="19" t="str">
        <f>IF('ODBC Data'!$I$18&gt;18,19,"")</f>
        <v/>
      </c>
      <c r="DP22" s="17" t="str">
        <f t="shared" si="14"/>
        <v/>
      </c>
      <c r="DQ22" t="str">
        <f>IF(ISNA(VLOOKUP(DP22,'ODBC Data'!$B$1:$J$500,3,0)),"",VLOOKUP(DP22,'ODBC Data'!$B$1:$J$500,3,0))</f>
        <v/>
      </c>
      <c r="DR22" s="57" t="str">
        <f>IF(ISNA(VLOOKUP(DP22,'ODBC Data'!$B$1:$J$500,4,0)),"",VLOOKUP(DP22,'ODBC Data'!$B$1:$J$500,4,0))</f>
        <v/>
      </c>
      <c r="DS22" t="str">
        <f>IF(ISNA(VLOOKUP(DP22,'ODBC Data'!$B$1:$J$500,5,0)),"",VLOOKUP(DP22,'ODBC Data'!$B$1:$J$500,5,0))</f>
        <v/>
      </c>
      <c r="DU22" s="19" t="str">
        <f>IF('ODBC Data'!$I$19&gt;18,'ODBC Data'!$H$19,"")</f>
        <v/>
      </c>
      <c r="DV22" s="19" t="str">
        <f>IF('ODBC Data'!$I$19&gt;18,19,"")</f>
        <v/>
      </c>
      <c r="DW22" s="17" t="str">
        <f t="shared" si="15"/>
        <v/>
      </c>
      <c r="DX22" t="str">
        <f>IF(ISNA(VLOOKUP(DW22,'ODBC Data'!$B$1:$J$500,3,0)),"",VLOOKUP(DW22,'ODBC Data'!$B$1:$J$500,3,0))</f>
        <v/>
      </c>
      <c r="DY22" s="57" t="str">
        <f>IF(ISNA(VLOOKUP(DW22,'ODBC Data'!$B$1:$J$500,4,0)),"",VLOOKUP(DW22,'ODBC Data'!$B$1:$J$500,4,0))</f>
        <v/>
      </c>
      <c r="DZ22" t="str">
        <f>IF(ISNA(VLOOKUP(DW22,'ODBC Data'!$B$1:$J$500,5,0)),"",VLOOKUP(DW22,'ODBC Data'!$B$1:$J$500,5,0))</f>
        <v/>
      </c>
      <c r="EB22" s="19" t="str">
        <f>IF('ODBC Data'!$I$20&gt;18,'ODBC Data'!$H$20,"")</f>
        <v/>
      </c>
      <c r="EC22" s="19" t="str">
        <f>IF('ODBC Data'!$I$20&gt;18,19,"")</f>
        <v/>
      </c>
      <c r="ED22" s="17" t="str">
        <f t="shared" si="16"/>
        <v/>
      </c>
      <c r="EE22" s="57" t="str">
        <f>IF(ISNA(VLOOKUP(ED22,'ODBC Data'!$B$1:$J$500,3,0)),"",VLOOKUP(ED22,'ODBC Data'!$B$1:$J$500,3,0))</f>
        <v/>
      </c>
      <c r="EF22" s="57" t="str">
        <f>IF(ISNA(VLOOKUP(ED22,'ODBC Data'!$B$1:$J$500,4,0)),"",VLOOKUP(ED22,'ODBC Data'!$B$1:$J$500,4,0))</f>
        <v/>
      </c>
      <c r="EG22" s="57" t="str">
        <f>IF(ISNA(VLOOKUP(ED22,'ODBC Data'!$B$1:$J$500,5,0)),"",VLOOKUP(ED22,'ODBC Data'!$B$1:$J$500,5,0))</f>
        <v/>
      </c>
      <c r="EI22" s="19" t="str">
        <f>IF('ODBC Data'!$I$21&gt;18,'ODBC Data'!$H$21,"")</f>
        <v/>
      </c>
      <c r="EJ22" s="19" t="str">
        <f>IF('ODBC Data'!$I$21&gt;18,19,"")</f>
        <v/>
      </c>
      <c r="EK22" s="17" t="str">
        <f t="shared" si="17"/>
        <v/>
      </c>
      <c r="EL22" t="str">
        <f>IF(ISNA(VLOOKUP(EK22,'ODBC Data'!$B$1:$J$500,3,0)),"",VLOOKUP(EK22,'ODBC Data'!$B$1:$J$500,3,0))</f>
        <v/>
      </c>
      <c r="EM22" s="57" t="str">
        <f>IF(ISNA(VLOOKUP(EK22,'ODBC Data'!$B$1:$J$500,4,0)),"",VLOOKUP(EK22,'ODBC Data'!$B$1:$J$500,4,0))</f>
        <v/>
      </c>
      <c r="EN22" t="str">
        <f>IF(ISNA(VLOOKUP(EK22,'ODBC Data'!$B$1:$J$500,5,0)),"",VLOOKUP(EK22,'ODBC Data'!$B$1:$J$500,5,0))</f>
        <v/>
      </c>
      <c r="EP22" s="19" t="str">
        <f>IF('ODBC Data'!$I$22&gt;18,'ODBC Data'!$H$22,"")</f>
        <v/>
      </c>
      <c r="EQ22" s="19" t="str">
        <f>IF('ODBC Data'!$I$22&gt;18,19,"")</f>
        <v/>
      </c>
      <c r="ER22" s="17" t="str">
        <f t="shared" si="18"/>
        <v/>
      </c>
      <c r="ES22" t="str">
        <f>IF(ISNA(VLOOKUP(ER22,'ODBC Data'!$B$1:$J$500,3,0)),"",VLOOKUP(ER22,'ODBC Data'!$B$1:$J$500,3,0))</f>
        <v/>
      </c>
      <c r="ET22" s="57" t="str">
        <f>IF(ISNA(VLOOKUP(ER22,'ODBC Data'!$B$1:$J$500,4,0)),"",VLOOKUP(ER22,'ODBC Data'!$B$1:$J$500,4,0))</f>
        <v/>
      </c>
      <c r="EU22" t="str">
        <f>IF(ISNA(VLOOKUP(ER22,'ODBC Data'!$B$1:$J$500,5,0)),"",VLOOKUP(ER22,'ODBC Data'!$B$1:$J$500,5,0))</f>
        <v/>
      </c>
      <c r="EW22" s="19" t="str">
        <f>IF('ODBC Data'!$I$23&gt;18,'ODBC Data'!$H$23,"")</f>
        <v/>
      </c>
      <c r="EX22" s="19" t="str">
        <f>IF('ODBC Data'!$I$23&gt;18,19,"")</f>
        <v/>
      </c>
      <c r="EY22" s="17" t="str">
        <f t="shared" si="19"/>
        <v/>
      </c>
      <c r="EZ22" t="str">
        <f>IF(ISNA(VLOOKUP(EY22,'ODBC Data'!$B$1:$J$500,3,0)),"",VLOOKUP(EY22,'ODBC Data'!$B$1:$J$500,3,0))</f>
        <v/>
      </c>
      <c r="FA22" s="57" t="str">
        <f>IF(ISNA(VLOOKUP(EY22,'ODBC Data'!$B$1:$J$500,4,0)),"",VLOOKUP(EY22,'ODBC Data'!$B$1:$J$500,4,0))</f>
        <v/>
      </c>
      <c r="FB22" t="str">
        <f>IF(ISNA(VLOOKUP(EY22,'ODBC Data'!$B$1:$J$500,5,0)),"",VLOOKUP(EY22,'ODBC Data'!$B$1:$J$500,5,0))</f>
        <v/>
      </c>
      <c r="FD22" s="19" t="str">
        <f>IF('ODBC Data'!$I$24&gt;18,'ODBC Data'!$H$24,"")</f>
        <v/>
      </c>
      <c r="FE22" s="19" t="str">
        <f>IF('ODBC Data'!$I$24&gt;18,19,"")</f>
        <v/>
      </c>
      <c r="FF22" s="17" t="str">
        <f t="shared" si="20"/>
        <v/>
      </c>
      <c r="FG22" t="str">
        <f>IF(ISNA(VLOOKUP(FF22,'ODBC Data'!$B$1:$J$500,3,0)),"",VLOOKUP(FF22,'ODBC Data'!$B$1:$J$500,3,0))</f>
        <v/>
      </c>
      <c r="FH22" s="57" t="str">
        <f>IF(ISNA(VLOOKUP(FF22,'ODBC Data'!$B$1:$J$500,4,0)),"",VLOOKUP(FF22,'ODBC Data'!$B$1:$J$500,4,0))</f>
        <v/>
      </c>
      <c r="FI22" t="str">
        <f>IF(ISNA(VLOOKUP(FF22,'ODBC Data'!$B$1:$J$500,5,0)),"",VLOOKUP(FF22,'ODBC Data'!$B$1:$J$500,5,0))</f>
        <v/>
      </c>
      <c r="FK22" s="19" t="str">
        <f>IF('ODBC Data'!$I$25&gt;18,'ODBC Data'!$H$25,"")</f>
        <v/>
      </c>
      <c r="FL22" s="19" t="str">
        <f>IF('ODBC Data'!$I$25&gt;18,19,"")</f>
        <v/>
      </c>
      <c r="FM22" s="17" t="str">
        <f t="shared" si="21"/>
        <v/>
      </c>
      <c r="FN22" t="str">
        <f>IF(ISNA(VLOOKUP(FM22,'ODBC Data'!$B$1:$J$500,3,0)),"",VLOOKUP(FM22,'ODBC Data'!$B$1:$J$500,3,0))</f>
        <v/>
      </c>
      <c r="FO22" s="57" t="str">
        <f>IF(ISNA(VLOOKUP(FM22,'ODBC Data'!$B$1:$J$500,4,0)),"",VLOOKUP(FM22,'ODBC Data'!$B$1:$J$500,4,0))</f>
        <v/>
      </c>
      <c r="FP22" t="str">
        <f>IF(ISNA(VLOOKUP(FM22,'ODBC Data'!$B$1:$J$500,5,0)),"",VLOOKUP(FM22,'ODBC Data'!$B$1:$J$500,5,0))</f>
        <v/>
      </c>
      <c r="FR22" s="19" t="str">
        <f>IF('ODBC Data'!$I$26&gt;18,'ODBC Data'!$H$26,"")</f>
        <v/>
      </c>
      <c r="FS22" s="19" t="str">
        <f>IF('ODBC Data'!$I$26&gt;18,19,"")</f>
        <v/>
      </c>
      <c r="FT22" s="17" t="str">
        <f t="shared" si="22"/>
        <v/>
      </c>
      <c r="FU22" s="57" t="str">
        <f>IF(ISNA(VLOOKUP(FT22,'ODBC Data'!$B$1:$J$500,3,0)),"",VLOOKUP(FT22,'ODBC Data'!$B$1:$J$500,3,0))</f>
        <v/>
      </c>
      <c r="FV22" s="57" t="str">
        <f>IF(ISNA(VLOOKUP(FT22,'ODBC Data'!$B$1:$J$500,4,0)),"",VLOOKUP(FT22,'ODBC Data'!$B$1:$J$500,4,0))</f>
        <v/>
      </c>
      <c r="FW22" s="57" t="str">
        <f>IF(ISNA(VLOOKUP(FT22,'ODBC Data'!$B$1:$J$500,5,0)),"",VLOOKUP(FT22,'ODBC Data'!$B$1:$J$500,5,0))</f>
        <v/>
      </c>
      <c r="FY22" s="19" t="str">
        <f>IF('ODBC Data'!$I$27&gt;18,'ODBC Data'!$H$27,"")</f>
        <v/>
      </c>
      <c r="FZ22" s="19" t="str">
        <f>IF('ODBC Data'!$I$27&gt;18,19,"")</f>
        <v/>
      </c>
      <c r="GA22" s="17" t="str">
        <f t="shared" si="23"/>
        <v/>
      </c>
      <c r="GB22" s="57" t="str">
        <f>IF(ISNA(VLOOKUP(GA22,'ODBC Data'!$B$1:$J$500,3,0)),"",VLOOKUP(GA22,'ODBC Data'!$B$1:$J$500,3,0))</f>
        <v/>
      </c>
      <c r="GC22" s="57" t="str">
        <f>IF(ISNA(VLOOKUP(GA22,'ODBC Data'!$B$1:$J$500,4,0)),"",VLOOKUP(GA22,'ODBC Data'!$B$1:$J$500,4,0))</f>
        <v/>
      </c>
      <c r="GD22" s="57" t="str">
        <f>IF(ISNA(VLOOKUP(GA22,'ODBC Data'!$B$1:$J$500,5,0)),"",VLOOKUP(GA22,'ODBC Data'!$B$1:$J$500,5,0))</f>
        <v/>
      </c>
    </row>
    <row r="23" spans="1:186">
      <c r="A23" s="19" t="str">
        <f>IF('ODBC Data'!$I$1&gt;19,'ODBC Data'!$H$1,"")</f>
        <v/>
      </c>
      <c r="B23" s="19" t="str">
        <f>IF('ODBC Data'!$I$1&gt;19,20,"")</f>
        <v/>
      </c>
      <c r="C23" s="17" t="str">
        <f t="shared" si="27"/>
        <v/>
      </c>
      <c r="D23" t="str">
        <f>IF(ISNA(VLOOKUP(C23,'ODBC Data'!$B$1:$J$500,3,0)),"",VLOOKUP(C23,'ODBC Data'!$B$1:$J$500,3,0))</f>
        <v/>
      </c>
      <c r="E23" t="str">
        <f>IF(ISNA(VLOOKUP(C23,'ODBC Data'!$B$1:$J$500,5,0)),"",VLOOKUP(C23,'ODBC Data'!$B$1:$J$500,5,0))</f>
        <v/>
      </c>
      <c r="F23" t="str">
        <f t="shared" si="28"/>
        <v/>
      </c>
      <c r="G23" s="19" t="str">
        <f>IF('ODBC Data'!$I$2&gt;19,'ODBC Data'!$H$2,"")</f>
        <v/>
      </c>
      <c r="H23" s="19" t="str">
        <f>IF('ODBC Data'!$I$2&gt;19,20,"")</f>
        <v/>
      </c>
      <c r="I23" s="17" t="str">
        <f t="shared" si="24"/>
        <v/>
      </c>
      <c r="J23" t="str">
        <f>IF(ISNA(VLOOKUP(I23,'ODBC Data'!$B$1:$J$500,3,0)),"",VLOOKUP(I23,'ODBC Data'!$B$1:$J$500,3,0))</f>
        <v/>
      </c>
      <c r="K23" t="str">
        <f>IF(ISNA(VLOOKUP(I23,'ODBC Data'!$B$1:$J$500,5,0)),"",VLOOKUP(I23,'ODBC Data'!$B$1:$J$500,5,0))</f>
        <v/>
      </c>
      <c r="M23" s="19" t="str">
        <f>IF('ODBC Data'!$I$3&gt;19,'ODBC Data'!$H$3,"")</f>
        <v/>
      </c>
      <c r="N23" s="19" t="str">
        <f>IF('ODBC Data'!$I$3&gt;19,20,"")</f>
        <v/>
      </c>
      <c r="O23" s="17" t="str">
        <f t="shared" si="25"/>
        <v/>
      </c>
      <c r="P23" t="str">
        <f>IF(ISNA(VLOOKUP(O23,'ODBC Data'!$B$1:$J$500,3,0)),"",VLOOKUP(O23,'ODBC Data'!$B$1:$J$500,3,0))</f>
        <v/>
      </c>
      <c r="Q23" t="str">
        <f>IF(ISNA(VLOOKUP(O23,'ODBC Data'!$B$1:$J$500,5,0)),"",VLOOKUP(O23,'ODBC Data'!$B$1:$J$500,4,0))</f>
        <v/>
      </c>
      <c r="S23" s="19" t="str">
        <f>IF('ODBC Data'!$I$3&gt;19,'ODBC Data'!$H$3,"")</f>
        <v/>
      </c>
      <c r="T23" s="19" t="str">
        <f>IF('ODBC Data'!$I$3&gt;19,20,"")</f>
        <v/>
      </c>
      <c r="U23" s="17" t="str">
        <f t="shared" si="26"/>
        <v/>
      </c>
      <c r="V23" t="str">
        <f>IF(ISNA(VLOOKUP(U23,'ODBC Data'!$B$1:$J$500,3,0)),"",VLOOKUP(U23,'ODBC Data'!$B$1:$J$500,3,0))</f>
        <v/>
      </c>
      <c r="W23" t="str">
        <f>IF(ISNA(VLOOKUP(U23,'ODBC Data'!$B$1:$J$500,5,0)),"",VLOOKUP(U23,'ODBC Data'!$B$1:$J$500,5,0))</f>
        <v/>
      </c>
      <c r="Y23" s="19" t="str">
        <f>IF('ODBC Data'!$I$4&gt;19,'ODBC Data'!$H$4,"")</f>
        <v/>
      </c>
      <c r="Z23" s="19" t="str">
        <f>IF('ODBC Data'!$I$4&gt;19,20,"")</f>
        <v/>
      </c>
      <c r="AA23" s="17" t="str">
        <f t="shared" si="0"/>
        <v/>
      </c>
      <c r="AB23" s="57" t="str">
        <f>IF(ISNA(VLOOKUP(AA23,'ODBC Data'!$B$1:$J$500,3,0)),"",VLOOKUP(AA23,'ODBC Data'!$B$1:$J$500,3,0))</f>
        <v/>
      </c>
      <c r="AC23" s="57" t="str">
        <f>IF(ISNA(VLOOKUP(AA23,'ODBC Data'!$B$1:$J$500,5,0)),"",VLOOKUP(AA23,'ODBC Data'!$B$1:$J$500,5,0))</f>
        <v/>
      </c>
      <c r="AE23" s="19" t="str">
        <f>IF('ODBC Data'!$I$5&gt;19,'ODBC Data'!$H$5,"")</f>
        <v/>
      </c>
      <c r="AF23" s="19" t="str">
        <f>IF('ODBC Data'!$I$5&gt;19,20,"")</f>
        <v/>
      </c>
      <c r="AG23" s="17" t="str">
        <f t="shared" si="1"/>
        <v/>
      </c>
      <c r="AH23" t="str">
        <f>IF(ISNA(VLOOKUP(AG23,'ODBC Data'!$B$1:$J$500,3,0)),"",VLOOKUP(AG23,'ODBC Data'!$B$1:$J$500,3,0))</f>
        <v/>
      </c>
      <c r="AI23" t="str">
        <f>IF(ISNA(VLOOKUP(AG23,'ODBC Data'!$B$1:$J$500,5,0)),"",VLOOKUP(AG23,'ODBC Data'!$B$1:$J$500,5,0))</f>
        <v/>
      </c>
      <c r="AK23" s="19" t="str">
        <f>IF('ODBC Data'!$I$6&gt;19,'ODBC Data'!$H$6,"")</f>
        <v/>
      </c>
      <c r="AL23" s="19" t="str">
        <f>IF('ODBC Data'!$I$6&gt;19,20,"")</f>
        <v/>
      </c>
      <c r="AM23" s="17" t="str">
        <f t="shared" si="2"/>
        <v/>
      </c>
      <c r="AN23" t="str">
        <f>IF(ISNA(VLOOKUP(AM23,'ODBC Data'!$B$1:$J$500,3,0)),"",VLOOKUP(AM23,'ODBC Data'!$B$1:$J$500,3,0))</f>
        <v/>
      </c>
      <c r="AO23" t="str">
        <f>IF(ISNA(VLOOKUP(AM23,'ODBC Data'!$B$1:$J$500,5,0)),"",VLOOKUP(AM23,'ODBC Data'!$B$1:$J$500,5,0))</f>
        <v/>
      </c>
      <c r="AQ23" s="19" t="str">
        <f>IF('ODBC Data'!$I$7&gt;19,'ODBC Data'!$H$7,"")</f>
        <v/>
      </c>
      <c r="AR23" s="19" t="str">
        <f>IF('ODBC Data'!$I$7&gt;19,20,"")</f>
        <v/>
      </c>
      <c r="AS23" s="17" t="str">
        <f t="shared" si="3"/>
        <v/>
      </c>
      <c r="AT23" t="str">
        <f>IF(ISNA(VLOOKUP(AS23,'ODBC Data'!$B$1:$J$500,3,0)),"",VLOOKUP(AS23,'ODBC Data'!$B$1:$J$500,3,0))</f>
        <v/>
      </c>
      <c r="AU23" t="str">
        <f>IF(ISNA(VLOOKUP(AS23,'ODBC Data'!$B$1:$J$500,5,0)),"",VLOOKUP(AS23,'ODBC Data'!$B$1:$J$500,5,0))</f>
        <v/>
      </c>
      <c r="AW23" s="19" t="str">
        <f>IF('ODBC Data'!$I$8&gt;19,'ODBC Data'!$H$8,"")</f>
        <v/>
      </c>
      <c r="AX23" s="19" t="str">
        <f>IF('ODBC Data'!$I$8&gt;19,20,"")</f>
        <v/>
      </c>
      <c r="AY23" s="17" t="str">
        <f t="shared" si="4"/>
        <v/>
      </c>
      <c r="AZ23" t="str">
        <f>IF(ISNA(VLOOKUP(AY23,'ODBC Data'!$B$1:$J$500,3,0)),"",VLOOKUP(AY23,'ODBC Data'!$B$1:$J$500,3,0))</f>
        <v/>
      </c>
      <c r="BA23" t="str">
        <f>IF(ISNA(VLOOKUP(AY23,'ODBC Data'!$B$1:$J$500,5,0)),"",VLOOKUP(AY23,'ODBC Data'!$B$1:$J$500,5,0))</f>
        <v/>
      </c>
      <c r="BC23" s="19" t="str">
        <f>IF('ODBC Data'!$I$9&gt;19,'ODBC Data'!$H$9,"")</f>
        <v/>
      </c>
      <c r="BD23" s="19" t="str">
        <f>IF('ODBC Data'!$I$9&gt;19,20,"")</f>
        <v/>
      </c>
      <c r="BE23" s="17" t="str">
        <f t="shared" si="5"/>
        <v/>
      </c>
      <c r="BF23" t="str">
        <f>IF(ISNA(VLOOKUP(BE23,'ODBC Data'!$B$1:$J$500,3,0)),"",VLOOKUP(BE23,'ODBC Data'!$B$1:$J$500,3,0))</f>
        <v/>
      </c>
      <c r="BG23" s="57" t="str">
        <f>IF(ISNA(VLOOKUP(BE23,'ODBC Data'!$B$1:$J$500,4,0)),"",VLOOKUP(BE23,'ODBC Data'!$B$1:$J$500,4,0))</f>
        <v/>
      </c>
      <c r="BH23" t="str">
        <f>IF(ISNA(VLOOKUP(BE23,'ODBC Data'!$B$1:$J$500,5,0)),"",VLOOKUP(BE23,'ODBC Data'!$B$1:$J$500,5,0))</f>
        <v/>
      </c>
      <c r="BJ23" s="19" t="str">
        <f>IF('ODBC Data'!$I$10&gt;19,'ODBC Data'!$H$10,"")</f>
        <v/>
      </c>
      <c r="BK23" s="19" t="str">
        <f>IF('ODBC Data'!$I$10&gt;19,20,"")</f>
        <v/>
      </c>
      <c r="BL23" s="17" t="str">
        <f t="shared" si="6"/>
        <v/>
      </c>
      <c r="BM23" t="str">
        <f>IF(ISNA(VLOOKUP(BL23,'ODBC Data'!$B$1:$J$500,3,0)),"",VLOOKUP(BL23,'ODBC Data'!$B$1:$J$500,3,0))</f>
        <v/>
      </c>
      <c r="BN23" s="57" t="str">
        <f>IF(ISNA(VLOOKUP(BL23,'ODBC Data'!$B$1:$J$500,4,0)),"",VLOOKUP(BL23,'ODBC Data'!$B$1:$J$500,4,0))</f>
        <v/>
      </c>
      <c r="BO23" t="str">
        <f>IF(ISNA(VLOOKUP(BL23,'ODBC Data'!$B$1:$J$500,5,0)),"",VLOOKUP(BL23,'ODBC Data'!$B$1:$J$500,5,0))</f>
        <v/>
      </c>
      <c r="BQ23" s="19" t="str">
        <f>IF('ODBC Data'!$I$11&gt;19,'ODBC Data'!$H$11,"")</f>
        <v/>
      </c>
      <c r="BR23" s="19" t="str">
        <f>IF('ODBC Data'!$I$11&gt;19,20,"")</f>
        <v/>
      </c>
      <c r="BS23" s="17" t="str">
        <f t="shared" si="7"/>
        <v/>
      </c>
      <c r="BT23" t="str">
        <f>IF(ISNA(VLOOKUP(BS23,'ODBC Data'!$B$1:$J$500,3,0)),"",VLOOKUP(BS23,'ODBC Data'!$B$1:$J$500,3,0))</f>
        <v/>
      </c>
      <c r="BU23" s="57" t="str">
        <f>IF(ISNA(VLOOKUP(BS23,'ODBC Data'!$B$1:$J$500,4,0)),"",VLOOKUP(BS23,'ODBC Data'!$B$1:$J$500,4,0))</f>
        <v/>
      </c>
      <c r="BV23" t="str">
        <f>IF(ISNA(VLOOKUP(BS23,'ODBC Data'!$B$1:$J$500,5,0)),"",VLOOKUP(BS23,'ODBC Data'!$B$1:$J$500,5,0))</f>
        <v/>
      </c>
      <c r="BX23" s="19" t="str">
        <f>IF('ODBC Data'!$I$12&gt;19,'ODBC Data'!$H$12,"")</f>
        <v/>
      </c>
      <c r="BY23" s="19" t="str">
        <f>IF('ODBC Data'!$I$12&gt;19,20,"")</f>
        <v/>
      </c>
      <c r="BZ23" s="17" t="str">
        <f t="shared" si="8"/>
        <v/>
      </c>
      <c r="CA23" t="str">
        <f>IF(ISNA(VLOOKUP(BZ23,'ODBC Data'!$B$1:$J$500,3,0)),"",VLOOKUP(BZ23,'ODBC Data'!$B$1:$J$500,3,0))</f>
        <v/>
      </c>
      <c r="CB23" s="57" t="str">
        <f>IF(ISNA(VLOOKUP(BZ23,'ODBC Data'!$B$1:$J$500,4,0)),"",VLOOKUP(BZ23,'ODBC Data'!$B$1:$J$500,4,0))</f>
        <v/>
      </c>
      <c r="CC23" t="str">
        <f>IF(ISNA(VLOOKUP(BZ23,'ODBC Data'!$B$1:$J$500,5,0)),"",VLOOKUP(BZ23,'ODBC Data'!$B$1:$J$500,5,0))</f>
        <v/>
      </c>
      <c r="CE23" s="19" t="str">
        <f>IF('ODBC Data'!$I$13&gt;19,'ODBC Data'!$H$13,"")</f>
        <v/>
      </c>
      <c r="CF23" s="19" t="str">
        <f>IF('ODBC Data'!$I$13&gt;19,20,"")</f>
        <v/>
      </c>
      <c r="CG23" s="17" t="str">
        <f t="shared" si="9"/>
        <v/>
      </c>
      <c r="CH23" t="str">
        <f>IF(ISNA(VLOOKUP(CG23,'ODBC Data'!$B$1:$J$500,3,0)),"",VLOOKUP(CG23,'ODBC Data'!$B$1:$J$500,3,0))</f>
        <v/>
      </c>
      <c r="CI23" s="57" t="str">
        <f>IF(ISNA(VLOOKUP(CG23,'ODBC Data'!$B$1:$J$500,4,0)),"",VLOOKUP(CG23,'ODBC Data'!$B$1:$J$500,4,0))</f>
        <v/>
      </c>
      <c r="CJ23" t="str">
        <f>IF(ISNA(VLOOKUP(CG23,'ODBC Data'!$B$1:$J$500,5,0)),"",VLOOKUP(CG23,'ODBC Data'!$B$1:$J$500,5,0))</f>
        <v/>
      </c>
      <c r="CL23" s="19" t="str">
        <f>IF('ODBC Data'!$I$14&gt;19,'ODBC Data'!$H$14,"")</f>
        <v/>
      </c>
      <c r="CM23" s="19" t="str">
        <f>IF('ODBC Data'!$I$14&gt;19,20,"")</f>
        <v/>
      </c>
      <c r="CN23" s="17" t="str">
        <f t="shared" si="10"/>
        <v/>
      </c>
      <c r="CO23" s="57" t="str">
        <f>IF(ISNA(VLOOKUP(CN23,'ODBC Data'!$B$1:$J$500,3,0)),"",VLOOKUP(CN23,'ODBC Data'!$B$1:$J$500,3,0))</f>
        <v/>
      </c>
      <c r="CP23" s="57" t="str">
        <f>IF(ISNA(VLOOKUP(CN23,'ODBC Data'!$B$1:$J$500,4,0)),"",VLOOKUP(CN23,'ODBC Data'!$B$1:$J$500,4,0))</f>
        <v/>
      </c>
      <c r="CQ23" s="57" t="str">
        <f>IF(ISNA(VLOOKUP(CN23,'ODBC Data'!$B$1:$J$500,5,0)),"",VLOOKUP(CN23,'ODBC Data'!$B$1:$J$500,5,0))</f>
        <v/>
      </c>
      <c r="CS23" s="19" t="str">
        <f>IF('ODBC Data'!$I$15&gt;19,'ODBC Data'!$H$15,"")</f>
        <v/>
      </c>
      <c r="CT23" s="19" t="str">
        <f>IF('ODBC Data'!$I$15&gt;19,20,"")</f>
        <v/>
      </c>
      <c r="CU23" s="17" t="str">
        <f t="shared" si="11"/>
        <v/>
      </c>
      <c r="CV23" t="str">
        <f>IF(ISNA(VLOOKUP(CU23,'ODBC Data'!$B$1:$J$500,3,0)),"",VLOOKUP(CU23,'ODBC Data'!$B$1:$J$500,3,0))</f>
        <v/>
      </c>
      <c r="CW23" s="57" t="str">
        <f>IF(ISNA(VLOOKUP(CU23,'ODBC Data'!$B$1:$J$500,4,0)),"",VLOOKUP(CU23,'ODBC Data'!$B$1:$J$500,4,0))</f>
        <v/>
      </c>
      <c r="CX23" t="str">
        <f>IF(ISNA(VLOOKUP(CU23,'ODBC Data'!$B$1:$J$500,5,0)),"",VLOOKUP(CU23,'ODBC Data'!$B$1:$J$500,5,0))</f>
        <v/>
      </c>
      <c r="CZ23" s="19" t="str">
        <f>IF('ODBC Data'!$I$16&gt;19,'ODBC Data'!$H$16,"")</f>
        <v/>
      </c>
      <c r="DA23" s="19" t="str">
        <f>IF('ODBC Data'!$I$16&gt;19,20,"")</f>
        <v/>
      </c>
      <c r="DB23" s="17" t="str">
        <f t="shared" si="12"/>
        <v/>
      </c>
      <c r="DC23" t="str">
        <f>IF(ISNA(VLOOKUP(DB23,'ODBC Data'!$B$1:$J$500,3,0)),"",VLOOKUP(DB23,'ODBC Data'!$B$1:$J$500,3,0))</f>
        <v/>
      </c>
      <c r="DD23" s="57" t="str">
        <f>IF(ISNA(VLOOKUP(DB23,'ODBC Data'!$B$1:$J$500,4,0)),"",VLOOKUP(DB23,'ODBC Data'!$B$1:$J$500,4,0))</f>
        <v/>
      </c>
      <c r="DE23" t="str">
        <f>IF(ISNA(VLOOKUP(DB23,'ODBC Data'!$B$1:$J$500,5,0)),"",VLOOKUP(DB23,'ODBC Data'!$B$1:$J$500,5,0))</f>
        <v/>
      </c>
      <c r="DG23" s="19" t="str">
        <f>IF('ODBC Data'!$I$17&gt;19,'ODBC Data'!$H$17,"")</f>
        <v/>
      </c>
      <c r="DH23" s="19" t="str">
        <f>IF('ODBC Data'!$I$17&gt;19,20,"")</f>
        <v/>
      </c>
      <c r="DI23" s="17" t="str">
        <f t="shared" si="13"/>
        <v/>
      </c>
      <c r="DJ23" t="str">
        <f>IF(ISNA(VLOOKUP(DI23,'ODBC Data'!$B$1:$J$500,3,0)),"",VLOOKUP(DI23,'ODBC Data'!$B$1:$J$500,3,0))</f>
        <v/>
      </c>
      <c r="DK23" s="57" t="str">
        <f>IF(ISNA(VLOOKUP(DI23,'ODBC Data'!$B$1:$J$500,4,0)),"",VLOOKUP(DI23,'ODBC Data'!$B$1:$J$500,4,0))</f>
        <v/>
      </c>
      <c r="DL23" t="str">
        <f>IF(ISNA(VLOOKUP(DI23,'ODBC Data'!$B$1:$J$500,5,0)),"",VLOOKUP(DI23,'ODBC Data'!$B$1:$J$500,5,0))</f>
        <v/>
      </c>
      <c r="DN23" s="19" t="str">
        <f>IF('ODBC Data'!$I$18&gt;19,'ODBC Data'!$H$18,"")</f>
        <v/>
      </c>
      <c r="DO23" s="19" t="str">
        <f>IF('ODBC Data'!$I$18&gt;19,20,"")</f>
        <v/>
      </c>
      <c r="DP23" s="17" t="str">
        <f t="shared" si="14"/>
        <v/>
      </c>
      <c r="DQ23" t="str">
        <f>IF(ISNA(VLOOKUP(DP23,'ODBC Data'!$B$1:$J$500,3,0)),"",VLOOKUP(DP23,'ODBC Data'!$B$1:$J$500,3,0))</f>
        <v/>
      </c>
      <c r="DR23" s="57" t="str">
        <f>IF(ISNA(VLOOKUP(DP23,'ODBC Data'!$B$1:$J$500,4,0)),"",VLOOKUP(DP23,'ODBC Data'!$B$1:$J$500,4,0))</f>
        <v/>
      </c>
      <c r="DS23" t="str">
        <f>IF(ISNA(VLOOKUP(DP23,'ODBC Data'!$B$1:$J$500,5,0)),"",VLOOKUP(DP23,'ODBC Data'!$B$1:$J$500,5,0))</f>
        <v/>
      </c>
      <c r="DU23" s="19" t="str">
        <f>IF('ODBC Data'!$I$19&gt;19,'ODBC Data'!$H$19,"")</f>
        <v/>
      </c>
      <c r="DV23" s="19" t="str">
        <f>IF('ODBC Data'!$I$19&gt;19,20,"")</f>
        <v/>
      </c>
      <c r="DW23" s="17" t="str">
        <f t="shared" si="15"/>
        <v/>
      </c>
      <c r="DX23" t="str">
        <f>IF(ISNA(VLOOKUP(DW23,'ODBC Data'!$B$1:$J$500,3,0)),"",VLOOKUP(DW23,'ODBC Data'!$B$1:$J$500,3,0))</f>
        <v/>
      </c>
      <c r="DY23" s="57" t="str">
        <f>IF(ISNA(VLOOKUP(DW23,'ODBC Data'!$B$1:$J$500,4,0)),"",VLOOKUP(DW23,'ODBC Data'!$B$1:$J$500,4,0))</f>
        <v/>
      </c>
      <c r="DZ23" t="str">
        <f>IF(ISNA(VLOOKUP(DW23,'ODBC Data'!$B$1:$J$500,5,0)),"",VLOOKUP(DW23,'ODBC Data'!$B$1:$J$500,5,0))</f>
        <v/>
      </c>
      <c r="EB23" s="19" t="str">
        <f>IF('ODBC Data'!$I$20&gt;19,'ODBC Data'!$H$20,"")</f>
        <v/>
      </c>
      <c r="EC23" s="19" t="str">
        <f>IF('ODBC Data'!$I$20&gt;19,20,"")</f>
        <v/>
      </c>
      <c r="ED23" s="17" t="str">
        <f t="shared" si="16"/>
        <v/>
      </c>
      <c r="EE23" s="57" t="str">
        <f>IF(ISNA(VLOOKUP(ED23,'ODBC Data'!$B$1:$J$500,3,0)),"",VLOOKUP(ED23,'ODBC Data'!$B$1:$J$500,3,0))</f>
        <v/>
      </c>
      <c r="EF23" s="57" t="str">
        <f>IF(ISNA(VLOOKUP(ED23,'ODBC Data'!$B$1:$J$500,4,0)),"",VLOOKUP(ED23,'ODBC Data'!$B$1:$J$500,4,0))</f>
        <v/>
      </c>
      <c r="EG23" s="57" t="str">
        <f>IF(ISNA(VLOOKUP(ED23,'ODBC Data'!$B$1:$J$500,5,0)),"",VLOOKUP(ED23,'ODBC Data'!$B$1:$J$500,5,0))</f>
        <v/>
      </c>
      <c r="EI23" s="19" t="str">
        <f>IF('ODBC Data'!$I$21&gt;19,'ODBC Data'!$H$21,"")</f>
        <v/>
      </c>
      <c r="EJ23" s="19" t="str">
        <f>IF('ODBC Data'!$I$21&gt;19,20,"")</f>
        <v/>
      </c>
      <c r="EK23" s="17" t="str">
        <f t="shared" si="17"/>
        <v/>
      </c>
      <c r="EL23" t="str">
        <f>IF(ISNA(VLOOKUP(EK23,'ODBC Data'!$B$1:$J$500,3,0)),"",VLOOKUP(EK23,'ODBC Data'!$B$1:$J$500,3,0))</f>
        <v/>
      </c>
      <c r="EM23" s="57" t="str">
        <f>IF(ISNA(VLOOKUP(EK23,'ODBC Data'!$B$1:$J$500,4,0)),"",VLOOKUP(EK23,'ODBC Data'!$B$1:$J$500,4,0))</f>
        <v/>
      </c>
      <c r="EN23" t="str">
        <f>IF(ISNA(VLOOKUP(EK23,'ODBC Data'!$B$1:$J$500,5,0)),"",VLOOKUP(EK23,'ODBC Data'!$B$1:$J$500,5,0))</f>
        <v/>
      </c>
      <c r="EP23" s="19" t="str">
        <f>IF('ODBC Data'!$I$22&gt;19,'ODBC Data'!$H$22,"")</f>
        <v/>
      </c>
      <c r="EQ23" s="19" t="str">
        <f>IF('ODBC Data'!$I$22&gt;19,20,"")</f>
        <v/>
      </c>
      <c r="ER23" s="17" t="str">
        <f t="shared" si="18"/>
        <v/>
      </c>
      <c r="ES23" t="str">
        <f>IF(ISNA(VLOOKUP(ER23,'ODBC Data'!$B$1:$J$500,3,0)),"",VLOOKUP(ER23,'ODBC Data'!$B$1:$J$500,3,0))</f>
        <v/>
      </c>
      <c r="ET23" s="57" t="str">
        <f>IF(ISNA(VLOOKUP(ER23,'ODBC Data'!$B$1:$J$500,4,0)),"",VLOOKUP(ER23,'ODBC Data'!$B$1:$J$500,4,0))</f>
        <v/>
      </c>
      <c r="EU23" t="str">
        <f>IF(ISNA(VLOOKUP(ER23,'ODBC Data'!$B$1:$J$500,5,0)),"",VLOOKUP(ER23,'ODBC Data'!$B$1:$J$500,5,0))</f>
        <v/>
      </c>
      <c r="EW23" s="19" t="str">
        <f>IF('ODBC Data'!$I$23&gt;19,'ODBC Data'!$H$23,"")</f>
        <v/>
      </c>
      <c r="EX23" s="19" t="str">
        <f>IF('ODBC Data'!$I$23&gt;19,20,"")</f>
        <v/>
      </c>
      <c r="EY23" s="17" t="str">
        <f t="shared" si="19"/>
        <v/>
      </c>
      <c r="EZ23" t="str">
        <f>IF(ISNA(VLOOKUP(EY23,'ODBC Data'!$B$1:$J$500,3,0)),"",VLOOKUP(EY23,'ODBC Data'!$B$1:$J$500,3,0))</f>
        <v/>
      </c>
      <c r="FA23" s="57" t="str">
        <f>IF(ISNA(VLOOKUP(EY23,'ODBC Data'!$B$1:$J$500,4,0)),"",VLOOKUP(EY23,'ODBC Data'!$B$1:$J$500,4,0))</f>
        <v/>
      </c>
      <c r="FB23" t="str">
        <f>IF(ISNA(VLOOKUP(EY23,'ODBC Data'!$B$1:$J$500,5,0)),"",VLOOKUP(EY23,'ODBC Data'!$B$1:$J$500,5,0))</f>
        <v/>
      </c>
      <c r="FD23" s="19" t="str">
        <f>IF('ODBC Data'!$I$24&gt;19,'ODBC Data'!$H$24,"")</f>
        <v/>
      </c>
      <c r="FE23" s="19" t="str">
        <f>IF('ODBC Data'!$I$24&gt;19,20,"")</f>
        <v/>
      </c>
      <c r="FF23" s="17" t="str">
        <f t="shared" si="20"/>
        <v/>
      </c>
      <c r="FG23" t="str">
        <f>IF(ISNA(VLOOKUP(FF23,'ODBC Data'!$B$1:$J$500,3,0)),"",VLOOKUP(FF23,'ODBC Data'!$B$1:$J$500,3,0))</f>
        <v/>
      </c>
      <c r="FH23" s="57" t="str">
        <f>IF(ISNA(VLOOKUP(FF23,'ODBC Data'!$B$1:$J$500,4,0)),"",VLOOKUP(FF23,'ODBC Data'!$B$1:$J$500,4,0))</f>
        <v/>
      </c>
      <c r="FI23" t="str">
        <f>IF(ISNA(VLOOKUP(FF23,'ODBC Data'!$B$1:$J$500,5,0)),"",VLOOKUP(FF23,'ODBC Data'!$B$1:$J$500,5,0))</f>
        <v/>
      </c>
      <c r="FK23" s="19" t="str">
        <f>IF('ODBC Data'!$I$25&gt;19,'ODBC Data'!$H$25,"")</f>
        <v/>
      </c>
      <c r="FL23" s="19" t="str">
        <f>IF('ODBC Data'!$I$25&gt;19,20,"")</f>
        <v/>
      </c>
      <c r="FM23" s="17" t="str">
        <f t="shared" si="21"/>
        <v/>
      </c>
      <c r="FN23" t="str">
        <f>IF(ISNA(VLOOKUP(FM23,'ODBC Data'!$B$1:$J$500,3,0)),"",VLOOKUP(FM23,'ODBC Data'!$B$1:$J$500,3,0))</f>
        <v/>
      </c>
      <c r="FO23" s="57" t="str">
        <f>IF(ISNA(VLOOKUP(FM23,'ODBC Data'!$B$1:$J$500,4,0)),"",VLOOKUP(FM23,'ODBC Data'!$B$1:$J$500,4,0))</f>
        <v/>
      </c>
      <c r="FP23" t="str">
        <f>IF(ISNA(VLOOKUP(FM23,'ODBC Data'!$B$1:$J$500,5,0)),"",VLOOKUP(FM23,'ODBC Data'!$B$1:$J$500,5,0))</f>
        <v/>
      </c>
      <c r="FR23" s="19" t="str">
        <f>IF('ODBC Data'!$I$26&gt;19,'ODBC Data'!$H$26,"")</f>
        <v/>
      </c>
      <c r="FS23" s="19" t="str">
        <f>IF('ODBC Data'!$I$26&gt;19,20,"")</f>
        <v/>
      </c>
      <c r="FT23" s="17" t="str">
        <f t="shared" si="22"/>
        <v/>
      </c>
      <c r="FU23" s="57" t="str">
        <f>IF(ISNA(VLOOKUP(FT23,'ODBC Data'!$B$1:$J$500,3,0)),"",VLOOKUP(FT23,'ODBC Data'!$B$1:$J$500,3,0))</f>
        <v/>
      </c>
      <c r="FV23" s="57" t="str">
        <f>IF(ISNA(VLOOKUP(FT23,'ODBC Data'!$B$1:$J$500,4,0)),"",VLOOKUP(FT23,'ODBC Data'!$B$1:$J$500,4,0))</f>
        <v/>
      </c>
      <c r="FW23" s="57" t="str">
        <f>IF(ISNA(VLOOKUP(FT23,'ODBC Data'!$B$1:$J$500,5,0)),"",VLOOKUP(FT23,'ODBC Data'!$B$1:$J$500,5,0))</f>
        <v/>
      </c>
      <c r="FY23" s="19" t="str">
        <f>IF('ODBC Data'!$I$27&gt;19,'ODBC Data'!$H$27,"")</f>
        <v/>
      </c>
      <c r="FZ23" s="19" t="str">
        <f>IF('ODBC Data'!$I$27&gt;19,20,"")</f>
        <v/>
      </c>
      <c r="GA23" s="17" t="str">
        <f t="shared" si="23"/>
        <v/>
      </c>
      <c r="GB23" s="57" t="str">
        <f>IF(ISNA(VLOOKUP(GA23,'ODBC Data'!$B$1:$J$500,3,0)),"",VLOOKUP(GA23,'ODBC Data'!$B$1:$J$500,3,0))</f>
        <v/>
      </c>
      <c r="GC23" s="57" t="str">
        <f>IF(ISNA(VLOOKUP(GA23,'ODBC Data'!$B$1:$J$500,4,0)),"",VLOOKUP(GA23,'ODBC Data'!$B$1:$J$500,4,0))</f>
        <v/>
      </c>
      <c r="GD23" s="57" t="str">
        <f>IF(ISNA(VLOOKUP(GA23,'ODBC Data'!$B$1:$J$500,5,0)),"",VLOOKUP(GA23,'ODBC Data'!$B$1:$J$500,5,0))</f>
        <v/>
      </c>
    </row>
    <row r="24" spans="1:186">
      <c r="A24" s="19" t="str">
        <f>IF('ODBC Data'!$I$1&gt;20,'ODBC Data'!$H$1,"")</f>
        <v/>
      </c>
      <c r="B24" s="19" t="str">
        <f>IF('ODBC Data'!$I$1&gt;20,21,"")</f>
        <v/>
      </c>
      <c r="C24" s="17" t="str">
        <f t="shared" si="27"/>
        <v/>
      </c>
      <c r="D24" t="str">
        <f>IF(ISNA(VLOOKUP(C24,'ODBC Data'!$B$1:$J$500,3,0)),"",VLOOKUP(C24,'ODBC Data'!$B$1:$J$500,3,0))</f>
        <v/>
      </c>
      <c r="E24" t="str">
        <f>IF(ISNA(VLOOKUP(C24,'ODBC Data'!$B$1:$J$500,5,0)),"",VLOOKUP(C24,'ODBC Data'!$B$1:$J$500,5,0))</f>
        <v/>
      </c>
      <c r="F24" t="str">
        <f t="shared" si="28"/>
        <v/>
      </c>
      <c r="G24" s="19" t="str">
        <f>IF('ODBC Data'!$I$2&gt;20,'ODBC Data'!$H$2,"")</f>
        <v/>
      </c>
      <c r="H24" s="19" t="str">
        <f>IF('ODBC Data'!$I$2&gt;20,21,"")</f>
        <v/>
      </c>
      <c r="I24" s="17" t="str">
        <f t="shared" si="24"/>
        <v/>
      </c>
      <c r="J24" t="str">
        <f>IF(ISNA(VLOOKUP(I24,'ODBC Data'!$B$1:$J$500,3,0)),"",VLOOKUP(I24,'ODBC Data'!$B$1:$J$500,3,0))</f>
        <v/>
      </c>
      <c r="K24" t="str">
        <f>IF(ISNA(VLOOKUP(I24,'ODBC Data'!$B$1:$J$500,5,0)),"",VLOOKUP(I24,'ODBC Data'!$B$1:$J$500,5,0))</f>
        <v/>
      </c>
      <c r="M24" s="19" t="str">
        <f>IF('ODBC Data'!$I$3&gt;20,'ODBC Data'!$H$3,"")</f>
        <v/>
      </c>
      <c r="N24" s="19" t="str">
        <f>IF('ODBC Data'!$I$3&gt;20,21,"")</f>
        <v/>
      </c>
      <c r="O24" s="17" t="str">
        <f t="shared" si="25"/>
        <v/>
      </c>
      <c r="P24" t="str">
        <f>IF(ISNA(VLOOKUP(O24,'ODBC Data'!$B$1:$J$500,3,0)),"",VLOOKUP(O24,'ODBC Data'!$B$1:$J$500,3,0))</f>
        <v/>
      </c>
      <c r="Q24" t="str">
        <f>IF(ISNA(VLOOKUP(O24,'ODBC Data'!$B$1:$J$500,5,0)),"",VLOOKUP(O24,'ODBC Data'!$B$1:$J$500,4,0))</f>
        <v/>
      </c>
      <c r="S24" s="19" t="str">
        <f>IF('ODBC Data'!$I$3&gt;20,'ODBC Data'!$H$3,"")</f>
        <v/>
      </c>
      <c r="T24" s="19" t="str">
        <f>IF('ODBC Data'!$I$3&gt;20,21,"")</f>
        <v/>
      </c>
      <c r="U24" s="17" t="str">
        <f t="shared" si="26"/>
        <v/>
      </c>
      <c r="V24" t="str">
        <f>IF(ISNA(VLOOKUP(U24,'ODBC Data'!$B$1:$J$500,3,0)),"",VLOOKUP(U24,'ODBC Data'!$B$1:$J$500,3,0))</f>
        <v/>
      </c>
      <c r="W24" t="str">
        <f>IF(ISNA(VLOOKUP(U24,'ODBC Data'!$B$1:$J$500,5,0)),"",VLOOKUP(U24,'ODBC Data'!$B$1:$J$500,5,0))</f>
        <v/>
      </c>
      <c r="Y24" s="19" t="str">
        <f>IF('ODBC Data'!$I$4&gt;20,'ODBC Data'!$H$4,"")</f>
        <v/>
      </c>
      <c r="Z24" s="19" t="str">
        <f>IF('ODBC Data'!$I$4&gt;20,21,"")</f>
        <v/>
      </c>
      <c r="AA24" s="17" t="str">
        <f t="shared" si="0"/>
        <v/>
      </c>
      <c r="AB24" s="57" t="str">
        <f>IF(ISNA(VLOOKUP(AA24,'ODBC Data'!$B$1:$J$500,3,0)),"",VLOOKUP(AA24,'ODBC Data'!$B$1:$J$500,3,0))</f>
        <v/>
      </c>
      <c r="AC24" s="57" t="str">
        <f>IF(ISNA(VLOOKUP(AA24,'ODBC Data'!$B$1:$J$500,5,0)),"",VLOOKUP(AA24,'ODBC Data'!$B$1:$J$500,5,0))</f>
        <v/>
      </c>
      <c r="AE24" s="19" t="str">
        <f>IF('ODBC Data'!$I$5&gt;20,'ODBC Data'!$H$5,"")</f>
        <v/>
      </c>
      <c r="AF24" s="19" t="str">
        <f>IF('ODBC Data'!$I$5&gt;20,21,"")</f>
        <v/>
      </c>
      <c r="AG24" s="17" t="str">
        <f t="shared" si="1"/>
        <v/>
      </c>
      <c r="AH24" t="str">
        <f>IF(ISNA(VLOOKUP(AG24,'ODBC Data'!$B$1:$J$500,3,0)),"",VLOOKUP(AG24,'ODBC Data'!$B$1:$J$500,3,0))</f>
        <v/>
      </c>
      <c r="AI24" t="str">
        <f>IF(ISNA(VLOOKUP(AG24,'ODBC Data'!$B$1:$J$500,5,0)),"",VLOOKUP(AG24,'ODBC Data'!$B$1:$J$500,5,0))</f>
        <v/>
      </c>
      <c r="AK24" s="19" t="str">
        <f>IF('ODBC Data'!$I$6&gt;20,'ODBC Data'!$H$6,"")</f>
        <v/>
      </c>
      <c r="AL24" s="19" t="str">
        <f>IF('ODBC Data'!$I$6&gt;20,21,"")</f>
        <v/>
      </c>
      <c r="AM24" s="17" t="str">
        <f t="shared" si="2"/>
        <v/>
      </c>
      <c r="AN24" t="str">
        <f>IF(ISNA(VLOOKUP(AM24,'ODBC Data'!$B$1:$J$500,3,0)),"",VLOOKUP(AM24,'ODBC Data'!$B$1:$J$500,3,0))</f>
        <v/>
      </c>
      <c r="AO24" t="str">
        <f>IF(ISNA(VLOOKUP(AM24,'ODBC Data'!$B$1:$J$500,5,0)),"",VLOOKUP(AM24,'ODBC Data'!$B$1:$J$500,5,0))</f>
        <v/>
      </c>
      <c r="AQ24" s="19" t="str">
        <f>IF('ODBC Data'!$I$7&gt;20,'ODBC Data'!$H$7,"")</f>
        <v/>
      </c>
      <c r="AR24" s="19" t="str">
        <f>IF('ODBC Data'!$I$7&gt;20,21,"")</f>
        <v/>
      </c>
      <c r="AS24" s="17" t="str">
        <f t="shared" si="3"/>
        <v/>
      </c>
      <c r="AT24" t="str">
        <f>IF(ISNA(VLOOKUP(AS24,'ODBC Data'!$B$1:$J$500,3,0)),"",VLOOKUP(AS24,'ODBC Data'!$B$1:$J$500,3,0))</f>
        <v/>
      </c>
      <c r="AU24" t="str">
        <f>IF(ISNA(VLOOKUP(AS24,'ODBC Data'!$B$1:$J$500,5,0)),"",VLOOKUP(AS24,'ODBC Data'!$B$1:$J$500,5,0))</f>
        <v/>
      </c>
      <c r="AW24" s="19" t="str">
        <f>IF('ODBC Data'!$I$8&gt;20,'ODBC Data'!$H$8,"")</f>
        <v/>
      </c>
      <c r="AX24" s="19" t="str">
        <f>IF('ODBC Data'!$I$8&gt;20,21,"")</f>
        <v/>
      </c>
      <c r="AY24" s="17" t="str">
        <f t="shared" si="4"/>
        <v/>
      </c>
      <c r="AZ24" t="str">
        <f>IF(ISNA(VLOOKUP(AY24,'ODBC Data'!$B$1:$J$500,3,0)),"",VLOOKUP(AY24,'ODBC Data'!$B$1:$J$500,3,0))</f>
        <v/>
      </c>
      <c r="BA24" t="str">
        <f>IF(ISNA(VLOOKUP(AY24,'ODBC Data'!$B$1:$J$500,5,0)),"",VLOOKUP(AY24,'ODBC Data'!$B$1:$J$500,5,0))</f>
        <v/>
      </c>
      <c r="BC24" s="19" t="str">
        <f>IF('ODBC Data'!$I$9&gt;20,'ODBC Data'!$H$9,"")</f>
        <v/>
      </c>
      <c r="BD24" s="19" t="str">
        <f>IF('ODBC Data'!$I$9&gt;20,21,"")</f>
        <v/>
      </c>
      <c r="BE24" s="17" t="str">
        <f t="shared" si="5"/>
        <v/>
      </c>
      <c r="BF24" t="str">
        <f>IF(ISNA(VLOOKUP(BE24,'ODBC Data'!$B$1:$J$500,3,0)),"",VLOOKUP(BE24,'ODBC Data'!$B$1:$J$500,3,0))</f>
        <v/>
      </c>
      <c r="BG24" s="57" t="str">
        <f>IF(ISNA(VLOOKUP(BE24,'ODBC Data'!$B$1:$J$500,4,0)),"",VLOOKUP(BE24,'ODBC Data'!$B$1:$J$500,4,0))</f>
        <v/>
      </c>
      <c r="BH24" t="str">
        <f>IF(ISNA(VLOOKUP(BE24,'ODBC Data'!$B$1:$J$500,5,0)),"",VLOOKUP(BE24,'ODBC Data'!$B$1:$J$500,5,0))</f>
        <v/>
      </c>
      <c r="BJ24" s="19" t="str">
        <f>IF('ODBC Data'!$I$10&gt;20,'ODBC Data'!$H$10,"")</f>
        <v/>
      </c>
      <c r="BK24" s="19" t="str">
        <f>IF('ODBC Data'!$I$10&gt;20,21,"")</f>
        <v/>
      </c>
      <c r="BL24" s="17" t="str">
        <f t="shared" si="6"/>
        <v/>
      </c>
      <c r="BM24" t="str">
        <f>IF(ISNA(VLOOKUP(BL24,'ODBC Data'!$B$1:$J$500,3,0)),"",VLOOKUP(BL24,'ODBC Data'!$B$1:$J$500,3,0))</f>
        <v/>
      </c>
      <c r="BN24" s="57" t="str">
        <f>IF(ISNA(VLOOKUP(BL24,'ODBC Data'!$B$1:$J$500,4,0)),"",VLOOKUP(BL24,'ODBC Data'!$B$1:$J$500,4,0))</f>
        <v/>
      </c>
      <c r="BO24" t="str">
        <f>IF(ISNA(VLOOKUP(BL24,'ODBC Data'!$B$1:$J$500,5,0)),"",VLOOKUP(BL24,'ODBC Data'!$B$1:$J$500,5,0))</f>
        <v/>
      </c>
      <c r="BQ24" s="19" t="str">
        <f>IF('ODBC Data'!$I$11&gt;20,'ODBC Data'!$H$11,"")</f>
        <v/>
      </c>
      <c r="BR24" s="19" t="str">
        <f>IF('ODBC Data'!$I$11&gt;20,21,"")</f>
        <v/>
      </c>
      <c r="BS24" s="17" t="str">
        <f t="shared" si="7"/>
        <v/>
      </c>
      <c r="BT24" t="str">
        <f>IF(ISNA(VLOOKUP(BS24,'ODBC Data'!$B$1:$J$500,3,0)),"",VLOOKUP(BS24,'ODBC Data'!$B$1:$J$500,3,0))</f>
        <v/>
      </c>
      <c r="BU24" s="57" t="str">
        <f>IF(ISNA(VLOOKUP(BS24,'ODBC Data'!$B$1:$J$500,4,0)),"",VLOOKUP(BS24,'ODBC Data'!$B$1:$J$500,4,0))</f>
        <v/>
      </c>
      <c r="BV24" t="str">
        <f>IF(ISNA(VLOOKUP(BS24,'ODBC Data'!$B$1:$J$500,5,0)),"",VLOOKUP(BS24,'ODBC Data'!$B$1:$J$500,5,0))</f>
        <v/>
      </c>
      <c r="BX24" s="19" t="str">
        <f>IF('ODBC Data'!$I$12&gt;20,'ODBC Data'!$H$12,"")</f>
        <v/>
      </c>
      <c r="BY24" s="19" t="str">
        <f>IF('ODBC Data'!$I$12&gt;20,21,"")</f>
        <v/>
      </c>
      <c r="BZ24" s="17" t="str">
        <f t="shared" si="8"/>
        <v/>
      </c>
      <c r="CA24" t="str">
        <f>IF(ISNA(VLOOKUP(BZ24,'ODBC Data'!$B$1:$J$500,3,0)),"",VLOOKUP(BZ24,'ODBC Data'!$B$1:$J$500,3,0))</f>
        <v/>
      </c>
      <c r="CB24" s="57" t="str">
        <f>IF(ISNA(VLOOKUP(BZ24,'ODBC Data'!$B$1:$J$500,4,0)),"",VLOOKUP(BZ24,'ODBC Data'!$B$1:$J$500,4,0))</f>
        <v/>
      </c>
      <c r="CC24" t="str">
        <f>IF(ISNA(VLOOKUP(BZ24,'ODBC Data'!$B$1:$J$500,5,0)),"",VLOOKUP(BZ24,'ODBC Data'!$B$1:$J$500,5,0))</f>
        <v/>
      </c>
      <c r="CE24" s="19" t="str">
        <f>IF('ODBC Data'!$I$13&gt;20,'ODBC Data'!$H$13,"")</f>
        <v/>
      </c>
      <c r="CF24" s="19" t="str">
        <f>IF('ODBC Data'!$I$13&gt;20,21,"")</f>
        <v/>
      </c>
      <c r="CG24" s="17" t="str">
        <f t="shared" si="9"/>
        <v/>
      </c>
      <c r="CH24" t="str">
        <f>IF(ISNA(VLOOKUP(CG24,'ODBC Data'!$B$1:$J$500,3,0)),"",VLOOKUP(CG24,'ODBC Data'!$B$1:$J$500,3,0))</f>
        <v/>
      </c>
      <c r="CI24" s="57" t="str">
        <f>IF(ISNA(VLOOKUP(CG24,'ODBC Data'!$B$1:$J$500,4,0)),"",VLOOKUP(CG24,'ODBC Data'!$B$1:$J$500,4,0))</f>
        <v/>
      </c>
      <c r="CJ24" t="str">
        <f>IF(ISNA(VLOOKUP(CG24,'ODBC Data'!$B$1:$J$500,5,0)),"",VLOOKUP(CG24,'ODBC Data'!$B$1:$J$500,5,0))</f>
        <v/>
      </c>
      <c r="CL24" s="19" t="str">
        <f>IF('ODBC Data'!$I$14&gt;20,'ODBC Data'!$H$14,"")</f>
        <v/>
      </c>
      <c r="CM24" s="19" t="str">
        <f>IF('ODBC Data'!$I$14&gt;20,21,"")</f>
        <v/>
      </c>
      <c r="CN24" s="17" t="str">
        <f t="shared" si="10"/>
        <v/>
      </c>
      <c r="CO24" s="57" t="str">
        <f>IF(ISNA(VLOOKUP(CN24,'ODBC Data'!$B$1:$J$500,3,0)),"",VLOOKUP(CN24,'ODBC Data'!$B$1:$J$500,3,0))</f>
        <v/>
      </c>
      <c r="CP24" s="57" t="str">
        <f>IF(ISNA(VLOOKUP(CN24,'ODBC Data'!$B$1:$J$500,4,0)),"",VLOOKUP(CN24,'ODBC Data'!$B$1:$J$500,4,0))</f>
        <v/>
      </c>
      <c r="CQ24" s="57" t="str">
        <f>IF(ISNA(VLOOKUP(CN24,'ODBC Data'!$B$1:$J$500,5,0)),"",VLOOKUP(CN24,'ODBC Data'!$B$1:$J$500,5,0))</f>
        <v/>
      </c>
      <c r="CS24" s="19" t="str">
        <f>IF('ODBC Data'!$I$15&gt;20,'ODBC Data'!$H$15,"")</f>
        <v/>
      </c>
      <c r="CT24" s="19" t="str">
        <f>IF('ODBC Data'!$I$15&gt;20,21,"")</f>
        <v/>
      </c>
      <c r="CU24" s="17" t="str">
        <f t="shared" si="11"/>
        <v/>
      </c>
      <c r="CV24" t="str">
        <f>IF(ISNA(VLOOKUP(CU24,'ODBC Data'!$B$1:$J$500,3,0)),"",VLOOKUP(CU24,'ODBC Data'!$B$1:$J$500,3,0))</f>
        <v/>
      </c>
      <c r="CW24" s="57" t="str">
        <f>IF(ISNA(VLOOKUP(CU24,'ODBC Data'!$B$1:$J$500,4,0)),"",VLOOKUP(CU24,'ODBC Data'!$B$1:$J$500,4,0))</f>
        <v/>
      </c>
      <c r="CX24" t="str">
        <f>IF(ISNA(VLOOKUP(CU24,'ODBC Data'!$B$1:$J$500,5,0)),"",VLOOKUP(CU24,'ODBC Data'!$B$1:$J$500,5,0))</f>
        <v/>
      </c>
      <c r="CZ24" s="19" t="str">
        <f>IF('ODBC Data'!$I$16&gt;20,'ODBC Data'!$H$16,"")</f>
        <v/>
      </c>
      <c r="DA24" s="19" t="str">
        <f>IF('ODBC Data'!$I$16&gt;20,21,"")</f>
        <v/>
      </c>
      <c r="DB24" s="17" t="str">
        <f t="shared" si="12"/>
        <v/>
      </c>
      <c r="DC24" t="str">
        <f>IF(ISNA(VLOOKUP(DB24,'ODBC Data'!$B$1:$J$500,3,0)),"",VLOOKUP(DB24,'ODBC Data'!$B$1:$J$500,3,0))</f>
        <v/>
      </c>
      <c r="DD24" s="57" t="str">
        <f>IF(ISNA(VLOOKUP(DB24,'ODBC Data'!$B$1:$J$500,4,0)),"",VLOOKUP(DB24,'ODBC Data'!$B$1:$J$500,4,0))</f>
        <v/>
      </c>
      <c r="DE24" t="str">
        <f>IF(ISNA(VLOOKUP(DB24,'ODBC Data'!$B$1:$J$500,5,0)),"",VLOOKUP(DB24,'ODBC Data'!$B$1:$J$500,5,0))</f>
        <v/>
      </c>
      <c r="DG24" s="19" t="str">
        <f>IF('ODBC Data'!$I$17&gt;20,'ODBC Data'!$H$17,"")</f>
        <v/>
      </c>
      <c r="DH24" s="19" t="str">
        <f>IF('ODBC Data'!$I$17&gt;20,21,"")</f>
        <v/>
      </c>
      <c r="DI24" s="17" t="str">
        <f t="shared" si="13"/>
        <v/>
      </c>
      <c r="DJ24" t="str">
        <f>IF(ISNA(VLOOKUP(DI24,'ODBC Data'!$B$1:$J$500,3,0)),"",VLOOKUP(DI24,'ODBC Data'!$B$1:$J$500,3,0))</f>
        <v/>
      </c>
      <c r="DK24" s="57" t="str">
        <f>IF(ISNA(VLOOKUP(DI24,'ODBC Data'!$B$1:$J$500,4,0)),"",VLOOKUP(DI24,'ODBC Data'!$B$1:$J$500,4,0))</f>
        <v/>
      </c>
      <c r="DL24" t="str">
        <f>IF(ISNA(VLOOKUP(DI24,'ODBC Data'!$B$1:$J$500,5,0)),"",VLOOKUP(DI24,'ODBC Data'!$B$1:$J$500,5,0))</f>
        <v/>
      </c>
      <c r="DN24" s="19" t="str">
        <f>IF('ODBC Data'!$I$18&gt;20,'ODBC Data'!$H$18,"")</f>
        <v/>
      </c>
      <c r="DO24" s="19" t="str">
        <f>IF('ODBC Data'!$I$18&gt;20,21,"")</f>
        <v/>
      </c>
      <c r="DP24" s="17" t="str">
        <f t="shared" si="14"/>
        <v/>
      </c>
      <c r="DQ24" t="str">
        <f>IF(ISNA(VLOOKUP(DP24,'ODBC Data'!$B$1:$J$500,3,0)),"",VLOOKUP(DP24,'ODBC Data'!$B$1:$J$500,3,0))</f>
        <v/>
      </c>
      <c r="DR24" s="57" t="str">
        <f>IF(ISNA(VLOOKUP(DP24,'ODBC Data'!$B$1:$J$500,4,0)),"",VLOOKUP(DP24,'ODBC Data'!$B$1:$J$500,4,0))</f>
        <v/>
      </c>
      <c r="DS24" t="str">
        <f>IF(ISNA(VLOOKUP(DP24,'ODBC Data'!$B$1:$J$500,5,0)),"",VLOOKUP(DP24,'ODBC Data'!$B$1:$J$500,5,0))</f>
        <v/>
      </c>
      <c r="DU24" s="19" t="str">
        <f>IF('ODBC Data'!$I$19&gt;20,'ODBC Data'!$H$19,"")</f>
        <v/>
      </c>
      <c r="DV24" s="19" t="str">
        <f>IF('ODBC Data'!$I$19&gt;20,21,"")</f>
        <v/>
      </c>
      <c r="DW24" s="17" t="str">
        <f t="shared" si="15"/>
        <v/>
      </c>
      <c r="DX24" t="str">
        <f>IF(ISNA(VLOOKUP(DW24,'ODBC Data'!$B$1:$J$500,3,0)),"",VLOOKUP(DW24,'ODBC Data'!$B$1:$J$500,3,0))</f>
        <v/>
      </c>
      <c r="DY24" s="57" t="str">
        <f>IF(ISNA(VLOOKUP(DW24,'ODBC Data'!$B$1:$J$500,4,0)),"",VLOOKUP(DW24,'ODBC Data'!$B$1:$J$500,4,0))</f>
        <v/>
      </c>
      <c r="DZ24" t="str">
        <f>IF(ISNA(VLOOKUP(DW24,'ODBC Data'!$B$1:$J$500,5,0)),"",VLOOKUP(DW24,'ODBC Data'!$B$1:$J$500,5,0))</f>
        <v/>
      </c>
      <c r="EB24" s="19" t="str">
        <f>IF('ODBC Data'!$I$20&gt;20,'ODBC Data'!$H$20,"")</f>
        <v/>
      </c>
      <c r="EC24" s="19" t="str">
        <f>IF('ODBC Data'!$I$20&gt;20,21,"")</f>
        <v/>
      </c>
      <c r="ED24" s="17" t="str">
        <f t="shared" si="16"/>
        <v/>
      </c>
      <c r="EE24" s="57" t="str">
        <f>IF(ISNA(VLOOKUP(ED24,'ODBC Data'!$B$1:$J$500,3,0)),"",VLOOKUP(ED24,'ODBC Data'!$B$1:$J$500,3,0))</f>
        <v/>
      </c>
      <c r="EF24" s="57" t="str">
        <f>IF(ISNA(VLOOKUP(ED24,'ODBC Data'!$B$1:$J$500,4,0)),"",VLOOKUP(ED24,'ODBC Data'!$B$1:$J$500,4,0))</f>
        <v/>
      </c>
      <c r="EG24" s="57" t="str">
        <f>IF(ISNA(VLOOKUP(ED24,'ODBC Data'!$B$1:$J$500,5,0)),"",VLOOKUP(ED24,'ODBC Data'!$B$1:$J$500,5,0))</f>
        <v/>
      </c>
      <c r="EI24" s="19" t="str">
        <f>IF('ODBC Data'!$I$21&gt;20,'ODBC Data'!$H$21,"")</f>
        <v/>
      </c>
      <c r="EJ24" s="19" t="str">
        <f>IF('ODBC Data'!$I$21&gt;20,21,"")</f>
        <v/>
      </c>
      <c r="EK24" s="17" t="str">
        <f t="shared" si="17"/>
        <v/>
      </c>
      <c r="EL24" t="str">
        <f>IF(ISNA(VLOOKUP(EK24,'ODBC Data'!$B$1:$J$500,3,0)),"",VLOOKUP(EK24,'ODBC Data'!$B$1:$J$500,3,0))</f>
        <v/>
      </c>
      <c r="EM24" s="57" t="str">
        <f>IF(ISNA(VLOOKUP(EK24,'ODBC Data'!$B$1:$J$500,4,0)),"",VLOOKUP(EK24,'ODBC Data'!$B$1:$J$500,4,0))</f>
        <v/>
      </c>
      <c r="EN24" t="str">
        <f>IF(ISNA(VLOOKUP(EK24,'ODBC Data'!$B$1:$J$500,5,0)),"",VLOOKUP(EK24,'ODBC Data'!$B$1:$J$500,5,0))</f>
        <v/>
      </c>
      <c r="EP24" s="19" t="str">
        <f>IF('ODBC Data'!$I$22&gt;20,'ODBC Data'!$H$22,"")</f>
        <v/>
      </c>
      <c r="EQ24" s="19" t="str">
        <f>IF('ODBC Data'!$I$22&gt;20,21,"")</f>
        <v/>
      </c>
      <c r="ER24" s="17" t="str">
        <f t="shared" si="18"/>
        <v/>
      </c>
      <c r="ES24" t="str">
        <f>IF(ISNA(VLOOKUP(ER24,'ODBC Data'!$B$1:$J$500,3,0)),"",VLOOKUP(ER24,'ODBC Data'!$B$1:$J$500,3,0))</f>
        <v/>
      </c>
      <c r="ET24" s="57" t="str">
        <f>IF(ISNA(VLOOKUP(ER24,'ODBC Data'!$B$1:$J$500,4,0)),"",VLOOKUP(ER24,'ODBC Data'!$B$1:$J$500,4,0))</f>
        <v/>
      </c>
      <c r="EU24" t="str">
        <f>IF(ISNA(VLOOKUP(ER24,'ODBC Data'!$B$1:$J$500,5,0)),"",VLOOKUP(ER24,'ODBC Data'!$B$1:$J$500,5,0))</f>
        <v/>
      </c>
      <c r="EW24" s="19" t="str">
        <f>IF('ODBC Data'!$I$23&gt;20,'ODBC Data'!$H$23,"")</f>
        <v/>
      </c>
      <c r="EX24" s="19" t="str">
        <f>IF('ODBC Data'!$I$23&gt;20,21,"")</f>
        <v/>
      </c>
      <c r="EY24" s="17" t="str">
        <f t="shared" si="19"/>
        <v/>
      </c>
      <c r="EZ24" t="str">
        <f>IF(ISNA(VLOOKUP(EY24,'ODBC Data'!$B$1:$J$500,3,0)),"",VLOOKUP(EY24,'ODBC Data'!$B$1:$J$500,3,0))</f>
        <v/>
      </c>
      <c r="FA24" s="57" t="str">
        <f>IF(ISNA(VLOOKUP(EY24,'ODBC Data'!$B$1:$J$500,4,0)),"",VLOOKUP(EY24,'ODBC Data'!$B$1:$J$500,4,0))</f>
        <v/>
      </c>
      <c r="FB24" t="str">
        <f>IF(ISNA(VLOOKUP(EY24,'ODBC Data'!$B$1:$J$500,5,0)),"",VLOOKUP(EY24,'ODBC Data'!$B$1:$J$500,5,0))</f>
        <v/>
      </c>
      <c r="FD24" s="19" t="str">
        <f>IF('ODBC Data'!$I$24&gt;20,'ODBC Data'!$H$24,"")</f>
        <v/>
      </c>
      <c r="FE24" s="19" t="str">
        <f>IF('ODBC Data'!$I$24&gt;20,21,"")</f>
        <v/>
      </c>
      <c r="FF24" s="17" t="str">
        <f t="shared" si="20"/>
        <v/>
      </c>
      <c r="FG24" t="str">
        <f>IF(ISNA(VLOOKUP(FF24,'ODBC Data'!$B$1:$J$500,3,0)),"",VLOOKUP(FF24,'ODBC Data'!$B$1:$J$500,3,0))</f>
        <v/>
      </c>
      <c r="FH24" s="57" t="str">
        <f>IF(ISNA(VLOOKUP(FF24,'ODBC Data'!$B$1:$J$500,4,0)),"",VLOOKUP(FF24,'ODBC Data'!$B$1:$J$500,4,0))</f>
        <v/>
      </c>
      <c r="FI24" t="str">
        <f>IF(ISNA(VLOOKUP(FF24,'ODBC Data'!$B$1:$J$500,5,0)),"",VLOOKUP(FF24,'ODBC Data'!$B$1:$J$500,5,0))</f>
        <v/>
      </c>
      <c r="FK24" s="19" t="str">
        <f>IF('ODBC Data'!$I$25&gt;20,'ODBC Data'!$H$25,"")</f>
        <v/>
      </c>
      <c r="FL24" s="19" t="str">
        <f>IF('ODBC Data'!$I$25&gt;20,21,"")</f>
        <v/>
      </c>
      <c r="FM24" s="17" t="str">
        <f t="shared" si="21"/>
        <v/>
      </c>
      <c r="FN24" t="str">
        <f>IF(ISNA(VLOOKUP(FM24,'ODBC Data'!$B$1:$J$500,3,0)),"",VLOOKUP(FM24,'ODBC Data'!$B$1:$J$500,3,0))</f>
        <v/>
      </c>
      <c r="FO24" s="57" t="str">
        <f>IF(ISNA(VLOOKUP(FM24,'ODBC Data'!$B$1:$J$500,4,0)),"",VLOOKUP(FM24,'ODBC Data'!$B$1:$J$500,4,0))</f>
        <v/>
      </c>
      <c r="FP24" t="str">
        <f>IF(ISNA(VLOOKUP(FM24,'ODBC Data'!$B$1:$J$500,5,0)),"",VLOOKUP(FM24,'ODBC Data'!$B$1:$J$500,5,0))</f>
        <v/>
      </c>
      <c r="FR24" s="19" t="str">
        <f>IF('ODBC Data'!$I$26&gt;20,'ODBC Data'!$H$26,"")</f>
        <v/>
      </c>
      <c r="FS24" s="19" t="str">
        <f>IF('ODBC Data'!$I$26&gt;20,21,"")</f>
        <v/>
      </c>
      <c r="FT24" s="17" t="str">
        <f t="shared" si="22"/>
        <v/>
      </c>
      <c r="FU24" s="57" t="str">
        <f>IF(ISNA(VLOOKUP(FT24,'ODBC Data'!$B$1:$J$500,3,0)),"",VLOOKUP(FT24,'ODBC Data'!$B$1:$J$500,3,0))</f>
        <v/>
      </c>
      <c r="FV24" s="57" t="str">
        <f>IF(ISNA(VLOOKUP(FT24,'ODBC Data'!$B$1:$J$500,4,0)),"",VLOOKUP(FT24,'ODBC Data'!$B$1:$J$500,4,0))</f>
        <v/>
      </c>
      <c r="FW24" s="57" t="str">
        <f>IF(ISNA(VLOOKUP(FT24,'ODBC Data'!$B$1:$J$500,5,0)),"",VLOOKUP(FT24,'ODBC Data'!$B$1:$J$500,5,0))</f>
        <v/>
      </c>
      <c r="FY24" s="19" t="str">
        <f>IF('ODBC Data'!$I$27&gt;20,'ODBC Data'!$H$27,"")</f>
        <v/>
      </c>
      <c r="FZ24" s="19" t="str">
        <f>IF('ODBC Data'!$I$27&gt;20,21,"")</f>
        <v/>
      </c>
      <c r="GA24" s="17" t="str">
        <f t="shared" si="23"/>
        <v/>
      </c>
      <c r="GB24" s="57" t="str">
        <f>IF(ISNA(VLOOKUP(GA24,'ODBC Data'!$B$1:$J$500,3,0)),"",VLOOKUP(GA24,'ODBC Data'!$B$1:$J$500,3,0))</f>
        <v/>
      </c>
      <c r="GC24" s="57" t="str">
        <f>IF(ISNA(VLOOKUP(GA24,'ODBC Data'!$B$1:$J$500,4,0)),"",VLOOKUP(GA24,'ODBC Data'!$B$1:$J$500,4,0))</f>
        <v/>
      </c>
      <c r="GD24" s="57" t="str">
        <f>IF(ISNA(VLOOKUP(GA24,'ODBC Data'!$B$1:$J$500,5,0)),"",VLOOKUP(GA24,'ODBC Data'!$B$1:$J$500,5,0))</f>
        <v/>
      </c>
    </row>
    <row r="25" spans="1:186">
      <c r="A25" s="19" t="str">
        <f>IF('ODBC Data'!$I$1&gt;21,'ODBC Data'!$H$1,"")</f>
        <v/>
      </c>
      <c r="B25" s="19" t="str">
        <f>IF('ODBC Data'!$I$1&gt;21,22,"")</f>
        <v/>
      </c>
      <c r="C25" s="17" t="str">
        <f t="shared" si="27"/>
        <v/>
      </c>
      <c r="D25" t="str">
        <f>IF(ISNA(VLOOKUP(C25,'ODBC Data'!$B$1:$J$500,3,0)),"",VLOOKUP(C25,'ODBC Data'!$B$1:$J$500,3,0))</f>
        <v/>
      </c>
      <c r="E25" t="str">
        <f>IF(ISNA(VLOOKUP(C25,'ODBC Data'!$B$1:$J$500,5,0)),"",VLOOKUP(C25,'ODBC Data'!$B$1:$J$500,5,0))</f>
        <v/>
      </c>
      <c r="F25" t="str">
        <f t="shared" si="28"/>
        <v/>
      </c>
      <c r="G25" s="19" t="str">
        <f>IF('ODBC Data'!$I$2&gt;21,'ODBC Data'!$H$2,"")</f>
        <v/>
      </c>
      <c r="H25" s="19" t="str">
        <f>IF('ODBC Data'!$I$2&gt;21,22,"")</f>
        <v/>
      </c>
      <c r="I25" s="17" t="str">
        <f t="shared" si="24"/>
        <v/>
      </c>
      <c r="J25" t="str">
        <f>IF(ISNA(VLOOKUP(I25,'ODBC Data'!$B$1:$J$500,3,0)),"",VLOOKUP(I25,'ODBC Data'!$B$1:$J$500,3,0))</f>
        <v/>
      </c>
      <c r="K25" t="str">
        <f>IF(ISNA(VLOOKUP(I25,'ODBC Data'!$B$1:$J$500,5,0)),"",VLOOKUP(I25,'ODBC Data'!$B$1:$J$500,5,0))</f>
        <v/>
      </c>
      <c r="M25" s="19" t="str">
        <f>IF('ODBC Data'!$I$3&gt;21,'ODBC Data'!$H$3,"")</f>
        <v/>
      </c>
      <c r="N25" s="19" t="str">
        <f>IF('ODBC Data'!$I$3&gt;21,22,"")</f>
        <v/>
      </c>
      <c r="O25" s="17" t="str">
        <f t="shared" si="25"/>
        <v/>
      </c>
      <c r="P25" t="str">
        <f>IF(ISNA(VLOOKUP(O25,'ODBC Data'!$B$1:$J$500,3,0)),"",VLOOKUP(O25,'ODBC Data'!$B$1:$J$500,3,0))</f>
        <v/>
      </c>
      <c r="Q25" t="str">
        <f>IF(ISNA(VLOOKUP(O25,'ODBC Data'!$B$1:$J$500,5,0)),"",VLOOKUP(O25,'ODBC Data'!$B$1:$J$500,4,0))</f>
        <v/>
      </c>
      <c r="S25" s="19" t="str">
        <f>IF('ODBC Data'!$I$3&gt;21,'ODBC Data'!$H$3,"")</f>
        <v/>
      </c>
      <c r="T25" s="19" t="str">
        <f>IF('ODBC Data'!$I$3&gt;21,22,"")</f>
        <v/>
      </c>
      <c r="U25" s="17" t="str">
        <f t="shared" si="26"/>
        <v/>
      </c>
      <c r="V25" t="str">
        <f>IF(ISNA(VLOOKUP(U25,'ODBC Data'!$B$1:$J$500,3,0)),"",VLOOKUP(U25,'ODBC Data'!$B$1:$J$500,3,0))</f>
        <v/>
      </c>
      <c r="W25" t="str">
        <f>IF(ISNA(VLOOKUP(U25,'ODBC Data'!$B$1:$J$500,5,0)),"",VLOOKUP(U25,'ODBC Data'!$B$1:$J$500,5,0))</f>
        <v/>
      </c>
      <c r="Y25" s="19" t="str">
        <f>IF('ODBC Data'!$I$4&gt;21,'ODBC Data'!$H$4,"")</f>
        <v/>
      </c>
      <c r="Z25" s="19" t="str">
        <f>IF('ODBC Data'!$I$4&gt;21,22,"")</f>
        <v/>
      </c>
      <c r="AA25" s="17" t="str">
        <f t="shared" si="0"/>
        <v/>
      </c>
      <c r="AB25" s="57" t="str">
        <f>IF(ISNA(VLOOKUP(AA25,'ODBC Data'!$B$1:$J$500,3,0)),"",VLOOKUP(AA25,'ODBC Data'!$B$1:$J$500,3,0))</f>
        <v/>
      </c>
      <c r="AC25" s="57" t="str">
        <f>IF(ISNA(VLOOKUP(AA25,'ODBC Data'!$B$1:$J$500,5,0)),"",VLOOKUP(AA25,'ODBC Data'!$B$1:$J$500,5,0))</f>
        <v/>
      </c>
      <c r="AE25" s="19" t="str">
        <f>IF('ODBC Data'!$I$5&gt;21,'ODBC Data'!$H$5,"")</f>
        <v/>
      </c>
      <c r="AF25" s="19" t="str">
        <f>IF('ODBC Data'!$I$5&gt;21,22,"")</f>
        <v/>
      </c>
      <c r="AG25" s="17" t="str">
        <f t="shared" si="1"/>
        <v/>
      </c>
      <c r="AH25" t="str">
        <f>IF(ISNA(VLOOKUP(AG25,'ODBC Data'!$B$1:$J$500,3,0)),"",VLOOKUP(AG25,'ODBC Data'!$B$1:$J$500,3,0))</f>
        <v/>
      </c>
      <c r="AI25" t="str">
        <f>IF(ISNA(VLOOKUP(AG25,'ODBC Data'!$B$1:$J$500,5,0)),"",VLOOKUP(AG25,'ODBC Data'!$B$1:$J$500,5,0))</f>
        <v/>
      </c>
      <c r="AK25" s="19" t="str">
        <f>IF('ODBC Data'!$I$6&gt;21,'ODBC Data'!$H$6,"")</f>
        <v/>
      </c>
      <c r="AL25" s="19" t="str">
        <f>IF('ODBC Data'!$I$6&gt;21,22,"")</f>
        <v/>
      </c>
      <c r="AM25" s="17" t="str">
        <f t="shared" si="2"/>
        <v/>
      </c>
      <c r="AN25" t="str">
        <f>IF(ISNA(VLOOKUP(AM25,'ODBC Data'!$B$1:$J$500,3,0)),"",VLOOKUP(AM25,'ODBC Data'!$B$1:$J$500,3,0))</f>
        <v/>
      </c>
      <c r="AO25" t="str">
        <f>IF(ISNA(VLOOKUP(AM25,'ODBC Data'!$B$1:$J$500,5,0)),"",VLOOKUP(AM25,'ODBC Data'!$B$1:$J$500,5,0))</f>
        <v/>
      </c>
      <c r="AQ25" s="19" t="str">
        <f>IF('ODBC Data'!$I$7&gt;21,'ODBC Data'!$H$7,"")</f>
        <v/>
      </c>
      <c r="AR25" s="19" t="str">
        <f>IF('ODBC Data'!$I$7&gt;21,22,"")</f>
        <v/>
      </c>
      <c r="AS25" s="17" t="str">
        <f t="shared" si="3"/>
        <v/>
      </c>
      <c r="AT25" t="str">
        <f>IF(ISNA(VLOOKUP(AS25,'ODBC Data'!$B$1:$J$500,3,0)),"",VLOOKUP(AS25,'ODBC Data'!$B$1:$J$500,3,0))</f>
        <v/>
      </c>
      <c r="AU25" t="str">
        <f>IF(ISNA(VLOOKUP(AS25,'ODBC Data'!$B$1:$J$500,5,0)),"",VLOOKUP(AS25,'ODBC Data'!$B$1:$J$500,5,0))</f>
        <v/>
      </c>
      <c r="AW25" s="19" t="str">
        <f>IF('ODBC Data'!$I$8&gt;21,'ODBC Data'!$H$8,"")</f>
        <v/>
      </c>
      <c r="AX25" s="19" t="str">
        <f>IF('ODBC Data'!$I$8&gt;21,22,"")</f>
        <v/>
      </c>
      <c r="AY25" s="17" t="str">
        <f t="shared" si="4"/>
        <v/>
      </c>
      <c r="AZ25" t="str">
        <f>IF(ISNA(VLOOKUP(AY25,'ODBC Data'!$B$1:$J$500,3,0)),"",VLOOKUP(AY25,'ODBC Data'!$B$1:$J$500,3,0))</f>
        <v/>
      </c>
      <c r="BA25" t="str">
        <f>IF(ISNA(VLOOKUP(AY25,'ODBC Data'!$B$1:$J$500,5,0)),"",VLOOKUP(AY25,'ODBC Data'!$B$1:$J$500,5,0))</f>
        <v/>
      </c>
      <c r="BC25" s="19" t="str">
        <f>IF('ODBC Data'!$I$9&gt;21,'ODBC Data'!$H$9,"")</f>
        <v/>
      </c>
      <c r="BD25" s="19" t="str">
        <f>IF('ODBC Data'!$I$9&gt;21,22,"")</f>
        <v/>
      </c>
      <c r="BE25" s="17" t="str">
        <f t="shared" si="5"/>
        <v/>
      </c>
      <c r="BF25" t="str">
        <f>IF(ISNA(VLOOKUP(BE25,'ODBC Data'!$B$1:$J$500,3,0)),"",VLOOKUP(BE25,'ODBC Data'!$B$1:$J$500,3,0))</f>
        <v/>
      </c>
      <c r="BG25" s="57" t="str">
        <f>IF(ISNA(VLOOKUP(BE25,'ODBC Data'!$B$1:$J$500,4,0)),"",VLOOKUP(BE25,'ODBC Data'!$B$1:$J$500,4,0))</f>
        <v/>
      </c>
      <c r="BH25" t="str">
        <f>IF(ISNA(VLOOKUP(BE25,'ODBC Data'!$B$1:$J$500,5,0)),"",VLOOKUP(BE25,'ODBC Data'!$B$1:$J$500,5,0))</f>
        <v/>
      </c>
      <c r="BJ25" s="19" t="str">
        <f>IF('ODBC Data'!$I$10&gt;21,'ODBC Data'!$H$10,"")</f>
        <v/>
      </c>
      <c r="BK25" s="19" t="str">
        <f>IF('ODBC Data'!$I$10&gt;21,22,"")</f>
        <v/>
      </c>
      <c r="BL25" s="17" t="str">
        <f t="shared" si="6"/>
        <v/>
      </c>
      <c r="BM25" t="str">
        <f>IF(ISNA(VLOOKUP(BL25,'ODBC Data'!$B$1:$J$500,3,0)),"",VLOOKUP(BL25,'ODBC Data'!$B$1:$J$500,3,0))</f>
        <v/>
      </c>
      <c r="BN25" s="57" t="str">
        <f>IF(ISNA(VLOOKUP(BL25,'ODBC Data'!$B$1:$J$500,4,0)),"",VLOOKUP(BL25,'ODBC Data'!$B$1:$J$500,4,0))</f>
        <v/>
      </c>
      <c r="BO25" t="str">
        <f>IF(ISNA(VLOOKUP(BL25,'ODBC Data'!$B$1:$J$500,5,0)),"",VLOOKUP(BL25,'ODBC Data'!$B$1:$J$500,5,0))</f>
        <v/>
      </c>
      <c r="BQ25" s="19" t="str">
        <f>IF('ODBC Data'!$I$11&gt;21,'ODBC Data'!$H$11,"")</f>
        <v/>
      </c>
      <c r="BR25" s="19" t="str">
        <f>IF('ODBC Data'!$I$11&gt;21,22,"")</f>
        <v/>
      </c>
      <c r="BS25" s="17" t="str">
        <f t="shared" si="7"/>
        <v/>
      </c>
      <c r="BT25" t="str">
        <f>IF(ISNA(VLOOKUP(BS25,'ODBC Data'!$B$1:$J$500,3,0)),"",VLOOKUP(BS25,'ODBC Data'!$B$1:$J$500,3,0))</f>
        <v/>
      </c>
      <c r="BU25" s="57" t="str">
        <f>IF(ISNA(VLOOKUP(BS25,'ODBC Data'!$B$1:$J$500,4,0)),"",VLOOKUP(BS25,'ODBC Data'!$B$1:$J$500,4,0))</f>
        <v/>
      </c>
      <c r="BV25" t="str">
        <f>IF(ISNA(VLOOKUP(BS25,'ODBC Data'!$B$1:$J$500,5,0)),"",VLOOKUP(BS25,'ODBC Data'!$B$1:$J$500,5,0))</f>
        <v/>
      </c>
      <c r="BX25" s="19" t="str">
        <f>IF('ODBC Data'!$I$12&gt;21,'ODBC Data'!$H$12,"")</f>
        <v/>
      </c>
      <c r="BY25" s="19" t="str">
        <f>IF('ODBC Data'!$I$12&gt;21,22,"")</f>
        <v/>
      </c>
      <c r="BZ25" s="17" t="str">
        <f t="shared" si="8"/>
        <v/>
      </c>
      <c r="CA25" t="str">
        <f>IF(ISNA(VLOOKUP(BZ25,'ODBC Data'!$B$1:$J$500,3,0)),"",VLOOKUP(BZ25,'ODBC Data'!$B$1:$J$500,3,0))</f>
        <v/>
      </c>
      <c r="CB25" s="57" t="str">
        <f>IF(ISNA(VLOOKUP(BZ25,'ODBC Data'!$B$1:$J$500,4,0)),"",VLOOKUP(BZ25,'ODBC Data'!$B$1:$J$500,4,0))</f>
        <v/>
      </c>
      <c r="CC25" t="str">
        <f>IF(ISNA(VLOOKUP(BZ25,'ODBC Data'!$B$1:$J$500,5,0)),"",VLOOKUP(BZ25,'ODBC Data'!$B$1:$J$500,5,0))</f>
        <v/>
      </c>
      <c r="CE25" s="19" t="str">
        <f>IF('ODBC Data'!$I$13&gt;21,'ODBC Data'!$H$13,"")</f>
        <v/>
      </c>
      <c r="CF25" s="19" t="str">
        <f>IF('ODBC Data'!$I$13&gt;21,22,"")</f>
        <v/>
      </c>
      <c r="CG25" s="17" t="str">
        <f t="shared" si="9"/>
        <v/>
      </c>
      <c r="CH25" t="str">
        <f>IF(ISNA(VLOOKUP(CG25,'ODBC Data'!$B$1:$J$500,3,0)),"",VLOOKUP(CG25,'ODBC Data'!$B$1:$J$500,3,0))</f>
        <v/>
      </c>
      <c r="CI25" s="57" t="str">
        <f>IF(ISNA(VLOOKUP(CG25,'ODBC Data'!$B$1:$J$500,4,0)),"",VLOOKUP(CG25,'ODBC Data'!$B$1:$J$500,4,0))</f>
        <v/>
      </c>
      <c r="CJ25" t="str">
        <f>IF(ISNA(VLOOKUP(CG25,'ODBC Data'!$B$1:$J$500,5,0)),"",VLOOKUP(CG25,'ODBC Data'!$B$1:$J$500,5,0))</f>
        <v/>
      </c>
      <c r="CL25" s="19" t="str">
        <f>IF('ODBC Data'!$I$14&gt;21,'ODBC Data'!$H$14,"")</f>
        <v/>
      </c>
      <c r="CM25" s="19" t="str">
        <f>IF('ODBC Data'!$I$14&gt;21,22,"")</f>
        <v/>
      </c>
      <c r="CN25" s="17" t="str">
        <f t="shared" si="10"/>
        <v/>
      </c>
      <c r="CO25" s="57" t="str">
        <f>IF(ISNA(VLOOKUP(CN25,'ODBC Data'!$B$1:$J$500,3,0)),"",VLOOKUP(CN25,'ODBC Data'!$B$1:$J$500,3,0))</f>
        <v/>
      </c>
      <c r="CP25" s="57" t="str">
        <f>IF(ISNA(VLOOKUP(CN25,'ODBC Data'!$B$1:$J$500,4,0)),"",VLOOKUP(CN25,'ODBC Data'!$B$1:$J$500,4,0))</f>
        <v/>
      </c>
      <c r="CQ25" s="57" t="str">
        <f>IF(ISNA(VLOOKUP(CN25,'ODBC Data'!$B$1:$J$500,5,0)),"",VLOOKUP(CN25,'ODBC Data'!$B$1:$J$500,5,0))</f>
        <v/>
      </c>
      <c r="CS25" s="19" t="str">
        <f>IF('ODBC Data'!$I$15&gt;21,'ODBC Data'!$H$15,"")</f>
        <v/>
      </c>
      <c r="CT25" s="19" t="str">
        <f>IF('ODBC Data'!$I$15&gt;21,22,"")</f>
        <v/>
      </c>
      <c r="CU25" s="17" t="str">
        <f t="shared" si="11"/>
        <v/>
      </c>
      <c r="CV25" t="str">
        <f>IF(ISNA(VLOOKUP(CU25,'ODBC Data'!$B$1:$J$500,3,0)),"",VLOOKUP(CU25,'ODBC Data'!$B$1:$J$500,3,0))</f>
        <v/>
      </c>
      <c r="CW25" s="57" t="str">
        <f>IF(ISNA(VLOOKUP(CU25,'ODBC Data'!$B$1:$J$500,4,0)),"",VLOOKUP(CU25,'ODBC Data'!$B$1:$J$500,4,0))</f>
        <v/>
      </c>
      <c r="CX25" t="str">
        <f>IF(ISNA(VLOOKUP(CU25,'ODBC Data'!$B$1:$J$500,5,0)),"",VLOOKUP(CU25,'ODBC Data'!$B$1:$J$500,5,0))</f>
        <v/>
      </c>
      <c r="CZ25" s="19" t="str">
        <f>IF('ODBC Data'!$I$16&gt;21,'ODBC Data'!$H$16,"")</f>
        <v/>
      </c>
      <c r="DA25" s="19" t="str">
        <f>IF('ODBC Data'!$I$16&gt;21,22,"")</f>
        <v/>
      </c>
      <c r="DB25" s="17" t="str">
        <f t="shared" si="12"/>
        <v/>
      </c>
      <c r="DC25" t="str">
        <f>IF(ISNA(VLOOKUP(DB25,'ODBC Data'!$B$1:$J$500,3,0)),"",VLOOKUP(DB25,'ODBC Data'!$B$1:$J$500,3,0))</f>
        <v/>
      </c>
      <c r="DD25" s="57" t="str">
        <f>IF(ISNA(VLOOKUP(DB25,'ODBC Data'!$B$1:$J$500,4,0)),"",VLOOKUP(DB25,'ODBC Data'!$B$1:$J$500,4,0))</f>
        <v/>
      </c>
      <c r="DE25" t="str">
        <f>IF(ISNA(VLOOKUP(DB25,'ODBC Data'!$B$1:$J$500,5,0)),"",VLOOKUP(DB25,'ODBC Data'!$B$1:$J$500,5,0))</f>
        <v/>
      </c>
      <c r="DG25" s="19" t="str">
        <f>IF('ODBC Data'!$I$17&gt;21,'ODBC Data'!$H$17,"")</f>
        <v/>
      </c>
      <c r="DH25" s="19" t="str">
        <f>IF('ODBC Data'!$I$17&gt;21,22,"")</f>
        <v/>
      </c>
      <c r="DI25" s="17" t="str">
        <f t="shared" si="13"/>
        <v/>
      </c>
      <c r="DJ25" t="str">
        <f>IF(ISNA(VLOOKUP(DI25,'ODBC Data'!$B$1:$J$500,3,0)),"",VLOOKUP(DI25,'ODBC Data'!$B$1:$J$500,3,0))</f>
        <v/>
      </c>
      <c r="DK25" s="57" t="str">
        <f>IF(ISNA(VLOOKUP(DI25,'ODBC Data'!$B$1:$J$500,4,0)),"",VLOOKUP(DI25,'ODBC Data'!$B$1:$J$500,4,0))</f>
        <v/>
      </c>
      <c r="DL25" t="str">
        <f>IF(ISNA(VLOOKUP(DI25,'ODBC Data'!$B$1:$J$500,5,0)),"",VLOOKUP(DI25,'ODBC Data'!$B$1:$J$500,5,0))</f>
        <v/>
      </c>
      <c r="DN25" s="19" t="str">
        <f>IF('ODBC Data'!$I$18&gt;21,'ODBC Data'!$H$18,"")</f>
        <v/>
      </c>
      <c r="DO25" s="19" t="str">
        <f>IF('ODBC Data'!$I$18&gt;21,22,"")</f>
        <v/>
      </c>
      <c r="DP25" s="17" t="str">
        <f t="shared" si="14"/>
        <v/>
      </c>
      <c r="DQ25" t="str">
        <f>IF(ISNA(VLOOKUP(DP25,'ODBC Data'!$B$1:$J$500,3,0)),"",VLOOKUP(DP25,'ODBC Data'!$B$1:$J$500,3,0))</f>
        <v/>
      </c>
      <c r="DR25" s="57" t="str">
        <f>IF(ISNA(VLOOKUP(DP25,'ODBC Data'!$B$1:$J$500,4,0)),"",VLOOKUP(DP25,'ODBC Data'!$B$1:$J$500,4,0))</f>
        <v/>
      </c>
      <c r="DS25" t="str">
        <f>IF(ISNA(VLOOKUP(DP25,'ODBC Data'!$B$1:$J$500,5,0)),"",VLOOKUP(DP25,'ODBC Data'!$B$1:$J$500,5,0))</f>
        <v/>
      </c>
      <c r="DU25" s="19" t="str">
        <f>IF('ODBC Data'!$I$19&gt;21,'ODBC Data'!$H$19,"")</f>
        <v/>
      </c>
      <c r="DV25" s="19" t="str">
        <f>IF('ODBC Data'!$I$19&gt;21,22,"")</f>
        <v/>
      </c>
      <c r="DW25" s="17" t="str">
        <f t="shared" si="15"/>
        <v/>
      </c>
      <c r="DX25" t="str">
        <f>IF(ISNA(VLOOKUP(DW25,'ODBC Data'!$B$1:$J$500,3,0)),"",VLOOKUP(DW25,'ODBC Data'!$B$1:$J$500,3,0))</f>
        <v/>
      </c>
      <c r="DY25" s="57" t="str">
        <f>IF(ISNA(VLOOKUP(DW25,'ODBC Data'!$B$1:$J$500,4,0)),"",VLOOKUP(DW25,'ODBC Data'!$B$1:$J$500,4,0))</f>
        <v/>
      </c>
      <c r="DZ25" t="str">
        <f>IF(ISNA(VLOOKUP(DW25,'ODBC Data'!$B$1:$J$500,5,0)),"",VLOOKUP(DW25,'ODBC Data'!$B$1:$J$500,5,0))</f>
        <v/>
      </c>
      <c r="EB25" s="19" t="str">
        <f>IF('ODBC Data'!$I$20&gt;21,'ODBC Data'!$H$20,"")</f>
        <v/>
      </c>
      <c r="EC25" s="19" t="str">
        <f>IF('ODBC Data'!$I$20&gt;21,22,"")</f>
        <v/>
      </c>
      <c r="ED25" s="17" t="str">
        <f t="shared" si="16"/>
        <v/>
      </c>
      <c r="EE25" s="57" t="str">
        <f>IF(ISNA(VLOOKUP(ED25,'ODBC Data'!$B$1:$J$500,3,0)),"",VLOOKUP(ED25,'ODBC Data'!$B$1:$J$500,3,0))</f>
        <v/>
      </c>
      <c r="EF25" s="57" t="str">
        <f>IF(ISNA(VLOOKUP(ED25,'ODBC Data'!$B$1:$J$500,4,0)),"",VLOOKUP(ED25,'ODBC Data'!$B$1:$J$500,4,0))</f>
        <v/>
      </c>
      <c r="EG25" s="57" t="str">
        <f>IF(ISNA(VLOOKUP(ED25,'ODBC Data'!$B$1:$J$500,5,0)),"",VLOOKUP(ED25,'ODBC Data'!$B$1:$J$500,5,0))</f>
        <v/>
      </c>
      <c r="EI25" s="19" t="str">
        <f>IF('ODBC Data'!$I$21&gt;21,'ODBC Data'!$H$21,"")</f>
        <v/>
      </c>
      <c r="EJ25" s="19" t="str">
        <f>IF('ODBC Data'!$I$21&gt;21,22,"")</f>
        <v/>
      </c>
      <c r="EK25" s="17" t="str">
        <f t="shared" si="17"/>
        <v/>
      </c>
      <c r="EL25" t="str">
        <f>IF(ISNA(VLOOKUP(EK25,'ODBC Data'!$B$1:$J$500,3,0)),"",VLOOKUP(EK25,'ODBC Data'!$B$1:$J$500,3,0))</f>
        <v/>
      </c>
      <c r="EM25" s="57" t="str">
        <f>IF(ISNA(VLOOKUP(EK25,'ODBC Data'!$B$1:$J$500,4,0)),"",VLOOKUP(EK25,'ODBC Data'!$B$1:$J$500,4,0))</f>
        <v/>
      </c>
      <c r="EN25" t="str">
        <f>IF(ISNA(VLOOKUP(EK25,'ODBC Data'!$B$1:$J$500,5,0)),"",VLOOKUP(EK25,'ODBC Data'!$B$1:$J$500,5,0))</f>
        <v/>
      </c>
      <c r="EP25" s="19" t="str">
        <f>IF('ODBC Data'!$I$22&gt;21,'ODBC Data'!$H$22,"")</f>
        <v/>
      </c>
      <c r="EQ25" s="19" t="str">
        <f>IF('ODBC Data'!$I$22&gt;21,22,"")</f>
        <v/>
      </c>
      <c r="ER25" s="17" t="str">
        <f t="shared" si="18"/>
        <v/>
      </c>
      <c r="ES25" t="str">
        <f>IF(ISNA(VLOOKUP(ER25,'ODBC Data'!$B$1:$J$500,3,0)),"",VLOOKUP(ER25,'ODBC Data'!$B$1:$J$500,3,0))</f>
        <v/>
      </c>
      <c r="ET25" s="57" t="str">
        <f>IF(ISNA(VLOOKUP(ER25,'ODBC Data'!$B$1:$J$500,4,0)),"",VLOOKUP(ER25,'ODBC Data'!$B$1:$J$500,4,0))</f>
        <v/>
      </c>
      <c r="EU25" t="str">
        <f>IF(ISNA(VLOOKUP(ER25,'ODBC Data'!$B$1:$J$500,5,0)),"",VLOOKUP(ER25,'ODBC Data'!$B$1:$J$500,5,0))</f>
        <v/>
      </c>
      <c r="EW25" s="19" t="str">
        <f>IF('ODBC Data'!$I$23&gt;21,'ODBC Data'!$H$23,"")</f>
        <v/>
      </c>
      <c r="EX25" s="19" t="str">
        <f>IF('ODBC Data'!$I$23&gt;21,22,"")</f>
        <v/>
      </c>
      <c r="EY25" s="17" t="str">
        <f t="shared" si="19"/>
        <v/>
      </c>
      <c r="EZ25" t="str">
        <f>IF(ISNA(VLOOKUP(EY25,'ODBC Data'!$B$1:$J$500,3,0)),"",VLOOKUP(EY25,'ODBC Data'!$B$1:$J$500,3,0))</f>
        <v/>
      </c>
      <c r="FA25" s="57" t="str">
        <f>IF(ISNA(VLOOKUP(EY25,'ODBC Data'!$B$1:$J$500,4,0)),"",VLOOKUP(EY25,'ODBC Data'!$B$1:$J$500,4,0))</f>
        <v/>
      </c>
      <c r="FB25" t="str">
        <f>IF(ISNA(VLOOKUP(EY25,'ODBC Data'!$B$1:$J$500,5,0)),"",VLOOKUP(EY25,'ODBC Data'!$B$1:$J$500,5,0))</f>
        <v/>
      </c>
      <c r="FD25" s="19" t="str">
        <f>IF('ODBC Data'!$I$24&gt;21,'ODBC Data'!$H$24,"")</f>
        <v/>
      </c>
      <c r="FE25" s="19" t="str">
        <f>IF('ODBC Data'!$I$24&gt;21,22,"")</f>
        <v/>
      </c>
      <c r="FF25" s="17" t="str">
        <f t="shared" si="20"/>
        <v/>
      </c>
      <c r="FG25" t="str">
        <f>IF(ISNA(VLOOKUP(FF25,'ODBC Data'!$B$1:$J$500,3,0)),"",VLOOKUP(FF25,'ODBC Data'!$B$1:$J$500,3,0))</f>
        <v/>
      </c>
      <c r="FH25" s="57" t="str">
        <f>IF(ISNA(VLOOKUP(FF25,'ODBC Data'!$B$1:$J$500,4,0)),"",VLOOKUP(FF25,'ODBC Data'!$B$1:$J$500,4,0))</f>
        <v/>
      </c>
      <c r="FI25" t="str">
        <f>IF(ISNA(VLOOKUP(FF25,'ODBC Data'!$B$1:$J$500,5,0)),"",VLOOKUP(FF25,'ODBC Data'!$B$1:$J$500,5,0))</f>
        <v/>
      </c>
      <c r="FK25" s="19" t="str">
        <f>IF('ODBC Data'!$I$25&gt;21,'ODBC Data'!$H$25,"")</f>
        <v/>
      </c>
      <c r="FL25" s="19" t="str">
        <f>IF('ODBC Data'!$I$25&gt;21,22,"")</f>
        <v/>
      </c>
      <c r="FM25" s="17" t="str">
        <f t="shared" si="21"/>
        <v/>
      </c>
      <c r="FN25" t="str">
        <f>IF(ISNA(VLOOKUP(FM25,'ODBC Data'!$B$1:$J$500,3,0)),"",VLOOKUP(FM25,'ODBC Data'!$B$1:$J$500,3,0))</f>
        <v/>
      </c>
      <c r="FO25" s="57" t="str">
        <f>IF(ISNA(VLOOKUP(FM25,'ODBC Data'!$B$1:$J$500,4,0)),"",VLOOKUP(FM25,'ODBC Data'!$B$1:$J$500,4,0))</f>
        <v/>
      </c>
      <c r="FP25" t="str">
        <f>IF(ISNA(VLOOKUP(FM25,'ODBC Data'!$B$1:$J$500,5,0)),"",VLOOKUP(FM25,'ODBC Data'!$B$1:$J$500,5,0))</f>
        <v/>
      </c>
      <c r="FR25" s="19" t="str">
        <f>IF('ODBC Data'!$I$26&gt;21,'ODBC Data'!$H$26,"")</f>
        <v/>
      </c>
      <c r="FS25" s="19" t="str">
        <f>IF('ODBC Data'!$I$26&gt;21,22,"")</f>
        <v/>
      </c>
      <c r="FT25" s="17" t="str">
        <f t="shared" si="22"/>
        <v/>
      </c>
      <c r="FU25" s="57" t="str">
        <f>IF(ISNA(VLOOKUP(FT25,'ODBC Data'!$B$1:$J$500,3,0)),"",VLOOKUP(FT25,'ODBC Data'!$B$1:$J$500,3,0))</f>
        <v/>
      </c>
      <c r="FV25" s="57" t="str">
        <f>IF(ISNA(VLOOKUP(FT25,'ODBC Data'!$B$1:$J$500,4,0)),"",VLOOKUP(FT25,'ODBC Data'!$B$1:$J$500,4,0))</f>
        <v/>
      </c>
      <c r="FW25" s="57" t="str">
        <f>IF(ISNA(VLOOKUP(FT25,'ODBC Data'!$B$1:$J$500,5,0)),"",VLOOKUP(FT25,'ODBC Data'!$B$1:$J$500,5,0))</f>
        <v/>
      </c>
      <c r="FY25" s="19" t="str">
        <f>IF('ODBC Data'!$I$27&gt;21,'ODBC Data'!$H$27,"")</f>
        <v/>
      </c>
      <c r="FZ25" s="19" t="str">
        <f>IF('ODBC Data'!$I$27&gt;21,22,"")</f>
        <v/>
      </c>
      <c r="GA25" s="17" t="str">
        <f t="shared" si="23"/>
        <v/>
      </c>
      <c r="GB25" s="57" t="str">
        <f>IF(ISNA(VLOOKUP(GA25,'ODBC Data'!$B$1:$J$500,3,0)),"",VLOOKUP(GA25,'ODBC Data'!$B$1:$J$500,3,0))</f>
        <v/>
      </c>
      <c r="GC25" s="57" t="str">
        <f>IF(ISNA(VLOOKUP(GA25,'ODBC Data'!$B$1:$J$500,4,0)),"",VLOOKUP(GA25,'ODBC Data'!$B$1:$J$500,4,0))</f>
        <v/>
      </c>
      <c r="GD25" s="57" t="str">
        <f>IF(ISNA(VLOOKUP(GA25,'ODBC Data'!$B$1:$J$500,5,0)),"",VLOOKUP(GA25,'ODBC Data'!$B$1:$J$500,5,0))</f>
        <v/>
      </c>
    </row>
    <row r="26" spans="1:186">
      <c r="A26" s="19" t="str">
        <f>IF('ODBC Data'!$I$1&gt;22,'ODBC Data'!$H$1,"")</f>
        <v/>
      </c>
      <c r="B26" s="19" t="str">
        <f>IF('ODBC Data'!$I$1&gt;22,23,"")</f>
        <v/>
      </c>
      <c r="C26" s="17" t="str">
        <f t="shared" si="27"/>
        <v/>
      </c>
      <c r="D26" t="str">
        <f>IF(ISNA(VLOOKUP(C26,'ODBC Data'!$B$1:$J$500,3,0)),"",VLOOKUP(C26,'ODBC Data'!$B$1:$J$500,3,0))</f>
        <v/>
      </c>
      <c r="E26" t="str">
        <f>IF(ISNA(VLOOKUP(C26,'ODBC Data'!$B$1:$J$500,5,0)),"",VLOOKUP(C26,'ODBC Data'!$B$1:$J$500,5,0))</f>
        <v/>
      </c>
      <c r="F26" t="str">
        <f t="shared" si="28"/>
        <v/>
      </c>
      <c r="G26" s="19" t="str">
        <f>IF('ODBC Data'!$I$2&gt;22,'ODBC Data'!$H$2,"")</f>
        <v/>
      </c>
      <c r="H26" s="19" t="str">
        <f>IF('ODBC Data'!$I$2&gt;22,23,"")</f>
        <v/>
      </c>
      <c r="I26" s="17" t="str">
        <f t="shared" si="24"/>
        <v/>
      </c>
      <c r="J26" t="str">
        <f>IF(ISNA(VLOOKUP(I26,'ODBC Data'!$B$1:$J$500,3,0)),"",VLOOKUP(I26,'ODBC Data'!$B$1:$J$500,3,0))</f>
        <v/>
      </c>
      <c r="K26" t="str">
        <f>IF(ISNA(VLOOKUP(I26,'ODBC Data'!$B$1:$J$500,5,0)),"",VLOOKUP(I26,'ODBC Data'!$B$1:$J$500,5,0))</f>
        <v/>
      </c>
      <c r="M26" s="19" t="str">
        <f>IF('ODBC Data'!$I$3&gt;22,'ODBC Data'!$H$3,"")</f>
        <v/>
      </c>
      <c r="N26" s="19" t="str">
        <f>IF('ODBC Data'!$I$3&gt;22,23,"")</f>
        <v/>
      </c>
      <c r="O26" s="17" t="str">
        <f t="shared" si="25"/>
        <v/>
      </c>
      <c r="P26" t="str">
        <f>IF(ISNA(VLOOKUP(O26,'ODBC Data'!$B$1:$J$500,3,0)),"",VLOOKUP(O26,'ODBC Data'!$B$1:$J$500,3,0))</f>
        <v/>
      </c>
      <c r="Q26" t="str">
        <f>IF(ISNA(VLOOKUP(O26,'ODBC Data'!$B$1:$J$500,5,0)),"",VLOOKUP(O26,'ODBC Data'!$B$1:$J$500,4,0))</f>
        <v/>
      </c>
      <c r="S26" s="19" t="str">
        <f>IF('ODBC Data'!$I$3&gt;22,'ODBC Data'!$H$3,"")</f>
        <v/>
      </c>
      <c r="T26" s="19" t="str">
        <f>IF('ODBC Data'!$I$3&gt;22,23,"")</f>
        <v/>
      </c>
      <c r="U26" s="17" t="str">
        <f t="shared" si="26"/>
        <v/>
      </c>
      <c r="V26" t="str">
        <f>IF(ISNA(VLOOKUP(U26,'ODBC Data'!$B$1:$J$500,3,0)),"",VLOOKUP(U26,'ODBC Data'!$B$1:$J$500,3,0))</f>
        <v/>
      </c>
      <c r="W26" t="str">
        <f>IF(ISNA(VLOOKUP(U26,'ODBC Data'!$B$1:$J$500,5,0)),"",VLOOKUP(U26,'ODBC Data'!$B$1:$J$500,5,0))</f>
        <v/>
      </c>
      <c r="Y26" s="19" t="str">
        <f>IF('ODBC Data'!$I$4&gt;22,'ODBC Data'!$H$4,"")</f>
        <v/>
      </c>
      <c r="Z26" s="19" t="str">
        <f>IF('ODBC Data'!$I$4&gt;22,23,"")</f>
        <v/>
      </c>
      <c r="AA26" s="17" t="str">
        <f t="shared" si="0"/>
        <v/>
      </c>
      <c r="AB26" s="57" t="str">
        <f>IF(ISNA(VLOOKUP(AA26,'ODBC Data'!$B$1:$J$500,3,0)),"",VLOOKUP(AA26,'ODBC Data'!$B$1:$J$500,3,0))</f>
        <v/>
      </c>
      <c r="AC26" s="57" t="str">
        <f>IF(ISNA(VLOOKUP(AA26,'ODBC Data'!$B$1:$J$500,5,0)),"",VLOOKUP(AA26,'ODBC Data'!$B$1:$J$500,5,0))</f>
        <v/>
      </c>
      <c r="AE26" s="19" t="str">
        <f>IF('ODBC Data'!$I$5&gt;22,'ODBC Data'!$H$5,"")</f>
        <v/>
      </c>
      <c r="AF26" s="19" t="str">
        <f>IF('ODBC Data'!$I$5&gt;22,23,"")</f>
        <v/>
      </c>
      <c r="AG26" s="17" t="str">
        <f t="shared" si="1"/>
        <v/>
      </c>
      <c r="AH26" t="str">
        <f>IF(ISNA(VLOOKUP(AG26,'ODBC Data'!$B$1:$J$500,3,0)),"",VLOOKUP(AG26,'ODBC Data'!$B$1:$J$500,3,0))</f>
        <v/>
      </c>
      <c r="AI26" t="str">
        <f>IF(ISNA(VLOOKUP(AG26,'ODBC Data'!$B$1:$J$500,5,0)),"",VLOOKUP(AG26,'ODBC Data'!$B$1:$J$500,5,0))</f>
        <v/>
      </c>
      <c r="AK26" s="19" t="str">
        <f>IF('ODBC Data'!$I$6&gt;22,'ODBC Data'!$H$6,"")</f>
        <v/>
      </c>
      <c r="AL26" s="19" t="str">
        <f>IF('ODBC Data'!$I$6&gt;22,23,"")</f>
        <v/>
      </c>
      <c r="AM26" s="17" t="str">
        <f t="shared" si="2"/>
        <v/>
      </c>
      <c r="AN26" t="str">
        <f>IF(ISNA(VLOOKUP(AM26,'ODBC Data'!$B$1:$J$500,3,0)),"",VLOOKUP(AM26,'ODBC Data'!$B$1:$J$500,3,0))</f>
        <v/>
      </c>
      <c r="AO26" t="str">
        <f>IF(ISNA(VLOOKUP(AM26,'ODBC Data'!$B$1:$J$500,5,0)),"",VLOOKUP(AM26,'ODBC Data'!$B$1:$J$500,5,0))</f>
        <v/>
      </c>
      <c r="AQ26" s="19" t="str">
        <f>IF('ODBC Data'!$I$7&gt;22,'ODBC Data'!$H$7,"")</f>
        <v/>
      </c>
      <c r="AR26" s="19" t="str">
        <f>IF('ODBC Data'!$I$7&gt;22,23,"")</f>
        <v/>
      </c>
      <c r="AS26" s="17" t="str">
        <f t="shared" si="3"/>
        <v/>
      </c>
      <c r="AT26" t="str">
        <f>IF(ISNA(VLOOKUP(AS26,'ODBC Data'!$B$1:$J$500,3,0)),"",VLOOKUP(AS26,'ODBC Data'!$B$1:$J$500,3,0))</f>
        <v/>
      </c>
      <c r="AU26" t="str">
        <f>IF(ISNA(VLOOKUP(AS26,'ODBC Data'!$B$1:$J$500,5,0)),"",VLOOKUP(AS26,'ODBC Data'!$B$1:$J$500,5,0))</f>
        <v/>
      </c>
      <c r="AW26" s="19" t="str">
        <f>IF('ODBC Data'!$I$8&gt;22,'ODBC Data'!$H$8,"")</f>
        <v/>
      </c>
      <c r="AX26" s="19" t="str">
        <f>IF('ODBC Data'!$I$8&gt;22,23,"")</f>
        <v/>
      </c>
      <c r="AY26" s="17" t="str">
        <f t="shared" si="4"/>
        <v/>
      </c>
      <c r="AZ26" t="str">
        <f>IF(ISNA(VLOOKUP(AY26,'ODBC Data'!$B$1:$J$500,3,0)),"",VLOOKUP(AY26,'ODBC Data'!$B$1:$J$500,3,0))</f>
        <v/>
      </c>
      <c r="BA26" t="str">
        <f>IF(ISNA(VLOOKUP(AY26,'ODBC Data'!$B$1:$J$500,5,0)),"",VLOOKUP(AY26,'ODBC Data'!$B$1:$J$500,5,0))</f>
        <v/>
      </c>
      <c r="BC26" s="19" t="str">
        <f>IF('ODBC Data'!$I$9&gt;22,'ODBC Data'!$H$9,"")</f>
        <v/>
      </c>
      <c r="BD26" s="19" t="str">
        <f>IF('ODBC Data'!$I$9&gt;22,23,"")</f>
        <v/>
      </c>
      <c r="BE26" s="17" t="str">
        <f t="shared" si="5"/>
        <v/>
      </c>
      <c r="BF26" t="str">
        <f>IF(ISNA(VLOOKUP(BE26,'ODBC Data'!$B$1:$J$500,3,0)),"",VLOOKUP(BE26,'ODBC Data'!$B$1:$J$500,3,0))</f>
        <v/>
      </c>
      <c r="BG26" s="57" t="str">
        <f>IF(ISNA(VLOOKUP(BE26,'ODBC Data'!$B$1:$J$500,4,0)),"",VLOOKUP(BE26,'ODBC Data'!$B$1:$J$500,4,0))</f>
        <v/>
      </c>
      <c r="BH26" t="str">
        <f>IF(ISNA(VLOOKUP(BE26,'ODBC Data'!$B$1:$J$500,5,0)),"",VLOOKUP(BE26,'ODBC Data'!$B$1:$J$500,5,0))</f>
        <v/>
      </c>
      <c r="BJ26" s="19" t="str">
        <f>IF('ODBC Data'!$I$10&gt;22,'ODBC Data'!$H$10,"")</f>
        <v/>
      </c>
      <c r="BK26" s="19" t="str">
        <f>IF('ODBC Data'!$I$10&gt;22,23,"")</f>
        <v/>
      </c>
      <c r="BL26" s="17" t="str">
        <f t="shared" si="6"/>
        <v/>
      </c>
      <c r="BM26" t="str">
        <f>IF(ISNA(VLOOKUP(BL26,'ODBC Data'!$B$1:$J$500,3,0)),"",VLOOKUP(BL26,'ODBC Data'!$B$1:$J$500,3,0))</f>
        <v/>
      </c>
      <c r="BN26" s="57" t="str">
        <f>IF(ISNA(VLOOKUP(BL26,'ODBC Data'!$B$1:$J$500,4,0)),"",VLOOKUP(BL26,'ODBC Data'!$B$1:$J$500,4,0))</f>
        <v/>
      </c>
      <c r="BO26" t="str">
        <f>IF(ISNA(VLOOKUP(BL26,'ODBC Data'!$B$1:$J$500,5,0)),"",VLOOKUP(BL26,'ODBC Data'!$B$1:$J$500,5,0))</f>
        <v/>
      </c>
      <c r="BQ26" s="19" t="str">
        <f>IF('ODBC Data'!$I$11&gt;22,'ODBC Data'!$H$11,"")</f>
        <v/>
      </c>
      <c r="BR26" s="19" t="str">
        <f>IF('ODBC Data'!$I$11&gt;22,23,"")</f>
        <v/>
      </c>
      <c r="BS26" s="17" t="str">
        <f t="shared" si="7"/>
        <v/>
      </c>
      <c r="BT26" t="str">
        <f>IF(ISNA(VLOOKUP(BS26,'ODBC Data'!$B$1:$J$500,3,0)),"",VLOOKUP(BS26,'ODBC Data'!$B$1:$J$500,3,0))</f>
        <v/>
      </c>
      <c r="BU26" s="57" t="str">
        <f>IF(ISNA(VLOOKUP(BS26,'ODBC Data'!$B$1:$J$500,4,0)),"",VLOOKUP(BS26,'ODBC Data'!$B$1:$J$500,4,0))</f>
        <v/>
      </c>
      <c r="BV26" t="str">
        <f>IF(ISNA(VLOOKUP(BS26,'ODBC Data'!$B$1:$J$500,5,0)),"",VLOOKUP(BS26,'ODBC Data'!$B$1:$J$500,5,0))</f>
        <v/>
      </c>
      <c r="BX26" s="19" t="str">
        <f>IF('ODBC Data'!$I$12&gt;22,'ODBC Data'!$H$12,"")</f>
        <v/>
      </c>
      <c r="BY26" s="19" t="str">
        <f>IF('ODBC Data'!$I$12&gt;22,23,"")</f>
        <v/>
      </c>
      <c r="BZ26" s="17" t="str">
        <f t="shared" si="8"/>
        <v/>
      </c>
      <c r="CA26" t="str">
        <f>IF(ISNA(VLOOKUP(BZ26,'ODBC Data'!$B$1:$J$500,3,0)),"",VLOOKUP(BZ26,'ODBC Data'!$B$1:$J$500,3,0))</f>
        <v/>
      </c>
      <c r="CB26" s="57" t="str">
        <f>IF(ISNA(VLOOKUP(BZ26,'ODBC Data'!$B$1:$J$500,4,0)),"",VLOOKUP(BZ26,'ODBC Data'!$B$1:$J$500,4,0))</f>
        <v/>
      </c>
      <c r="CC26" t="str">
        <f>IF(ISNA(VLOOKUP(BZ26,'ODBC Data'!$B$1:$J$500,5,0)),"",VLOOKUP(BZ26,'ODBC Data'!$B$1:$J$500,5,0))</f>
        <v/>
      </c>
      <c r="CE26" s="19" t="str">
        <f>IF('ODBC Data'!$I$13&gt;22,'ODBC Data'!$H$13,"")</f>
        <v/>
      </c>
      <c r="CF26" s="19" t="str">
        <f>IF('ODBC Data'!$I$13&gt;22,23,"")</f>
        <v/>
      </c>
      <c r="CG26" s="17" t="str">
        <f t="shared" si="9"/>
        <v/>
      </c>
      <c r="CH26" t="str">
        <f>IF(ISNA(VLOOKUP(CG26,'ODBC Data'!$B$1:$J$500,3,0)),"",VLOOKUP(CG26,'ODBC Data'!$B$1:$J$500,3,0))</f>
        <v/>
      </c>
      <c r="CI26" s="57" t="str">
        <f>IF(ISNA(VLOOKUP(CG26,'ODBC Data'!$B$1:$J$500,4,0)),"",VLOOKUP(CG26,'ODBC Data'!$B$1:$J$500,4,0))</f>
        <v/>
      </c>
      <c r="CJ26" t="str">
        <f>IF(ISNA(VLOOKUP(CG26,'ODBC Data'!$B$1:$J$500,5,0)),"",VLOOKUP(CG26,'ODBC Data'!$B$1:$J$500,5,0))</f>
        <v/>
      </c>
      <c r="CL26" s="19" t="str">
        <f>IF('ODBC Data'!$I$14&gt;22,'ODBC Data'!$H$14,"")</f>
        <v/>
      </c>
      <c r="CM26" s="19" t="str">
        <f>IF('ODBC Data'!$I$14&gt;22,23,"")</f>
        <v/>
      </c>
      <c r="CN26" s="17" t="str">
        <f t="shared" si="10"/>
        <v/>
      </c>
      <c r="CO26" s="57" t="str">
        <f>IF(ISNA(VLOOKUP(CN26,'ODBC Data'!$B$1:$J$500,3,0)),"",VLOOKUP(CN26,'ODBC Data'!$B$1:$J$500,3,0))</f>
        <v/>
      </c>
      <c r="CP26" s="57" t="str">
        <f>IF(ISNA(VLOOKUP(CN26,'ODBC Data'!$B$1:$J$500,4,0)),"",VLOOKUP(CN26,'ODBC Data'!$B$1:$J$500,4,0))</f>
        <v/>
      </c>
      <c r="CQ26" s="57" t="str">
        <f>IF(ISNA(VLOOKUP(CN26,'ODBC Data'!$B$1:$J$500,5,0)),"",VLOOKUP(CN26,'ODBC Data'!$B$1:$J$500,5,0))</f>
        <v/>
      </c>
      <c r="CS26" s="19" t="str">
        <f>IF('ODBC Data'!$I$15&gt;22,'ODBC Data'!$H$15,"")</f>
        <v/>
      </c>
      <c r="CT26" s="19" t="str">
        <f>IF('ODBC Data'!$I$15&gt;22,23,"")</f>
        <v/>
      </c>
      <c r="CU26" s="17" t="str">
        <f t="shared" si="11"/>
        <v/>
      </c>
      <c r="CV26" t="str">
        <f>IF(ISNA(VLOOKUP(CU26,'ODBC Data'!$B$1:$J$500,3,0)),"",VLOOKUP(CU26,'ODBC Data'!$B$1:$J$500,3,0))</f>
        <v/>
      </c>
      <c r="CW26" s="57" t="str">
        <f>IF(ISNA(VLOOKUP(CU26,'ODBC Data'!$B$1:$J$500,4,0)),"",VLOOKUP(CU26,'ODBC Data'!$B$1:$J$500,4,0))</f>
        <v/>
      </c>
      <c r="CX26" t="str">
        <f>IF(ISNA(VLOOKUP(CU26,'ODBC Data'!$B$1:$J$500,5,0)),"",VLOOKUP(CU26,'ODBC Data'!$B$1:$J$500,5,0))</f>
        <v/>
      </c>
      <c r="CZ26" s="19" t="str">
        <f>IF('ODBC Data'!$I$16&gt;22,'ODBC Data'!$H$16,"")</f>
        <v/>
      </c>
      <c r="DA26" s="19" t="str">
        <f>IF('ODBC Data'!$I$16&gt;22,23,"")</f>
        <v/>
      </c>
      <c r="DB26" s="17" t="str">
        <f t="shared" si="12"/>
        <v/>
      </c>
      <c r="DC26" t="str">
        <f>IF(ISNA(VLOOKUP(DB26,'ODBC Data'!$B$1:$J$500,3,0)),"",VLOOKUP(DB26,'ODBC Data'!$B$1:$J$500,3,0))</f>
        <v/>
      </c>
      <c r="DD26" s="57" t="str">
        <f>IF(ISNA(VLOOKUP(DB26,'ODBC Data'!$B$1:$J$500,4,0)),"",VLOOKUP(DB26,'ODBC Data'!$B$1:$J$500,4,0))</f>
        <v/>
      </c>
      <c r="DE26" t="str">
        <f>IF(ISNA(VLOOKUP(DB26,'ODBC Data'!$B$1:$J$500,5,0)),"",VLOOKUP(DB26,'ODBC Data'!$B$1:$J$500,5,0))</f>
        <v/>
      </c>
      <c r="DG26" s="19" t="str">
        <f>IF('ODBC Data'!$I$17&gt;22,'ODBC Data'!$H$17,"")</f>
        <v/>
      </c>
      <c r="DH26" s="19" t="str">
        <f>IF('ODBC Data'!$I$17&gt;22,23,"")</f>
        <v/>
      </c>
      <c r="DI26" s="17" t="str">
        <f t="shared" si="13"/>
        <v/>
      </c>
      <c r="DJ26" t="str">
        <f>IF(ISNA(VLOOKUP(DI26,'ODBC Data'!$B$1:$J$500,3,0)),"",VLOOKUP(DI26,'ODBC Data'!$B$1:$J$500,3,0))</f>
        <v/>
      </c>
      <c r="DK26" s="57" t="str">
        <f>IF(ISNA(VLOOKUP(DI26,'ODBC Data'!$B$1:$J$500,4,0)),"",VLOOKUP(DI26,'ODBC Data'!$B$1:$J$500,4,0))</f>
        <v/>
      </c>
      <c r="DL26" t="str">
        <f>IF(ISNA(VLOOKUP(DI26,'ODBC Data'!$B$1:$J$500,5,0)),"",VLOOKUP(DI26,'ODBC Data'!$B$1:$J$500,5,0))</f>
        <v/>
      </c>
      <c r="DN26" s="19" t="str">
        <f>IF('ODBC Data'!$I$18&gt;22,'ODBC Data'!$H$18,"")</f>
        <v/>
      </c>
      <c r="DO26" s="19" t="str">
        <f>IF('ODBC Data'!$I$18&gt;22,23,"")</f>
        <v/>
      </c>
      <c r="DP26" s="17" t="str">
        <f t="shared" si="14"/>
        <v/>
      </c>
      <c r="DQ26" t="str">
        <f>IF(ISNA(VLOOKUP(DP26,'ODBC Data'!$B$1:$J$500,3,0)),"",VLOOKUP(DP26,'ODBC Data'!$B$1:$J$500,3,0))</f>
        <v/>
      </c>
      <c r="DR26" s="57" t="str">
        <f>IF(ISNA(VLOOKUP(DP26,'ODBC Data'!$B$1:$J$500,4,0)),"",VLOOKUP(DP26,'ODBC Data'!$B$1:$J$500,4,0))</f>
        <v/>
      </c>
      <c r="DS26" t="str">
        <f>IF(ISNA(VLOOKUP(DP26,'ODBC Data'!$B$1:$J$500,5,0)),"",VLOOKUP(DP26,'ODBC Data'!$B$1:$J$500,5,0))</f>
        <v/>
      </c>
      <c r="DU26" s="19" t="str">
        <f>IF('ODBC Data'!$I$19&gt;22,'ODBC Data'!$H$19,"")</f>
        <v/>
      </c>
      <c r="DV26" s="19" t="str">
        <f>IF('ODBC Data'!$I$19&gt;22,23,"")</f>
        <v/>
      </c>
      <c r="DW26" s="17" t="str">
        <f t="shared" si="15"/>
        <v/>
      </c>
      <c r="DX26" t="str">
        <f>IF(ISNA(VLOOKUP(DW26,'ODBC Data'!$B$1:$J$500,3,0)),"",VLOOKUP(DW26,'ODBC Data'!$B$1:$J$500,3,0))</f>
        <v/>
      </c>
      <c r="DY26" s="57" t="str">
        <f>IF(ISNA(VLOOKUP(DW26,'ODBC Data'!$B$1:$J$500,4,0)),"",VLOOKUP(DW26,'ODBC Data'!$B$1:$J$500,4,0))</f>
        <v/>
      </c>
      <c r="DZ26" t="str">
        <f>IF(ISNA(VLOOKUP(DW26,'ODBC Data'!$B$1:$J$500,5,0)),"",VLOOKUP(DW26,'ODBC Data'!$B$1:$J$500,5,0))</f>
        <v/>
      </c>
      <c r="EB26" s="19" t="str">
        <f>IF('ODBC Data'!$I$20&gt;22,'ODBC Data'!$H$20,"")</f>
        <v/>
      </c>
      <c r="EC26" s="19" t="str">
        <f>IF('ODBC Data'!$I$20&gt;22,23,"")</f>
        <v/>
      </c>
      <c r="ED26" s="17" t="str">
        <f t="shared" si="16"/>
        <v/>
      </c>
      <c r="EE26" s="57" t="str">
        <f>IF(ISNA(VLOOKUP(ED26,'ODBC Data'!$B$1:$J$500,3,0)),"",VLOOKUP(ED26,'ODBC Data'!$B$1:$J$500,3,0))</f>
        <v/>
      </c>
      <c r="EF26" s="57" t="str">
        <f>IF(ISNA(VLOOKUP(ED26,'ODBC Data'!$B$1:$J$500,4,0)),"",VLOOKUP(ED26,'ODBC Data'!$B$1:$J$500,4,0))</f>
        <v/>
      </c>
      <c r="EG26" s="57" t="str">
        <f>IF(ISNA(VLOOKUP(ED26,'ODBC Data'!$B$1:$J$500,5,0)),"",VLOOKUP(ED26,'ODBC Data'!$B$1:$J$500,5,0))</f>
        <v/>
      </c>
      <c r="EI26" s="19" t="str">
        <f>IF('ODBC Data'!$I$21&gt;22,'ODBC Data'!$H$21,"")</f>
        <v/>
      </c>
      <c r="EJ26" s="19" t="str">
        <f>IF('ODBC Data'!$I$21&gt;22,23,"")</f>
        <v/>
      </c>
      <c r="EK26" s="17" t="str">
        <f t="shared" si="17"/>
        <v/>
      </c>
      <c r="EL26" t="str">
        <f>IF(ISNA(VLOOKUP(EK26,'ODBC Data'!$B$1:$J$500,3,0)),"",VLOOKUP(EK26,'ODBC Data'!$B$1:$J$500,3,0))</f>
        <v/>
      </c>
      <c r="EM26" s="57" t="str">
        <f>IF(ISNA(VLOOKUP(EK26,'ODBC Data'!$B$1:$J$500,4,0)),"",VLOOKUP(EK26,'ODBC Data'!$B$1:$J$500,4,0))</f>
        <v/>
      </c>
      <c r="EN26" t="str">
        <f>IF(ISNA(VLOOKUP(EK26,'ODBC Data'!$B$1:$J$500,5,0)),"",VLOOKUP(EK26,'ODBC Data'!$B$1:$J$500,5,0))</f>
        <v/>
      </c>
      <c r="EP26" s="19" t="str">
        <f>IF('ODBC Data'!$I$22&gt;22,'ODBC Data'!$H$22,"")</f>
        <v/>
      </c>
      <c r="EQ26" s="19" t="str">
        <f>IF('ODBC Data'!$I$22&gt;22,23,"")</f>
        <v/>
      </c>
      <c r="ER26" s="17" t="str">
        <f t="shared" si="18"/>
        <v/>
      </c>
      <c r="ES26" t="str">
        <f>IF(ISNA(VLOOKUP(ER26,'ODBC Data'!$B$1:$J$500,3,0)),"",VLOOKUP(ER26,'ODBC Data'!$B$1:$J$500,3,0))</f>
        <v/>
      </c>
      <c r="ET26" s="57" t="str">
        <f>IF(ISNA(VLOOKUP(ER26,'ODBC Data'!$B$1:$J$500,4,0)),"",VLOOKUP(ER26,'ODBC Data'!$B$1:$J$500,4,0))</f>
        <v/>
      </c>
      <c r="EU26" t="str">
        <f>IF(ISNA(VLOOKUP(ER26,'ODBC Data'!$B$1:$J$500,5,0)),"",VLOOKUP(ER26,'ODBC Data'!$B$1:$J$500,5,0))</f>
        <v/>
      </c>
      <c r="EW26" s="19" t="str">
        <f>IF('ODBC Data'!$I$23&gt;22,'ODBC Data'!$H$23,"")</f>
        <v/>
      </c>
      <c r="EX26" s="19" t="str">
        <f>IF('ODBC Data'!$I$23&gt;22,23,"")</f>
        <v/>
      </c>
      <c r="EY26" s="17" t="str">
        <f t="shared" si="19"/>
        <v/>
      </c>
      <c r="EZ26" t="str">
        <f>IF(ISNA(VLOOKUP(EY26,'ODBC Data'!$B$1:$J$500,3,0)),"",VLOOKUP(EY26,'ODBC Data'!$B$1:$J$500,3,0))</f>
        <v/>
      </c>
      <c r="FA26" s="57" t="str">
        <f>IF(ISNA(VLOOKUP(EY26,'ODBC Data'!$B$1:$J$500,4,0)),"",VLOOKUP(EY26,'ODBC Data'!$B$1:$J$500,4,0))</f>
        <v/>
      </c>
      <c r="FB26" t="str">
        <f>IF(ISNA(VLOOKUP(EY26,'ODBC Data'!$B$1:$J$500,5,0)),"",VLOOKUP(EY26,'ODBC Data'!$B$1:$J$500,5,0))</f>
        <v/>
      </c>
      <c r="FD26" s="19" t="str">
        <f>IF('ODBC Data'!$I$24&gt;22,'ODBC Data'!$H$24,"")</f>
        <v/>
      </c>
      <c r="FE26" s="19" t="str">
        <f>IF('ODBC Data'!$I$24&gt;22,23,"")</f>
        <v/>
      </c>
      <c r="FF26" s="17" t="str">
        <f t="shared" si="20"/>
        <v/>
      </c>
      <c r="FG26" t="str">
        <f>IF(ISNA(VLOOKUP(FF26,'ODBC Data'!$B$1:$J$500,3,0)),"",VLOOKUP(FF26,'ODBC Data'!$B$1:$J$500,3,0))</f>
        <v/>
      </c>
      <c r="FH26" s="57" t="str">
        <f>IF(ISNA(VLOOKUP(FF26,'ODBC Data'!$B$1:$J$500,4,0)),"",VLOOKUP(FF26,'ODBC Data'!$B$1:$J$500,4,0))</f>
        <v/>
      </c>
      <c r="FI26" t="str">
        <f>IF(ISNA(VLOOKUP(FF26,'ODBC Data'!$B$1:$J$500,5,0)),"",VLOOKUP(FF26,'ODBC Data'!$B$1:$J$500,5,0))</f>
        <v/>
      </c>
      <c r="FK26" s="19" t="str">
        <f>IF('ODBC Data'!$I$25&gt;22,'ODBC Data'!$H$25,"")</f>
        <v/>
      </c>
      <c r="FL26" s="19" t="str">
        <f>IF('ODBC Data'!$I$25&gt;22,23,"")</f>
        <v/>
      </c>
      <c r="FM26" s="17" t="str">
        <f t="shared" si="21"/>
        <v/>
      </c>
      <c r="FN26" t="str">
        <f>IF(ISNA(VLOOKUP(FM26,'ODBC Data'!$B$1:$J$500,3,0)),"",VLOOKUP(FM26,'ODBC Data'!$B$1:$J$500,3,0))</f>
        <v/>
      </c>
      <c r="FO26" s="57" t="str">
        <f>IF(ISNA(VLOOKUP(FM26,'ODBC Data'!$B$1:$J$500,4,0)),"",VLOOKUP(FM26,'ODBC Data'!$B$1:$J$500,4,0))</f>
        <v/>
      </c>
      <c r="FP26" t="str">
        <f>IF(ISNA(VLOOKUP(FM26,'ODBC Data'!$B$1:$J$500,5,0)),"",VLOOKUP(FM26,'ODBC Data'!$B$1:$J$500,5,0))</f>
        <v/>
      </c>
      <c r="FR26" s="19" t="str">
        <f>IF('ODBC Data'!$I$26&gt;22,'ODBC Data'!$H$26,"")</f>
        <v/>
      </c>
      <c r="FS26" s="19" t="str">
        <f>IF('ODBC Data'!$I$26&gt;22,23,"")</f>
        <v/>
      </c>
      <c r="FT26" s="17" t="str">
        <f t="shared" si="22"/>
        <v/>
      </c>
      <c r="FU26" s="57" t="str">
        <f>IF(ISNA(VLOOKUP(FT26,'ODBC Data'!$B$1:$J$500,3,0)),"",VLOOKUP(FT26,'ODBC Data'!$B$1:$J$500,3,0))</f>
        <v/>
      </c>
      <c r="FV26" s="57" t="str">
        <f>IF(ISNA(VLOOKUP(FT26,'ODBC Data'!$B$1:$J$500,4,0)),"",VLOOKUP(FT26,'ODBC Data'!$B$1:$J$500,4,0))</f>
        <v/>
      </c>
      <c r="FW26" s="57" t="str">
        <f>IF(ISNA(VLOOKUP(FT26,'ODBC Data'!$B$1:$J$500,5,0)),"",VLOOKUP(FT26,'ODBC Data'!$B$1:$J$500,5,0))</f>
        <v/>
      </c>
      <c r="FY26" s="19" t="str">
        <f>IF('ODBC Data'!$I$27&gt;22,'ODBC Data'!$H$27,"")</f>
        <v/>
      </c>
      <c r="FZ26" s="19" t="str">
        <f>IF('ODBC Data'!$I$27&gt;22,23,"")</f>
        <v/>
      </c>
      <c r="GA26" s="17" t="str">
        <f t="shared" si="23"/>
        <v/>
      </c>
      <c r="GB26" s="57" t="str">
        <f>IF(ISNA(VLOOKUP(GA26,'ODBC Data'!$B$1:$J$500,3,0)),"",VLOOKUP(GA26,'ODBC Data'!$B$1:$J$500,3,0))</f>
        <v/>
      </c>
      <c r="GC26" s="57" t="str">
        <f>IF(ISNA(VLOOKUP(GA26,'ODBC Data'!$B$1:$J$500,4,0)),"",VLOOKUP(GA26,'ODBC Data'!$B$1:$J$500,4,0))</f>
        <v/>
      </c>
      <c r="GD26" s="57" t="str">
        <f>IF(ISNA(VLOOKUP(GA26,'ODBC Data'!$B$1:$J$500,5,0)),"",VLOOKUP(GA26,'ODBC Data'!$B$1:$J$500,5,0))</f>
        <v/>
      </c>
    </row>
    <row r="27" spans="1:186">
      <c r="A27" s="19" t="str">
        <f>IF('ODBC Data'!$I$1&gt;23,'ODBC Data'!$H$1,"")</f>
        <v/>
      </c>
      <c r="B27" s="19" t="str">
        <f>IF('ODBC Data'!$I$1&gt;23,24,"")</f>
        <v/>
      </c>
      <c r="C27" s="17" t="str">
        <f t="shared" si="27"/>
        <v/>
      </c>
      <c r="D27" t="str">
        <f>IF(ISNA(VLOOKUP(C27,'ODBC Data'!$B$1:$J$500,3,0)),"",VLOOKUP(C27,'ODBC Data'!$B$1:$J$500,3,0))</f>
        <v/>
      </c>
      <c r="E27" t="str">
        <f>IF(ISNA(VLOOKUP(C27,'ODBC Data'!$B$1:$J$500,5,0)),"",VLOOKUP(C27,'ODBC Data'!$B$1:$J$500,5,0))</f>
        <v/>
      </c>
      <c r="F27" t="str">
        <f t="shared" si="28"/>
        <v/>
      </c>
      <c r="G27" s="19" t="str">
        <f>IF('ODBC Data'!$I$2&gt;23,'ODBC Data'!$H$2,"")</f>
        <v/>
      </c>
      <c r="H27" s="19" t="str">
        <f>IF('ODBC Data'!$I$2&gt;23,24,"")</f>
        <v/>
      </c>
      <c r="I27" s="17" t="str">
        <f t="shared" si="24"/>
        <v/>
      </c>
      <c r="J27" t="str">
        <f>IF(ISNA(VLOOKUP(I27,'ODBC Data'!$B$1:$J$500,3,0)),"",VLOOKUP(I27,'ODBC Data'!$B$1:$J$500,3,0))</f>
        <v/>
      </c>
      <c r="K27" t="str">
        <f>IF(ISNA(VLOOKUP(I27,'ODBC Data'!$B$1:$J$500,5,0)),"",VLOOKUP(I27,'ODBC Data'!$B$1:$J$500,5,0))</f>
        <v/>
      </c>
      <c r="M27" s="19" t="str">
        <f>IF('ODBC Data'!$I$3&gt;23,'ODBC Data'!$H$3,"")</f>
        <v/>
      </c>
      <c r="N27" s="19" t="str">
        <f>IF('ODBC Data'!$I$3&gt;23,24,"")</f>
        <v/>
      </c>
      <c r="O27" s="17" t="str">
        <f t="shared" si="25"/>
        <v/>
      </c>
      <c r="P27" t="str">
        <f>IF(ISNA(VLOOKUP(O27,'ODBC Data'!$B$1:$J$500,3,0)),"",VLOOKUP(O27,'ODBC Data'!$B$1:$J$500,3,0))</f>
        <v/>
      </c>
      <c r="Q27" t="str">
        <f>IF(ISNA(VLOOKUP(O27,'ODBC Data'!$B$1:$J$500,5,0)),"",VLOOKUP(O27,'ODBC Data'!$B$1:$J$500,4,0))</f>
        <v/>
      </c>
      <c r="S27" s="19" t="str">
        <f>IF('ODBC Data'!$I$3&gt;23,'ODBC Data'!$H$3,"")</f>
        <v/>
      </c>
      <c r="T27" s="19" t="str">
        <f>IF('ODBC Data'!$I$3&gt;23,24,"")</f>
        <v/>
      </c>
      <c r="U27" s="17" t="str">
        <f t="shared" si="26"/>
        <v/>
      </c>
      <c r="V27" t="str">
        <f>IF(ISNA(VLOOKUP(U27,'ODBC Data'!$B$1:$J$500,3,0)),"",VLOOKUP(U27,'ODBC Data'!$B$1:$J$500,3,0))</f>
        <v/>
      </c>
      <c r="W27" t="str">
        <f>IF(ISNA(VLOOKUP(U27,'ODBC Data'!$B$1:$J$500,5,0)),"",VLOOKUP(U27,'ODBC Data'!$B$1:$J$500,5,0))</f>
        <v/>
      </c>
      <c r="Y27" s="19" t="str">
        <f>IF('ODBC Data'!$I$4&gt;23,'ODBC Data'!$H$4,"")</f>
        <v/>
      </c>
      <c r="Z27" s="19" t="str">
        <f>IF('ODBC Data'!$I$4&gt;23,24,"")</f>
        <v/>
      </c>
      <c r="AA27" s="17" t="str">
        <f t="shared" si="0"/>
        <v/>
      </c>
      <c r="AB27" s="57" t="str">
        <f>IF(ISNA(VLOOKUP(AA27,'ODBC Data'!$B$1:$J$500,3,0)),"",VLOOKUP(AA27,'ODBC Data'!$B$1:$J$500,3,0))</f>
        <v/>
      </c>
      <c r="AC27" s="57" t="str">
        <f>IF(ISNA(VLOOKUP(AA27,'ODBC Data'!$B$1:$J$500,5,0)),"",VLOOKUP(AA27,'ODBC Data'!$B$1:$J$500,5,0))</f>
        <v/>
      </c>
      <c r="AE27" s="19" t="str">
        <f>IF('ODBC Data'!$I$5&gt;23,'ODBC Data'!$H$5,"")</f>
        <v/>
      </c>
      <c r="AF27" s="19" t="str">
        <f>IF('ODBC Data'!$I$5&gt;23,24,"")</f>
        <v/>
      </c>
      <c r="AG27" s="17" t="str">
        <f t="shared" si="1"/>
        <v/>
      </c>
      <c r="AH27" t="str">
        <f>IF(ISNA(VLOOKUP(AG27,'ODBC Data'!$B$1:$J$500,3,0)),"",VLOOKUP(AG27,'ODBC Data'!$B$1:$J$500,3,0))</f>
        <v/>
      </c>
      <c r="AI27" t="str">
        <f>IF(ISNA(VLOOKUP(AG27,'ODBC Data'!$B$1:$J$500,5,0)),"",VLOOKUP(AG27,'ODBC Data'!$B$1:$J$500,5,0))</f>
        <v/>
      </c>
      <c r="AK27" s="19" t="str">
        <f>IF('ODBC Data'!$I$6&gt;23,'ODBC Data'!$H$6,"")</f>
        <v/>
      </c>
      <c r="AL27" s="19" t="str">
        <f>IF('ODBC Data'!$I$6&gt;23,24,"")</f>
        <v/>
      </c>
      <c r="AM27" s="17" t="str">
        <f t="shared" si="2"/>
        <v/>
      </c>
      <c r="AN27" t="str">
        <f>IF(ISNA(VLOOKUP(AM27,'ODBC Data'!$B$1:$J$500,3,0)),"",VLOOKUP(AM27,'ODBC Data'!$B$1:$J$500,3,0))</f>
        <v/>
      </c>
      <c r="AO27" t="str">
        <f>IF(ISNA(VLOOKUP(AM27,'ODBC Data'!$B$1:$J$500,5,0)),"",VLOOKUP(AM27,'ODBC Data'!$B$1:$J$500,5,0))</f>
        <v/>
      </c>
      <c r="AQ27" s="19" t="str">
        <f>IF('ODBC Data'!$I$7&gt;23,'ODBC Data'!$H$7,"")</f>
        <v/>
      </c>
      <c r="AR27" s="19" t="str">
        <f>IF('ODBC Data'!$I$7&gt;23,24,"")</f>
        <v/>
      </c>
      <c r="AS27" s="17" t="str">
        <f t="shared" si="3"/>
        <v/>
      </c>
      <c r="AT27" t="str">
        <f>IF(ISNA(VLOOKUP(AS27,'ODBC Data'!$B$1:$J$500,3,0)),"",VLOOKUP(AS27,'ODBC Data'!$B$1:$J$500,3,0))</f>
        <v/>
      </c>
      <c r="AU27" t="str">
        <f>IF(ISNA(VLOOKUP(AS27,'ODBC Data'!$B$1:$J$500,5,0)),"",VLOOKUP(AS27,'ODBC Data'!$B$1:$J$500,5,0))</f>
        <v/>
      </c>
      <c r="AW27" s="19" t="str">
        <f>IF('ODBC Data'!$I$8&gt;23,'ODBC Data'!$H$8,"")</f>
        <v/>
      </c>
      <c r="AX27" s="19" t="str">
        <f>IF('ODBC Data'!$I$8&gt;23,24,"")</f>
        <v/>
      </c>
      <c r="AY27" s="17" t="str">
        <f t="shared" si="4"/>
        <v/>
      </c>
      <c r="AZ27" t="str">
        <f>IF(ISNA(VLOOKUP(AY27,'ODBC Data'!$B$1:$J$500,3,0)),"",VLOOKUP(AY27,'ODBC Data'!$B$1:$J$500,3,0))</f>
        <v/>
      </c>
      <c r="BA27" t="str">
        <f>IF(ISNA(VLOOKUP(AY27,'ODBC Data'!$B$1:$J$500,5,0)),"",VLOOKUP(AY27,'ODBC Data'!$B$1:$J$500,5,0))</f>
        <v/>
      </c>
      <c r="BC27" s="19" t="str">
        <f>IF('ODBC Data'!$I$9&gt;23,'ODBC Data'!$H$9,"")</f>
        <v/>
      </c>
      <c r="BD27" s="19" t="str">
        <f>IF('ODBC Data'!$I$9&gt;23,24,"")</f>
        <v/>
      </c>
      <c r="BE27" s="17" t="str">
        <f t="shared" si="5"/>
        <v/>
      </c>
      <c r="BF27" t="str">
        <f>IF(ISNA(VLOOKUP(BE27,'ODBC Data'!$B$1:$J$500,3,0)),"",VLOOKUP(BE27,'ODBC Data'!$B$1:$J$500,3,0))</f>
        <v/>
      </c>
      <c r="BG27" s="57" t="str">
        <f>IF(ISNA(VLOOKUP(BE27,'ODBC Data'!$B$1:$J$500,4,0)),"",VLOOKUP(BE27,'ODBC Data'!$B$1:$J$500,4,0))</f>
        <v/>
      </c>
      <c r="BH27" t="str">
        <f>IF(ISNA(VLOOKUP(BE27,'ODBC Data'!$B$1:$J$500,5,0)),"",VLOOKUP(BE27,'ODBC Data'!$B$1:$J$500,5,0))</f>
        <v/>
      </c>
      <c r="BJ27" s="19" t="str">
        <f>IF('ODBC Data'!$I$10&gt;23,'ODBC Data'!$H$10,"")</f>
        <v/>
      </c>
      <c r="BK27" s="19" t="str">
        <f>IF('ODBC Data'!$I$10&gt;23,24,"")</f>
        <v/>
      </c>
      <c r="BL27" s="17" t="str">
        <f t="shared" si="6"/>
        <v/>
      </c>
      <c r="BM27" t="str">
        <f>IF(ISNA(VLOOKUP(BL27,'ODBC Data'!$B$1:$J$500,3,0)),"",VLOOKUP(BL27,'ODBC Data'!$B$1:$J$500,3,0))</f>
        <v/>
      </c>
      <c r="BN27" s="57" t="str">
        <f>IF(ISNA(VLOOKUP(BL27,'ODBC Data'!$B$1:$J$500,4,0)),"",VLOOKUP(BL27,'ODBC Data'!$B$1:$J$500,4,0))</f>
        <v/>
      </c>
      <c r="BO27" t="str">
        <f>IF(ISNA(VLOOKUP(BL27,'ODBC Data'!$B$1:$J$500,5,0)),"",VLOOKUP(BL27,'ODBC Data'!$B$1:$J$500,5,0))</f>
        <v/>
      </c>
      <c r="BQ27" s="19" t="str">
        <f>IF('ODBC Data'!$I$11&gt;23,'ODBC Data'!$H$11,"")</f>
        <v/>
      </c>
      <c r="BR27" s="19" t="str">
        <f>IF('ODBC Data'!$I$11&gt;23,24,"")</f>
        <v/>
      </c>
      <c r="BS27" s="17" t="str">
        <f t="shared" si="7"/>
        <v/>
      </c>
      <c r="BT27" t="str">
        <f>IF(ISNA(VLOOKUP(BS27,'ODBC Data'!$B$1:$J$500,3,0)),"",VLOOKUP(BS27,'ODBC Data'!$B$1:$J$500,3,0))</f>
        <v/>
      </c>
      <c r="BU27" s="57" t="str">
        <f>IF(ISNA(VLOOKUP(BS27,'ODBC Data'!$B$1:$J$500,4,0)),"",VLOOKUP(BS27,'ODBC Data'!$B$1:$J$500,4,0))</f>
        <v/>
      </c>
      <c r="BV27" t="str">
        <f>IF(ISNA(VLOOKUP(BS27,'ODBC Data'!$B$1:$J$500,5,0)),"",VLOOKUP(BS27,'ODBC Data'!$B$1:$J$500,5,0))</f>
        <v/>
      </c>
      <c r="BX27" s="19" t="str">
        <f>IF('ODBC Data'!$I$12&gt;23,'ODBC Data'!$H$12,"")</f>
        <v/>
      </c>
      <c r="BY27" s="19" t="str">
        <f>IF('ODBC Data'!$I$12&gt;23,24,"")</f>
        <v/>
      </c>
      <c r="BZ27" s="17" t="str">
        <f t="shared" si="8"/>
        <v/>
      </c>
      <c r="CA27" t="str">
        <f>IF(ISNA(VLOOKUP(BZ27,'ODBC Data'!$B$1:$J$500,3,0)),"",VLOOKUP(BZ27,'ODBC Data'!$B$1:$J$500,3,0))</f>
        <v/>
      </c>
      <c r="CB27" s="57" t="str">
        <f>IF(ISNA(VLOOKUP(BZ27,'ODBC Data'!$B$1:$J$500,4,0)),"",VLOOKUP(BZ27,'ODBC Data'!$B$1:$J$500,4,0))</f>
        <v/>
      </c>
      <c r="CC27" t="str">
        <f>IF(ISNA(VLOOKUP(BZ27,'ODBC Data'!$B$1:$J$500,5,0)),"",VLOOKUP(BZ27,'ODBC Data'!$B$1:$J$500,5,0))</f>
        <v/>
      </c>
      <c r="CE27" s="19" t="str">
        <f>IF('ODBC Data'!$I$13&gt;23,'ODBC Data'!$H$13,"")</f>
        <v/>
      </c>
      <c r="CF27" s="19" t="str">
        <f>IF('ODBC Data'!$I$13&gt;23,24,"")</f>
        <v/>
      </c>
      <c r="CG27" s="17" t="str">
        <f t="shared" si="9"/>
        <v/>
      </c>
      <c r="CH27" t="str">
        <f>IF(ISNA(VLOOKUP(CG27,'ODBC Data'!$B$1:$J$500,3,0)),"",VLOOKUP(CG27,'ODBC Data'!$B$1:$J$500,3,0))</f>
        <v/>
      </c>
      <c r="CI27" s="57" t="str">
        <f>IF(ISNA(VLOOKUP(CG27,'ODBC Data'!$B$1:$J$500,4,0)),"",VLOOKUP(CG27,'ODBC Data'!$B$1:$J$500,4,0))</f>
        <v/>
      </c>
      <c r="CJ27" t="str">
        <f>IF(ISNA(VLOOKUP(CG27,'ODBC Data'!$B$1:$J$500,5,0)),"",VLOOKUP(CG27,'ODBC Data'!$B$1:$J$500,5,0))</f>
        <v/>
      </c>
      <c r="CL27" s="19" t="str">
        <f>IF('ODBC Data'!$I$14&gt;23,'ODBC Data'!$H$14,"")</f>
        <v/>
      </c>
      <c r="CM27" s="19" t="str">
        <f>IF('ODBC Data'!$I$14&gt;23,24,"")</f>
        <v/>
      </c>
      <c r="CN27" s="17" t="str">
        <f t="shared" si="10"/>
        <v/>
      </c>
      <c r="CO27" s="57" t="str">
        <f>IF(ISNA(VLOOKUP(CN27,'ODBC Data'!$B$1:$J$500,3,0)),"",VLOOKUP(CN27,'ODBC Data'!$B$1:$J$500,3,0))</f>
        <v/>
      </c>
      <c r="CP27" s="57" t="str">
        <f>IF(ISNA(VLOOKUP(CN27,'ODBC Data'!$B$1:$J$500,4,0)),"",VLOOKUP(CN27,'ODBC Data'!$B$1:$J$500,4,0))</f>
        <v/>
      </c>
      <c r="CQ27" s="57" t="str">
        <f>IF(ISNA(VLOOKUP(CN27,'ODBC Data'!$B$1:$J$500,5,0)),"",VLOOKUP(CN27,'ODBC Data'!$B$1:$J$500,5,0))</f>
        <v/>
      </c>
      <c r="CS27" s="19" t="str">
        <f>IF('ODBC Data'!$I$15&gt;23,'ODBC Data'!$H$15,"")</f>
        <v/>
      </c>
      <c r="CT27" s="19" t="str">
        <f>IF('ODBC Data'!$I$15&gt;23,24,"")</f>
        <v/>
      </c>
      <c r="CU27" s="17" t="str">
        <f t="shared" si="11"/>
        <v/>
      </c>
      <c r="CV27" t="str">
        <f>IF(ISNA(VLOOKUP(CU27,'ODBC Data'!$B$1:$J$500,3,0)),"",VLOOKUP(CU27,'ODBC Data'!$B$1:$J$500,3,0))</f>
        <v/>
      </c>
      <c r="CW27" s="57" t="str">
        <f>IF(ISNA(VLOOKUP(CU27,'ODBC Data'!$B$1:$J$500,4,0)),"",VLOOKUP(CU27,'ODBC Data'!$B$1:$J$500,4,0))</f>
        <v/>
      </c>
      <c r="CX27" t="str">
        <f>IF(ISNA(VLOOKUP(CU27,'ODBC Data'!$B$1:$J$500,5,0)),"",VLOOKUP(CU27,'ODBC Data'!$B$1:$J$500,5,0))</f>
        <v/>
      </c>
      <c r="CZ27" s="19" t="str">
        <f>IF('ODBC Data'!$I$16&gt;23,'ODBC Data'!$H$16,"")</f>
        <v/>
      </c>
      <c r="DA27" s="19" t="str">
        <f>IF('ODBC Data'!$I$16&gt;23,24,"")</f>
        <v/>
      </c>
      <c r="DB27" s="17" t="str">
        <f t="shared" si="12"/>
        <v/>
      </c>
      <c r="DC27" t="str">
        <f>IF(ISNA(VLOOKUP(DB27,'ODBC Data'!$B$1:$J$500,3,0)),"",VLOOKUP(DB27,'ODBC Data'!$B$1:$J$500,3,0))</f>
        <v/>
      </c>
      <c r="DD27" s="57" t="str">
        <f>IF(ISNA(VLOOKUP(DB27,'ODBC Data'!$B$1:$J$500,4,0)),"",VLOOKUP(DB27,'ODBC Data'!$B$1:$J$500,4,0))</f>
        <v/>
      </c>
      <c r="DE27" t="str">
        <f>IF(ISNA(VLOOKUP(DB27,'ODBC Data'!$B$1:$J$500,5,0)),"",VLOOKUP(DB27,'ODBC Data'!$B$1:$J$500,5,0))</f>
        <v/>
      </c>
      <c r="DG27" s="19" t="str">
        <f>IF('ODBC Data'!$I$17&gt;23,'ODBC Data'!$H$17,"")</f>
        <v/>
      </c>
      <c r="DH27" s="19" t="str">
        <f>IF('ODBC Data'!$I$17&gt;23,24,"")</f>
        <v/>
      </c>
      <c r="DI27" s="17" t="str">
        <f t="shared" si="13"/>
        <v/>
      </c>
      <c r="DJ27" t="str">
        <f>IF(ISNA(VLOOKUP(DI27,'ODBC Data'!$B$1:$J$500,3,0)),"",VLOOKUP(DI27,'ODBC Data'!$B$1:$J$500,3,0))</f>
        <v/>
      </c>
      <c r="DK27" s="57" t="str">
        <f>IF(ISNA(VLOOKUP(DI27,'ODBC Data'!$B$1:$J$500,4,0)),"",VLOOKUP(DI27,'ODBC Data'!$B$1:$J$500,4,0))</f>
        <v/>
      </c>
      <c r="DL27" t="str">
        <f>IF(ISNA(VLOOKUP(DI27,'ODBC Data'!$B$1:$J$500,5,0)),"",VLOOKUP(DI27,'ODBC Data'!$B$1:$J$500,5,0))</f>
        <v/>
      </c>
      <c r="DN27" s="19" t="str">
        <f>IF('ODBC Data'!$I$18&gt;23,'ODBC Data'!$H$18,"")</f>
        <v/>
      </c>
      <c r="DO27" s="19" t="str">
        <f>IF('ODBC Data'!$I$18&gt;23,24,"")</f>
        <v/>
      </c>
      <c r="DP27" s="17" t="str">
        <f t="shared" si="14"/>
        <v/>
      </c>
      <c r="DQ27" t="str">
        <f>IF(ISNA(VLOOKUP(DP27,'ODBC Data'!$B$1:$J$500,3,0)),"",VLOOKUP(DP27,'ODBC Data'!$B$1:$J$500,3,0))</f>
        <v/>
      </c>
      <c r="DR27" s="57" t="str">
        <f>IF(ISNA(VLOOKUP(DP27,'ODBC Data'!$B$1:$J$500,4,0)),"",VLOOKUP(DP27,'ODBC Data'!$B$1:$J$500,4,0))</f>
        <v/>
      </c>
      <c r="DS27" t="str">
        <f>IF(ISNA(VLOOKUP(DP27,'ODBC Data'!$B$1:$J$500,5,0)),"",VLOOKUP(DP27,'ODBC Data'!$B$1:$J$500,5,0))</f>
        <v/>
      </c>
      <c r="DU27" s="19" t="str">
        <f>IF('ODBC Data'!$I$19&gt;23,'ODBC Data'!$H$19,"")</f>
        <v/>
      </c>
      <c r="DV27" s="19" t="str">
        <f>IF('ODBC Data'!$I$19&gt;23,24,"")</f>
        <v/>
      </c>
      <c r="DW27" s="17" t="str">
        <f t="shared" si="15"/>
        <v/>
      </c>
      <c r="DX27" t="str">
        <f>IF(ISNA(VLOOKUP(DW27,'ODBC Data'!$B$1:$J$500,3,0)),"",VLOOKUP(DW27,'ODBC Data'!$B$1:$J$500,3,0))</f>
        <v/>
      </c>
      <c r="DY27" s="57" t="str">
        <f>IF(ISNA(VLOOKUP(DW27,'ODBC Data'!$B$1:$J$500,4,0)),"",VLOOKUP(DW27,'ODBC Data'!$B$1:$J$500,4,0))</f>
        <v/>
      </c>
      <c r="DZ27" t="str">
        <f>IF(ISNA(VLOOKUP(DW27,'ODBC Data'!$B$1:$J$500,5,0)),"",VLOOKUP(DW27,'ODBC Data'!$B$1:$J$500,5,0))</f>
        <v/>
      </c>
      <c r="EB27" s="19" t="str">
        <f>IF('ODBC Data'!$I$20&gt;23,'ODBC Data'!$H$20,"")</f>
        <v/>
      </c>
      <c r="EC27" s="19" t="str">
        <f>IF('ODBC Data'!$I$20&gt;23,24,"")</f>
        <v/>
      </c>
      <c r="ED27" s="17" t="str">
        <f t="shared" si="16"/>
        <v/>
      </c>
      <c r="EE27" s="57" t="str">
        <f>IF(ISNA(VLOOKUP(ED27,'ODBC Data'!$B$1:$J$500,3,0)),"",VLOOKUP(ED27,'ODBC Data'!$B$1:$J$500,3,0))</f>
        <v/>
      </c>
      <c r="EF27" s="57" t="str">
        <f>IF(ISNA(VLOOKUP(ED27,'ODBC Data'!$B$1:$J$500,4,0)),"",VLOOKUP(ED27,'ODBC Data'!$B$1:$J$500,4,0))</f>
        <v/>
      </c>
      <c r="EG27" s="57" t="str">
        <f>IF(ISNA(VLOOKUP(ED27,'ODBC Data'!$B$1:$J$500,5,0)),"",VLOOKUP(ED27,'ODBC Data'!$B$1:$J$500,5,0))</f>
        <v/>
      </c>
      <c r="EI27" s="19" t="str">
        <f>IF('ODBC Data'!$I$21&gt;23,'ODBC Data'!$H$21,"")</f>
        <v/>
      </c>
      <c r="EJ27" s="19" t="str">
        <f>IF('ODBC Data'!$I$21&gt;23,24,"")</f>
        <v/>
      </c>
      <c r="EK27" s="17" t="str">
        <f t="shared" si="17"/>
        <v/>
      </c>
      <c r="EL27" t="str">
        <f>IF(ISNA(VLOOKUP(EK27,'ODBC Data'!$B$1:$J$500,3,0)),"",VLOOKUP(EK27,'ODBC Data'!$B$1:$J$500,3,0))</f>
        <v/>
      </c>
      <c r="EM27" s="57" t="str">
        <f>IF(ISNA(VLOOKUP(EK27,'ODBC Data'!$B$1:$J$500,4,0)),"",VLOOKUP(EK27,'ODBC Data'!$B$1:$J$500,4,0))</f>
        <v/>
      </c>
      <c r="EN27" t="str">
        <f>IF(ISNA(VLOOKUP(EK27,'ODBC Data'!$B$1:$J$500,5,0)),"",VLOOKUP(EK27,'ODBC Data'!$B$1:$J$500,5,0))</f>
        <v/>
      </c>
      <c r="EP27" s="19" t="str">
        <f>IF('ODBC Data'!$I$22&gt;23,'ODBC Data'!$H$22,"")</f>
        <v/>
      </c>
      <c r="EQ27" s="19" t="str">
        <f>IF('ODBC Data'!$I$22&gt;23,24,"")</f>
        <v/>
      </c>
      <c r="ER27" s="17" t="str">
        <f t="shared" si="18"/>
        <v/>
      </c>
      <c r="ES27" t="str">
        <f>IF(ISNA(VLOOKUP(ER27,'ODBC Data'!$B$1:$J$500,3,0)),"",VLOOKUP(ER27,'ODBC Data'!$B$1:$J$500,3,0))</f>
        <v/>
      </c>
      <c r="ET27" s="57" t="str">
        <f>IF(ISNA(VLOOKUP(ER27,'ODBC Data'!$B$1:$J$500,4,0)),"",VLOOKUP(ER27,'ODBC Data'!$B$1:$J$500,4,0))</f>
        <v/>
      </c>
      <c r="EU27" t="str">
        <f>IF(ISNA(VLOOKUP(ER27,'ODBC Data'!$B$1:$J$500,5,0)),"",VLOOKUP(ER27,'ODBC Data'!$B$1:$J$500,5,0))</f>
        <v/>
      </c>
      <c r="EW27" s="19" t="str">
        <f>IF('ODBC Data'!$I$23&gt;23,'ODBC Data'!$H$23,"")</f>
        <v/>
      </c>
      <c r="EX27" s="19" t="str">
        <f>IF('ODBC Data'!$I$23&gt;23,24,"")</f>
        <v/>
      </c>
      <c r="EY27" s="17" t="str">
        <f t="shared" si="19"/>
        <v/>
      </c>
      <c r="EZ27" t="str">
        <f>IF(ISNA(VLOOKUP(EY27,'ODBC Data'!$B$1:$J$500,3,0)),"",VLOOKUP(EY27,'ODBC Data'!$B$1:$J$500,3,0))</f>
        <v/>
      </c>
      <c r="FA27" s="57" t="str">
        <f>IF(ISNA(VLOOKUP(EY27,'ODBC Data'!$B$1:$J$500,4,0)),"",VLOOKUP(EY27,'ODBC Data'!$B$1:$J$500,4,0))</f>
        <v/>
      </c>
      <c r="FB27" t="str">
        <f>IF(ISNA(VLOOKUP(EY27,'ODBC Data'!$B$1:$J$500,5,0)),"",VLOOKUP(EY27,'ODBC Data'!$B$1:$J$500,5,0))</f>
        <v/>
      </c>
      <c r="FD27" s="19" t="str">
        <f>IF('ODBC Data'!$I$24&gt;23,'ODBC Data'!$H$24,"")</f>
        <v/>
      </c>
      <c r="FE27" s="19" t="str">
        <f>IF('ODBC Data'!$I$24&gt;23,24,"")</f>
        <v/>
      </c>
      <c r="FF27" s="17" t="str">
        <f t="shared" si="20"/>
        <v/>
      </c>
      <c r="FG27" t="str">
        <f>IF(ISNA(VLOOKUP(FF27,'ODBC Data'!$B$1:$J$500,3,0)),"",VLOOKUP(FF27,'ODBC Data'!$B$1:$J$500,3,0))</f>
        <v/>
      </c>
      <c r="FH27" s="57" t="str">
        <f>IF(ISNA(VLOOKUP(FF27,'ODBC Data'!$B$1:$J$500,4,0)),"",VLOOKUP(FF27,'ODBC Data'!$B$1:$J$500,4,0))</f>
        <v/>
      </c>
      <c r="FI27" t="str">
        <f>IF(ISNA(VLOOKUP(FF27,'ODBC Data'!$B$1:$J$500,5,0)),"",VLOOKUP(FF27,'ODBC Data'!$B$1:$J$500,5,0))</f>
        <v/>
      </c>
      <c r="FK27" s="19" t="str">
        <f>IF('ODBC Data'!$I$25&gt;23,'ODBC Data'!$H$25,"")</f>
        <v/>
      </c>
      <c r="FL27" s="19" t="str">
        <f>IF('ODBC Data'!$I$25&gt;23,24,"")</f>
        <v/>
      </c>
      <c r="FM27" s="17" t="str">
        <f t="shared" si="21"/>
        <v/>
      </c>
      <c r="FN27" t="str">
        <f>IF(ISNA(VLOOKUP(FM27,'ODBC Data'!$B$1:$J$500,3,0)),"",VLOOKUP(FM27,'ODBC Data'!$B$1:$J$500,3,0))</f>
        <v/>
      </c>
      <c r="FO27" s="57" t="str">
        <f>IF(ISNA(VLOOKUP(FM27,'ODBC Data'!$B$1:$J$500,4,0)),"",VLOOKUP(FM27,'ODBC Data'!$B$1:$J$500,4,0))</f>
        <v/>
      </c>
      <c r="FP27" t="str">
        <f>IF(ISNA(VLOOKUP(FM27,'ODBC Data'!$B$1:$J$500,5,0)),"",VLOOKUP(FM27,'ODBC Data'!$B$1:$J$500,5,0))</f>
        <v/>
      </c>
      <c r="FR27" s="19" t="str">
        <f>IF('ODBC Data'!$I$26&gt;23,'ODBC Data'!$H$26,"")</f>
        <v/>
      </c>
      <c r="FS27" s="19" t="str">
        <f>IF('ODBC Data'!$I$26&gt;23,24,"")</f>
        <v/>
      </c>
      <c r="FT27" s="17" t="str">
        <f t="shared" si="22"/>
        <v/>
      </c>
      <c r="FU27" s="57" t="str">
        <f>IF(ISNA(VLOOKUP(FT27,'ODBC Data'!$B$1:$J$500,3,0)),"",VLOOKUP(FT27,'ODBC Data'!$B$1:$J$500,3,0))</f>
        <v/>
      </c>
      <c r="FV27" s="57" t="str">
        <f>IF(ISNA(VLOOKUP(FT27,'ODBC Data'!$B$1:$J$500,4,0)),"",VLOOKUP(FT27,'ODBC Data'!$B$1:$J$500,4,0))</f>
        <v/>
      </c>
      <c r="FW27" s="57" t="str">
        <f>IF(ISNA(VLOOKUP(FT27,'ODBC Data'!$B$1:$J$500,5,0)),"",VLOOKUP(FT27,'ODBC Data'!$B$1:$J$500,5,0))</f>
        <v/>
      </c>
      <c r="FY27" s="19" t="str">
        <f>IF('ODBC Data'!$I$27&gt;23,'ODBC Data'!$H$27,"")</f>
        <v/>
      </c>
      <c r="FZ27" s="19" t="str">
        <f>IF('ODBC Data'!$I$27&gt;23,24,"")</f>
        <v/>
      </c>
      <c r="GA27" s="17" t="str">
        <f t="shared" si="23"/>
        <v/>
      </c>
      <c r="GB27" s="57" t="str">
        <f>IF(ISNA(VLOOKUP(GA27,'ODBC Data'!$B$1:$J$500,3,0)),"",VLOOKUP(GA27,'ODBC Data'!$B$1:$J$500,3,0))</f>
        <v/>
      </c>
      <c r="GC27" s="57" t="str">
        <f>IF(ISNA(VLOOKUP(GA27,'ODBC Data'!$B$1:$J$500,4,0)),"",VLOOKUP(GA27,'ODBC Data'!$B$1:$J$500,4,0))</f>
        <v/>
      </c>
      <c r="GD27" s="57" t="str">
        <f>IF(ISNA(VLOOKUP(GA27,'ODBC Data'!$B$1:$J$500,5,0)),"",VLOOKUP(GA27,'ODBC Data'!$B$1:$J$500,5,0))</f>
        <v/>
      </c>
    </row>
    <row r="28" spans="1:186">
      <c r="A28" s="19" t="str">
        <f>IF('ODBC Data'!$I$1&gt;24,'ODBC Data'!$H$1,"")</f>
        <v/>
      </c>
      <c r="B28" s="19" t="str">
        <f>IF('ODBC Data'!$I$1&gt;24,25,"")</f>
        <v/>
      </c>
      <c r="C28" s="17" t="str">
        <f t="shared" si="27"/>
        <v/>
      </c>
      <c r="D28" t="str">
        <f>IF(ISNA(VLOOKUP(C28,'ODBC Data'!$B$1:$J$500,3,0)),"",VLOOKUP(C28,'ODBC Data'!$B$1:$J$500,3,0))</f>
        <v/>
      </c>
      <c r="E28" t="str">
        <f>IF(ISNA(VLOOKUP(C28,'ODBC Data'!$B$1:$J$500,5,0)),"",VLOOKUP(C28,'ODBC Data'!$B$1:$J$500,5,0))</f>
        <v/>
      </c>
      <c r="F28" t="str">
        <f t="shared" si="28"/>
        <v/>
      </c>
      <c r="G28" s="19" t="str">
        <f>IF('ODBC Data'!$I$2&gt;24,'ODBC Data'!$H$2,"")</f>
        <v/>
      </c>
      <c r="H28" s="19" t="str">
        <f>IF('ODBC Data'!$I$2&gt;24,25,"")</f>
        <v/>
      </c>
      <c r="I28" s="17" t="str">
        <f t="shared" si="24"/>
        <v/>
      </c>
      <c r="J28" t="str">
        <f>IF(ISNA(VLOOKUP(I28,'ODBC Data'!$B$1:$J$500,3,0)),"",VLOOKUP(I28,'ODBC Data'!$B$1:$J$500,3,0))</f>
        <v/>
      </c>
      <c r="K28" t="str">
        <f>IF(ISNA(VLOOKUP(I28,'ODBC Data'!$B$1:$J$500,5,0)),"",VLOOKUP(I28,'ODBC Data'!$B$1:$J$500,5,0))</f>
        <v/>
      </c>
      <c r="M28" s="19" t="str">
        <f>IF('ODBC Data'!$I$3&gt;24,'ODBC Data'!$H$3,"")</f>
        <v/>
      </c>
      <c r="N28" s="19" t="str">
        <f>IF('ODBC Data'!$I$3&gt;24,25,"")</f>
        <v/>
      </c>
      <c r="O28" s="17" t="str">
        <f t="shared" si="25"/>
        <v/>
      </c>
      <c r="P28" t="str">
        <f>IF(ISNA(VLOOKUP(O28,'ODBC Data'!$B$1:$J$500,3,0)),"",VLOOKUP(O28,'ODBC Data'!$B$1:$J$500,3,0))</f>
        <v/>
      </c>
      <c r="Q28" t="str">
        <f>IF(ISNA(VLOOKUP(O28,'ODBC Data'!$B$1:$J$500,5,0)),"",VLOOKUP(O28,'ODBC Data'!$B$1:$J$500,4,0))</f>
        <v/>
      </c>
      <c r="S28" s="19" t="str">
        <f>IF('ODBC Data'!$I$3&gt;24,'ODBC Data'!$H$3,"")</f>
        <v/>
      </c>
      <c r="T28" s="19" t="str">
        <f>IF('ODBC Data'!$I$3&gt;24,25,"")</f>
        <v/>
      </c>
      <c r="U28" s="17" t="str">
        <f t="shared" si="26"/>
        <v/>
      </c>
      <c r="V28" t="str">
        <f>IF(ISNA(VLOOKUP(U28,'ODBC Data'!$B$1:$J$500,3,0)),"",VLOOKUP(U28,'ODBC Data'!$B$1:$J$500,3,0))</f>
        <v/>
      </c>
      <c r="W28" t="str">
        <f>IF(ISNA(VLOOKUP(U28,'ODBC Data'!$B$1:$J$500,5,0)),"",VLOOKUP(U28,'ODBC Data'!$B$1:$J$500,5,0))</f>
        <v/>
      </c>
      <c r="Y28" s="19" t="str">
        <f>IF('ODBC Data'!$I$4&gt;24,'ODBC Data'!$H$4,"")</f>
        <v/>
      </c>
      <c r="Z28" s="19" t="str">
        <f>IF('ODBC Data'!$I$4&gt;24,25,"")</f>
        <v/>
      </c>
      <c r="AA28" s="17" t="str">
        <f t="shared" si="0"/>
        <v/>
      </c>
      <c r="AB28" s="57" t="str">
        <f>IF(ISNA(VLOOKUP(AA28,'ODBC Data'!$B$1:$J$500,3,0)),"",VLOOKUP(AA28,'ODBC Data'!$B$1:$J$500,3,0))</f>
        <v/>
      </c>
      <c r="AC28" s="57" t="str">
        <f>IF(ISNA(VLOOKUP(AA28,'ODBC Data'!$B$1:$J$500,5,0)),"",VLOOKUP(AA28,'ODBC Data'!$B$1:$J$500,5,0))</f>
        <v/>
      </c>
      <c r="AE28" s="19" t="str">
        <f>IF('ODBC Data'!$I$5&gt;24,'ODBC Data'!$H$5,"")</f>
        <v/>
      </c>
      <c r="AF28" s="19" t="str">
        <f>IF('ODBC Data'!$I$5&gt;24,25,"")</f>
        <v/>
      </c>
      <c r="AG28" s="17" t="str">
        <f t="shared" si="1"/>
        <v/>
      </c>
      <c r="AH28" t="str">
        <f>IF(ISNA(VLOOKUP(AG28,'ODBC Data'!$B$1:$J$500,3,0)),"",VLOOKUP(AG28,'ODBC Data'!$B$1:$J$500,3,0))</f>
        <v/>
      </c>
      <c r="AI28" t="str">
        <f>IF(ISNA(VLOOKUP(AG28,'ODBC Data'!$B$1:$J$500,5,0)),"",VLOOKUP(AG28,'ODBC Data'!$B$1:$J$500,5,0))</f>
        <v/>
      </c>
      <c r="AK28" s="19" t="str">
        <f>IF('ODBC Data'!$I$6&gt;24,'ODBC Data'!$H$6,"")</f>
        <v/>
      </c>
      <c r="AL28" s="19" t="str">
        <f>IF('ODBC Data'!$I$6&gt;24,25,"")</f>
        <v/>
      </c>
      <c r="AM28" s="17" t="str">
        <f t="shared" si="2"/>
        <v/>
      </c>
      <c r="AN28" t="str">
        <f>IF(ISNA(VLOOKUP(AM28,'ODBC Data'!$B$1:$J$500,3,0)),"",VLOOKUP(AM28,'ODBC Data'!$B$1:$J$500,3,0))</f>
        <v/>
      </c>
      <c r="AO28" t="str">
        <f>IF(ISNA(VLOOKUP(AM28,'ODBC Data'!$B$1:$J$500,5,0)),"",VLOOKUP(AM28,'ODBC Data'!$B$1:$J$500,5,0))</f>
        <v/>
      </c>
      <c r="AQ28" s="19" t="str">
        <f>IF('ODBC Data'!$I$7&gt;24,'ODBC Data'!$H$7,"")</f>
        <v/>
      </c>
      <c r="AR28" s="19" t="str">
        <f>IF('ODBC Data'!$I$7&gt;24,25,"")</f>
        <v/>
      </c>
      <c r="AS28" s="17" t="str">
        <f t="shared" si="3"/>
        <v/>
      </c>
      <c r="AT28" t="str">
        <f>IF(ISNA(VLOOKUP(AS28,'ODBC Data'!$B$1:$J$500,3,0)),"",VLOOKUP(AS28,'ODBC Data'!$B$1:$J$500,3,0))</f>
        <v/>
      </c>
      <c r="AU28" t="str">
        <f>IF(ISNA(VLOOKUP(AS28,'ODBC Data'!$B$1:$J$500,5,0)),"",VLOOKUP(AS28,'ODBC Data'!$B$1:$J$500,5,0))</f>
        <v/>
      </c>
      <c r="AW28" s="19" t="str">
        <f>IF('ODBC Data'!$I$8&gt;24,'ODBC Data'!$H$8,"")</f>
        <v/>
      </c>
      <c r="AX28" s="19" t="str">
        <f>IF('ODBC Data'!$I$8&gt;24,25,"")</f>
        <v/>
      </c>
      <c r="AY28" s="17" t="str">
        <f t="shared" si="4"/>
        <v/>
      </c>
      <c r="AZ28" t="str">
        <f>IF(ISNA(VLOOKUP(AY28,'ODBC Data'!$B$1:$J$500,3,0)),"",VLOOKUP(AY28,'ODBC Data'!$B$1:$J$500,3,0))</f>
        <v/>
      </c>
      <c r="BA28" t="str">
        <f>IF(ISNA(VLOOKUP(AY28,'ODBC Data'!$B$1:$J$500,5,0)),"",VLOOKUP(AY28,'ODBC Data'!$B$1:$J$500,5,0))</f>
        <v/>
      </c>
      <c r="BC28" s="19" t="str">
        <f>IF('ODBC Data'!$I$9&gt;24,'ODBC Data'!$H$9,"")</f>
        <v/>
      </c>
      <c r="BD28" s="19" t="str">
        <f>IF('ODBC Data'!$I$9&gt;24,25,"")</f>
        <v/>
      </c>
      <c r="BE28" s="17" t="str">
        <f t="shared" si="5"/>
        <v/>
      </c>
      <c r="BF28" t="str">
        <f>IF(ISNA(VLOOKUP(BE28,'ODBC Data'!$B$1:$J$500,3,0)),"",VLOOKUP(BE28,'ODBC Data'!$B$1:$J$500,3,0))</f>
        <v/>
      </c>
      <c r="BG28" s="57" t="str">
        <f>IF(ISNA(VLOOKUP(BE28,'ODBC Data'!$B$1:$J$500,4,0)),"",VLOOKUP(BE28,'ODBC Data'!$B$1:$J$500,4,0))</f>
        <v/>
      </c>
      <c r="BH28" t="str">
        <f>IF(ISNA(VLOOKUP(BE28,'ODBC Data'!$B$1:$J$500,5,0)),"",VLOOKUP(BE28,'ODBC Data'!$B$1:$J$500,5,0))</f>
        <v/>
      </c>
      <c r="BJ28" s="19" t="str">
        <f>IF('ODBC Data'!$I$10&gt;24,'ODBC Data'!$H$10,"")</f>
        <v/>
      </c>
      <c r="BK28" s="19" t="str">
        <f>IF('ODBC Data'!$I$10&gt;24,25,"")</f>
        <v/>
      </c>
      <c r="BL28" s="17" t="str">
        <f t="shared" si="6"/>
        <v/>
      </c>
      <c r="BM28" t="str">
        <f>IF(ISNA(VLOOKUP(BL28,'ODBC Data'!$B$1:$J$500,3,0)),"",VLOOKUP(BL28,'ODBC Data'!$B$1:$J$500,3,0))</f>
        <v/>
      </c>
      <c r="BN28" s="57" t="str">
        <f>IF(ISNA(VLOOKUP(BL28,'ODBC Data'!$B$1:$J$500,4,0)),"",VLOOKUP(BL28,'ODBC Data'!$B$1:$J$500,4,0))</f>
        <v/>
      </c>
      <c r="BO28" t="str">
        <f>IF(ISNA(VLOOKUP(BL28,'ODBC Data'!$B$1:$J$500,5,0)),"",VLOOKUP(BL28,'ODBC Data'!$B$1:$J$500,5,0))</f>
        <v/>
      </c>
      <c r="BQ28" s="19" t="str">
        <f>IF('ODBC Data'!$I$11&gt;24,'ODBC Data'!$H$11,"")</f>
        <v/>
      </c>
      <c r="BR28" s="19" t="str">
        <f>IF('ODBC Data'!$I$11&gt;24,25,"")</f>
        <v/>
      </c>
      <c r="BS28" s="17" t="str">
        <f t="shared" si="7"/>
        <v/>
      </c>
      <c r="BT28" t="str">
        <f>IF(ISNA(VLOOKUP(BS28,'ODBC Data'!$B$1:$J$500,3,0)),"",VLOOKUP(BS28,'ODBC Data'!$B$1:$J$500,3,0))</f>
        <v/>
      </c>
      <c r="BU28" s="57" t="str">
        <f>IF(ISNA(VLOOKUP(BS28,'ODBC Data'!$B$1:$J$500,4,0)),"",VLOOKUP(BS28,'ODBC Data'!$B$1:$J$500,4,0))</f>
        <v/>
      </c>
      <c r="BV28" t="str">
        <f>IF(ISNA(VLOOKUP(BS28,'ODBC Data'!$B$1:$J$500,5,0)),"",VLOOKUP(BS28,'ODBC Data'!$B$1:$J$500,5,0))</f>
        <v/>
      </c>
      <c r="BX28" s="19" t="str">
        <f>IF('ODBC Data'!$I$12&gt;24,'ODBC Data'!$H$12,"")</f>
        <v/>
      </c>
      <c r="BY28" s="19" t="str">
        <f>IF('ODBC Data'!$I$12&gt;24,25,"")</f>
        <v/>
      </c>
      <c r="BZ28" s="17" t="str">
        <f t="shared" si="8"/>
        <v/>
      </c>
      <c r="CA28" t="str">
        <f>IF(ISNA(VLOOKUP(BZ28,'ODBC Data'!$B$1:$J$500,3,0)),"",VLOOKUP(BZ28,'ODBC Data'!$B$1:$J$500,3,0))</f>
        <v/>
      </c>
      <c r="CB28" s="57" t="str">
        <f>IF(ISNA(VLOOKUP(BZ28,'ODBC Data'!$B$1:$J$500,4,0)),"",VLOOKUP(BZ28,'ODBC Data'!$B$1:$J$500,4,0))</f>
        <v/>
      </c>
      <c r="CC28" t="str">
        <f>IF(ISNA(VLOOKUP(BZ28,'ODBC Data'!$B$1:$J$500,5,0)),"",VLOOKUP(BZ28,'ODBC Data'!$B$1:$J$500,5,0))</f>
        <v/>
      </c>
      <c r="CE28" s="19" t="str">
        <f>IF('ODBC Data'!$I$13&gt;24,'ODBC Data'!$H$13,"")</f>
        <v/>
      </c>
      <c r="CF28" s="19" t="str">
        <f>IF('ODBC Data'!$I$13&gt;24,25,"")</f>
        <v/>
      </c>
      <c r="CG28" s="17" t="str">
        <f t="shared" si="9"/>
        <v/>
      </c>
      <c r="CH28" t="str">
        <f>IF(ISNA(VLOOKUP(CG28,'ODBC Data'!$B$1:$J$500,3,0)),"",VLOOKUP(CG28,'ODBC Data'!$B$1:$J$500,3,0))</f>
        <v/>
      </c>
      <c r="CI28" s="57" t="str">
        <f>IF(ISNA(VLOOKUP(CG28,'ODBC Data'!$B$1:$J$500,4,0)),"",VLOOKUP(CG28,'ODBC Data'!$B$1:$J$500,4,0))</f>
        <v/>
      </c>
      <c r="CJ28" t="str">
        <f>IF(ISNA(VLOOKUP(CG28,'ODBC Data'!$B$1:$J$500,5,0)),"",VLOOKUP(CG28,'ODBC Data'!$B$1:$J$500,5,0))</f>
        <v/>
      </c>
      <c r="CL28" s="19" t="str">
        <f>IF('ODBC Data'!$I$14&gt;24,'ODBC Data'!$H$14,"")</f>
        <v/>
      </c>
      <c r="CM28" s="19" t="str">
        <f>IF('ODBC Data'!$I$14&gt;24,25,"")</f>
        <v/>
      </c>
      <c r="CN28" s="17" t="str">
        <f t="shared" si="10"/>
        <v/>
      </c>
      <c r="CO28" s="57" t="str">
        <f>IF(ISNA(VLOOKUP(CN28,'ODBC Data'!$B$1:$J$500,3,0)),"",VLOOKUP(CN28,'ODBC Data'!$B$1:$J$500,3,0))</f>
        <v/>
      </c>
      <c r="CP28" s="57" t="str">
        <f>IF(ISNA(VLOOKUP(CN28,'ODBC Data'!$B$1:$J$500,4,0)),"",VLOOKUP(CN28,'ODBC Data'!$B$1:$J$500,4,0))</f>
        <v/>
      </c>
      <c r="CQ28" s="57" t="str">
        <f>IF(ISNA(VLOOKUP(CN28,'ODBC Data'!$B$1:$J$500,5,0)),"",VLOOKUP(CN28,'ODBC Data'!$B$1:$J$500,5,0))</f>
        <v/>
      </c>
      <c r="CS28" s="19" t="str">
        <f>IF('ODBC Data'!$I$15&gt;24,'ODBC Data'!$H$15,"")</f>
        <v/>
      </c>
      <c r="CT28" s="19" t="str">
        <f>IF('ODBC Data'!$I$15&gt;24,25,"")</f>
        <v/>
      </c>
      <c r="CU28" s="17" t="str">
        <f t="shared" si="11"/>
        <v/>
      </c>
      <c r="CV28" t="str">
        <f>IF(ISNA(VLOOKUP(CU28,'ODBC Data'!$B$1:$J$500,3,0)),"",VLOOKUP(CU28,'ODBC Data'!$B$1:$J$500,3,0))</f>
        <v/>
      </c>
      <c r="CW28" s="57" t="str">
        <f>IF(ISNA(VLOOKUP(CU28,'ODBC Data'!$B$1:$J$500,4,0)),"",VLOOKUP(CU28,'ODBC Data'!$B$1:$J$500,4,0))</f>
        <v/>
      </c>
      <c r="CX28" t="str">
        <f>IF(ISNA(VLOOKUP(CU28,'ODBC Data'!$B$1:$J$500,5,0)),"",VLOOKUP(CU28,'ODBC Data'!$B$1:$J$500,5,0))</f>
        <v/>
      </c>
      <c r="CZ28" s="19" t="str">
        <f>IF('ODBC Data'!$I$16&gt;24,'ODBC Data'!$H$16,"")</f>
        <v/>
      </c>
      <c r="DA28" s="19" t="str">
        <f>IF('ODBC Data'!$I$16&gt;24,25,"")</f>
        <v/>
      </c>
      <c r="DB28" s="17" t="str">
        <f t="shared" si="12"/>
        <v/>
      </c>
      <c r="DC28" t="str">
        <f>IF(ISNA(VLOOKUP(DB28,'ODBC Data'!$B$1:$J$500,3,0)),"",VLOOKUP(DB28,'ODBC Data'!$B$1:$J$500,3,0))</f>
        <v/>
      </c>
      <c r="DD28" s="57" t="str">
        <f>IF(ISNA(VLOOKUP(DB28,'ODBC Data'!$B$1:$J$500,4,0)),"",VLOOKUP(DB28,'ODBC Data'!$B$1:$J$500,4,0))</f>
        <v/>
      </c>
      <c r="DE28" t="str">
        <f>IF(ISNA(VLOOKUP(DB28,'ODBC Data'!$B$1:$J$500,5,0)),"",VLOOKUP(DB28,'ODBC Data'!$B$1:$J$500,5,0))</f>
        <v/>
      </c>
      <c r="DG28" s="19" t="str">
        <f>IF('ODBC Data'!$I$17&gt;24,'ODBC Data'!$H$17,"")</f>
        <v/>
      </c>
      <c r="DH28" s="19" t="str">
        <f>IF('ODBC Data'!$I$17&gt;24,25,"")</f>
        <v/>
      </c>
      <c r="DI28" s="17" t="str">
        <f t="shared" si="13"/>
        <v/>
      </c>
      <c r="DJ28" t="str">
        <f>IF(ISNA(VLOOKUP(DI28,'ODBC Data'!$B$1:$J$500,3,0)),"",VLOOKUP(DI28,'ODBC Data'!$B$1:$J$500,3,0))</f>
        <v/>
      </c>
      <c r="DK28" s="57" t="str">
        <f>IF(ISNA(VLOOKUP(DI28,'ODBC Data'!$B$1:$J$500,4,0)),"",VLOOKUP(DI28,'ODBC Data'!$B$1:$J$500,4,0))</f>
        <v/>
      </c>
      <c r="DL28" t="str">
        <f>IF(ISNA(VLOOKUP(DI28,'ODBC Data'!$B$1:$J$500,5,0)),"",VLOOKUP(DI28,'ODBC Data'!$B$1:$J$500,5,0))</f>
        <v/>
      </c>
      <c r="DN28" s="19" t="str">
        <f>IF('ODBC Data'!$I$18&gt;24,'ODBC Data'!$H$18,"")</f>
        <v/>
      </c>
      <c r="DO28" s="19" t="str">
        <f>IF('ODBC Data'!$I$18&gt;24,25,"")</f>
        <v/>
      </c>
      <c r="DP28" s="17" t="str">
        <f t="shared" si="14"/>
        <v/>
      </c>
      <c r="DQ28" t="str">
        <f>IF(ISNA(VLOOKUP(DP28,'ODBC Data'!$B$1:$J$500,3,0)),"",VLOOKUP(DP28,'ODBC Data'!$B$1:$J$500,3,0))</f>
        <v/>
      </c>
      <c r="DR28" s="57" t="str">
        <f>IF(ISNA(VLOOKUP(DP28,'ODBC Data'!$B$1:$J$500,4,0)),"",VLOOKUP(DP28,'ODBC Data'!$B$1:$J$500,4,0))</f>
        <v/>
      </c>
      <c r="DS28" t="str">
        <f>IF(ISNA(VLOOKUP(DP28,'ODBC Data'!$B$1:$J$500,5,0)),"",VLOOKUP(DP28,'ODBC Data'!$B$1:$J$500,5,0))</f>
        <v/>
      </c>
      <c r="DU28" s="19" t="str">
        <f>IF('ODBC Data'!$I$19&gt;24,'ODBC Data'!$H$19,"")</f>
        <v/>
      </c>
      <c r="DV28" s="19" t="str">
        <f>IF('ODBC Data'!$I$19&gt;24,25,"")</f>
        <v/>
      </c>
      <c r="DW28" s="17" t="str">
        <f t="shared" si="15"/>
        <v/>
      </c>
      <c r="DX28" t="str">
        <f>IF(ISNA(VLOOKUP(DW28,'ODBC Data'!$B$1:$J$500,3,0)),"",VLOOKUP(DW28,'ODBC Data'!$B$1:$J$500,3,0))</f>
        <v/>
      </c>
      <c r="DY28" s="57" t="str">
        <f>IF(ISNA(VLOOKUP(DW28,'ODBC Data'!$B$1:$J$500,4,0)),"",VLOOKUP(DW28,'ODBC Data'!$B$1:$J$500,4,0))</f>
        <v/>
      </c>
      <c r="DZ28" t="str">
        <f>IF(ISNA(VLOOKUP(DW28,'ODBC Data'!$B$1:$J$500,5,0)),"",VLOOKUP(DW28,'ODBC Data'!$B$1:$J$500,5,0))</f>
        <v/>
      </c>
      <c r="EB28" s="19" t="str">
        <f>IF('ODBC Data'!$I$20&gt;24,'ODBC Data'!$H$20,"")</f>
        <v/>
      </c>
      <c r="EC28" s="19" t="str">
        <f>IF('ODBC Data'!$I$20&gt;24,25,"")</f>
        <v/>
      </c>
      <c r="ED28" s="17" t="str">
        <f t="shared" si="16"/>
        <v/>
      </c>
      <c r="EE28" s="57" t="str">
        <f>IF(ISNA(VLOOKUP(ED28,'ODBC Data'!$B$1:$J$500,3,0)),"",VLOOKUP(ED28,'ODBC Data'!$B$1:$J$500,3,0))</f>
        <v/>
      </c>
      <c r="EF28" s="57" t="str">
        <f>IF(ISNA(VLOOKUP(ED28,'ODBC Data'!$B$1:$J$500,4,0)),"",VLOOKUP(ED28,'ODBC Data'!$B$1:$J$500,4,0))</f>
        <v/>
      </c>
      <c r="EG28" s="57" t="str">
        <f>IF(ISNA(VLOOKUP(ED28,'ODBC Data'!$B$1:$J$500,5,0)),"",VLOOKUP(ED28,'ODBC Data'!$B$1:$J$500,5,0))</f>
        <v/>
      </c>
      <c r="EI28" s="19" t="str">
        <f>IF('ODBC Data'!$I$21&gt;24,'ODBC Data'!$H$21,"")</f>
        <v/>
      </c>
      <c r="EJ28" s="19" t="str">
        <f>IF('ODBC Data'!$I$21&gt;24,25,"")</f>
        <v/>
      </c>
      <c r="EK28" s="17" t="str">
        <f t="shared" si="17"/>
        <v/>
      </c>
      <c r="EL28" t="str">
        <f>IF(ISNA(VLOOKUP(EK28,'ODBC Data'!$B$1:$J$500,3,0)),"",VLOOKUP(EK28,'ODBC Data'!$B$1:$J$500,3,0))</f>
        <v/>
      </c>
      <c r="EM28" s="57" t="str">
        <f>IF(ISNA(VLOOKUP(EK28,'ODBC Data'!$B$1:$J$500,4,0)),"",VLOOKUP(EK28,'ODBC Data'!$B$1:$J$500,4,0))</f>
        <v/>
      </c>
      <c r="EN28" t="str">
        <f>IF(ISNA(VLOOKUP(EK28,'ODBC Data'!$B$1:$J$500,5,0)),"",VLOOKUP(EK28,'ODBC Data'!$B$1:$J$500,5,0))</f>
        <v/>
      </c>
      <c r="EP28" s="19" t="str">
        <f>IF('ODBC Data'!$I$22&gt;24,'ODBC Data'!$H$22,"")</f>
        <v/>
      </c>
      <c r="EQ28" s="19" t="str">
        <f>IF('ODBC Data'!$I$22&gt;24,25,"")</f>
        <v/>
      </c>
      <c r="ER28" s="17" t="str">
        <f t="shared" si="18"/>
        <v/>
      </c>
      <c r="ES28" t="str">
        <f>IF(ISNA(VLOOKUP(ER28,'ODBC Data'!$B$1:$J$500,3,0)),"",VLOOKUP(ER28,'ODBC Data'!$B$1:$J$500,3,0))</f>
        <v/>
      </c>
      <c r="ET28" s="57" t="str">
        <f>IF(ISNA(VLOOKUP(ER28,'ODBC Data'!$B$1:$J$500,4,0)),"",VLOOKUP(ER28,'ODBC Data'!$B$1:$J$500,4,0))</f>
        <v/>
      </c>
      <c r="EU28" t="str">
        <f>IF(ISNA(VLOOKUP(ER28,'ODBC Data'!$B$1:$J$500,5,0)),"",VLOOKUP(ER28,'ODBC Data'!$B$1:$J$500,5,0))</f>
        <v/>
      </c>
      <c r="EW28" s="19" t="str">
        <f>IF('ODBC Data'!$I$23&gt;24,'ODBC Data'!$H$23,"")</f>
        <v/>
      </c>
      <c r="EX28" s="19" t="str">
        <f>IF('ODBC Data'!$I$23&gt;24,25,"")</f>
        <v/>
      </c>
      <c r="EY28" s="17" t="str">
        <f t="shared" si="19"/>
        <v/>
      </c>
      <c r="EZ28" t="str">
        <f>IF(ISNA(VLOOKUP(EY28,'ODBC Data'!$B$1:$J$500,3,0)),"",VLOOKUP(EY28,'ODBC Data'!$B$1:$J$500,3,0))</f>
        <v/>
      </c>
      <c r="FA28" s="57" t="str">
        <f>IF(ISNA(VLOOKUP(EY28,'ODBC Data'!$B$1:$J$500,4,0)),"",VLOOKUP(EY28,'ODBC Data'!$B$1:$J$500,4,0))</f>
        <v/>
      </c>
      <c r="FB28" t="str">
        <f>IF(ISNA(VLOOKUP(EY28,'ODBC Data'!$B$1:$J$500,5,0)),"",VLOOKUP(EY28,'ODBC Data'!$B$1:$J$500,5,0))</f>
        <v/>
      </c>
      <c r="FD28" s="19" t="str">
        <f>IF('ODBC Data'!$I$24&gt;24,'ODBC Data'!$H$24,"")</f>
        <v/>
      </c>
      <c r="FE28" s="19" t="str">
        <f>IF('ODBC Data'!$I$24&gt;24,25,"")</f>
        <v/>
      </c>
      <c r="FF28" s="17" t="str">
        <f t="shared" si="20"/>
        <v/>
      </c>
      <c r="FG28" t="str">
        <f>IF(ISNA(VLOOKUP(FF28,'ODBC Data'!$B$1:$J$500,3,0)),"",VLOOKUP(FF28,'ODBC Data'!$B$1:$J$500,3,0))</f>
        <v/>
      </c>
      <c r="FH28" s="57" t="str">
        <f>IF(ISNA(VLOOKUP(FF28,'ODBC Data'!$B$1:$J$500,4,0)),"",VLOOKUP(FF28,'ODBC Data'!$B$1:$J$500,4,0))</f>
        <v/>
      </c>
      <c r="FI28" t="str">
        <f>IF(ISNA(VLOOKUP(FF28,'ODBC Data'!$B$1:$J$500,5,0)),"",VLOOKUP(FF28,'ODBC Data'!$B$1:$J$500,5,0))</f>
        <v/>
      </c>
      <c r="FK28" s="19" t="str">
        <f>IF('ODBC Data'!$I$25&gt;24,'ODBC Data'!$H$25,"")</f>
        <v/>
      </c>
      <c r="FL28" s="19" t="str">
        <f>IF('ODBC Data'!$I$25&gt;24,25,"")</f>
        <v/>
      </c>
      <c r="FM28" s="17" t="str">
        <f t="shared" si="21"/>
        <v/>
      </c>
      <c r="FN28" t="str">
        <f>IF(ISNA(VLOOKUP(FM28,'ODBC Data'!$B$1:$J$500,3,0)),"",VLOOKUP(FM28,'ODBC Data'!$B$1:$J$500,3,0))</f>
        <v/>
      </c>
      <c r="FO28" s="57" t="str">
        <f>IF(ISNA(VLOOKUP(FM28,'ODBC Data'!$B$1:$J$500,4,0)),"",VLOOKUP(FM28,'ODBC Data'!$B$1:$J$500,4,0))</f>
        <v/>
      </c>
      <c r="FP28" t="str">
        <f>IF(ISNA(VLOOKUP(FM28,'ODBC Data'!$B$1:$J$500,5,0)),"",VLOOKUP(FM28,'ODBC Data'!$B$1:$J$500,5,0))</f>
        <v/>
      </c>
      <c r="FR28" s="19" t="str">
        <f>IF('ODBC Data'!$I$26&gt;24,'ODBC Data'!$H$26,"")</f>
        <v/>
      </c>
      <c r="FS28" s="19" t="str">
        <f>IF('ODBC Data'!$I$26&gt;24,25,"")</f>
        <v/>
      </c>
      <c r="FT28" s="17" t="str">
        <f t="shared" si="22"/>
        <v/>
      </c>
      <c r="FU28" s="57" t="str">
        <f>IF(ISNA(VLOOKUP(FT28,'ODBC Data'!$B$1:$J$500,3,0)),"",VLOOKUP(FT28,'ODBC Data'!$B$1:$J$500,3,0))</f>
        <v/>
      </c>
      <c r="FV28" s="57" t="str">
        <f>IF(ISNA(VLOOKUP(FT28,'ODBC Data'!$B$1:$J$500,4,0)),"",VLOOKUP(FT28,'ODBC Data'!$B$1:$J$500,4,0))</f>
        <v/>
      </c>
      <c r="FW28" s="57" t="str">
        <f>IF(ISNA(VLOOKUP(FT28,'ODBC Data'!$B$1:$J$500,5,0)),"",VLOOKUP(FT28,'ODBC Data'!$B$1:$J$500,5,0))</f>
        <v/>
      </c>
      <c r="FY28" s="19" t="str">
        <f>IF('ODBC Data'!$I$27&gt;24,'ODBC Data'!$H$27,"")</f>
        <v/>
      </c>
      <c r="FZ28" s="19" t="str">
        <f>IF('ODBC Data'!$I$27&gt;24,25,"")</f>
        <v/>
      </c>
      <c r="GA28" s="17" t="str">
        <f t="shared" si="23"/>
        <v/>
      </c>
      <c r="GB28" s="57" t="str">
        <f>IF(ISNA(VLOOKUP(GA28,'ODBC Data'!$B$1:$J$500,3,0)),"",VLOOKUP(GA28,'ODBC Data'!$B$1:$J$500,3,0))</f>
        <v/>
      </c>
      <c r="GC28" s="57" t="str">
        <f>IF(ISNA(VLOOKUP(GA28,'ODBC Data'!$B$1:$J$500,4,0)),"",VLOOKUP(GA28,'ODBC Data'!$B$1:$J$500,4,0))</f>
        <v/>
      </c>
      <c r="GD28" s="57" t="str">
        <f>IF(ISNA(VLOOKUP(GA28,'ODBC Data'!$B$1:$J$500,5,0)),"",VLOOKUP(GA28,'ODBC Data'!$B$1:$J$500,5,0))</f>
        <v/>
      </c>
    </row>
    <row r="29" spans="1:186">
      <c r="A29" s="19" t="str">
        <f>IF('ODBC Data'!$I$1&gt;25,'ODBC Data'!$H$1,"")</f>
        <v/>
      </c>
      <c r="B29" s="19" t="str">
        <f>IF('ODBC Data'!$I$1&gt;25,26,"")</f>
        <v/>
      </c>
      <c r="C29" s="17" t="str">
        <f t="shared" si="27"/>
        <v/>
      </c>
      <c r="D29" t="str">
        <f>IF(ISNA(VLOOKUP(C29,'ODBC Data'!$B$1:$J$500,3,0)),"",VLOOKUP(C29,'ODBC Data'!$B$1:$J$500,3,0))</f>
        <v/>
      </c>
      <c r="E29" t="str">
        <f>IF(ISNA(VLOOKUP(C29,'ODBC Data'!$B$1:$J$500,5,0)),"",VLOOKUP(C29,'ODBC Data'!$B$1:$J$500,5,0))</f>
        <v/>
      </c>
      <c r="F29" t="str">
        <f t="shared" si="28"/>
        <v/>
      </c>
      <c r="G29" s="19" t="str">
        <f>IF('ODBC Data'!$I$2&gt;25,'ODBC Data'!$H$2,"")</f>
        <v/>
      </c>
      <c r="H29" s="19" t="str">
        <f>IF('ODBC Data'!$I$2&gt;25,26,"")</f>
        <v/>
      </c>
      <c r="I29" s="17" t="str">
        <f t="shared" si="24"/>
        <v/>
      </c>
      <c r="J29" t="str">
        <f>IF(ISNA(VLOOKUP(I29,'ODBC Data'!$B$1:$J$500,3,0)),"",VLOOKUP(I29,'ODBC Data'!$B$1:$J$500,3,0))</f>
        <v/>
      </c>
      <c r="K29" t="str">
        <f>IF(ISNA(VLOOKUP(I29,'ODBC Data'!$B$1:$J$500,5,0)),"",VLOOKUP(I29,'ODBC Data'!$B$1:$J$500,5,0))</f>
        <v/>
      </c>
      <c r="M29" s="19" t="str">
        <f>IF('ODBC Data'!$I$3&gt;25,'ODBC Data'!$H$3,"")</f>
        <v/>
      </c>
      <c r="N29" s="19" t="str">
        <f>IF('ODBC Data'!$I$3&gt;25,26,"")</f>
        <v/>
      </c>
      <c r="O29" s="17" t="str">
        <f t="shared" si="25"/>
        <v/>
      </c>
      <c r="P29" t="str">
        <f>IF(ISNA(VLOOKUP(O29,'ODBC Data'!$B$1:$J$500,3,0)),"",VLOOKUP(O29,'ODBC Data'!$B$1:$J$500,3,0))</f>
        <v/>
      </c>
      <c r="Q29" t="str">
        <f>IF(ISNA(VLOOKUP(O29,'ODBC Data'!$B$1:$J$500,5,0)),"",VLOOKUP(O29,'ODBC Data'!$B$1:$J$500,4,0))</f>
        <v/>
      </c>
      <c r="S29" s="19" t="str">
        <f>IF('ODBC Data'!$I$3&gt;25,'ODBC Data'!$H$3,"")</f>
        <v/>
      </c>
      <c r="T29" s="19" t="str">
        <f>IF('ODBC Data'!$I$3&gt;25,26,"")</f>
        <v/>
      </c>
      <c r="U29" s="17" t="str">
        <f t="shared" si="26"/>
        <v/>
      </c>
      <c r="V29" t="str">
        <f>IF(ISNA(VLOOKUP(U29,'ODBC Data'!$B$1:$J$500,3,0)),"",VLOOKUP(U29,'ODBC Data'!$B$1:$J$500,3,0))</f>
        <v/>
      </c>
      <c r="W29" t="str">
        <f>IF(ISNA(VLOOKUP(U29,'ODBC Data'!$B$1:$J$500,5,0)),"",VLOOKUP(U29,'ODBC Data'!$B$1:$J$500,5,0))</f>
        <v/>
      </c>
      <c r="Y29" s="19" t="str">
        <f>IF('ODBC Data'!$I$4&gt;25,'ODBC Data'!$H$4,"")</f>
        <v/>
      </c>
      <c r="Z29" s="19" t="str">
        <f>IF('ODBC Data'!$I$4&gt;25,26,"")</f>
        <v/>
      </c>
      <c r="AA29" s="17" t="str">
        <f t="shared" si="0"/>
        <v/>
      </c>
      <c r="AB29" s="57" t="str">
        <f>IF(ISNA(VLOOKUP(AA29,'ODBC Data'!$B$1:$J$500,3,0)),"",VLOOKUP(AA29,'ODBC Data'!$B$1:$J$500,3,0))</f>
        <v/>
      </c>
      <c r="AC29" s="57" t="str">
        <f>IF(ISNA(VLOOKUP(AA29,'ODBC Data'!$B$1:$J$500,5,0)),"",VLOOKUP(AA29,'ODBC Data'!$B$1:$J$500,5,0))</f>
        <v/>
      </c>
      <c r="AE29" s="19" t="str">
        <f>IF('ODBC Data'!$I$5&gt;25,'ODBC Data'!$H$5,"")</f>
        <v/>
      </c>
      <c r="AF29" s="19" t="str">
        <f>IF('ODBC Data'!$I$5&gt;25,26,"")</f>
        <v/>
      </c>
      <c r="AG29" s="17" t="str">
        <f t="shared" si="1"/>
        <v/>
      </c>
      <c r="AH29" t="str">
        <f>IF(ISNA(VLOOKUP(AG29,'ODBC Data'!$B$1:$J$500,3,0)),"",VLOOKUP(AG29,'ODBC Data'!$B$1:$J$500,3,0))</f>
        <v/>
      </c>
      <c r="AI29" t="str">
        <f>IF(ISNA(VLOOKUP(AG29,'ODBC Data'!$B$1:$J$500,5,0)),"",VLOOKUP(AG29,'ODBC Data'!$B$1:$J$500,5,0))</f>
        <v/>
      </c>
      <c r="AK29" s="19" t="str">
        <f>IF('ODBC Data'!$I$6&gt;25,'ODBC Data'!$H$6,"")</f>
        <v/>
      </c>
      <c r="AL29" s="19" t="str">
        <f>IF('ODBC Data'!$I$6&gt;25,26,"")</f>
        <v/>
      </c>
      <c r="AM29" s="17" t="str">
        <f t="shared" si="2"/>
        <v/>
      </c>
      <c r="AN29" t="str">
        <f>IF(ISNA(VLOOKUP(AM29,'ODBC Data'!$B$1:$J$500,3,0)),"",VLOOKUP(AM29,'ODBC Data'!$B$1:$J$500,3,0))</f>
        <v/>
      </c>
      <c r="AO29" t="str">
        <f>IF(ISNA(VLOOKUP(AM29,'ODBC Data'!$B$1:$J$500,5,0)),"",VLOOKUP(AM29,'ODBC Data'!$B$1:$J$500,5,0))</f>
        <v/>
      </c>
      <c r="AQ29" s="19" t="str">
        <f>IF('ODBC Data'!$I$7&gt;25,'ODBC Data'!$H$7,"")</f>
        <v/>
      </c>
      <c r="AR29" s="19" t="str">
        <f>IF('ODBC Data'!$I$7&gt;25,26,"")</f>
        <v/>
      </c>
      <c r="AS29" s="17" t="str">
        <f t="shared" si="3"/>
        <v/>
      </c>
      <c r="AT29" t="str">
        <f>IF(ISNA(VLOOKUP(AS29,'ODBC Data'!$B$1:$J$500,3,0)),"",VLOOKUP(AS29,'ODBC Data'!$B$1:$J$500,3,0))</f>
        <v/>
      </c>
      <c r="AU29" t="str">
        <f>IF(ISNA(VLOOKUP(AS29,'ODBC Data'!$B$1:$J$500,5,0)),"",VLOOKUP(AS29,'ODBC Data'!$B$1:$J$500,5,0))</f>
        <v/>
      </c>
      <c r="AW29" s="19" t="str">
        <f>IF('ODBC Data'!$I$8&gt;25,'ODBC Data'!$H$8,"")</f>
        <v/>
      </c>
      <c r="AX29" s="19" t="str">
        <f>IF('ODBC Data'!$I$8&gt;25,26,"")</f>
        <v/>
      </c>
      <c r="AY29" s="17" t="str">
        <f t="shared" si="4"/>
        <v/>
      </c>
      <c r="AZ29" t="str">
        <f>IF(ISNA(VLOOKUP(AY29,'ODBC Data'!$B$1:$J$500,3,0)),"",VLOOKUP(AY29,'ODBC Data'!$B$1:$J$500,3,0))</f>
        <v/>
      </c>
      <c r="BA29" t="str">
        <f>IF(ISNA(VLOOKUP(AY29,'ODBC Data'!$B$1:$J$500,5,0)),"",VLOOKUP(AY29,'ODBC Data'!$B$1:$J$500,5,0))</f>
        <v/>
      </c>
      <c r="BC29" s="19" t="str">
        <f>IF('ODBC Data'!$I$9&gt;25,'ODBC Data'!$H$9,"")</f>
        <v/>
      </c>
      <c r="BD29" s="19" t="str">
        <f>IF('ODBC Data'!$I$9&gt;25,26,"")</f>
        <v/>
      </c>
      <c r="BE29" s="17" t="str">
        <f t="shared" si="5"/>
        <v/>
      </c>
      <c r="BF29" t="str">
        <f>IF(ISNA(VLOOKUP(BE29,'ODBC Data'!$B$1:$J$500,3,0)),"",VLOOKUP(BE29,'ODBC Data'!$B$1:$J$500,3,0))</f>
        <v/>
      </c>
      <c r="BG29" s="57" t="str">
        <f>IF(ISNA(VLOOKUP(BE29,'ODBC Data'!$B$1:$J$500,4,0)),"",VLOOKUP(BE29,'ODBC Data'!$B$1:$J$500,4,0))</f>
        <v/>
      </c>
      <c r="BH29" t="str">
        <f>IF(ISNA(VLOOKUP(BE29,'ODBC Data'!$B$1:$J$500,5,0)),"",VLOOKUP(BE29,'ODBC Data'!$B$1:$J$500,5,0))</f>
        <v/>
      </c>
      <c r="BJ29" s="19" t="str">
        <f>IF('ODBC Data'!$I$10&gt;25,'ODBC Data'!$H$10,"")</f>
        <v/>
      </c>
      <c r="BK29" s="19" t="str">
        <f>IF('ODBC Data'!$I$10&gt;25,26,"")</f>
        <v/>
      </c>
      <c r="BL29" s="17" t="str">
        <f t="shared" si="6"/>
        <v/>
      </c>
      <c r="BM29" t="str">
        <f>IF(ISNA(VLOOKUP(BL29,'ODBC Data'!$B$1:$J$500,3,0)),"",VLOOKUP(BL29,'ODBC Data'!$B$1:$J$500,3,0))</f>
        <v/>
      </c>
      <c r="BN29" s="57" t="str">
        <f>IF(ISNA(VLOOKUP(BL29,'ODBC Data'!$B$1:$J$500,4,0)),"",VLOOKUP(BL29,'ODBC Data'!$B$1:$J$500,4,0))</f>
        <v/>
      </c>
      <c r="BO29" t="str">
        <f>IF(ISNA(VLOOKUP(BL29,'ODBC Data'!$B$1:$J$500,5,0)),"",VLOOKUP(BL29,'ODBC Data'!$B$1:$J$500,5,0))</f>
        <v/>
      </c>
      <c r="BQ29" s="19" t="str">
        <f>IF('ODBC Data'!$I$11&gt;25,'ODBC Data'!$H$11,"")</f>
        <v/>
      </c>
      <c r="BR29" s="19" t="str">
        <f>IF('ODBC Data'!$I$11&gt;25,26,"")</f>
        <v/>
      </c>
      <c r="BS29" s="17" t="str">
        <f t="shared" si="7"/>
        <v/>
      </c>
      <c r="BT29" t="str">
        <f>IF(ISNA(VLOOKUP(BS29,'ODBC Data'!$B$1:$J$500,3,0)),"",VLOOKUP(BS29,'ODBC Data'!$B$1:$J$500,3,0))</f>
        <v/>
      </c>
      <c r="BU29" s="57" t="str">
        <f>IF(ISNA(VLOOKUP(BS29,'ODBC Data'!$B$1:$J$500,4,0)),"",VLOOKUP(BS29,'ODBC Data'!$B$1:$J$500,4,0))</f>
        <v/>
      </c>
      <c r="BV29" t="str">
        <f>IF(ISNA(VLOOKUP(BS29,'ODBC Data'!$B$1:$J$500,5,0)),"",VLOOKUP(BS29,'ODBC Data'!$B$1:$J$500,5,0))</f>
        <v/>
      </c>
      <c r="BX29" s="19" t="str">
        <f>IF('ODBC Data'!$I$12&gt;25,'ODBC Data'!$H$12,"")</f>
        <v/>
      </c>
      <c r="BY29" s="19" t="str">
        <f>IF('ODBC Data'!$I$12&gt;25,26,"")</f>
        <v/>
      </c>
      <c r="BZ29" s="17" t="str">
        <f t="shared" si="8"/>
        <v/>
      </c>
      <c r="CA29" t="str">
        <f>IF(ISNA(VLOOKUP(BZ29,'ODBC Data'!$B$1:$J$500,3,0)),"",VLOOKUP(BZ29,'ODBC Data'!$B$1:$J$500,3,0))</f>
        <v/>
      </c>
      <c r="CB29" s="57" t="str">
        <f>IF(ISNA(VLOOKUP(BZ29,'ODBC Data'!$B$1:$J$500,4,0)),"",VLOOKUP(BZ29,'ODBC Data'!$B$1:$J$500,4,0))</f>
        <v/>
      </c>
      <c r="CC29" t="str">
        <f>IF(ISNA(VLOOKUP(BZ29,'ODBC Data'!$B$1:$J$500,5,0)),"",VLOOKUP(BZ29,'ODBC Data'!$B$1:$J$500,5,0))</f>
        <v/>
      </c>
      <c r="CE29" s="19" t="str">
        <f>IF('ODBC Data'!$I$13&gt;25,'ODBC Data'!$H$13,"")</f>
        <v/>
      </c>
      <c r="CF29" s="19" t="str">
        <f>IF('ODBC Data'!$I$13&gt;25,26,"")</f>
        <v/>
      </c>
      <c r="CG29" s="17" t="str">
        <f t="shared" si="9"/>
        <v/>
      </c>
      <c r="CH29" t="str">
        <f>IF(ISNA(VLOOKUP(CG29,'ODBC Data'!$B$1:$J$500,3,0)),"",VLOOKUP(CG29,'ODBC Data'!$B$1:$J$500,3,0))</f>
        <v/>
      </c>
      <c r="CI29" s="57" t="str">
        <f>IF(ISNA(VLOOKUP(CG29,'ODBC Data'!$B$1:$J$500,4,0)),"",VLOOKUP(CG29,'ODBC Data'!$B$1:$J$500,4,0))</f>
        <v/>
      </c>
      <c r="CJ29" t="str">
        <f>IF(ISNA(VLOOKUP(CG29,'ODBC Data'!$B$1:$J$500,5,0)),"",VLOOKUP(CG29,'ODBC Data'!$B$1:$J$500,5,0))</f>
        <v/>
      </c>
      <c r="CL29" s="19" t="str">
        <f>IF('ODBC Data'!$I$14&gt;25,'ODBC Data'!$H$14,"")</f>
        <v/>
      </c>
      <c r="CM29" s="19" t="str">
        <f>IF('ODBC Data'!$I$14&gt;25,26,"")</f>
        <v/>
      </c>
      <c r="CN29" s="17" t="str">
        <f t="shared" si="10"/>
        <v/>
      </c>
      <c r="CO29" s="57" t="str">
        <f>IF(ISNA(VLOOKUP(CN29,'ODBC Data'!$B$1:$J$500,3,0)),"",VLOOKUP(CN29,'ODBC Data'!$B$1:$J$500,3,0))</f>
        <v/>
      </c>
      <c r="CP29" s="57" t="str">
        <f>IF(ISNA(VLOOKUP(CN29,'ODBC Data'!$B$1:$J$500,4,0)),"",VLOOKUP(CN29,'ODBC Data'!$B$1:$J$500,4,0))</f>
        <v/>
      </c>
      <c r="CQ29" s="57" t="str">
        <f>IF(ISNA(VLOOKUP(CN29,'ODBC Data'!$B$1:$J$500,5,0)),"",VLOOKUP(CN29,'ODBC Data'!$B$1:$J$500,5,0))</f>
        <v/>
      </c>
      <c r="CS29" s="19" t="str">
        <f>IF('ODBC Data'!$I$15&gt;25,'ODBC Data'!$H$15,"")</f>
        <v/>
      </c>
      <c r="CT29" s="19" t="str">
        <f>IF('ODBC Data'!$I$15&gt;25,26,"")</f>
        <v/>
      </c>
      <c r="CU29" s="17" t="str">
        <f t="shared" si="11"/>
        <v/>
      </c>
      <c r="CV29" t="str">
        <f>IF(ISNA(VLOOKUP(CU29,'ODBC Data'!$B$1:$J$500,3,0)),"",VLOOKUP(CU29,'ODBC Data'!$B$1:$J$500,3,0))</f>
        <v/>
      </c>
      <c r="CW29" s="57" t="str">
        <f>IF(ISNA(VLOOKUP(CU29,'ODBC Data'!$B$1:$J$500,4,0)),"",VLOOKUP(CU29,'ODBC Data'!$B$1:$J$500,4,0))</f>
        <v/>
      </c>
      <c r="CX29" t="str">
        <f>IF(ISNA(VLOOKUP(CU29,'ODBC Data'!$B$1:$J$500,5,0)),"",VLOOKUP(CU29,'ODBC Data'!$B$1:$J$500,5,0))</f>
        <v/>
      </c>
      <c r="CZ29" s="19" t="str">
        <f>IF('ODBC Data'!$I$16&gt;25,'ODBC Data'!$H$16,"")</f>
        <v/>
      </c>
      <c r="DA29" s="19" t="str">
        <f>IF('ODBC Data'!$I$16&gt;25,26,"")</f>
        <v/>
      </c>
      <c r="DB29" s="17" t="str">
        <f t="shared" si="12"/>
        <v/>
      </c>
      <c r="DC29" t="str">
        <f>IF(ISNA(VLOOKUP(DB29,'ODBC Data'!$B$1:$J$500,3,0)),"",VLOOKUP(DB29,'ODBC Data'!$B$1:$J$500,3,0))</f>
        <v/>
      </c>
      <c r="DD29" s="57" t="str">
        <f>IF(ISNA(VLOOKUP(DB29,'ODBC Data'!$B$1:$J$500,4,0)),"",VLOOKUP(DB29,'ODBC Data'!$B$1:$J$500,4,0))</f>
        <v/>
      </c>
      <c r="DE29" t="str">
        <f>IF(ISNA(VLOOKUP(DB29,'ODBC Data'!$B$1:$J$500,5,0)),"",VLOOKUP(DB29,'ODBC Data'!$B$1:$J$500,5,0))</f>
        <v/>
      </c>
      <c r="DG29" s="19" t="str">
        <f>IF('ODBC Data'!$I$17&gt;25,'ODBC Data'!$H$17,"")</f>
        <v/>
      </c>
      <c r="DH29" s="19" t="str">
        <f>IF('ODBC Data'!$I$17&gt;25,26,"")</f>
        <v/>
      </c>
      <c r="DI29" s="17" t="str">
        <f t="shared" si="13"/>
        <v/>
      </c>
      <c r="DJ29" t="str">
        <f>IF(ISNA(VLOOKUP(DI29,'ODBC Data'!$B$1:$J$500,3,0)),"",VLOOKUP(DI29,'ODBC Data'!$B$1:$J$500,3,0))</f>
        <v/>
      </c>
      <c r="DK29" s="57" t="str">
        <f>IF(ISNA(VLOOKUP(DI29,'ODBC Data'!$B$1:$J$500,4,0)),"",VLOOKUP(DI29,'ODBC Data'!$B$1:$J$500,4,0))</f>
        <v/>
      </c>
      <c r="DL29" t="str">
        <f>IF(ISNA(VLOOKUP(DI29,'ODBC Data'!$B$1:$J$500,5,0)),"",VLOOKUP(DI29,'ODBC Data'!$B$1:$J$500,5,0))</f>
        <v/>
      </c>
      <c r="DN29" s="19" t="str">
        <f>IF('ODBC Data'!$I$18&gt;25,'ODBC Data'!$H$18,"")</f>
        <v/>
      </c>
      <c r="DO29" s="19" t="str">
        <f>IF('ODBC Data'!$I$18&gt;25,26,"")</f>
        <v/>
      </c>
      <c r="DP29" s="17" t="str">
        <f t="shared" si="14"/>
        <v/>
      </c>
      <c r="DQ29" t="str">
        <f>IF(ISNA(VLOOKUP(DP29,'ODBC Data'!$B$1:$J$500,3,0)),"",VLOOKUP(DP29,'ODBC Data'!$B$1:$J$500,3,0))</f>
        <v/>
      </c>
      <c r="DR29" s="57" t="str">
        <f>IF(ISNA(VLOOKUP(DP29,'ODBC Data'!$B$1:$J$500,4,0)),"",VLOOKUP(DP29,'ODBC Data'!$B$1:$J$500,4,0))</f>
        <v/>
      </c>
      <c r="DS29" t="str">
        <f>IF(ISNA(VLOOKUP(DP29,'ODBC Data'!$B$1:$J$500,5,0)),"",VLOOKUP(DP29,'ODBC Data'!$B$1:$J$500,5,0))</f>
        <v/>
      </c>
      <c r="DU29" s="19" t="str">
        <f>IF('ODBC Data'!$I$19&gt;25,'ODBC Data'!$H$19,"")</f>
        <v/>
      </c>
      <c r="DV29" s="19" t="str">
        <f>IF('ODBC Data'!$I$19&gt;25,26,"")</f>
        <v/>
      </c>
      <c r="DW29" s="17" t="str">
        <f t="shared" si="15"/>
        <v/>
      </c>
      <c r="DX29" t="str">
        <f>IF(ISNA(VLOOKUP(DW29,'ODBC Data'!$B$1:$J$500,3,0)),"",VLOOKUP(DW29,'ODBC Data'!$B$1:$J$500,3,0))</f>
        <v/>
      </c>
      <c r="DY29" s="57" t="str">
        <f>IF(ISNA(VLOOKUP(DW29,'ODBC Data'!$B$1:$J$500,4,0)),"",VLOOKUP(DW29,'ODBC Data'!$B$1:$J$500,4,0))</f>
        <v/>
      </c>
      <c r="DZ29" t="str">
        <f>IF(ISNA(VLOOKUP(DW29,'ODBC Data'!$B$1:$J$500,5,0)),"",VLOOKUP(DW29,'ODBC Data'!$B$1:$J$500,5,0))</f>
        <v/>
      </c>
      <c r="EB29" s="19" t="str">
        <f>IF('ODBC Data'!$I$20&gt;25,'ODBC Data'!$H$20,"")</f>
        <v/>
      </c>
      <c r="EC29" s="19" t="str">
        <f>IF('ODBC Data'!$I$20&gt;25,26,"")</f>
        <v/>
      </c>
      <c r="ED29" s="17" t="str">
        <f t="shared" si="16"/>
        <v/>
      </c>
      <c r="EE29" s="57" t="str">
        <f>IF(ISNA(VLOOKUP(ED29,'ODBC Data'!$B$1:$J$500,3,0)),"",VLOOKUP(ED29,'ODBC Data'!$B$1:$J$500,3,0))</f>
        <v/>
      </c>
      <c r="EF29" s="57" t="str">
        <f>IF(ISNA(VLOOKUP(ED29,'ODBC Data'!$B$1:$J$500,4,0)),"",VLOOKUP(ED29,'ODBC Data'!$B$1:$J$500,4,0))</f>
        <v/>
      </c>
      <c r="EG29" s="57" t="str">
        <f>IF(ISNA(VLOOKUP(ED29,'ODBC Data'!$B$1:$J$500,5,0)),"",VLOOKUP(ED29,'ODBC Data'!$B$1:$J$500,5,0))</f>
        <v/>
      </c>
      <c r="EI29" s="19" t="str">
        <f>IF('ODBC Data'!$I$21&gt;25,'ODBC Data'!$H$21,"")</f>
        <v/>
      </c>
      <c r="EJ29" s="19" t="str">
        <f>IF('ODBC Data'!$I$21&gt;25,26,"")</f>
        <v/>
      </c>
      <c r="EK29" s="17" t="str">
        <f t="shared" si="17"/>
        <v/>
      </c>
      <c r="EL29" t="str">
        <f>IF(ISNA(VLOOKUP(EK29,'ODBC Data'!$B$1:$J$500,3,0)),"",VLOOKUP(EK29,'ODBC Data'!$B$1:$J$500,3,0))</f>
        <v/>
      </c>
      <c r="EM29" s="57" t="str">
        <f>IF(ISNA(VLOOKUP(EK29,'ODBC Data'!$B$1:$J$500,4,0)),"",VLOOKUP(EK29,'ODBC Data'!$B$1:$J$500,4,0))</f>
        <v/>
      </c>
      <c r="EN29" t="str">
        <f>IF(ISNA(VLOOKUP(EK29,'ODBC Data'!$B$1:$J$500,5,0)),"",VLOOKUP(EK29,'ODBC Data'!$B$1:$J$500,5,0))</f>
        <v/>
      </c>
      <c r="EP29" s="19" t="str">
        <f>IF('ODBC Data'!$I$22&gt;25,'ODBC Data'!$H$22,"")</f>
        <v/>
      </c>
      <c r="EQ29" s="19" t="str">
        <f>IF('ODBC Data'!$I$22&gt;25,26,"")</f>
        <v/>
      </c>
      <c r="ER29" s="17" t="str">
        <f t="shared" si="18"/>
        <v/>
      </c>
      <c r="ES29" t="str">
        <f>IF(ISNA(VLOOKUP(ER29,'ODBC Data'!$B$1:$J$500,3,0)),"",VLOOKUP(ER29,'ODBC Data'!$B$1:$J$500,3,0))</f>
        <v/>
      </c>
      <c r="ET29" s="57" t="str">
        <f>IF(ISNA(VLOOKUP(ER29,'ODBC Data'!$B$1:$J$500,4,0)),"",VLOOKUP(ER29,'ODBC Data'!$B$1:$J$500,4,0))</f>
        <v/>
      </c>
      <c r="EU29" t="str">
        <f>IF(ISNA(VLOOKUP(ER29,'ODBC Data'!$B$1:$J$500,5,0)),"",VLOOKUP(ER29,'ODBC Data'!$B$1:$J$500,5,0))</f>
        <v/>
      </c>
      <c r="EW29" s="19" t="str">
        <f>IF('ODBC Data'!$I$23&gt;25,'ODBC Data'!$H$23,"")</f>
        <v/>
      </c>
      <c r="EX29" s="19" t="str">
        <f>IF('ODBC Data'!$I$23&gt;25,26,"")</f>
        <v/>
      </c>
      <c r="EY29" s="17" t="str">
        <f t="shared" si="19"/>
        <v/>
      </c>
      <c r="EZ29" t="str">
        <f>IF(ISNA(VLOOKUP(EY29,'ODBC Data'!$B$1:$J$500,3,0)),"",VLOOKUP(EY29,'ODBC Data'!$B$1:$J$500,3,0))</f>
        <v/>
      </c>
      <c r="FA29" s="57" t="str">
        <f>IF(ISNA(VLOOKUP(EY29,'ODBC Data'!$B$1:$J$500,4,0)),"",VLOOKUP(EY29,'ODBC Data'!$B$1:$J$500,4,0))</f>
        <v/>
      </c>
      <c r="FB29" t="str">
        <f>IF(ISNA(VLOOKUP(EY29,'ODBC Data'!$B$1:$J$500,5,0)),"",VLOOKUP(EY29,'ODBC Data'!$B$1:$J$500,5,0))</f>
        <v/>
      </c>
      <c r="FD29" s="19" t="str">
        <f>IF('ODBC Data'!$I$24&gt;25,'ODBC Data'!$H$24,"")</f>
        <v/>
      </c>
      <c r="FE29" s="19" t="str">
        <f>IF('ODBC Data'!$I$24&gt;25,26,"")</f>
        <v/>
      </c>
      <c r="FF29" s="17" t="str">
        <f t="shared" si="20"/>
        <v/>
      </c>
      <c r="FG29" t="str">
        <f>IF(ISNA(VLOOKUP(FF29,'ODBC Data'!$B$1:$J$500,3,0)),"",VLOOKUP(FF29,'ODBC Data'!$B$1:$J$500,3,0))</f>
        <v/>
      </c>
      <c r="FH29" s="57" t="str">
        <f>IF(ISNA(VLOOKUP(FF29,'ODBC Data'!$B$1:$J$500,4,0)),"",VLOOKUP(FF29,'ODBC Data'!$B$1:$J$500,4,0))</f>
        <v/>
      </c>
      <c r="FI29" t="str">
        <f>IF(ISNA(VLOOKUP(FF29,'ODBC Data'!$B$1:$J$500,5,0)),"",VLOOKUP(FF29,'ODBC Data'!$B$1:$J$500,5,0))</f>
        <v/>
      </c>
      <c r="FK29" s="19" t="str">
        <f>IF('ODBC Data'!$I$25&gt;25,'ODBC Data'!$H$25,"")</f>
        <v/>
      </c>
      <c r="FL29" s="19" t="str">
        <f>IF('ODBC Data'!$I$25&gt;25,26,"")</f>
        <v/>
      </c>
      <c r="FM29" s="17" t="str">
        <f t="shared" si="21"/>
        <v/>
      </c>
      <c r="FN29" t="str">
        <f>IF(ISNA(VLOOKUP(FM29,'ODBC Data'!$B$1:$J$500,3,0)),"",VLOOKUP(FM29,'ODBC Data'!$B$1:$J$500,3,0))</f>
        <v/>
      </c>
      <c r="FO29" s="57" t="str">
        <f>IF(ISNA(VLOOKUP(FM29,'ODBC Data'!$B$1:$J$500,4,0)),"",VLOOKUP(FM29,'ODBC Data'!$B$1:$J$500,4,0))</f>
        <v/>
      </c>
      <c r="FP29" t="str">
        <f>IF(ISNA(VLOOKUP(FM29,'ODBC Data'!$B$1:$J$500,5,0)),"",VLOOKUP(FM29,'ODBC Data'!$B$1:$J$500,5,0))</f>
        <v/>
      </c>
      <c r="FR29" s="19" t="str">
        <f>IF('ODBC Data'!$I$26&gt;25,'ODBC Data'!$H$26,"")</f>
        <v/>
      </c>
      <c r="FS29" s="19" t="str">
        <f>IF('ODBC Data'!$I$26&gt;25,26,"")</f>
        <v/>
      </c>
      <c r="FT29" s="17" t="str">
        <f t="shared" si="22"/>
        <v/>
      </c>
      <c r="FU29" s="57" t="str">
        <f>IF(ISNA(VLOOKUP(FT29,'ODBC Data'!$B$1:$J$500,3,0)),"",VLOOKUP(FT29,'ODBC Data'!$B$1:$J$500,3,0))</f>
        <v/>
      </c>
      <c r="FV29" s="57" t="str">
        <f>IF(ISNA(VLOOKUP(FT29,'ODBC Data'!$B$1:$J$500,4,0)),"",VLOOKUP(FT29,'ODBC Data'!$B$1:$J$500,4,0))</f>
        <v/>
      </c>
      <c r="FW29" s="57" t="str">
        <f>IF(ISNA(VLOOKUP(FT29,'ODBC Data'!$B$1:$J$500,5,0)),"",VLOOKUP(FT29,'ODBC Data'!$B$1:$J$500,5,0))</f>
        <v/>
      </c>
      <c r="FY29" s="19" t="str">
        <f>IF('ODBC Data'!$I$27&gt;25,'ODBC Data'!$H$27,"")</f>
        <v/>
      </c>
      <c r="FZ29" s="19" t="str">
        <f>IF('ODBC Data'!$I$27&gt;25,26,"")</f>
        <v/>
      </c>
      <c r="GA29" s="17" t="str">
        <f t="shared" si="23"/>
        <v/>
      </c>
      <c r="GB29" s="57" t="str">
        <f>IF(ISNA(VLOOKUP(GA29,'ODBC Data'!$B$1:$J$500,3,0)),"",VLOOKUP(GA29,'ODBC Data'!$B$1:$J$500,3,0))</f>
        <v/>
      </c>
      <c r="GC29" s="57" t="str">
        <f>IF(ISNA(VLOOKUP(GA29,'ODBC Data'!$B$1:$J$500,4,0)),"",VLOOKUP(GA29,'ODBC Data'!$B$1:$J$500,4,0))</f>
        <v/>
      </c>
      <c r="GD29" s="57" t="str">
        <f>IF(ISNA(VLOOKUP(GA29,'ODBC Data'!$B$1:$J$500,5,0)),"",VLOOKUP(GA29,'ODBC Data'!$B$1:$J$500,5,0))</f>
        <v/>
      </c>
    </row>
    <row r="30" spans="1:186">
      <c r="A30" s="19" t="str">
        <f>IF('ODBC Data'!$I$1&gt;26,'ODBC Data'!$H$1,"")</f>
        <v/>
      </c>
      <c r="B30" s="19" t="str">
        <f>IF('ODBC Data'!$I$1&gt;26,27,"")</f>
        <v/>
      </c>
      <c r="C30" s="17" t="str">
        <f t="shared" si="27"/>
        <v/>
      </c>
      <c r="D30" t="str">
        <f>IF(ISNA(VLOOKUP(C30,'ODBC Data'!$B$1:$J$500,3,0)),"",VLOOKUP(C30,'ODBC Data'!$B$1:$J$500,3,0))</f>
        <v/>
      </c>
      <c r="E30" t="str">
        <f>IF(ISNA(VLOOKUP(C30,'ODBC Data'!$B$1:$J$500,5,0)),"",VLOOKUP(C30,'ODBC Data'!$B$1:$J$500,5,0))</f>
        <v/>
      </c>
      <c r="F30" t="str">
        <f t="shared" si="28"/>
        <v/>
      </c>
      <c r="G30" s="19" t="str">
        <f>IF('ODBC Data'!$I$2&gt;26,'ODBC Data'!$H$2,"")</f>
        <v/>
      </c>
      <c r="H30" s="19" t="str">
        <f>IF('ODBC Data'!$I$2&gt;26,27,"")</f>
        <v/>
      </c>
      <c r="I30" s="17" t="str">
        <f t="shared" si="24"/>
        <v/>
      </c>
      <c r="J30" t="str">
        <f>IF(ISNA(VLOOKUP(I30,'ODBC Data'!$B$1:$J$500,3,0)),"",VLOOKUP(I30,'ODBC Data'!$B$1:$J$500,3,0))</f>
        <v/>
      </c>
      <c r="K30" t="str">
        <f>IF(ISNA(VLOOKUP(I30,'ODBC Data'!$B$1:$J$500,5,0)),"",VLOOKUP(I30,'ODBC Data'!$B$1:$J$500,5,0))</f>
        <v/>
      </c>
      <c r="M30" s="19" t="str">
        <f>IF('ODBC Data'!$I$3&gt;26,'ODBC Data'!$H$3,"")</f>
        <v/>
      </c>
      <c r="N30" s="19" t="str">
        <f>IF('ODBC Data'!$I$3&gt;26,27,"")</f>
        <v/>
      </c>
      <c r="O30" s="17" t="str">
        <f t="shared" si="25"/>
        <v/>
      </c>
      <c r="P30" t="str">
        <f>IF(ISNA(VLOOKUP(O30,'ODBC Data'!$B$1:$J$500,3,0)),"",VLOOKUP(O30,'ODBC Data'!$B$1:$J$500,3,0))</f>
        <v/>
      </c>
      <c r="Q30" t="str">
        <f>IF(ISNA(VLOOKUP(O30,'ODBC Data'!$B$1:$J$500,5,0)),"",VLOOKUP(O30,'ODBC Data'!$B$1:$J$500,4,0))</f>
        <v/>
      </c>
      <c r="S30" s="19" t="str">
        <f>IF('ODBC Data'!$I$3&gt;26,'ODBC Data'!$H$3,"")</f>
        <v/>
      </c>
      <c r="T30" s="19" t="str">
        <f>IF('ODBC Data'!$I$3&gt;26,27,"")</f>
        <v/>
      </c>
      <c r="U30" s="17" t="str">
        <f t="shared" si="26"/>
        <v/>
      </c>
      <c r="V30" t="str">
        <f>IF(ISNA(VLOOKUP(U30,'ODBC Data'!$B$1:$J$500,3,0)),"",VLOOKUP(U30,'ODBC Data'!$B$1:$J$500,3,0))</f>
        <v/>
      </c>
      <c r="W30" t="str">
        <f>IF(ISNA(VLOOKUP(U30,'ODBC Data'!$B$1:$J$500,5,0)),"",VLOOKUP(U30,'ODBC Data'!$B$1:$J$500,5,0))</f>
        <v/>
      </c>
      <c r="Y30" s="19" t="str">
        <f>IF('ODBC Data'!$I$4&gt;26,'ODBC Data'!$H$4,"")</f>
        <v/>
      </c>
      <c r="Z30" s="19" t="str">
        <f>IF('ODBC Data'!$I$4&gt;26,27,"")</f>
        <v/>
      </c>
      <c r="AA30" s="17" t="str">
        <f t="shared" si="0"/>
        <v/>
      </c>
      <c r="AB30" s="57" t="str">
        <f>IF(ISNA(VLOOKUP(AA30,'ODBC Data'!$B$1:$J$500,3,0)),"",VLOOKUP(AA30,'ODBC Data'!$B$1:$J$500,3,0))</f>
        <v/>
      </c>
      <c r="AC30" s="57" t="str">
        <f>IF(ISNA(VLOOKUP(AA30,'ODBC Data'!$B$1:$J$500,5,0)),"",VLOOKUP(AA30,'ODBC Data'!$B$1:$J$500,5,0))</f>
        <v/>
      </c>
      <c r="AE30" s="19" t="str">
        <f>IF('ODBC Data'!$I$5&gt;26,'ODBC Data'!$H$5,"")</f>
        <v/>
      </c>
      <c r="AF30" s="19" t="str">
        <f>IF('ODBC Data'!$I$5&gt;26,27,"")</f>
        <v/>
      </c>
      <c r="AG30" s="17" t="str">
        <f t="shared" si="1"/>
        <v/>
      </c>
      <c r="AH30" t="str">
        <f>IF(ISNA(VLOOKUP(AG30,'ODBC Data'!$B$1:$J$500,3,0)),"",VLOOKUP(AG30,'ODBC Data'!$B$1:$J$500,3,0))</f>
        <v/>
      </c>
      <c r="AI30" t="str">
        <f>IF(ISNA(VLOOKUP(AG30,'ODBC Data'!$B$1:$J$500,5,0)),"",VLOOKUP(AG30,'ODBC Data'!$B$1:$J$500,5,0))</f>
        <v/>
      </c>
      <c r="AK30" s="19" t="str">
        <f>IF('ODBC Data'!$I$6&gt;26,'ODBC Data'!$H$6,"")</f>
        <v/>
      </c>
      <c r="AL30" s="19" t="str">
        <f>IF('ODBC Data'!$I$6&gt;26,27,"")</f>
        <v/>
      </c>
      <c r="AM30" s="17" t="str">
        <f t="shared" si="2"/>
        <v/>
      </c>
      <c r="AN30" t="str">
        <f>IF(ISNA(VLOOKUP(AM30,'ODBC Data'!$B$1:$J$500,3,0)),"",VLOOKUP(AM30,'ODBC Data'!$B$1:$J$500,3,0))</f>
        <v/>
      </c>
      <c r="AO30" t="str">
        <f>IF(ISNA(VLOOKUP(AM30,'ODBC Data'!$B$1:$J$500,5,0)),"",VLOOKUP(AM30,'ODBC Data'!$B$1:$J$500,5,0))</f>
        <v/>
      </c>
      <c r="AQ30" s="19" t="str">
        <f>IF('ODBC Data'!$I$7&gt;26,'ODBC Data'!$H$7,"")</f>
        <v/>
      </c>
      <c r="AR30" s="19" t="str">
        <f>IF('ODBC Data'!$I$7&gt;26,27,"")</f>
        <v/>
      </c>
      <c r="AS30" s="17" t="str">
        <f t="shared" si="3"/>
        <v/>
      </c>
      <c r="AT30" t="str">
        <f>IF(ISNA(VLOOKUP(AS30,'ODBC Data'!$B$1:$J$500,3,0)),"",VLOOKUP(AS30,'ODBC Data'!$B$1:$J$500,3,0))</f>
        <v/>
      </c>
      <c r="AU30" t="str">
        <f>IF(ISNA(VLOOKUP(AS30,'ODBC Data'!$B$1:$J$500,5,0)),"",VLOOKUP(AS30,'ODBC Data'!$B$1:$J$500,5,0))</f>
        <v/>
      </c>
      <c r="AW30" s="19" t="str">
        <f>IF('ODBC Data'!$I$8&gt;26,'ODBC Data'!$H$8,"")</f>
        <v/>
      </c>
      <c r="AX30" s="19" t="str">
        <f>IF('ODBC Data'!$I$8&gt;26,27,"")</f>
        <v/>
      </c>
      <c r="AY30" s="17" t="str">
        <f t="shared" si="4"/>
        <v/>
      </c>
      <c r="AZ30" t="str">
        <f>IF(ISNA(VLOOKUP(AY30,'ODBC Data'!$B$1:$J$500,3,0)),"",VLOOKUP(AY30,'ODBC Data'!$B$1:$J$500,3,0))</f>
        <v/>
      </c>
      <c r="BA30" t="str">
        <f>IF(ISNA(VLOOKUP(AY30,'ODBC Data'!$B$1:$J$500,5,0)),"",VLOOKUP(AY30,'ODBC Data'!$B$1:$J$500,5,0))</f>
        <v/>
      </c>
      <c r="BC30" s="19" t="str">
        <f>IF('ODBC Data'!$I$9&gt;26,'ODBC Data'!$H$9,"")</f>
        <v/>
      </c>
      <c r="BD30" s="19" t="str">
        <f>IF('ODBC Data'!$I$9&gt;26,27,"")</f>
        <v/>
      </c>
      <c r="BE30" s="17" t="str">
        <f t="shared" si="5"/>
        <v/>
      </c>
      <c r="BF30" t="str">
        <f>IF(ISNA(VLOOKUP(BE30,'ODBC Data'!$B$1:$J$500,3,0)),"",VLOOKUP(BE30,'ODBC Data'!$B$1:$J$500,3,0))</f>
        <v/>
      </c>
      <c r="BG30" s="57" t="str">
        <f>IF(ISNA(VLOOKUP(BE30,'ODBC Data'!$B$1:$J$500,4,0)),"",VLOOKUP(BE30,'ODBC Data'!$B$1:$J$500,4,0))</f>
        <v/>
      </c>
      <c r="BH30" t="str">
        <f>IF(ISNA(VLOOKUP(BE30,'ODBC Data'!$B$1:$J$500,5,0)),"",VLOOKUP(BE30,'ODBC Data'!$B$1:$J$500,5,0))</f>
        <v/>
      </c>
      <c r="BJ30" s="19" t="str">
        <f>IF('ODBC Data'!$I$10&gt;26,'ODBC Data'!$H$10,"")</f>
        <v/>
      </c>
      <c r="BK30" s="19" t="str">
        <f>IF('ODBC Data'!$I$10&gt;26,27,"")</f>
        <v/>
      </c>
      <c r="BL30" s="17" t="str">
        <f t="shared" si="6"/>
        <v/>
      </c>
      <c r="BM30" t="str">
        <f>IF(ISNA(VLOOKUP(BL30,'ODBC Data'!$B$1:$J$500,3,0)),"",VLOOKUP(BL30,'ODBC Data'!$B$1:$J$500,3,0))</f>
        <v/>
      </c>
      <c r="BN30" s="57" t="str">
        <f>IF(ISNA(VLOOKUP(BL30,'ODBC Data'!$B$1:$J$500,4,0)),"",VLOOKUP(BL30,'ODBC Data'!$B$1:$J$500,4,0))</f>
        <v/>
      </c>
      <c r="BO30" t="str">
        <f>IF(ISNA(VLOOKUP(BL30,'ODBC Data'!$B$1:$J$500,5,0)),"",VLOOKUP(BL30,'ODBC Data'!$B$1:$J$500,5,0))</f>
        <v/>
      </c>
      <c r="BQ30" s="19" t="str">
        <f>IF('ODBC Data'!$I$11&gt;26,'ODBC Data'!$H$11,"")</f>
        <v/>
      </c>
      <c r="BR30" s="19" t="str">
        <f>IF('ODBC Data'!$I$11&gt;26,27,"")</f>
        <v/>
      </c>
      <c r="BS30" s="17" t="str">
        <f t="shared" si="7"/>
        <v/>
      </c>
      <c r="BT30" t="str">
        <f>IF(ISNA(VLOOKUP(BS30,'ODBC Data'!$B$1:$J$500,3,0)),"",VLOOKUP(BS30,'ODBC Data'!$B$1:$J$500,3,0))</f>
        <v/>
      </c>
      <c r="BU30" s="57" t="str">
        <f>IF(ISNA(VLOOKUP(BS30,'ODBC Data'!$B$1:$J$500,4,0)),"",VLOOKUP(BS30,'ODBC Data'!$B$1:$J$500,4,0))</f>
        <v/>
      </c>
      <c r="BV30" t="str">
        <f>IF(ISNA(VLOOKUP(BS30,'ODBC Data'!$B$1:$J$500,5,0)),"",VLOOKUP(BS30,'ODBC Data'!$B$1:$J$500,5,0))</f>
        <v/>
      </c>
      <c r="BX30" s="19" t="str">
        <f>IF('ODBC Data'!$I$12&gt;26,'ODBC Data'!$H$12,"")</f>
        <v/>
      </c>
      <c r="BY30" s="19" t="str">
        <f>IF('ODBC Data'!$I$12&gt;26,27,"")</f>
        <v/>
      </c>
      <c r="BZ30" s="17" t="str">
        <f t="shared" si="8"/>
        <v/>
      </c>
      <c r="CA30" t="str">
        <f>IF(ISNA(VLOOKUP(BZ30,'ODBC Data'!$B$1:$J$500,3,0)),"",VLOOKUP(BZ30,'ODBC Data'!$B$1:$J$500,3,0))</f>
        <v/>
      </c>
      <c r="CB30" s="57" t="str">
        <f>IF(ISNA(VLOOKUP(BZ30,'ODBC Data'!$B$1:$J$500,4,0)),"",VLOOKUP(BZ30,'ODBC Data'!$B$1:$J$500,4,0))</f>
        <v/>
      </c>
      <c r="CC30" t="str">
        <f>IF(ISNA(VLOOKUP(BZ30,'ODBC Data'!$B$1:$J$500,5,0)),"",VLOOKUP(BZ30,'ODBC Data'!$B$1:$J$500,5,0))</f>
        <v/>
      </c>
      <c r="CE30" s="19" t="str">
        <f>IF('ODBC Data'!$I$13&gt;26,'ODBC Data'!$H$13,"")</f>
        <v/>
      </c>
      <c r="CF30" s="19" t="str">
        <f>IF('ODBC Data'!$I$13&gt;26,27,"")</f>
        <v/>
      </c>
      <c r="CG30" s="17" t="str">
        <f t="shared" si="9"/>
        <v/>
      </c>
      <c r="CH30" t="str">
        <f>IF(ISNA(VLOOKUP(CG30,'ODBC Data'!$B$1:$J$500,3,0)),"",VLOOKUP(CG30,'ODBC Data'!$B$1:$J$500,3,0))</f>
        <v/>
      </c>
      <c r="CI30" s="57" t="str">
        <f>IF(ISNA(VLOOKUP(CG30,'ODBC Data'!$B$1:$J$500,4,0)),"",VLOOKUP(CG30,'ODBC Data'!$B$1:$J$500,4,0))</f>
        <v/>
      </c>
      <c r="CJ30" t="str">
        <f>IF(ISNA(VLOOKUP(CG30,'ODBC Data'!$B$1:$J$500,5,0)),"",VLOOKUP(CG30,'ODBC Data'!$B$1:$J$500,5,0))</f>
        <v/>
      </c>
      <c r="CL30" s="19" t="str">
        <f>IF('ODBC Data'!$I$14&gt;26,'ODBC Data'!$H$14,"")</f>
        <v/>
      </c>
      <c r="CM30" s="19" t="str">
        <f>IF('ODBC Data'!$I$14&gt;26,27,"")</f>
        <v/>
      </c>
      <c r="CN30" s="17" t="str">
        <f t="shared" si="10"/>
        <v/>
      </c>
      <c r="CO30" s="57" t="str">
        <f>IF(ISNA(VLOOKUP(CN30,'ODBC Data'!$B$1:$J$500,3,0)),"",VLOOKUP(CN30,'ODBC Data'!$B$1:$J$500,3,0))</f>
        <v/>
      </c>
      <c r="CP30" s="57" t="str">
        <f>IF(ISNA(VLOOKUP(CN30,'ODBC Data'!$B$1:$J$500,4,0)),"",VLOOKUP(CN30,'ODBC Data'!$B$1:$J$500,4,0))</f>
        <v/>
      </c>
      <c r="CQ30" s="57" t="str">
        <f>IF(ISNA(VLOOKUP(CN30,'ODBC Data'!$B$1:$J$500,5,0)),"",VLOOKUP(CN30,'ODBC Data'!$B$1:$J$500,5,0))</f>
        <v/>
      </c>
      <c r="CS30" s="19" t="str">
        <f>IF('ODBC Data'!$I$15&gt;26,'ODBC Data'!$H$15,"")</f>
        <v/>
      </c>
      <c r="CT30" s="19" t="str">
        <f>IF('ODBC Data'!$I$15&gt;26,27,"")</f>
        <v/>
      </c>
      <c r="CU30" s="17" t="str">
        <f t="shared" si="11"/>
        <v/>
      </c>
      <c r="CV30" t="str">
        <f>IF(ISNA(VLOOKUP(CU30,'ODBC Data'!$B$1:$J$500,3,0)),"",VLOOKUP(CU30,'ODBC Data'!$B$1:$J$500,3,0))</f>
        <v/>
      </c>
      <c r="CW30" s="57" t="str">
        <f>IF(ISNA(VLOOKUP(CU30,'ODBC Data'!$B$1:$J$500,4,0)),"",VLOOKUP(CU30,'ODBC Data'!$B$1:$J$500,4,0))</f>
        <v/>
      </c>
      <c r="CX30" t="str">
        <f>IF(ISNA(VLOOKUP(CU30,'ODBC Data'!$B$1:$J$500,5,0)),"",VLOOKUP(CU30,'ODBC Data'!$B$1:$J$500,5,0))</f>
        <v/>
      </c>
      <c r="CZ30" s="19" t="str">
        <f>IF('ODBC Data'!$I$16&gt;26,'ODBC Data'!$H$16,"")</f>
        <v/>
      </c>
      <c r="DA30" s="19" t="str">
        <f>IF('ODBC Data'!$I$16&gt;26,27,"")</f>
        <v/>
      </c>
      <c r="DB30" s="17" t="str">
        <f t="shared" si="12"/>
        <v/>
      </c>
      <c r="DC30" t="str">
        <f>IF(ISNA(VLOOKUP(DB30,'ODBC Data'!$B$1:$J$500,3,0)),"",VLOOKUP(DB30,'ODBC Data'!$B$1:$J$500,3,0))</f>
        <v/>
      </c>
      <c r="DD30" s="57" t="str">
        <f>IF(ISNA(VLOOKUP(DB30,'ODBC Data'!$B$1:$J$500,4,0)),"",VLOOKUP(DB30,'ODBC Data'!$B$1:$J$500,4,0))</f>
        <v/>
      </c>
      <c r="DE30" t="str">
        <f>IF(ISNA(VLOOKUP(DB30,'ODBC Data'!$B$1:$J$500,5,0)),"",VLOOKUP(DB30,'ODBC Data'!$B$1:$J$500,5,0))</f>
        <v/>
      </c>
      <c r="DG30" s="19" t="str">
        <f>IF('ODBC Data'!$I$17&gt;26,'ODBC Data'!$H$17,"")</f>
        <v/>
      </c>
      <c r="DH30" s="19" t="str">
        <f>IF('ODBC Data'!$I$17&gt;26,27,"")</f>
        <v/>
      </c>
      <c r="DI30" s="17" t="str">
        <f t="shared" si="13"/>
        <v/>
      </c>
      <c r="DJ30" t="str">
        <f>IF(ISNA(VLOOKUP(DI30,'ODBC Data'!$B$1:$J$500,3,0)),"",VLOOKUP(DI30,'ODBC Data'!$B$1:$J$500,3,0))</f>
        <v/>
      </c>
      <c r="DK30" s="57" t="str">
        <f>IF(ISNA(VLOOKUP(DI30,'ODBC Data'!$B$1:$J$500,4,0)),"",VLOOKUP(DI30,'ODBC Data'!$B$1:$J$500,4,0))</f>
        <v/>
      </c>
      <c r="DL30" t="str">
        <f>IF(ISNA(VLOOKUP(DI30,'ODBC Data'!$B$1:$J$500,5,0)),"",VLOOKUP(DI30,'ODBC Data'!$B$1:$J$500,5,0))</f>
        <v/>
      </c>
      <c r="DN30" s="19" t="str">
        <f>IF('ODBC Data'!$I$18&gt;26,'ODBC Data'!$H$18,"")</f>
        <v/>
      </c>
      <c r="DO30" s="19" t="str">
        <f>IF('ODBC Data'!$I$18&gt;26,27,"")</f>
        <v/>
      </c>
      <c r="DP30" s="17" t="str">
        <f t="shared" si="14"/>
        <v/>
      </c>
      <c r="DQ30" t="str">
        <f>IF(ISNA(VLOOKUP(DP30,'ODBC Data'!$B$1:$J$500,3,0)),"",VLOOKUP(DP30,'ODBC Data'!$B$1:$J$500,3,0))</f>
        <v/>
      </c>
      <c r="DR30" s="57" t="str">
        <f>IF(ISNA(VLOOKUP(DP30,'ODBC Data'!$B$1:$J$500,4,0)),"",VLOOKUP(DP30,'ODBC Data'!$B$1:$J$500,4,0))</f>
        <v/>
      </c>
      <c r="DS30" t="str">
        <f>IF(ISNA(VLOOKUP(DP30,'ODBC Data'!$B$1:$J$500,5,0)),"",VLOOKUP(DP30,'ODBC Data'!$B$1:$J$500,5,0))</f>
        <v/>
      </c>
      <c r="DU30" s="19" t="str">
        <f>IF('ODBC Data'!$I$19&gt;26,'ODBC Data'!$H$19,"")</f>
        <v/>
      </c>
      <c r="DV30" s="19" t="str">
        <f>IF('ODBC Data'!$I$19&gt;26,27,"")</f>
        <v/>
      </c>
      <c r="DW30" s="17" t="str">
        <f t="shared" si="15"/>
        <v/>
      </c>
      <c r="DX30" t="str">
        <f>IF(ISNA(VLOOKUP(DW30,'ODBC Data'!$B$1:$J$500,3,0)),"",VLOOKUP(DW30,'ODBC Data'!$B$1:$J$500,3,0))</f>
        <v/>
      </c>
      <c r="DY30" s="57" t="str">
        <f>IF(ISNA(VLOOKUP(DW30,'ODBC Data'!$B$1:$J$500,4,0)),"",VLOOKUP(DW30,'ODBC Data'!$B$1:$J$500,4,0))</f>
        <v/>
      </c>
      <c r="DZ30" t="str">
        <f>IF(ISNA(VLOOKUP(DW30,'ODBC Data'!$B$1:$J$500,5,0)),"",VLOOKUP(DW30,'ODBC Data'!$B$1:$J$500,5,0))</f>
        <v/>
      </c>
      <c r="EB30" s="19" t="str">
        <f>IF('ODBC Data'!$I$20&gt;26,'ODBC Data'!$H$20,"")</f>
        <v/>
      </c>
      <c r="EC30" s="19" t="str">
        <f>IF('ODBC Data'!$I$20&gt;26,27,"")</f>
        <v/>
      </c>
      <c r="ED30" s="17" t="str">
        <f t="shared" si="16"/>
        <v/>
      </c>
      <c r="EE30" s="57" t="str">
        <f>IF(ISNA(VLOOKUP(ED30,'ODBC Data'!$B$1:$J$500,3,0)),"",VLOOKUP(ED30,'ODBC Data'!$B$1:$J$500,3,0))</f>
        <v/>
      </c>
      <c r="EF30" s="57" t="str">
        <f>IF(ISNA(VLOOKUP(ED30,'ODBC Data'!$B$1:$J$500,4,0)),"",VLOOKUP(ED30,'ODBC Data'!$B$1:$J$500,4,0))</f>
        <v/>
      </c>
      <c r="EG30" s="57" t="str">
        <f>IF(ISNA(VLOOKUP(ED30,'ODBC Data'!$B$1:$J$500,5,0)),"",VLOOKUP(ED30,'ODBC Data'!$B$1:$J$500,5,0))</f>
        <v/>
      </c>
      <c r="EI30" s="19" t="str">
        <f>IF('ODBC Data'!$I$21&gt;26,'ODBC Data'!$H$21,"")</f>
        <v/>
      </c>
      <c r="EJ30" s="19" t="str">
        <f>IF('ODBC Data'!$I$21&gt;26,27,"")</f>
        <v/>
      </c>
      <c r="EK30" s="17" t="str">
        <f t="shared" si="17"/>
        <v/>
      </c>
      <c r="EL30" t="str">
        <f>IF(ISNA(VLOOKUP(EK30,'ODBC Data'!$B$1:$J$500,3,0)),"",VLOOKUP(EK30,'ODBC Data'!$B$1:$J$500,3,0))</f>
        <v/>
      </c>
      <c r="EM30" s="57" t="str">
        <f>IF(ISNA(VLOOKUP(EK30,'ODBC Data'!$B$1:$J$500,4,0)),"",VLOOKUP(EK30,'ODBC Data'!$B$1:$J$500,4,0))</f>
        <v/>
      </c>
      <c r="EN30" t="str">
        <f>IF(ISNA(VLOOKUP(EK30,'ODBC Data'!$B$1:$J$500,5,0)),"",VLOOKUP(EK30,'ODBC Data'!$B$1:$J$500,5,0))</f>
        <v/>
      </c>
      <c r="EP30" s="19" t="str">
        <f>IF('ODBC Data'!$I$22&gt;26,'ODBC Data'!$H$22,"")</f>
        <v/>
      </c>
      <c r="EQ30" s="19" t="str">
        <f>IF('ODBC Data'!$I$22&gt;26,27,"")</f>
        <v/>
      </c>
      <c r="ER30" s="17" t="str">
        <f t="shared" si="18"/>
        <v/>
      </c>
      <c r="ES30" t="str">
        <f>IF(ISNA(VLOOKUP(ER30,'ODBC Data'!$B$1:$J$500,3,0)),"",VLOOKUP(ER30,'ODBC Data'!$B$1:$J$500,3,0))</f>
        <v/>
      </c>
      <c r="ET30" s="57" t="str">
        <f>IF(ISNA(VLOOKUP(ER30,'ODBC Data'!$B$1:$J$500,4,0)),"",VLOOKUP(ER30,'ODBC Data'!$B$1:$J$500,4,0))</f>
        <v/>
      </c>
      <c r="EU30" t="str">
        <f>IF(ISNA(VLOOKUP(ER30,'ODBC Data'!$B$1:$J$500,5,0)),"",VLOOKUP(ER30,'ODBC Data'!$B$1:$J$500,5,0))</f>
        <v/>
      </c>
      <c r="EW30" s="19" t="str">
        <f>IF('ODBC Data'!$I$23&gt;26,'ODBC Data'!$H$23,"")</f>
        <v/>
      </c>
      <c r="EX30" s="19" t="str">
        <f>IF('ODBC Data'!$I$23&gt;26,27,"")</f>
        <v/>
      </c>
      <c r="EY30" s="17" t="str">
        <f t="shared" si="19"/>
        <v/>
      </c>
      <c r="EZ30" t="str">
        <f>IF(ISNA(VLOOKUP(EY30,'ODBC Data'!$B$1:$J$500,3,0)),"",VLOOKUP(EY30,'ODBC Data'!$B$1:$J$500,3,0))</f>
        <v/>
      </c>
      <c r="FA30" s="57" t="str">
        <f>IF(ISNA(VLOOKUP(EY30,'ODBC Data'!$B$1:$J$500,4,0)),"",VLOOKUP(EY30,'ODBC Data'!$B$1:$J$500,4,0))</f>
        <v/>
      </c>
      <c r="FB30" t="str">
        <f>IF(ISNA(VLOOKUP(EY30,'ODBC Data'!$B$1:$J$500,5,0)),"",VLOOKUP(EY30,'ODBC Data'!$B$1:$J$500,5,0))</f>
        <v/>
      </c>
      <c r="FD30" s="19" t="str">
        <f>IF('ODBC Data'!$I$24&gt;26,'ODBC Data'!$H$24,"")</f>
        <v/>
      </c>
      <c r="FE30" s="19" t="str">
        <f>IF('ODBC Data'!$I$24&gt;26,27,"")</f>
        <v/>
      </c>
      <c r="FF30" s="17" t="str">
        <f t="shared" si="20"/>
        <v/>
      </c>
      <c r="FG30" t="str">
        <f>IF(ISNA(VLOOKUP(FF30,'ODBC Data'!$B$1:$J$500,3,0)),"",VLOOKUP(FF30,'ODBC Data'!$B$1:$J$500,3,0))</f>
        <v/>
      </c>
      <c r="FH30" s="57" t="str">
        <f>IF(ISNA(VLOOKUP(FF30,'ODBC Data'!$B$1:$J$500,4,0)),"",VLOOKUP(FF30,'ODBC Data'!$B$1:$J$500,4,0))</f>
        <v/>
      </c>
      <c r="FI30" t="str">
        <f>IF(ISNA(VLOOKUP(FF30,'ODBC Data'!$B$1:$J$500,5,0)),"",VLOOKUP(FF30,'ODBC Data'!$B$1:$J$500,5,0))</f>
        <v/>
      </c>
      <c r="FK30" s="19" t="str">
        <f>IF('ODBC Data'!$I$25&gt;26,'ODBC Data'!$H$25,"")</f>
        <v/>
      </c>
      <c r="FL30" s="19" t="str">
        <f>IF('ODBC Data'!$I$25&gt;26,27,"")</f>
        <v/>
      </c>
      <c r="FM30" s="17" t="str">
        <f t="shared" si="21"/>
        <v/>
      </c>
      <c r="FN30" t="str">
        <f>IF(ISNA(VLOOKUP(FM30,'ODBC Data'!$B$1:$J$500,3,0)),"",VLOOKUP(FM30,'ODBC Data'!$B$1:$J$500,3,0))</f>
        <v/>
      </c>
      <c r="FO30" s="57" t="str">
        <f>IF(ISNA(VLOOKUP(FM30,'ODBC Data'!$B$1:$J$500,4,0)),"",VLOOKUP(FM30,'ODBC Data'!$B$1:$J$500,4,0))</f>
        <v/>
      </c>
      <c r="FP30" t="str">
        <f>IF(ISNA(VLOOKUP(FM30,'ODBC Data'!$B$1:$J$500,5,0)),"",VLOOKUP(FM30,'ODBC Data'!$B$1:$J$500,5,0))</f>
        <v/>
      </c>
      <c r="FR30" s="19" t="str">
        <f>IF('ODBC Data'!$I$26&gt;26,'ODBC Data'!$H$26,"")</f>
        <v/>
      </c>
      <c r="FS30" s="19" t="str">
        <f>IF('ODBC Data'!$I$26&gt;26,27,"")</f>
        <v/>
      </c>
      <c r="FT30" s="17" t="str">
        <f t="shared" si="22"/>
        <v/>
      </c>
      <c r="FU30" s="57" t="str">
        <f>IF(ISNA(VLOOKUP(FT30,'ODBC Data'!$B$1:$J$500,3,0)),"",VLOOKUP(FT30,'ODBC Data'!$B$1:$J$500,3,0))</f>
        <v/>
      </c>
      <c r="FV30" s="57" t="str">
        <f>IF(ISNA(VLOOKUP(FT30,'ODBC Data'!$B$1:$J$500,4,0)),"",VLOOKUP(FT30,'ODBC Data'!$B$1:$J$500,4,0))</f>
        <v/>
      </c>
      <c r="FW30" s="57" t="str">
        <f>IF(ISNA(VLOOKUP(FT30,'ODBC Data'!$B$1:$J$500,5,0)),"",VLOOKUP(FT30,'ODBC Data'!$B$1:$J$500,5,0))</f>
        <v/>
      </c>
      <c r="FY30" s="19" t="str">
        <f>IF('ODBC Data'!$I$27&gt;26,'ODBC Data'!$H$27,"")</f>
        <v/>
      </c>
      <c r="FZ30" s="19" t="str">
        <f>IF('ODBC Data'!$I$27&gt;26,27,"")</f>
        <v/>
      </c>
      <c r="GA30" s="17" t="str">
        <f t="shared" si="23"/>
        <v/>
      </c>
      <c r="GB30" s="57" t="str">
        <f>IF(ISNA(VLOOKUP(GA30,'ODBC Data'!$B$1:$J$500,3,0)),"",VLOOKUP(GA30,'ODBC Data'!$B$1:$J$500,3,0))</f>
        <v/>
      </c>
      <c r="GC30" s="57" t="str">
        <f>IF(ISNA(VLOOKUP(GA30,'ODBC Data'!$B$1:$J$500,4,0)),"",VLOOKUP(GA30,'ODBC Data'!$B$1:$J$500,4,0))</f>
        <v/>
      </c>
      <c r="GD30" s="57" t="str">
        <f>IF(ISNA(VLOOKUP(GA30,'ODBC Data'!$B$1:$J$500,5,0)),"",VLOOKUP(GA30,'ODBC Data'!$B$1:$J$500,5,0))</f>
        <v/>
      </c>
    </row>
    <row r="31" spans="1:186">
      <c r="A31" s="19" t="str">
        <f>IF('ODBC Data'!$I$1&gt;27,'ODBC Data'!$H$1,"")</f>
        <v/>
      </c>
      <c r="B31" s="19" t="str">
        <f>IF('ODBC Data'!$I$1&gt;27,28,"")</f>
        <v/>
      </c>
      <c r="C31" s="17" t="str">
        <f t="shared" si="27"/>
        <v/>
      </c>
      <c r="D31" t="str">
        <f>IF(ISNA(VLOOKUP(C31,'ODBC Data'!$B$1:$J$500,3,0)),"",VLOOKUP(C31,'ODBC Data'!$B$1:$J$500,3,0))</f>
        <v/>
      </c>
      <c r="E31" t="str">
        <f>IF(ISNA(VLOOKUP(C31,'ODBC Data'!$B$1:$J$500,5,0)),"",VLOOKUP(C31,'ODBC Data'!$B$1:$J$500,5,0))</f>
        <v/>
      </c>
      <c r="F31" t="str">
        <f t="shared" si="28"/>
        <v/>
      </c>
      <c r="G31" s="19" t="str">
        <f>IF('ODBC Data'!$I$2&gt;27,'ODBC Data'!$H$2,"")</f>
        <v/>
      </c>
      <c r="H31" s="19" t="str">
        <f>IF('ODBC Data'!$I$2&gt;27,28,"")</f>
        <v/>
      </c>
      <c r="I31" s="17" t="str">
        <f t="shared" si="24"/>
        <v/>
      </c>
      <c r="J31" t="str">
        <f>IF(ISNA(VLOOKUP(I31,'ODBC Data'!$B$1:$J$500,3,0)),"",VLOOKUP(I31,'ODBC Data'!$B$1:$J$500,3,0))</f>
        <v/>
      </c>
      <c r="K31" t="str">
        <f>IF(ISNA(VLOOKUP(I31,'ODBC Data'!$B$1:$J$500,5,0)),"",VLOOKUP(I31,'ODBC Data'!$B$1:$J$500,5,0))</f>
        <v/>
      </c>
      <c r="M31" s="19" t="str">
        <f>IF('ODBC Data'!$I$3&gt;27,'ODBC Data'!$H$3,"")</f>
        <v/>
      </c>
      <c r="N31" s="19" t="str">
        <f>IF('ODBC Data'!$I$3&gt;27,28,"")</f>
        <v/>
      </c>
      <c r="O31" s="17" t="str">
        <f t="shared" si="25"/>
        <v/>
      </c>
      <c r="P31" t="str">
        <f>IF(ISNA(VLOOKUP(O31,'ODBC Data'!$B$1:$J$500,3,0)),"",VLOOKUP(O31,'ODBC Data'!$B$1:$J$500,3,0))</f>
        <v/>
      </c>
      <c r="Q31" t="str">
        <f>IF(ISNA(VLOOKUP(O31,'ODBC Data'!$B$1:$J$500,5,0)),"",VLOOKUP(O31,'ODBC Data'!$B$1:$J$500,4,0))</f>
        <v/>
      </c>
      <c r="S31" s="19" t="str">
        <f>IF('ODBC Data'!$I$3&gt;27,'ODBC Data'!$H$3,"")</f>
        <v/>
      </c>
      <c r="T31" s="19" t="str">
        <f>IF('ODBC Data'!$I$3&gt;27,28,"")</f>
        <v/>
      </c>
      <c r="U31" s="17" t="str">
        <f t="shared" si="26"/>
        <v/>
      </c>
      <c r="V31" t="str">
        <f>IF(ISNA(VLOOKUP(U31,'ODBC Data'!$B$1:$J$500,3,0)),"",VLOOKUP(U31,'ODBC Data'!$B$1:$J$500,3,0))</f>
        <v/>
      </c>
      <c r="W31" t="str">
        <f>IF(ISNA(VLOOKUP(U31,'ODBC Data'!$B$1:$J$500,5,0)),"",VLOOKUP(U31,'ODBC Data'!$B$1:$J$500,5,0))</f>
        <v/>
      </c>
      <c r="Y31" s="19" t="str">
        <f>IF('ODBC Data'!$I$4&gt;27,'ODBC Data'!$H$4,"")</f>
        <v/>
      </c>
      <c r="Z31" s="19" t="str">
        <f>IF('ODBC Data'!$I$4&gt;27,28,"")</f>
        <v/>
      </c>
      <c r="AA31" s="17" t="str">
        <f t="shared" si="0"/>
        <v/>
      </c>
      <c r="AB31" s="57" t="str">
        <f>IF(ISNA(VLOOKUP(AA31,'ODBC Data'!$B$1:$J$500,3,0)),"",VLOOKUP(AA31,'ODBC Data'!$B$1:$J$500,3,0))</f>
        <v/>
      </c>
      <c r="AC31" s="57" t="str">
        <f>IF(ISNA(VLOOKUP(AA31,'ODBC Data'!$B$1:$J$500,5,0)),"",VLOOKUP(AA31,'ODBC Data'!$B$1:$J$500,5,0))</f>
        <v/>
      </c>
      <c r="AE31" s="19" t="str">
        <f>IF('ODBC Data'!$I$5&gt;27,'ODBC Data'!$H$5,"")</f>
        <v/>
      </c>
      <c r="AF31" s="19" t="str">
        <f>IF('ODBC Data'!$I$5&gt;27,28,"")</f>
        <v/>
      </c>
      <c r="AG31" s="17" t="str">
        <f t="shared" si="1"/>
        <v/>
      </c>
      <c r="AH31" t="str">
        <f>IF(ISNA(VLOOKUP(AG31,'ODBC Data'!$B$1:$J$500,3,0)),"",VLOOKUP(AG31,'ODBC Data'!$B$1:$J$500,3,0))</f>
        <v/>
      </c>
      <c r="AI31" t="str">
        <f>IF(ISNA(VLOOKUP(AG31,'ODBC Data'!$B$1:$J$500,5,0)),"",VLOOKUP(AG31,'ODBC Data'!$B$1:$J$500,5,0))</f>
        <v/>
      </c>
      <c r="AK31" s="19" t="str">
        <f>IF('ODBC Data'!$I$6&gt;27,'ODBC Data'!$H$6,"")</f>
        <v/>
      </c>
      <c r="AL31" s="19" t="str">
        <f>IF('ODBC Data'!$I$6&gt;27,28,"")</f>
        <v/>
      </c>
      <c r="AM31" s="17" t="str">
        <f t="shared" si="2"/>
        <v/>
      </c>
      <c r="AN31" t="str">
        <f>IF(ISNA(VLOOKUP(AM31,'ODBC Data'!$B$1:$J$500,3,0)),"",VLOOKUP(AM31,'ODBC Data'!$B$1:$J$500,3,0))</f>
        <v/>
      </c>
      <c r="AO31" t="str">
        <f>IF(ISNA(VLOOKUP(AM31,'ODBC Data'!$B$1:$J$500,5,0)),"",VLOOKUP(AM31,'ODBC Data'!$B$1:$J$500,5,0))</f>
        <v/>
      </c>
      <c r="AQ31" s="19" t="str">
        <f>IF('ODBC Data'!$I$7&gt;27,'ODBC Data'!$H$7,"")</f>
        <v/>
      </c>
      <c r="AR31" s="19" t="str">
        <f>IF('ODBC Data'!$I$7&gt;27,28,"")</f>
        <v/>
      </c>
      <c r="AS31" s="17" t="str">
        <f t="shared" si="3"/>
        <v/>
      </c>
      <c r="AT31" t="str">
        <f>IF(ISNA(VLOOKUP(AS31,'ODBC Data'!$B$1:$J$500,3,0)),"",VLOOKUP(AS31,'ODBC Data'!$B$1:$J$500,3,0))</f>
        <v/>
      </c>
      <c r="AU31" t="str">
        <f>IF(ISNA(VLOOKUP(AS31,'ODBC Data'!$B$1:$J$500,5,0)),"",VLOOKUP(AS31,'ODBC Data'!$B$1:$J$500,5,0))</f>
        <v/>
      </c>
      <c r="AW31" s="19" t="str">
        <f>IF('ODBC Data'!$I$8&gt;27,'ODBC Data'!$H$8,"")</f>
        <v/>
      </c>
      <c r="AX31" s="19" t="str">
        <f>IF('ODBC Data'!$I$8&gt;27,28,"")</f>
        <v/>
      </c>
      <c r="AY31" s="17" t="str">
        <f t="shared" si="4"/>
        <v/>
      </c>
      <c r="AZ31" t="str">
        <f>IF(ISNA(VLOOKUP(AY31,'ODBC Data'!$B$1:$J$500,3,0)),"",VLOOKUP(AY31,'ODBC Data'!$B$1:$J$500,3,0))</f>
        <v/>
      </c>
      <c r="BA31" t="str">
        <f>IF(ISNA(VLOOKUP(AY31,'ODBC Data'!$B$1:$J$500,5,0)),"",VLOOKUP(AY31,'ODBC Data'!$B$1:$J$500,5,0))</f>
        <v/>
      </c>
      <c r="BC31" s="19" t="str">
        <f>IF('ODBC Data'!$I$9&gt;27,'ODBC Data'!$H$9,"")</f>
        <v/>
      </c>
      <c r="BD31" s="19" t="str">
        <f>IF('ODBC Data'!$I$9&gt;27,28,"")</f>
        <v/>
      </c>
      <c r="BE31" s="17" t="str">
        <f t="shared" si="5"/>
        <v/>
      </c>
      <c r="BF31" t="str">
        <f>IF(ISNA(VLOOKUP(BE31,'ODBC Data'!$B$1:$J$500,3,0)),"",VLOOKUP(BE31,'ODBC Data'!$B$1:$J$500,3,0))</f>
        <v/>
      </c>
      <c r="BG31" s="57" t="str">
        <f>IF(ISNA(VLOOKUP(BE31,'ODBC Data'!$B$1:$J$500,4,0)),"",VLOOKUP(BE31,'ODBC Data'!$B$1:$J$500,4,0))</f>
        <v/>
      </c>
      <c r="BH31" t="str">
        <f>IF(ISNA(VLOOKUP(BE31,'ODBC Data'!$B$1:$J$500,5,0)),"",VLOOKUP(BE31,'ODBC Data'!$B$1:$J$500,5,0))</f>
        <v/>
      </c>
      <c r="BJ31" s="19" t="str">
        <f>IF('ODBC Data'!$I$10&gt;27,'ODBC Data'!$H$10,"")</f>
        <v/>
      </c>
      <c r="BK31" s="19" t="str">
        <f>IF('ODBC Data'!$I$10&gt;27,28,"")</f>
        <v/>
      </c>
      <c r="BL31" s="17" t="str">
        <f t="shared" si="6"/>
        <v/>
      </c>
      <c r="BM31" t="str">
        <f>IF(ISNA(VLOOKUP(BL31,'ODBC Data'!$B$1:$J$500,3,0)),"",VLOOKUP(BL31,'ODBC Data'!$B$1:$J$500,3,0))</f>
        <v/>
      </c>
      <c r="BN31" s="57" t="str">
        <f>IF(ISNA(VLOOKUP(BL31,'ODBC Data'!$B$1:$J$500,4,0)),"",VLOOKUP(BL31,'ODBC Data'!$B$1:$J$500,4,0))</f>
        <v/>
      </c>
      <c r="BO31" t="str">
        <f>IF(ISNA(VLOOKUP(BL31,'ODBC Data'!$B$1:$J$500,5,0)),"",VLOOKUP(BL31,'ODBC Data'!$B$1:$J$500,5,0))</f>
        <v/>
      </c>
      <c r="BQ31" s="19" t="str">
        <f>IF('ODBC Data'!$I$11&gt;27,'ODBC Data'!$H$11,"")</f>
        <v/>
      </c>
      <c r="BR31" s="19" t="str">
        <f>IF('ODBC Data'!$I$11&gt;27,28,"")</f>
        <v/>
      </c>
      <c r="BS31" s="17" t="str">
        <f t="shared" si="7"/>
        <v/>
      </c>
      <c r="BT31" t="str">
        <f>IF(ISNA(VLOOKUP(BS31,'ODBC Data'!$B$1:$J$500,3,0)),"",VLOOKUP(BS31,'ODBC Data'!$B$1:$J$500,3,0))</f>
        <v/>
      </c>
      <c r="BU31" s="57" t="str">
        <f>IF(ISNA(VLOOKUP(BS31,'ODBC Data'!$B$1:$J$500,4,0)),"",VLOOKUP(BS31,'ODBC Data'!$B$1:$J$500,4,0))</f>
        <v/>
      </c>
      <c r="BV31" t="str">
        <f>IF(ISNA(VLOOKUP(BS31,'ODBC Data'!$B$1:$J$500,5,0)),"",VLOOKUP(BS31,'ODBC Data'!$B$1:$J$500,5,0))</f>
        <v/>
      </c>
      <c r="BX31" s="19" t="str">
        <f>IF('ODBC Data'!$I$12&gt;27,'ODBC Data'!$H$12,"")</f>
        <v/>
      </c>
      <c r="BY31" s="19" t="str">
        <f>IF('ODBC Data'!$I$12&gt;27,28,"")</f>
        <v/>
      </c>
      <c r="BZ31" s="17" t="str">
        <f t="shared" si="8"/>
        <v/>
      </c>
      <c r="CA31" t="str">
        <f>IF(ISNA(VLOOKUP(BZ31,'ODBC Data'!$B$1:$J$500,3,0)),"",VLOOKUP(BZ31,'ODBC Data'!$B$1:$J$500,3,0))</f>
        <v/>
      </c>
      <c r="CB31" s="57" t="str">
        <f>IF(ISNA(VLOOKUP(BZ31,'ODBC Data'!$B$1:$J$500,4,0)),"",VLOOKUP(BZ31,'ODBC Data'!$B$1:$J$500,4,0))</f>
        <v/>
      </c>
      <c r="CC31" t="str">
        <f>IF(ISNA(VLOOKUP(BZ31,'ODBC Data'!$B$1:$J$500,5,0)),"",VLOOKUP(BZ31,'ODBC Data'!$B$1:$J$500,5,0))</f>
        <v/>
      </c>
      <c r="CE31" s="19" t="str">
        <f>IF('ODBC Data'!$I$13&gt;27,'ODBC Data'!$H$13,"")</f>
        <v/>
      </c>
      <c r="CF31" s="19" t="str">
        <f>IF('ODBC Data'!$I$13&gt;27,28,"")</f>
        <v/>
      </c>
      <c r="CG31" s="17" t="str">
        <f t="shared" si="9"/>
        <v/>
      </c>
      <c r="CH31" t="str">
        <f>IF(ISNA(VLOOKUP(CG31,'ODBC Data'!$B$1:$J$500,3,0)),"",VLOOKUP(CG31,'ODBC Data'!$B$1:$J$500,3,0))</f>
        <v/>
      </c>
      <c r="CI31" s="57" t="str">
        <f>IF(ISNA(VLOOKUP(CG31,'ODBC Data'!$B$1:$J$500,4,0)),"",VLOOKUP(CG31,'ODBC Data'!$B$1:$J$500,4,0))</f>
        <v/>
      </c>
      <c r="CJ31" t="str">
        <f>IF(ISNA(VLOOKUP(CG31,'ODBC Data'!$B$1:$J$500,5,0)),"",VLOOKUP(CG31,'ODBC Data'!$B$1:$J$500,5,0))</f>
        <v/>
      </c>
      <c r="CL31" s="19" t="str">
        <f>IF('ODBC Data'!$I$14&gt;27,'ODBC Data'!$H$14,"")</f>
        <v/>
      </c>
      <c r="CM31" s="19" t="str">
        <f>IF('ODBC Data'!$I$14&gt;27,28,"")</f>
        <v/>
      </c>
      <c r="CN31" s="17" t="str">
        <f t="shared" si="10"/>
        <v/>
      </c>
      <c r="CO31" s="57" t="str">
        <f>IF(ISNA(VLOOKUP(CN31,'ODBC Data'!$B$1:$J$500,3,0)),"",VLOOKUP(CN31,'ODBC Data'!$B$1:$J$500,3,0))</f>
        <v/>
      </c>
      <c r="CP31" s="57" t="str">
        <f>IF(ISNA(VLOOKUP(CN31,'ODBC Data'!$B$1:$J$500,4,0)),"",VLOOKUP(CN31,'ODBC Data'!$B$1:$J$500,4,0))</f>
        <v/>
      </c>
      <c r="CQ31" s="57" t="str">
        <f>IF(ISNA(VLOOKUP(CN31,'ODBC Data'!$B$1:$J$500,5,0)),"",VLOOKUP(CN31,'ODBC Data'!$B$1:$J$500,5,0))</f>
        <v/>
      </c>
      <c r="CS31" s="19" t="str">
        <f>IF('ODBC Data'!$I$15&gt;27,'ODBC Data'!$H$15,"")</f>
        <v/>
      </c>
      <c r="CT31" s="19" t="str">
        <f>IF('ODBC Data'!$I$15&gt;27,28,"")</f>
        <v/>
      </c>
      <c r="CU31" s="17" t="str">
        <f t="shared" si="11"/>
        <v/>
      </c>
      <c r="CV31" t="str">
        <f>IF(ISNA(VLOOKUP(CU31,'ODBC Data'!$B$1:$J$500,3,0)),"",VLOOKUP(CU31,'ODBC Data'!$B$1:$J$500,3,0))</f>
        <v/>
      </c>
      <c r="CW31" s="57" t="str">
        <f>IF(ISNA(VLOOKUP(CU31,'ODBC Data'!$B$1:$J$500,4,0)),"",VLOOKUP(CU31,'ODBC Data'!$B$1:$J$500,4,0))</f>
        <v/>
      </c>
      <c r="CX31" t="str">
        <f>IF(ISNA(VLOOKUP(CU31,'ODBC Data'!$B$1:$J$500,5,0)),"",VLOOKUP(CU31,'ODBC Data'!$B$1:$J$500,5,0))</f>
        <v/>
      </c>
      <c r="CZ31" s="19" t="str">
        <f>IF('ODBC Data'!$I$16&gt;27,'ODBC Data'!$H$16,"")</f>
        <v/>
      </c>
      <c r="DA31" s="19" t="str">
        <f>IF('ODBC Data'!$I$16&gt;27,28,"")</f>
        <v/>
      </c>
      <c r="DB31" s="17" t="str">
        <f t="shared" si="12"/>
        <v/>
      </c>
      <c r="DC31" t="str">
        <f>IF(ISNA(VLOOKUP(DB31,'ODBC Data'!$B$1:$J$500,3,0)),"",VLOOKUP(DB31,'ODBC Data'!$B$1:$J$500,3,0))</f>
        <v/>
      </c>
      <c r="DD31" s="57" t="str">
        <f>IF(ISNA(VLOOKUP(DB31,'ODBC Data'!$B$1:$J$500,4,0)),"",VLOOKUP(DB31,'ODBC Data'!$B$1:$J$500,4,0))</f>
        <v/>
      </c>
      <c r="DE31" t="str">
        <f>IF(ISNA(VLOOKUP(DB31,'ODBC Data'!$B$1:$J$500,5,0)),"",VLOOKUP(DB31,'ODBC Data'!$B$1:$J$500,5,0))</f>
        <v/>
      </c>
      <c r="DG31" s="19" t="str">
        <f>IF('ODBC Data'!$I$17&gt;27,'ODBC Data'!$H$17,"")</f>
        <v/>
      </c>
      <c r="DH31" s="19" t="str">
        <f>IF('ODBC Data'!$I$17&gt;27,28,"")</f>
        <v/>
      </c>
      <c r="DI31" s="17" t="str">
        <f t="shared" si="13"/>
        <v/>
      </c>
      <c r="DJ31" t="str">
        <f>IF(ISNA(VLOOKUP(DI31,'ODBC Data'!$B$1:$J$500,3,0)),"",VLOOKUP(DI31,'ODBC Data'!$B$1:$J$500,3,0))</f>
        <v/>
      </c>
      <c r="DK31" s="57" t="str">
        <f>IF(ISNA(VLOOKUP(DI31,'ODBC Data'!$B$1:$J$500,4,0)),"",VLOOKUP(DI31,'ODBC Data'!$B$1:$J$500,4,0))</f>
        <v/>
      </c>
      <c r="DL31" t="str">
        <f>IF(ISNA(VLOOKUP(DI31,'ODBC Data'!$B$1:$J$500,5,0)),"",VLOOKUP(DI31,'ODBC Data'!$B$1:$J$500,5,0))</f>
        <v/>
      </c>
      <c r="DN31" s="19" t="str">
        <f>IF('ODBC Data'!$I$18&gt;27,'ODBC Data'!$H$18,"")</f>
        <v/>
      </c>
      <c r="DO31" s="19" t="str">
        <f>IF('ODBC Data'!$I$18&gt;27,28,"")</f>
        <v/>
      </c>
      <c r="DP31" s="17" t="str">
        <f t="shared" si="14"/>
        <v/>
      </c>
      <c r="DQ31" t="str">
        <f>IF(ISNA(VLOOKUP(DP31,'ODBC Data'!$B$1:$J$500,3,0)),"",VLOOKUP(DP31,'ODBC Data'!$B$1:$J$500,3,0))</f>
        <v/>
      </c>
      <c r="DR31" s="57" t="str">
        <f>IF(ISNA(VLOOKUP(DP31,'ODBC Data'!$B$1:$J$500,4,0)),"",VLOOKUP(DP31,'ODBC Data'!$B$1:$J$500,4,0))</f>
        <v/>
      </c>
      <c r="DS31" t="str">
        <f>IF(ISNA(VLOOKUP(DP31,'ODBC Data'!$B$1:$J$500,5,0)),"",VLOOKUP(DP31,'ODBC Data'!$B$1:$J$500,5,0))</f>
        <v/>
      </c>
      <c r="DU31" s="19" t="str">
        <f>IF('ODBC Data'!$I$19&gt;27,'ODBC Data'!$H$19,"")</f>
        <v/>
      </c>
      <c r="DV31" s="19" t="str">
        <f>IF('ODBC Data'!$I$19&gt;27,28,"")</f>
        <v/>
      </c>
      <c r="DW31" s="17" t="str">
        <f t="shared" si="15"/>
        <v/>
      </c>
      <c r="DX31" t="str">
        <f>IF(ISNA(VLOOKUP(DW31,'ODBC Data'!$B$1:$J$500,3,0)),"",VLOOKUP(DW31,'ODBC Data'!$B$1:$J$500,3,0))</f>
        <v/>
      </c>
      <c r="DY31" s="57" t="str">
        <f>IF(ISNA(VLOOKUP(DW31,'ODBC Data'!$B$1:$J$500,4,0)),"",VLOOKUP(DW31,'ODBC Data'!$B$1:$J$500,4,0))</f>
        <v/>
      </c>
      <c r="DZ31" t="str">
        <f>IF(ISNA(VLOOKUP(DW31,'ODBC Data'!$B$1:$J$500,5,0)),"",VLOOKUP(DW31,'ODBC Data'!$B$1:$J$500,5,0))</f>
        <v/>
      </c>
      <c r="EB31" s="19" t="str">
        <f>IF('ODBC Data'!$I$20&gt;27,'ODBC Data'!$H$20,"")</f>
        <v/>
      </c>
      <c r="EC31" s="19" t="str">
        <f>IF('ODBC Data'!$I$20&gt;27,28,"")</f>
        <v/>
      </c>
      <c r="ED31" s="17" t="str">
        <f t="shared" si="16"/>
        <v/>
      </c>
      <c r="EE31" s="57" t="str">
        <f>IF(ISNA(VLOOKUP(ED31,'ODBC Data'!$B$1:$J$500,3,0)),"",VLOOKUP(ED31,'ODBC Data'!$B$1:$J$500,3,0))</f>
        <v/>
      </c>
      <c r="EF31" s="57" t="str">
        <f>IF(ISNA(VLOOKUP(ED31,'ODBC Data'!$B$1:$J$500,4,0)),"",VLOOKUP(ED31,'ODBC Data'!$B$1:$J$500,4,0))</f>
        <v/>
      </c>
      <c r="EG31" s="57" t="str">
        <f>IF(ISNA(VLOOKUP(ED31,'ODBC Data'!$B$1:$J$500,5,0)),"",VLOOKUP(ED31,'ODBC Data'!$B$1:$J$500,5,0))</f>
        <v/>
      </c>
      <c r="EI31" s="19" t="str">
        <f>IF('ODBC Data'!$I$21&gt;27,'ODBC Data'!$H$21,"")</f>
        <v/>
      </c>
      <c r="EJ31" s="19" t="str">
        <f>IF('ODBC Data'!$I$21&gt;27,28,"")</f>
        <v/>
      </c>
      <c r="EK31" s="17" t="str">
        <f t="shared" si="17"/>
        <v/>
      </c>
      <c r="EL31" t="str">
        <f>IF(ISNA(VLOOKUP(EK31,'ODBC Data'!$B$1:$J$500,3,0)),"",VLOOKUP(EK31,'ODBC Data'!$B$1:$J$500,3,0))</f>
        <v/>
      </c>
      <c r="EM31" s="57" t="str">
        <f>IF(ISNA(VLOOKUP(EK31,'ODBC Data'!$B$1:$J$500,4,0)),"",VLOOKUP(EK31,'ODBC Data'!$B$1:$J$500,4,0))</f>
        <v/>
      </c>
      <c r="EN31" t="str">
        <f>IF(ISNA(VLOOKUP(EK31,'ODBC Data'!$B$1:$J$500,5,0)),"",VLOOKUP(EK31,'ODBC Data'!$B$1:$J$500,5,0))</f>
        <v/>
      </c>
      <c r="EP31" s="19" t="str">
        <f>IF('ODBC Data'!$I$22&gt;27,'ODBC Data'!$H$22,"")</f>
        <v/>
      </c>
      <c r="EQ31" s="19" t="str">
        <f>IF('ODBC Data'!$I$22&gt;27,28,"")</f>
        <v/>
      </c>
      <c r="ER31" s="17" t="str">
        <f t="shared" si="18"/>
        <v/>
      </c>
      <c r="ES31" t="str">
        <f>IF(ISNA(VLOOKUP(ER31,'ODBC Data'!$B$1:$J$500,3,0)),"",VLOOKUP(ER31,'ODBC Data'!$B$1:$J$500,3,0))</f>
        <v/>
      </c>
      <c r="ET31" s="57" t="str">
        <f>IF(ISNA(VLOOKUP(ER31,'ODBC Data'!$B$1:$J$500,4,0)),"",VLOOKUP(ER31,'ODBC Data'!$B$1:$J$500,4,0))</f>
        <v/>
      </c>
      <c r="EU31" t="str">
        <f>IF(ISNA(VLOOKUP(ER31,'ODBC Data'!$B$1:$J$500,5,0)),"",VLOOKUP(ER31,'ODBC Data'!$B$1:$J$500,5,0))</f>
        <v/>
      </c>
      <c r="EW31" s="19" t="str">
        <f>IF('ODBC Data'!$I$23&gt;27,'ODBC Data'!$H$23,"")</f>
        <v/>
      </c>
      <c r="EX31" s="19" t="str">
        <f>IF('ODBC Data'!$I$23&gt;27,28,"")</f>
        <v/>
      </c>
      <c r="EY31" s="17" t="str">
        <f t="shared" si="19"/>
        <v/>
      </c>
      <c r="EZ31" t="str">
        <f>IF(ISNA(VLOOKUP(EY31,'ODBC Data'!$B$1:$J$500,3,0)),"",VLOOKUP(EY31,'ODBC Data'!$B$1:$J$500,3,0))</f>
        <v/>
      </c>
      <c r="FA31" s="57" t="str">
        <f>IF(ISNA(VLOOKUP(EY31,'ODBC Data'!$B$1:$J$500,4,0)),"",VLOOKUP(EY31,'ODBC Data'!$B$1:$J$500,4,0))</f>
        <v/>
      </c>
      <c r="FB31" t="str">
        <f>IF(ISNA(VLOOKUP(EY31,'ODBC Data'!$B$1:$J$500,5,0)),"",VLOOKUP(EY31,'ODBC Data'!$B$1:$J$500,5,0))</f>
        <v/>
      </c>
      <c r="FD31" s="19" t="str">
        <f>IF('ODBC Data'!$I$24&gt;27,'ODBC Data'!$H$24,"")</f>
        <v/>
      </c>
      <c r="FE31" s="19" t="str">
        <f>IF('ODBC Data'!$I$24&gt;27,28,"")</f>
        <v/>
      </c>
      <c r="FF31" s="17" t="str">
        <f t="shared" si="20"/>
        <v/>
      </c>
      <c r="FG31" t="str">
        <f>IF(ISNA(VLOOKUP(FF31,'ODBC Data'!$B$1:$J$500,3,0)),"",VLOOKUP(FF31,'ODBC Data'!$B$1:$J$500,3,0))</f>
        <v/>
      </c>
      <c r="FH31" s="57" t="str">
        <f>IF(ISNA(VLOOKUP(FF31,'ODBC Data'!$B$1:$J$500,4,0)),"",VLOOKUP(FF31,'ODBC Data'!$B$1:$J$500,4,0))</f>
        <v/>
      </c>
      <c r="FI31" t="str">
        <f>IF(ISNA(VLOOKUP(FF31,'ODBC Data'!$B$1:$J$500,5,0)),"",VLOOKUP(FF31,'ODBC Data'!$B$1:$J$500,5,0))</f>
        <v/>
      </c>
      <c r="FK31" s="19" t="str">
        <f>IF('ODBC Data'!$I$25&gt;27,'ODBC Data'!$H$25,"")</f>
        <v/>
      </c>
      <c r="FL31" s="19" t="str">
        <f>IF('ODBC Data'!$I$25&gt;27,28,"")</f>
        <v/>
      </c>
      <c r="FM31" s="17" t="str">
        <f t="shared" si="21"/>
        <v/>
      </c>
      <c r="FN31" t="str">
        <f>IF(ISNA(VLOOKUP(FM31,'ODBC Data'!$B$1:$J$500,3,0)),"",VLOOKUP(FM31,'ODBC Data'!$B$1:$J$500,3,0))</f>
        <v/>
      </c>
      <c r="FO31" s="57" t="str">
        <f>IF(ISNA(VLOOKUP(FM31,'ODBC Data'!$B$1:$J$500,4,0)),"",VLOOKUP(FM31,'ODBC Data'!$B$1:$J$500,4,0))</f>
        <v/>
      </c>
      <c r="FP31" t="str">
        <f>IF(ISNA(VLOOKUP(FM31,'ODBC Data'!$B$1:$J$500,5,0)),"",VLOOKUP(FM31,'ODBC Data'!$B$1:$J$500,5,0))</f>
        <v/>
      </c>
      <c r="FR31" s="19" t="str">
        <f>IF('ODBC Data'!$I$26&gt;27,'ODBC Data'!$H$26,"")</f>
        <v/>
      </c>
      <c r="FS31" s="19" t="str">
        <f>IF('ODBC Data'!$I$26&gt;27,28,"")</f>
        <v/>
      </c>
      <c r="FT31" s="17" t="str">
        <f t="shared" si="22"/>
        <v/>
      </c>
      <c r="FU31" s="57" t="str">
        <f>IF(ISNA(VLOOKUP(FT31,'ODBC Data'!$B$1:$J$500,3,0)),"",VLOOKUP(FT31,'ODBC Data'!$B$1:$J$500,3,0))</f>
        <v/>
      </c>
      <c r="FV31" s="57" t="str">
        <f>IF(ISNA(VLOOKUP(FT31,'ODBC Data'!$B$1:$J$500,4,0)),"",VLOOKUP(FT31,'ODBC Data'!$B$1:$J$500,4,0))</f>
        <v/>
      </c>
      <c r="FW31" s="57" t="str">
        <f>IF(ISNA(VLOOKUP(FT31,'ODBC Data'!$B$1:$J$500,5,0)),"",VLOOKUP(FT31,'ODBC Data'!$B$1:$J$500,5,0))</f>
        <v/>
      </c>
      <c r="FY31" s="19" t="str">
        <f>IF('ODBC Data'!$I$27&gt;27,'ODBC Data'!$H$27,"")</f>
        <v/>
      </c>
      <c r="FZ31" s="19" t="str">
        <f>IF('ODBC Data'!$I$27&gt;27,28,"")</f>
        <v/>
      </c>
      <c r="GA31" s="17" t="str">
        <f t="shared" si="23"/>
        <v/>
      </c>
      <c r="GB31" s="57" t="str">
        <f>IF(ISNA(VLOOKUP(GA31,'ODBC Data'!$B$1:$J$500,3,0)),"",VLOOKUP(GA31,'ODBC Data'!$B$1:$J$500,3,0))</f>
        <v/>
      </c>
      <c r="GC31" s="57" t="str">
        <f>IF(ISNA(VLOOKUP(GA31,'ODBC Data'!$B$1:$J$500,4,0)),"",VLOOKUP(GA31,'ODBC Data'!$B$1:$J$500,4,0))</f>
        <v/>
      </c>
      <c r="GD31" s="57" t="str">
        <f>IF(ISNA(VLOOKUP(GA31,'ODBC Data'!$B$1:$J$500,5,0)),"",VLOOKUP(GA31,'ODBC Data'!$B$1:$J$500,5,0))</f>
        <v/>
      </c>
    </row>
    <row r="32" spans="1:186">
      <c r="A32" s="19" t="str">
        <f>IF('ODBC Data'!$I$1&gt;28,'ODBC Data'!$H$1,"")</f>
        <v/>
      </c>
      <c r="B32" s="19" t="str">
        <f>IF('ODBC Data'!$I$1&gt;28,29,"")</f>
        <v/>
      </c>
      <c r="C32" s="17" t="str">
        <f t="shared" si="27"/>
        <v/>
      </c>
      <c r="D32" t="str">
        <f>IF(ISNA(VLOOKUP(C32,'ODBC Data'!$B$1:$J$500,3,0)),"",VLOOKUP(C32,'ODBC Data'!$B$1:$J$500,3,0))</f>
        <v/>
      </c>
      <c r="E32" t="str">
        <f>IF(ISNA(VLOOKUP(C32,'ODBC Data'!$B$1:$J$500,5,0)),"",VLOOKUP(C32,'ODBC Data'!$B$1:$J$500,5,0))</f>
        <v/>
      </c>
      <c r="F32" t="str">
        <f t="shared" si="28"/>
        <v/>
      </c>
      <c r="G32" s="19" t="str">
        <f>IF('ODBC Data'!$I$2&gt;28,'ODBC Data'!$H$2,"")</f>
        <v/>
      </c>
      <c r="H32" s="19" t="str">
        <f>IF('ODBC Data'!$I$2&gt;28,29,"")</f>
        <v/>
      </c>
      <c r="I32" s="17" t="str">
        <f t="shared" si="24"/>
        <v/>
      </c>
      <c r="J32" t="str">
        <f>IF(ISNA(VLOOKUP(I32,'ODBC Data'!$B$1:$J$500,3,0)),"",VLOOKUP(I32,'ODBC Data'!$B$1:$J$500,3,0))</f>
        <v/>
      </c>
      <c r="K32" t="str">
        <f>IF(ISNA(VLOOKUP(I32,'ODBC Data'!$B$1:$J$500,5,0)),"",VLOOKUP(I32,'ODBC Data'!$B$1:$J$500,5,0))</f>
        <v/>
      </c>
      <c r="M32" s="19" t="str">
        <f>IF('ODBC Data'!$I$3&gt;28,'ODBC Data'!$H$3,"")</f>
        <v/>
      </c>
      <c r="N32" s="19" t="str">
        <f>IF('ODBC Data'!$I$3&gt;28,29,"")</f>
        <v/>
      </c>
      <c r="O32" s="17" t="str">
        <f t="shared" si="25"/>
        <v/>
      </c>
      <c r="P32" t="str">
        <f>IF(ISNA(VLOOKUP(O32,'ODBC Data'!$B$1:$J$500,3,0)),"",VLOOKUP(O32,'ODBC Data'!$B$1:$J$500,3,0))</f>
        <v/>
      </c>
      <c r="Q32" t="str">
        <f>IF(ISNA(VLOOKUP(O32,'ODBC Data'!$B$1:$J$500,5,0)),"",VLOOKUP(O32,'ODBC Data'!$B$1:$J$500,4,0))</f>
        <v/>
      </c>
      <c r="S32" s="19" t="str">
        <f>IF('ODBC Data'!$I$3&gt;28,'ODBC Data'!$H$3,"")</f>
        <v/>
      </c>
      <c r="T32" s="19" t="str">
        <f>IF('ODBC Data'!$I$3&gt;28,29,"")</f>
        <v/>
      </c>
      <c r="U32" s="17" t="str">
        <f t="shared" si="26"/>
        <v/>
      </c>
      <c r="V32" t="str">
        <f>IF(ISNA(VLOOKUP(U32,'ODBC Data'!$B$1:$J$500,3,0)),"",VLOOKUP(U32,'ODBC Data'!$B$1:$J$500,3,0))</f>
        <v/>
      </c>
      <c r="W32" t="str">
        <f>IF(ISNA(VLOOKUP(U32,'ODBC Data'!$B$1:$J$500,5,0)),"",VLOOKUP(U32,'ODBC Data'!$B$1:$J$500,5,0))</f>
        <v/>
      </c>
      <c r="Y32" s="19" t="str">
        <f>IF('ODBC Data'!$I$4&gt;28,'ODBC Data'!$H$4,"")</f>
        <v/>
      </c>
      <c r="Z32" s="19" t="str">
        <f>IF('ODBC Data'!$I$4&gt;28,29,"")</f>
        <v/>
      </c>
      <c r="AA32" s="17" t="str">
        <f t="shared" si="0"/>
        <v/>
      </c>
      <c r="AB32" s="57" t="str">
        <f>IF(ISNA(VLOOKUP(AA32,'ODBC Data'!$B$1:$J$500,3,0)),"",VLOOKUP(AA32,'ODBC Data'!$B$1:$J$500,3,0))</f>
        <v/>
      </c>
      <c r="AC32" s="57" t="str">
        <f>IF(ISNA(VLOOKUP(AA32,'ODBC Data'!$B$1:$J$500,5,0)),"",VLOOKUP(AA32,'ODBC Data'!$B$1:$J$500,5,0))</f>
        <v/>
      </c>
      <c r="AE32" s="19" t="str">
        <f>IF('ODBC Data'!$I$5&gt;28,'ODBC Data'!$H$5,"")</f>
        <v/>
      </c>
      <c r="AF32" s="19" t="str">
        <f>IF('ODBC Data'!$I$5&gt;28,29,"")</f>
        <v/>
      </c>
      <c r="AG32" s="17" t="str">
        <f t="shared" si="1"/>
        <v/>
      </c>
      <c r="AH32" t="str">
        <f>IF(ISNA(VLOOKUP(AG32,'ODBC Data'!$B$1:$J$500,3,0)),"",VLOOKUP(AG32,'ODBC Data'!$B$1:$J$500,3,0))</f>
        <v/>
      </c>
      <c r="AI32" t="str">
        <f>IF(ISNA(VLOOKUP(AG32,'ODBC Data'!$B$1:$J$500,5,0)),"",VLOOKUP(AG32,'ODBC Data'!$B$1:$J$500,5,0))</f>
        <v/>
      </c>
      <c r="AK32" s="19" t="str">
        <f>IF('ODBC Data'!$I$6&gt;28,'ODBC Data'!$H$6,"")</f>
        <v/>
      </c>
      <c r="AL32" s="19" t="str">
        <f>IF('ODBC Data'!$I$6&gt;28,29,"")</f>
        <v/>
      </c>
      <c r="AM32" s="17" t="str">
        <f t="shared" si="2"/>
        <v/>
      </c>
      <c r="AN32" t="str">
        <f>IF(ISNA(VLOOKUP(AM32,'ODBC Data'!$B$1:$J$500,3,0)),"",VLOOKUP(AM32,'ODBC Data'!$B$1:$J$500,3,0))</f>
        <v/>
      </c>
      <c r="AO32" t="str">
        <f>IF(ISNA(VLOOKUP(AM32,'ODBC Data'!$B$1:$J$500,5,0)),"",VLOOKUP(AM32,'ODBC Data'!$B$1:$J$500,5,0))</f>
        <v/>
      </c>
      <c r="AQ32" s="19" t="str">
        <f>IF('ODBC Data'!$I$7&gt;28,'ODBC Data'!$H$7,"")</f>
        <v/>
      </c>
      <c r="AR32" s="19" t="str">
        <f>IF('ODBC Data'!$I$7&gt;28,29,"")</f>
        <v/>
      </c>
      <c r="AS32" s="17" t="str">
        <f t="shared" si="3"/>
        <v/>
      </c>
      <c r="AT32" t="str">
        <f>IF(ISNA(VLOOKUP(AS32,'ODBC Data'!$B$1:$J$500,3,0)),"",VLOOKUP(AS32,'ODBC Data'!$B$1:$J$500,3,0))</f>
        <v/>
      </c>
      <c r="AU32" t="str">
        <f>IF(ISNA(VLOOKUP(AS32,'ODBC Data'!$B$1:$J$500,5,0)),"",VLOOKUP(AS32,'ODBC Data'!$B$1:$J$500,5,0))</f>
        <v/>
      </c>
      <c r="AW32" s="19" t="str">
        <f>IF('ODBC Data'!$I$8&gt;28,'ODBC Data'!$H$8,"")</f>
        <v/>
      </c>
      <c r="AX32" s="19" t="str">
        <f>IF('ODBC Data'!$I$8&gt;28,29,"")</f>
        <v/>
      </c>
      <c r="AY32" s="17" t="str">
        <f t="shared" si="4"/>
        <v/>
      </c>
      <c r="AZ32" t="str">
        <f>IF(ISNA(VLOOKUP(AY32,'ODBC Data'!$B$1:$J$500,3,0)),"",VLOOKUP(AY32,'ODBC Data'!$B$1:$J$500,3,0))</f>
        <v/>
      </c>
      <c r="BA32" t="str">
        <f>IF(ISNA(VLOOKUP(AY32,'ODBC Data'!$B$1:$J$500,5,0)),"",VLOOKUP(AY32,'ODBC Data'!$B$1:$J$500,5,0))</f>
        <v/>
      </c>
      <c r="BC32" s="19" t="str">
        <f>IF('ODBC Data'!$I$9&gt;28,'ODBC Data'!$H$9,"")</f>
        <v/>
      </c>
      <c r="BD32" s="19" t="str">
        <f>IF('ODBC Data'!$I$9&gt;28,29,"")</f>
        <v/>
      </c>
      <c r="BE32" s="17" t="str">
        <f t="shared" si="5"/>
        <v/>
      </c>
      <c r="BF32" t="str">
        <f>IF(ISNA(VLOOKUP(BE32,'ODBC Data'!$B$1:$J$500,3,0)),"",VLOOKUP(BE32,'ODBC Data'!$B$1:$J$500,3,0))</f>
        <v/>
      </c>
      <c r="BG32" s="57" t="str">
        <f>IF(ISNA(VLOOKUP(BE32,'ODBC Data'!$B$1:$J$500,4,0)),"",VLOOKUP(BE32,'ODBC Data'!$B$1:$J$500,4,0))</f>
        <v/>
      </c>
      <c r="BH32" t="str">
        <f>IF(ISNA(VLOOKUP(BE32,'ODBC Data'!$B$1:$J$500,5,0)),"",VLOOKUP(BE32,'ODBC Data'!$B$1:$J$500,5,0))</f>
        <v/>
      </c>
      <c r="BJ32" s="19" t="str">
        <f>IF('ODBC Data'!$I$10&gt;28,'ODBC Data'!$H$10,"")</f>
        <v/>
      </c>
      <c r="BK32" s="19" t="str">
        <f>IF('ODBC Data'!$I$10&gt;28,29,"")</f>
        <v/>
      </c>
      <c r="BL32" s="17" t="str">
        <f t="shared" si="6"/>
        <v/>
      </c>
      <c r="BM32" t="str">
        <f>IF(ISNA(VLOOKUP(BL32,'ODBC Data'!$B$1:$J$500,3,0)),"",VLOOKUP(BL32,'ODBC Data'!$B$1:$J$500,3,0))</f>
        <v/>
      </c>
      <c r="BN32" s="57" t="str">
        <f>IF(ISNA(VLOOKUP(BL32,'ODBC Data'!$B$1:$J$500,4,0)),"",VLOOKUP(BL32,'ODBC Data'!$B$1:$J$500,4,0))</f>
        <v/>
      </c>
      <c r="BO32" t="str">
        <f>IF(ISNA(VLOOKUP(BL32,'ODBC Data'!$B$1:$J$500,5,0)),"",VLOOKUP(BL32,'ODBC Data'!$B$1:$J$500,5,0))</f>
        <v/>
      </c>
      <c r="BQ32" s="19" t="str">
        <f>IF('ODBC Data'!$I$11&gt;28,'ODBC Data'!$H$11,"")</f>
        <v/>
      </c>
      <c r="BR32" s="19" t="str">
        <f>IF('ODBC Data'!$I$11&gt;28,29,"")</f>
        <v/>
      </c>
      <c r="BS32" s="17" t="str">
        <f t="shared" si="7"/>
        <v/>
      </c>
      <c r="BT32" t="str">
        <f>IF(ISNA(VLOOKUP(BS32,'ODBC Data'!$B$1:$J$500,3,0)),"",VLOOKUP(BS32,'ODBC Data'!$B$1:$J$500,3,0))</f>
        <v/>
      </c>
      <c r="BU32" s="57" t="str">
        <f>IF(ISNA(VLOOKUP(BS32,'ODBC Data'!$B$1:$J$500,4,0)),"",VLOOKUP(BS32,'ODBC Data'!$B$1:$J$500,4,0))</f>
        <v/>
      </c>
      <c r="BV32" t="str">
        <f>IF(ISNA(VLOOKUP(BS32,'ODBC Data'!$B$1:$J$500,5,0)),"",VLOOKUP(BS32,'ODBC Data'!$B$1:$J$500,5,0))</f>
        <v/>
      </c>
      <c r="BX32" s="19" t="str">
        <f>IF('ODBC Data'!$I$12&gt;28,'ODBC Data'!$H$12,"")</f>
        <v/>
      </c>
      <c r="BY32" s="19" t="str">
        <f>IF('ODBC Data'!$I$12&gt;28,29,"")</f>
        <v/>
      </c>
      <c r="BZ32" s="17" t="str">
        <f t="shared" si="8"/>
        <v/>
      </c>
      <c r="CA32" t="str">
        <f>IF(ISNA(VLOOKUP(BZ32,'ODBC Data'!$B$1:$J$500,3,0)),"",VLOOKUP(BZ32,'ODBC Data'!$B$1:$J$500,3,0))</f>
        <v/>
      </c>
      <c r="CB32" s="57" t="str">
        <f>IF(ISNA(VLOOKUP(BZ32,'ODBC Data'!$B$1:$J$500,4,0)),"",VLOOKUP(BZ32,'ODBC Data'!$B$1:$J$500,4,0))</f>
        <v/>
      </c>
      <c r="CC32" t="str">
        <f>IF(ISNA(VLOOKUP(BZ32,'ODBC Data'!$B$1:$J$500,5,0)),"",VLOOKUP(BZ32,'ODBC Data'!$B$1:$J$500,5,0))</f>
        <v/>
      </c>
      <c r="CE32" s="19" t="str">
        <f>IF('ODBC Data'!$I$13&gt;28,'ODBC Data'!$H$13,"")</f>
        <v/>
      </c>
      <c r="CF32" s="19" t="str">
        <f>IF('ODBC Data'!$I$13&gt;28,29,"")</f>
        <v/>
      </c>
      <c r="CG32" s="17" t="str">
        <f t="shared" si="9"/>
        <v/>
      </c>
      <c r="CH32" t="str">
        <f>IF(ISNA(VLOOKUP(CG32,'ODBC Data'!$B$1:$J$500,3,0)),"",VLOOKUP(CG32,'ODBC Data'!$B$1:$J$500,3,0))</f>
        <v/>
      </c>
      <c r="CI32" s="57" t="str">
        <f>IF(ISNA(VLOOKUP(CG32,'ODBC Data'!$B$1:$J$500,4,0)),"",VLOOKUP(CG32,'ODBC Data'!$B$1:$J$500,4,0))</f>
        <v/>
      </c>
      <c r="CJ32" t="str">
        <f>IF(ISNA(VLOOKUP(CG32,'ODBC Data'!$B$1:$J$500,5,0)),"",VLOOKUP(CG32,'ODBC Data'!$B$1:$J$500,5,0))</f>
        <v/>
      </c>
      <c r="CL32" s="19" t="str">
        <f>IF('ODBC Data'!$I$14&gt;28,'ODBC Data'!$H$14,"")</f>
        <v/>
      </c>
      <c r="CM32" s="19" t="str">
        <f>IF('ODBC Data'!$I$14&gt;28,29,"")</f>
        <v/>
      </c>
      <c r="CN32" s="17" t="str">
        <f t="shared" si="10"/>
        <v/>
      </c>
      <c r="CO32" s="57" t="str">
        <f>IF(ISNA(VLOOKUP(CN32,'ODBC Data'!$B$1:$J$500,3,0)),"",VLOOKUP(CN32,'ODBC Data'!$B$1:$J$500,3,0))</f>
        <v/>
      </c>
      <c r="CP32" s="57" t="str">
        <f>IF(ISNA(VLOOKUP(CN32,'ODBC Data'!$B$1:$J$500,4,0)),"",VLOOKUP(CN32,'ODBC Data'!$B$1:$J$500,4,0))</f>
        <v/>
      </c>
      <c r="CQ32" s="57" t="str">
        <f>IF(ISNA(VLOOKUP(CN32,'ODBC Data'!$B$1:$J$500,5,0)),"",VLOOKUP(CN32,'ODBC Data'!$B$1:$J$500,5,0))</f>
        <v/>
      </c>
      <c r="CS32" s="19" t="str">
        <f>IF('ODBC Data'!$I$15&gt;28,'ODBC Data'!$H$15,"")</f>
        <v/>
      </c>
      <c r="CT32" s="19" t="str">
        <f>IF('ODBC Data'!$I$15&gt;28,29,"")</f>
        <v/>
      </c>
      <c r="CU32" s="17" t="str">
        <f t="shared" si="11"/>
        <v/>
      </c>
      <c r="CV32" t="str">
        <f>IF(ISNA(VLOOKUP(CU32,'ODBC Data'!$B$1:$J$500,3,0)),"",VLOOKUP(CU32,'ODBC Data'!$B$1:$J$500,3,0))</f>
        <v/>
      </c>
      <c r="CW32" s="57" t="str">
        <f>IF(ISNA(VLOOKUP(CU32,'ODBC Data'!$B$1:$J$500,4,0)),"",VLOOKUP(CU32,'ODBC Data'!$B$1:$J$500,4,0))</f>
        <v/>
      </c>
      <c r="CX32" t="str">
        <f>IF(ISNA(VLOOKUP(CU32,'ODBC Data'!$B$1:$J$500,5,0)),"",VLOOKUP(CU32,'ODBC Data'!$B$1:$J$500,5,0))</f>
        <v/>
      </c>
      <c r="CZ32" s="19" t="str">
        <f>IF('ODBC Data'!$I$16&gt;28,'ODBC Data'!$H$16,"")</f>
        <v/>
      </c>
      <c r="DA32" s="19" t="str">
        <f>IF('ODBC Data'!$I$16&gt;28,29,"")</f>
        <v/>
      </c>
      <c r="DB32" s="17" t="str">
        <f t="shared" si="12"/>
        <v/>
      </c>
      <c r="DC32" t="str">
        <f>IF(ISNA(VLOOKUP(DB32,'ODBC Data'!$B$1:$J$500,3,0)),"",VLOOKUP(DB32,'ODBC Data'!$B$1:$J$500,3,0))</f>
        <v/>
      </c>
      <c r="DD32" s="57" t="str">
        <f>IF(ISNA(VLOOKUP(DB32,'ODBC Data'!$B$1:$J$500,4,0)),"",VLOOKUP(DB32,'ODBC Data'!$B$1:$J$500,4,0))</f>
        <v/>
      </c>
      <c r="DE32" t="str">
        <f>IF(ISNA(VLOOKUP(DB32,'ODBC Data'!$B$1:$J$500,5,0)),"",VLOOKUP(DB32,'ODBC Data'!$B$1:$J$500,5,0))</f>
        <v/>
      </c>
      <c r="DG32" s="19" t="str">
        <f>IF('ODBC Data'!$I$17&gt;28,'ODBC Data'!$H$17,"")</f>
        <v/>
      </c>
      <c r="DH32" s="19" t="str">
        <f>IF('ODBC Data'!$I$17&gt;28,29,"")</f>
        <v/>
      </c>
      <c r="DI32" s="17" t="str">
        <f t="shared" si="13"/>
        <v/>
      </c>
      <c r="DJ32" t="str">
        <f>IF(ISNA(VLOOKUP(DI32,'ODBC Data'!$B$1:$J$500,3,0)),"",VLOOKUP(DI32,'ODBC Data'!$B$1:$J$500,3,0))</f>
        <v/>
      </c>
      <c r="DK32" s="57" t="str">
        <f>IF(ISNA(VLOOKUP(DI32,'ODBC Data'!$B$1:$J$500,4,0)),"",VLOOKUP(DI32,'ODBC Data'!$B$1:$J$500,4,0))</f>
        <v/>
      </c>
      <c r="DL32" t="str">
        <f>IF(ISNA(VLOOKUP(DI32,'ODBC Data'!$B$1:$J$500,5,0)),"",VLOOKUP(DI32,'ODBC Data'!$B$1:$J$500,5,0))</f>
        <v/>
      </c>
      <c r="DN32" s="19" t="str">
        <f>IF('ODBC Data'!$I$18&gt;28,'ODBC Data'!$H$18,"")</f>
        <v/>
      </c>
      <c r="DO32" s="19" t="str">
        <f>IF('ODBC Data'!$I$18&gt;28,29,"")</f>
        <v/>
      </c>
      <c r="DP32" s="17" t="str">
        <f t="shared" si="14"/>
        <v/>
      </c>
      <c r="DQ32" t="str">
        <f>IF(ISNA(VLOOKUP(DP32,'ODBC Data'!$B$1:$J$500,3,0)),"",VLOOKUP(DP32,'ODBC Data'!$B$1:$J$500,3,0))</f>
        <v/>
      </c>
      <c r="DR32" s="57" t="str">
        <f>IF(ISNA(VLOOKUP(DP32,'ODBC Data'!$B$1:$J$500,4,0)),"",VLOOKUP(DP32,'ODBC Data'!$B$1:$J$500,4,0))</f>
        <v/>
      </c>
      <c r="DS32" t="str">
        <f>IF(ISNA(VLOOKUP(DP32,'ODBC Data'!$B$1:$J$500,5,0)),"",VLOOKUP(DP32,'ODBC Data'!$B$1:$J$500,5,0))</f>
        <v/>
      </c>
      <c r="DU32" s="19" t="str">
        <f>IF('ODBC Data'!$I$19&gt;28,'ODBC Data'!$H$19,"")</f>
        <v/>
      </c>
      <c r="DV32" s="19" t="str">
        <f>IF('ODBC Data'!$I$19&gt;28,29,"")</f>
        <v/>
      </c>
      <c r="DW32" s="17" t="str">
        <f t="shared" si="15"/>
        <v/>
      </c>
      <c r="DX32" t="str">
        <f>IF(ISNA(VLOOKUP(DW32,'ODBC Data'!$B$1:$J$500,3,0)),"",VLOOKUP(DW32,'ODBC Data'!$B$1:$J$500,3,0))</f>
        <v/>
      </c>
      <c r="DY32" s="57" t="str">
        <f>IF(ISNA(VLOOKUP(DW32,'ODBC Data'!$B$1:$J$500,4,0)),"",VLOOKUP(DW32,'ODBC Data'!$B$1:$J$500,4,0))</f>
        <v/>
      </c>
      <c r="DZ32" t="str">
        <f>IF(ISNA(VLOOKUP(DW32,'ODBC Data'!$B$1:$J$500,5,0)),"",VLOOKUP(DW32,'ODBC Data'!$B$1:$J$500,5,0))</f>
        <v/>
      </c>
      <c r="EB32" s="19" t="str">
        <f>IF('ODBC Data'!$I$20&gt;28,'ODBC Data'!$H$20,"")</f>
        <v/>
      </c>
      <c r="EC32" s="19" t="str">
        <f>IF('ODBC Data'!$I$20&gt;28,29,"")</f>
        <v/>
      </c>
      <c r="ED32" s="17" t="str">
        <f t="shared" si="16"/>
        <v/>
      </c>
      <c r="EE32" s="57" t="str">
        <f>IF(ISNA(VLOOKUP(ED32,'ODBC Data'!$B$1:$J$500,3,0)),"",VLOOKUP(ED32,'ODBC Data'!$B$1:$J$500,3,0))</f>
        <v/>
      </c>
      <c r="EF32" s="57" t="str">
        <f>IF(ISNA(VLOOKUP(ED32,'ODBC Data'!$B$1:$J$500,4,0)),"",VLOOKUP(ED32,'ODBC Data'!$B$1:$J$500,4,0))</f>
        <v/>
      </c>
      <c r="EG32" s="57" t="str">
        <f>IF(ISNA(VLOOKUP(ED32,'ODBC Data'!$B$1:$J$500,5,0)),"",VLOOKUP(ED32,'ODBC Data'!$B$1:$J$500,5,0))</f>
        <v/>
      </c>
      <c r="EI32" s="19" t="str">
        <f>IF('ODBC Data'!$I$21&gt;28,'ODBC Data'!$H$21,"")</f>
        <v/>
      </c>
      <c r="EJ32" s="19" t="str">
        <f>IF('ODBC Data'!$I$21&gt;28,29,"")</f>
        <v/>
      </c>
      <c r="EK32" s="17" t="str">
        <f t="shared" si="17"/>
        <v/>
      </c>
      <c r="EL32" t="str">
        <f>IF(ISNA(VLOOKUP(EK32,'ODBC Data'!$B$1:$J$500,3,0)),"",VLOOKUP(EK32,'ODBC Data'!$B$1:$J$500,3,0))</f>
        <v/>
      </c>
      <c r="EM32" s="57" t="str">
        <f>IF(ISNA(VLOOKUP(EK32,'ODBC Data'!$B$1:$J$500,4,0)),"",VLOOKUP(EK32,'ODBC Data'!$B$1:$J$500,4,0))</f>
        <v/>
      </c>
      <c r="EN32" t="str">
        <f>IF(ISNA(VLOOKUP(EK32,'ODBC Data'!$B$1:$J$500,5,0)),"",VLOOKUP(EK32,'ODBC Data'!$B$1:$J$500,5,0))</f>
        <v/>
      </c>
      <c r="EP32" s="19" t="str">
        <f>IF('ODBC Data'!$I$22&gt;28,'ODBC Data'!$H$22,"")</f>
        <v/>
      </c>
      <c r="EQ32" s="19" t="str">
        <f>IF('ODBC Data'!$I$22&gt;28,29,"")</f>
        <v/>
      </c>
      <c r="ER32" s="17" t="str">
        <f t="shared" si="18"/>
        <v/>
      </c>
      <c r="ES32" t="str">
        <f>IF(ISNA(VLOOKUP(ER32,'ODBC Data'!$B$1:$J$500,3,0)),"",VLOOKUP(ER32,'ODBC Data'!$B$1:$J$500,3,0))</f>
        <v/>
      </c>
      <c r="ET32" s="57" t="str">
        <f>IF(ISNA(VLOOKUP(ER32,'ODBC Data'!$B$1:$J$500,4,0)),"",VLOOKUP(ER32,'ODBC Data'!$B$1:$J$500,4,0))</f>
        <v/>
      </c>
      <c r="EU32" t="str">
        <f>IF(ISNA(VLOOKUP(ER32,'ODBC Data'!$B$1:$J$500,5,0)),"",VLOOKUP(ER32,'ODBC Data'!$B$1:$J$500,5,0))</f>
        <v/>
      </c>
      <c r="EW32" s="19" t="str">
        <f>IF('ODBC Data'!$I$23&gt;28,'ODBC Data'!$H$23,"")</f>
        <v/>
      </c>
      <c r="EX32" s="19" t="str">
        <f>IF('ODBC Data'!$I$23&gt;28,29,"")</f>
        <v/>
      </c>
      <c r="EY32" s="17" t="str">
        <f t="shared" si="19"/>
        <v/>
      </c>
      <c r="EZ32" t="str">
        <f>IF(ISNA(VLOOKUP(EY32,'ODBC Data'!$B$1:$J$500,3,0)),"",VLOOKUP(EY32,'ODBC Data'!$B$1:$J$500,3,0))</f>
        <v/>
      </c>
      <c r="FA32" s="57" t="str">
        <f>IF(ISNA(VLOOKUP(EY32,'ODBC Data'!$B$1:$J$500,4,0)),"",VLOOKUP(EY32,'ODBC Data'!$B$1:$J$500,4,0))</f>
        <v/>
      </c>
      <c r="FB32" t="str">
        <f>IF(ISNA(VLOOKUP(EY32,'ODBC Data'!$B$1:$J$500,5,0)),"",VLOOKUP(EY32,'ODBC Data'!$B$1:$J$500,5,0))</f>
        <v/>
      </c>
      <c r="FD32" s="19" t="str">
        <f>IF('ODBC Data'!$I$24&gt;28,'ODBC Data'!$H$24,"")</f>
        <v/>
      </c>
      <c r="FE32" s="19" t="str">
        <f>IF('ODBC Data'!$I$24&gt;28,29,"")</f>
        <v/>
      </c>
      <c r="FF32" s="17" t="str">
        <f t="shared" si="20"/>
        <v/>
      </c>
      <c r="FG32" t="str">
        <f>IF(ISNA(VLOOKUP(FF32,'ODBC Data'!$B$1:$J$500,3,0)),"",VLOOKUP(FF32,'ODBC Data'!$B$1:$J$500,3,0))</f>
        <v/>
      </c>
      <c r="FH32" s="57" t="str">
        <f>IF(ISNA(VLOOKUP(FF32,'ODBC Data'!$B$1:$J$500,4,0)),"",VLOOKUP(FF32,'ODBC Data'!$B$1:$J$500,4,0))</f>
        <v/>
      </c>
      <c r="FI32" t="str">
        <f>IF(ISNA(VLOOKUP(FF32,'ODBC Data'!$B$1:$J$500,5,0)),"",VLOOKUP(FF32,'ODBC Data'!$B$1:$J$500,5,0))</f>
        <v/>
      </c>
      <c r="FK32" s="19" t="str">
        <f>IF('ODBC Data'!$I$25&gt;28,'ODBC Data'!$H$25,"")</f>
        <v/>
      </c>
      <c r="FL32" s="19" t="str">
        <f>IF('ODBC Data'!$I$25&gt;28,29,"")</f>
        <v/>
      </c>
      <c r="FM32" s="17" t="str">
        <f t="shared" si="21"/>
        <v/>
      </c>
      <c r="FN32" t="str">
        <f>IF(ISNA(VLOOKUP(FM32,'ODBC Data'!$B$1:$J$500,3,0)),"",VLOOKUP(FM32,'ODBC Data'!$B$1:$J$500,3,0))</f>
        <v/>
      </c>
      <c r="FO32" s="57" t="str">
        <f>IF(ISNA(VLOOKUP(FM32,'ODBC Data'!$B$1:$J$500,4,0)),"",VLOOKUP(FM32,'ODBC Data'!$B$1:$J$500,4,0))</f>
        <v/>
      </c>
      <c r="FP32" t="str">
        <f>IF(ISNA(VLOOKUP(FM32,'ODBC Data'!$B$1:$J$500,5,0)),"",VLOOKUP(FM32,'ODBC Data'!$B$1:$J$500,5,0))</f>
        <v/>
      </c>
      <c r="FR32" s="19" t="str">
        <f>IF('ODBC Data'!$I$26&gt;28,'ODBC Data'!$H$26,"")</f>
        <v/>
      </c>
      <c r="FS32" s="19" t="str">
        <f>IF('ODBC Data'!$I$26&gt;28,29,"")</f>
        <v/>
      </c>
      <c r="FT32" s="17" t="str">
        <f t="shared" si="22"/>
        <v/>
      </c>
      <c r="FU32" s="57" t="str">
        <f>IF(ISNA(VLOOKUP(FT32,'ODBC Data'!$B$1:$J$500,3,0)),"",VLOOKUP(FT32,'ODBC Data'!$B$1:$J$500,3,0))</f>
        <v/>
      </c>
      <c r="FV32" s="57" t="str">
        <f>IF(ISNA(VLOOKUP(FT32,'ODBC Data'!$B$1:$J$500,4,0)),"",VLOOKUP(FT32,'ODBC Data'!$B$1:$J$500,4,0))</f>
        <v/>
      </c>
      <c r="FW32" s="57" t="str">
        <f>IF(ISNA(VLOOKUP(FT32,'ODBC Data'!$B$1:$J$500,5,0)),"",VLOOKUP(FT32,'ODBC Data'!$B$1:$J$500,5,0))</f>
        <v/>
      </c>
      <c r="FY32" s="19" t="str">
        <f>IF('ODBC Data'!$I$27&gt;28,'ODBC Data'!$H$27,"")</f>
        <v/>
      </c>
      <c r="FZ32" s="19" t="str">
        <f>IF('ODBC Data'!$I$27&gt;28,29,"")</f>
        <v/>
      </c>
      <c r="GA32" s="17" t="str">
        <f t="shared" si="23"/>
        <v/>
      </c>
      <c r="GB32" s="57" t="str">
        <f>IF(ISNA(VLOOKUP(GA32,'ODBC Data'!$B$1:$J$500,3,0)),"",VLOOKUP(GA32,'ODBC Data'!$B$1:$J$500,3,0))</f>
        <v/>
      </c>
      <c r="GC32" s="57" t="str">
        <f>IF(ISNA(VLOOKUP(GA32,'ODBC Data'!$B$1:$J$500,4,0)),"",VLOOKUP(GA32,'ODBC Data'!$B$1:$J$500,4,0))</f>
        <v/>
      </c>
      <c r="GD32" s="57" t="str">
        <f>IF(ISNA(VLOOKUP(GA32,'ODBC Data'!$B$1:$J$500,5,0)),"",VLOOKUP(GA32,'ODBC Data'!$B$1:$J$500,5,0))</f>
        <v/>
      </c>
    </row>
    <row r="33" spans="1:186">
      <c r="A33" s="19" t="str">
        <f>IF('ODBC Data'!$I$1&gt;29,'ODBC Data'!$H$1,"")</f>
        <v/>
      </c>
      <c r="B33" s="19" t="str">
        <f>IF('ODBC Data'!$I$1&gt;29,30,"")</f>
        <v/>
      </c>
      <c r="C33" s="17" t="str">
        <f t="shared" si="27"/>
        <v/>
      </c>
      <c r="D33" t="str">
        <f>IF(ISNA(VLOOKUP(C33,'ODBC Data'!$B$1:$J$500,3,0)),"",VLOOKUP(C33,'ODBC Data'!$B$1:$J$500,3,0))</f>
        <v/>
      </c>
      <c r="E33" t="str">
        <f>IF(ISNA(VLOOKUP(C33,'ODBC Data'!$B$1:$J$500,5,0)),"",VLOOKUP(C33,'ODBC Data'!$B$1:$J$500,5,0))</f>
        <v/>
      </c>
      <c r="F33" t="str">
        <f t="shared" si="28"/>
        <v/>
      </c>
      <c r="G33" s="19" t="str">
        <f>IF('ODBC Data'!$I$2&gt;29,'ODBC Data'!$H$2,"")</f>
        <v/>
      </c>
      <c r="H33" s="19" t="str">
        <f>IF('ODBC Data'!$I$2&gt;29,30,"")</f>
        <v/>
      </c>
      <c r="I33" s="17" t="str">
        <f t="shared" si="24"/>
        <v/>
      </c>
      <c r="J33" t="str">
        <f>IF(ISNA(VLOOKUP(I33,'ODBC Data'!$B$1:$J$500,3,0)),"",VLOOKUP(I33,'ODBC Data'!$B$1:$J$500,3,0))</f>
        <v/>
      </c>
      <c r="K33" t="str">
        <f>IF(ISNA(VLOOKUP(I33,'ODBC Data'!$B$1:$J$500,5,0)),"",VLOOKUP(I33,'ODBC Data'!$B$1:$J$500,5,0))</f>
        <v/>
      </c>
      <c r="M33" s="19" t="str">
        <f>IF('ODBC Data'!$I$3&gt;29,'ODBC Data'!$H$3,"")</f>
        <v/>
      </c>
      <c r="N33" s="19" t="str">
        <f>IF('ODBC Data'!$I$3&gt;29,30,"")</f>
        <v/>
      </c>
      <c r="O33" s="17" t="str">
        <f t="shared" si="25"/>
        <v/>
      </c>
      <c r="P33" t="str">
        <f>IF(ISNA(VLOOKUP(O33,'ODBC Data'!$B$1:$J$500,3,0)),"",VLOOKUP(O33,'ODBC Data'!$B$1:$J$500,3,0))</f>
        <v/>
      </c>
      <c r="Q33" t="str">
        <f>IF(ISNA(VLOOKUP(O33,'ODBC Data'!$B$1:$J$500,5,0)),"",VLOOKUP(O33,'ODBC Data'!$B$1:$J$500,4,0))</f>
        <v/>
      </c>
      <c r="S33" s="19" t="str">
        <f>IF('ODBC Data'!$I$3&gt;29,'ODBC Data'!$H$3,"")</f>
        <v/>
      </c>
      <c r="T33" s="19" t="str">
        <f>IF('ODBC Data'!$I$3&gt;29,30,"")</f>
        <v/>
      </c>
      <c r="U33" s="17" t="str">
        <f t="shared" si="26"/>
        <v/>
      </c>
      <c r="V33" t="str">
        <f>IF(ISNA(VLOOKUP(U33,'ODBC Data'!$B$1:$J$500,3,0)),"",VLOOKUP(U33,'ODBC Data'!$B$1:$J$500,3,0))</f>
        <v/>
      </c>
      <c r="W33" t="str">
        <f>IF(ISNA(VLOOKUP(U33,'ODBC Data'!$B$1:$J$500,5,0)),"",VLOOKUP(U33,'ODBC Data'!$B$1:$J$500,5,0))</f>
        <v/>
      </c>
      <c r="Y33" s="19" t="str">
        <f>IF('ODBC Data'!$I$4&gt;29,'ODBC Data'!$H$4,"")</f>
        <v/>
      </c>
      <c r="Z33" s="19" t="str">
        <f>IF('ODBC Data'!$I$4&gt;29,30,"")</f>
        <v/>
      </c>
      <c r="AA33" s="17" t="str">
        <f t="shared" si="0"/>
        <v/>
      </c>
      <c r="AB33" s="57" t="str">
        <f>IF(ISNA(VLOOKUP(AA33,'ODBC Data'!$B$1:$J$500,3,0)),"",VLOOKUP(AA33,'ODBC Data'!$B$1:$J$500,3,0))</f>
        <v/>
      </c>
      <c r="AC33" s="57" t="str">
        <f>IF(ISNA(VLOOKUP(AA33,'ODBC Data'!$B$1:$J$500,5,0)),"",VLOOKUP(AA33,'ODBC Data'!$B$1:$J$500,5,0))</f>
        <v/>
      </c>
      <c r="AE33" s="19" t="str">
        <f>IF('ODBC Data'!$I$5&gt;29,'ODBC Data'!$H$5,"")</f>
        <v/>
      </c>
      <c r="AF33" s="19" t="str">
        <f>IF('ODBC Data'!$I$5&gt;29,30,"")</f>
        <v/>
      </c>
      <c r="AG33" s="17" t="str">
        <f t="shared" si="1"/>
        <v/>
      </c>
      <c r="AH33" t="str">
        <f>IF(ISNA(VLOOKUP(AG33,'ODBC Data'!$B$1:$J$500,3,0)),"",VLOOKUP(AG33,'ODBC Data'!$B$1:$J$500,3,0))</f>
        <v/>
      </c>
      <c r="AI33" t="str">
        <f>IF(ISNA(VLOOKUP(AG33,'ODBC Data'!$B$1:$J$500,5,0)),"",VLOOKUP(AG33,'ODBC Data'!$B$1:$J$500,5,0))</f>
        <v/>
      </c>
      <c r="AK33" s="19" t="str">
        <f>IF('ODBC Data'!$I$6&gt;29,'ODBC Data'!$H$6,"")</f>
        <v/>
      </c>
      <c r="AL33" s="19" t="str">
        <f>IF('ODBC Data'!$I$6&gt;29,30,"")</f>
        <v/>
      </c>
      <c r="AM33" s="17" t="str">
        <f t="shared" si="2"/>
        <v/>
      </c>
      <c r="AN33" t="str">
        <f>IF(ISNA(VLOOKUP(AM33,'ODBC Data'!$B$1:$J$500,3,0)),"",VLOOKUP(AM33,'ODBC Data'!$B$1:$J$500,3,0))</f>
        <v/>
      </c>
      <c r="AO33" t="str">
        <f>IF(ISNA(VLOOKUP(AM33,'ODBC Data'!$B$1:$J$500,5,0)),"",VLOOKUP(AM33,'ODBC Data'!$B$1:$J$500,5,0))</f>
        <v/>
      </c>
      <c r="AQ33" s="19" t="str">
        <f>IF('ODBC Data'!$I$7&gt;29,'ODBC Data'!$H$7,"")</f>
        <v/>
      </c>
      <c r="AR33" s="19" t="str">
        <f>IF('ODBC Data'!$I$7&gt;29,30,"")</f>
        <v/>
      </c>
      <c r="AS33" s="17" t="str">
        <f t="shared" si="3"/>
        <v/>
      </c>
      <c r="AT33" t="str">
        <f>IF(ISNA(VLOOKUP(AS33,'ODBC Data'!$B$1:$J$500,3,0)),"",VLOOKUP(AS33,'ODBC Data'!$B$1:$J$500,3,0))</f>
        <v/>
      </c>
      <c r="AU33" t="str">
        <f>IF(ISNA(VLOOKUP(AS33,'ODBC Data'!$B$1:$J$500,5,0)),"",VLOOKUP(AS33,'ODBC Data'!$B$1:$J$500,5,0))</f>
        <v/>
      </c>
      <c r="AW33" s="19" t="str">
        <f>IF('ODBC Data'!$I$8&gt;29,'ODBC Data'!$H$8,"")</f>
        <v/>
      </c>
      <c r="AX33" s="19" t="str">
        <f>IF('ODBC Data'!$I$8&gt;29,30,"")</f>
        <v/>
      </c>
      <c r="AY33" s="17" t="str">
        <f t="shared" si="4"/>
        <v/>
      </c>
      <c r="AZ33" t="str">
        <f>IF(ISNA(VLOOKUP(AY33,'ODBC Data'!$B$1:$J$500,3,0)),"",VLOOKUP(AY33,'ODBC Data'!$B$1:$J$500,3,0))</f>
        <v/>
      </c>
      <c r="BA33" t="str">
        <f>IF(ISNA(VLOOKUP(AY33,'ODBC Data'!$B$1:$J$500,5,0)),"",VLOOKUP(AY33,'ODBC Data'!$B$1:$J$500,5,0))</f>
        <v/>
      </c>
      <c r="BC33" s="19" t="str">
        <f>IF('ODBC Data'!$I$9&gt;29,'ODBC Data'!$H$9,"")</f>
        <v/>
      </c>
      <c r="BD33" s="19" t="str">
        <f>IF('ODBC Data'!$I$9&gt;29,30,"")</f>
        <v/>
      </c>
      <c r="BE33" s="17" t="str">
        <f t="shared" si="5"/>
        <v/>
      </c>
      <c r="BF33" t="str">
        <f>IF(ISNA(VLOOKUP(BE33,'ODBC Data'!$B$1:$J$500,3,0)),"",VLOOKUP(BE33,'ODBC Data'!$B$1:$J$500,3,0))</f>
        <v/>
      </c>
      <c r="BG33" s="57" t="str">
        <f>IF(ISNA(VLOOKUP(BE33,'ODBC Data'!$B$1:$J$500,4,0)),"",VLOOKUP(BE33,'ODBC Data'!$B$1:$J$500,4,0))</f>
        <v/>
      </c>
      <c r="BH33" t="str">
        <f>IF(ISNA(VLOOKUP(BE33,'ODBC Data'!$B$1:$J$500,5,0)),"",VLOOKUP(BE33,'ODBC Data'!$B$1:$J$500,5,0))</f>
        <v/>
      </c>
      <c r="BJ33" s="19" t="str">
        <f>IF('ODBC Data'!$I$10&gt;29,'ODBC Data'!$H$10,"")</f>
        <v/>
      </c>
      <c r="BK33" s="19" t="str">
        <f>IF('ODBC Data'!$I$10&gt;29,30,"")</f>
        <v/>
      </c>
      <c r="BL33" s="17" t="str">
        <f t="shared" si="6"/>
        <v/>
      </c>
      <c r="BM33" t="str">
        <f>IF(ISNA(VLOOKUP(BL33,'ODBC Data'!$B$1:$J$500,3,0)),"",VLOOKUP(BL33,'ODBC Data'!$B$1:$J$500,3,0))</f>
        <v/>
      </c>
      <c r="BN33" s="57" t="str">
        <f>IF(ISNA(VLOOKUP(BL33,'ODBC Data'!$B$1:$J$500,4,0)),"",VLOOKUP(BL33,'ODBC Data'!$B$1:$J$500,4,0))</f>
        <v/>
      </c>
      <c r="BO33" t="str">
        <f>IF(ISNA(VLOOKUP(BL33,'ODBC Data'!$B$1:$J$500,5,0)),"",VLOOKUP(BL33,'ODBC Data'!$B$1:$J$500,5,0))</f>
        <v/>
      </c>
      <c r="BQ33" s="19" t="str">
        <f>IF('ODBC Data'!$I$11&gt;29,'ODBC Data'!$H$11,"")</f>
        <v/>
      </c>
      <c r="BR33" s="19" t="str">
        <f>IF('ODBC Data'!$I$11&gt;29,30,"")</f>
        <v/>
      </c>
      <c r="BS33" s="17" t="str">
        <f t="shared" si="7"/>
        <v/>
      </c>
      <c r="BT33" t="str">
        <f>IF(ISNA(VLOOKUP(BS33,'ODBC Data'!$B$1:$J$500,3,0)),"",VLOOKUP(BS33,'ODBC Data'!$B$1:$J$500,3,0))</f>
        <v/>
      </c>
      <c r="BU33" s="57" t="str">
        <f>IF(ISNA(VLOOKUP(BS33,'ODBC Data'!$B$1:$J$500,4,0)),"",VLOOKUP(BS33,'ODBC Data'!$B$1:$J$500,4,0))</f>
        <v/>
      </c>
      <c r="BV33" t="str">
        <f>IF(ISNA(VLOOKUP(BS33,'ODBC Data'!$B$1:$J$500,5,0)),"",VLOOKUP(BS33,'ODBC Data'!$B$1:$J$500,5,0))</f>
        <v/>
      </c>
      <c r="BX33" s="19" t="str">
        <f>IF('ODBC Data'!$I$12&gt;29,'ODBC Data'!$H$12,"")</f>
        <v/>
      </c>
      <c r="BY33" s="19" t="str">
        <f>IF('ODBC Data'!$I$12&gt;29,30,"")</f>
        <v/>
      </c>
      <c r="BZ33" s="17" t="str">
        <f t="shared" si="8"/>
        <v/>
      </c>
      <c r="CA33" t="str">
        <f>IF(ISNA(VLOOKUP(BZ33,'ODBC Data'!$B$1:$J$500,3,0)),"",VLOOKUP(BZ33,'ODBC Data'!$B$1:$J$500,3,0))</f>
        <v/>
      </c>
      <c r="CB33" s="57" t="str">
        <f>IF(ISNA(VLOOKUP(BZ33,'ODBC Data'!$B$1:$J$500,4,0)),"",VLOOKUP(BZ33,'ODBC Data'!$B$1:$J$500,4,0))</f>
        <v/>
      </c>
      <c r="CC33" t="str">
        <f>IF(ISNA(VLOOKUP(BZ33,'ODBC Data'!$B$1:$J$500,5,0)),"",VLOOKUP(BZ33,'ODBC Data'!$B$1:$J$500,5,0))</f>
        <v/>
      </c>
      <c r="CE33" s="19" t="str">
        <f>IF('ODBC Data'!$I$13&gt;29,'ODBC Data'!$H$13,"")</f>
        <v/>
      </c>
      <c r="CF33" s="19" t="str">
        <f>IF('ODBC Data'!$I$13&gt;29,30,"")</f>
        <v/>
      </c>
      <c r="CG33" s="17" t="str">
        <f t="shared" si="9"/>
        <v/>
      </c>
      <c r="CH33" t="str">
        <f>IF(ISNA(VLOOKUP(CG33,'ODBC Data'!$B$1:$J$500,3,0)),"",VLOOKUP(CG33,'ODBC Data'!$B$1:$J$500,3,0))</f>
        <v/>
      </c>
      <c r="CI33" s="57" t="str">
        <f>IF(ISNA(VLOOKUP(CG33,'ODBC Data'!$B$1:$J$500,4,0)),"",VLOOKUP(CG33,'ODBC Data'!$B$1:$J$500,4,0))</f>
        <v/>
      </c>
      <c r="CJ33" t="str">
        <f>IF(ISNA(VLOOKUP(CG33,'ODBC Data'!$B$1:$J$500,5,0)),"",VLOOKUP(CG33,'ODBC Data'!$B$1:$J$500,5,0))</f>
        <v/>
      </c>
      <c r="CL33" s="19" t="str">
        <f>IF('ODBC Data'!$I$14&gt;29,'ODBC Data'!$H$14,"")</f>
        <v/>
      </c>
      <c r="CM33" s="19" t="str">
        <f>IF('ODBC Data'!$I$14&gt;29,30,"")</f>
        <v/>
      </c>
      <c r="CN33" s="17" t="str">
        <f t="shared" si="10"/>
        <v/>
      </c>
      <c r="CO33" s="57" t="str">
        <f>IF(ISNA(VLOOKUP(CN33,'ODBC Data'!$B$1:$J$500,3,0)),"",VLOOKUP(CN33,'ODBC Data'!$B$1:$J$500,3,0))</f>
        <v/>
      </c>
      <c r="CP33" s="57" t="str">
        <f>IF(ISNA(VLOOKUP(CN33,'ODBC Data'!$B$1:$J$500,4,0)),"",VLOOKUP(CN33,'ODBC Data'!$B$1:$J$500,4,0))</f>
        <v/>
      </c>
      <c r="CQ33" s="57" t="str">
        <f>IF(ISNA(VLOOKUP(CN33,'ODBC Data'!$B$1:$J$500,5,0)),"",VLOOKUP(CN33,'ODBC Data'!$B$1:$J$500,5,0))</f>
        <v/>
      </c>
      <c r="CS33" s="19" t="str">
        <f>IF('ODBC Data'!$I$15&gt;29,'ODBC Data'!$H$15,"")</f>
        <v/>
      </c>
      <c r="CT33" s="19" t="str">
        <f>IF('ODBC Data'!$I$15&gt;29,30,"")</f>
        <v/>
      </c>
      <c r="CU33" s="17" t="str">
        <f t="shared" si="11"/>
        <v/>
      </c>
      <c r="CV33" t="str">
        <f>IF(ISNA(VLOOKUP(CU33,'ODBC Data'!$B$1:$J$500,3,0)),"",VLOOKUP(CU33,'ODBC Data'!$B$1:$J$500,3,0))</f>
        <v/>
      </c>
      <c r="CW33" s="57" t="str">
        <f>IF(ISNA(VLOOKUP(CU33,'ODBC Data'!$B$1:$J$500,4,0)),"",VLOOKUP(CU33,'ODBC Data'!$B$1:$J$500,4,0))</f>
        <v/>
      </c>
      <c r="CX33" t="str">
        <f>IF(ISNA(VLOOKUP(CU33,'ODBC Data'!$B$1:$J$500,5,0)),"",VLOOKUP(CU33,'ODBC Data'!$B$1:$J$500,5,0))</f>
        <v/>
      </c>
      <c r="CZ33" s="19" t="str">
        <f>IF('ODBC Data'!$I$16&gt;29,'ODBC Data'!$H$16,"")</f>
        <v/>
      </c>
      <c r="DA33" s="19" t="str">
        <f>IF('ODBC Data'!$I$16&gt;29,30,"")</f>
        <v/>
      </c>
      <c r="DB33" s="17" t="str">
        <f t="shared" si="12"/>
        <v/>
      </c>
      <c r="DC33" t="str">
        <f>IF(ISNA(VLOOKUP(DB33,'ODBC Data'!$B$1:$J$500,3,0)),"",VLOOKUP(DB33,'ODBC Data'!$B$1:$J$500,3,0))</f>
        <v/>
      </c>
      <c r="DD33" s="57" t="str">
        <f>IF(ISNA(VLOOKUP(DB33,'ODBC Data'!$B$1:$J$500,4,0)),"",VLOOKUP(DB33,'ODBC Data'!$B$1:$J$500,4,0))</f>
        <v/>
      </c>
      <c r="DE33" t="str">
        <f>IF(ISNA(VLOOKUP(DB33,'ODBC Data'!$B$1:$J$500,5,0)),"",VLOOKUP(DB33,'ODBC Data'!$B$1:$J$500,5,0))</f>
        <v/>
      </c>
      <c r="DG33" s="19" t="str">
        <f>IF('ODBC Data'!$I$17&gt;29,'ODBC Data'!$H$17,"")</f>
        <v/>
      </c>
      <c r="DH33" s="19" t="str">
        <f>IF('ODBC Data'!$I$17&gt;29,30,"")</f>
        <v/>
      </c>
      <c r="DI33" s="17" t="str">
        <f t="shared" si="13"/>
        <v/>
      </c>
      <c r="DJ33" t="str">
        <f>IF(ISNA(VLOOKUP(DI33,'ODBC Data'!$B$1:$J$500,3,0)),"",VLOOKUP(DI33,'ODBC Data'!$B$1:$J$500,3,0))</f>
        <v/>
      </c>
      <c r="DK33" s="57" t="str">
        <f>IF(ISNA(VLOOKUP(DI33,'ODBC Data'!$B$1:$J$500,4,0)),"",VLOOKUP(DI33,'ODBC Data'!$B$1:$J$500,4,0))</f>
        <v/>
      </c>
      <c r="DL33" t="str">
        <f>IF(ISNA(VLOOKUP(DI33,'ODBC Data'!$B$1:$J$500,5,0)),"",VLOOKUP(DI33,'ODBC Data'!$B$1:$J$500,5,0))</f>
        <v/>
      </c>
      <c r="DN33" s="19" t="str">
        <f>IF('ODBC Data'!$I$18&gt;29,'ODBC Data'!$H$18,"")</f>
        <v/>
      </c>
      <c r="DO33" s="19" t="str">
        <f>IF('ODBC Data'!$I$18&gt;29,30,"")</f>
        <v/>
      </c>
      <c r="DP33" s="17" t="str">
        <f t="shared" si="14"/>
        <v/>
      </c>
      <c r="DQ33" t="str">
        <f>IF(ISNA(VLOOKUP(DP33,'ODBC Data'!$B$1:$J$500,3,0)),"",VLOOKUP(DP33,'ODBC Data'!$B$1:$J$500,3,0))</f>
        <v/>
      </c>
      <c r="DR33" s="57" t="str">
        <f>IF(ISNA(VLOOKUP(DP33,'ODBC Data'!$B$1:$J$500,4,0)),"",VLOOKUP(DP33,'ODBC Data'!$B$1:$J$500,4,0))</f>
        <v/>
      </c>
      <c r="DS33" t="str">
        <f>IF(ISNA(VLOOKUP(DP33,'ODBC Data'!$B$1:$J$500,5,0)),"",VLOOKUP(DP33,'ODBC Data'!$B$1:$J$500,5,0))</f>
        <v/>
      </c>
      <c r="DU33" s="19" t="str">
        <f>IF('ODBC Data'!$I$19&gt;29,'ODBC Data'!$H$19,"")</f>
        <v/>
      </c>
      <c r="DV33" s="19" t="str">
        <f>IF('ODBC Data'!$I$19&gt;29,30,"")</f>
        <v/>
      </c>
      <c r="DW33" s="17" t="str">
        <f t="shared" si="15"/>
        <v/>
      </c>
      <c r="DX33" t="str">
        <f>IF(ISNA(VLOOKUP(DW33,'ODBC Data'!$B$1:$J$500,3,0)),"",VLOOKUP(DW33,'ODBC Data'!$B$1:$J$500,3,0))</f>
        <v/>
      </c>
      <c r="DY33" s="57" t="str">
        <f>IF(ISNA(VLOOKUP(DW33,'ODBC Data'!$B$1:$J$500,4,0)),"",VLOOKUP(DW33,'ODBC Data'!$B$1:$J$500,4,0))</f>
        <v/>
      </c>
      <c r="DZ33" t="str">
        <f>IF(ISNA(VLOOKUP(DW33,'ODBC Data'!$B$1:$J$500,5,0)),"",VLOOKUP(DW33,'ODBC Data'!$B$1:$J$500,5,0))</f>
        <v/>
      </c>
      <c r="EB33" s="19" t="str">
        <f>IF('ODBC Data'!$I$20&gt;29,'ODBC Data'!$H$20,"")</f>
        <v/>
      </c>
      <c r="EC33" s="19" t="str">
        <f>IF('ODBC Data'!$I$20&gt;29,30,"")</f>
        <v/>
      </c>
      <c r="ED33" s="17" t="str">
        <f t="shared" si="16"/>
        <v/>
      </c>
      <c r="EE33" s="57" t="str">
        <f>IF(ISNA(VLOOKUP(ED33,'ODBC Data'!$B$1:$J$500,3,0)),"",VLOOKUP(ED33,'ODBC Data'!$B$1:$J$500,3,0))</f>
        <v/>
      </c>
      <c r="EF33" s="57" t="str">
        <f>IF(ISNA(VLOOKUP(ED33,'ODBC Data'!$B$1:$J$500,4,0)),"",VLOOKUP(ED33,'ODBC Data'!$B$1:$J$500,4,0))</f>
        <v/>
      </c>
      <c r="EG33" s="57" t="str">
        <f>IF(ISNA(VLOOKUP(ED33,'ODBC Data'!$B$1:$J$500,5,0)),"",VLOOKUP(ED33,'ODBC Data'!$B$1:$J$500,5,0))</f>
        <v/>
      </c>
      <c r="EI33" s="19" t="str">
        <f>IF('ODBC Data'!$I$21&gt;29,'ODBC Data'!$H$21,"")</f>
        <v/>
      </c>
      <c r="EJ33" s="19" t="str">
        <f>IF('ODBC Data'!$I$21&gt;29,30,"")</f>
        <v/>
      </c>
      <c r="EK33" s="17" t="str">
        <f t="shared" si="17"/>
        <v/>
      </c>
      <c r="EL33" t="str">
        <f>IF(ISNA(VLOOKUP(EK33,'ODBC Data'!$B$1:$J$500,3,0)),"",VLOOKUP(EK33,'ODBC Data'!$B$1:$J$500,3,0))</f>
        <v/>
      </c>
      <c r="EM33" s="57" t="str">
        <f>IF(ISNA(VLOOKUP(EK33,'ODBC Data'!$B$1:$J$500,4,0)),"",VLOOKUP(EK33,'ODBC Data'!$B$1:$J$500,4,0))</f>
        <v/>
      </c>
      <c r="EN33" t="str">
        <f>IF(ISNA(VLOOKUP(EK33,'ODBC Data'!$B$1:$J$500,5,0)),"",VLOOKUP(EK33,'ODBC Data'!$B$1:$J$500,5,0))</f>
        <v/>
      </c>
      <c r="EP33" s="19" t="str">
        <f>IF('ODBC Data'!$I$22&gt;29,'ODBC Data'!$H$22,"")</f>
        <v/>
      </c>
      <c r="EQ33" s="19" t="str">
        <f>IF('ODBC Data'!$I$22&gt;29,30,"")</f>
        <v/>
      </c>
      <c r="ER33" s="17" t="str">
        <f t="shared" si="18"/>
        <v/>
      </c>
      <c r="ES33" t="str">
        <f>IF(ISNA(VLOOKUP(ER33,'ODBC Data'!$B$1:$J$500,3,0)),"",VLOOKUP(ER33,'ODBC Data'!$B$1:$J$500,3,0))</f>
        <v/>
      </c>
      <c r="ET33" s="57" t="str">
        <f>IF(ISNA(VLOOKUP(ER33,'ODBC Data'!$B$1:$J$500,4,0)),"",VLOOKUP(ER33,'ODBC Data'!$B$1:$J$500,4,0))</f>
        <v/>
      </c>
      <c r="EU33" t="str">
        <f>IF(ISNA(VLOOKUP(ER33,'ODBC Data'!$B$1:$J$500,5,0)),"",VLOOKUP(ER33,'ODBC Data'!$B$1:$J$500,5,0))</f>
        <v/>
      </c>
      <c r="EW33" s="19" t="str">
        <f>IF('ODBC Data'!$I$23&gt;29,'ODBC Data'!$H$23,"")</f>
        <v/>
      </c>
      <c r="EX33" s="19" t="str">
        <f>IF('ODBC Data'!$I$23&gt;29,30,"")</f>
        <v/>
      </c>
      <c r="EY33" s="17" t="str">
        <f t="shared" si="19"/>
        <v/>
      </c>
      <c r="EZ33" t="str">
        <f>IF(ISNA(VLOOKUP(EY33,'ODBC Data'!$B$1:$J$500,3,0)),"",VLOOKUP(EY33,'ODBC Data'!$B$1:$J$500,3,0))</f>
        <v/>
      </c>
      <c r="FA33" s="57" t="str">
        <f>IF(ISNA(VLOOKUP(EY33,'ODBC Data'!$B$1:$J$500,4,0)),"",VLOOKUP(EY33,'ODBC Data'!$B$1:$J$500,4,0))</f>
        <v/>
      </c>
      <c r="FB33" t="str">
        <f>IF(ISNA(VLOOKUP(EY33,'ODBC Data'!$B$1:$J$500,5,0)),"",VLOOKUP(EY33,'ODBC Data'!$B$1:$J$500,5,0))</f>
        <v/>
      </c>
      <c r="FD33" s="19" t="str">
        <f>IF('ODBC Data'!$I$24&gt;29,'ODBC Data'!$H$24,"")</f>
        <v/>
      </c>
      <c r="FE33" s="19" t="str">
        <f>IF('ODBC Data'!$I$24&gt;29,30,"")</f>
        <v/>
      </c>
      <c r="FF33" s="17" t="str">
        <f t="shared" si="20"/>
        <v/>
      </c>
      <c r="FG33" t="str">
        <f>IF(ISNA(VLOOKUP(FF33,'ODBC Data'!$B$1:$J$500,3,0)),"",VLOOKUP(FF33,'ODBC Data'!$B$1:$J$500,3,0))</f>
        <v/>
      </c>
      <c r="FH33" s="57" t="str">
        <f>IF(ISNA(VLOOKUP(FF33,'ODBC Data'!$B$1:$J$500,4,0)),"",VLOOKUP(FF33,'ODBC Data'!$B$1:$J$500,4,0))</f>
        <v/>
      </c>
      <c r="FI33" t="str">
        <f>IF(ISNA(VLOOKUP(FF33,'ODBC Data'!$B$1:$J$500,5,0)),"",VLOOKUP(FF33,'ODBC Data'!$B$1:$J$500,5,0))</f>
        <v/>
      </c>
      <c r="FK33" s="19" t="str">
        <f>IF('ODBC Data'!$I$25&gt;29,'ODBC Data'!$H$25,"")</f>
        <v/>
      </c>
      <c r="FL33" s="19" t="str">
        <f>IF('ODBC Data'!$I$25&gt;29,30,"")</f>
        <v/>
      </c>
      <c r="FM33" s="17" t="str">
        <f t="shared" si="21"/>
        <v/>
      </c>
      <c r="FN33" t="str">
        <f>IF(ISNA(VLOOKUP(FM33,'ODBC Data'!$B$1:$J$500,3,0)),"",VLOOKUP(FM33,'ODBC Data'!$B$1:$J$500,3,0))</f>
        <v/>
      </c>
      <c r="FO33" s="57" t="str">
        <f>IF(ISNA(VLOOKUP(FM33,'ODBC Data'!$B$1:$J$500,4,0)),"",VLOOKUP(FM33,'ODBC Data'!$B$1:$J$500,4,0))</f>
        <v/>
      </c>
      <c r="FP33" t="str">
        <f>IF(ISNA(VLOOKUP(FM33,'ODBC Data'!$B$1:$J$500,5,0)),"",VLOOKUP(FM33,'ODBC Data'!$B$1:$J$500,5,0))</f>
        <v/>
      </c>
      <c r="FR33" s="19" t="str">
        <f>IF('ODBC Data'!$I$26&gt;29,'ODBC Data'!$H$26,"")</f>
        <v/>
      </c>
      <c r="FS33" s="19" t="str">
        <f>IF('ODBC Data'!$I$26&gt;29,30,"")</f>
        <v/>
      </c>
      <c r="FT33" s="17" t="str">
        <f t="shared" si="22"/>
        <v/>
      </c>
      <c r="FU33" s="57" t="str">
        <f>IF(ISNA(VLOOKUP(FT33,'ODBC Data'!$B$1:$J$500,3,0)),"",VLOOKUP(FT33,'ODBC Data'!$B$1:$J$500,3,0))</f>
        <v/>
      </c>
      <c r="FV33" s="57" t="str">
        <f>IF(ISNA(VLOOKUP(FT33,'ODBC Data'!$B$1:$J$500,4,0)),"",VLOOKUP(FT33,'ODBC Data'!$B$1:$J$500,4,0))</f>
        <v/>
      </c>
      <c r="FW33" s="57" t="str">
        <f>IF(ISNA(VLOOKUP(FT33,'ODBC Data'!$B$1:$J$500,5,0)),"",VLOOKUP(FT33,'ODBC Data'!$B$1:$J$500,5,0))</f>
        <v/>
      </c>
      <c r="FY33" s="19" t="str">
        <f>IF('ODBC Data'!$I$27&gt;29,'ODBC Data'!$H$27,"")</f>
        <v/>
      </c>
      <c r="FZ33" s="19" t="str">
        <f>IF('ODBC Data'!$I$27&gt;29,30,"")</f>
        <v/>
      </c>
      <c r="GA33" s="17" t="str">
        <f t="shared" si="23"/>
        <v/>
      </c>
      <c r="GB33" s="57" t="str">
        <f>IF(ISNA(VLOOKUP(GA33,'ODBC Data'!$B$1:$J$500,3,0)),"",VLOOKUP(GA33,'ODBC Data'!$B$1:$J$500,3,0))</f>
        <v/>
      </c>
      <c r="GC33" s="57" t="str">
        <f>IF(ISNA(VLOOKUP(GA33,'ODBC Data'!$B$1:$J$500,4,0)),"",VLOOKUP(GA33,'ODBC Data'!$B$1:$J$500,4,0))</f>
        <v/>
      </c>
      <c r="GD33" s="57" t="str">
        <f>IF(ISNA(VLOOKUP(GA33,'ODBC Data'!$B$1:$J$500,5,0)),"",VLOOKUP(GA33,'ODBC Data'!$B$1:$J$500,5,0))</f>
        <v/>
      </c>
    </row>
    <row r="34" spans="1:186">
      <c r="D34" s="18" t="s">
        <v>42</v>
      </c>
      <c r="E34" s="18">
        <f>SUM(E4:E33)</f>
        <v>851025</v>
      </c>
      <c r="J34" s="18" t="s">
        <v>42</v>
      </c>
      <c r="K34" s="18">
        <f>SUM(K4:K33)</f>
        <v>-723371</v>
      </c>
      <c r="P34" s="18" t="s">
        <v>42</v>
      </c>
      <c r="Q34" s="18">
        <f>SUM(Q4:Q33)</f>
        <v>-202625</v>
      </c>
      <c r="V34" s="18" t="s">
        <v>42</v>
      </c>
      <c r="W34" s="18">
        <f>SUM(W4:W33)</f>
        <v>-212756</v>
      </c>
      <c r="X34" s="22"/>
      <c r="AB34" s="18" t="s">
        <v>42</v>
      </c>
      <c r="AC34" s="18">
        <f>SUM(AC4:AC33)</f>
        <v>0</v>
      </c>
      <c r="AD34" s="22"/>
      <c r="AH34" s="18" t="s">
        <v>42</v>
      </c>
      <c r="AI34" s="18">
        <f>SUM(AI4:AI33)</f>
        <v>-27286</v>
      </c>
      <c r="AN34" s="18" t="s">
        <v>42</v>
      </c>
      <c r="AO34" s="18">
        <f>SUM(AO4:AO33)</f>
        <v>-100871</v>
      </c>
      <c r="AT34" s="18" t="s">
        <v>42</v>
      </c>
      <c r="AU34" s="18">
        <f>SUM(AU4:AU33)</f>
        <v>1925</v>
      </c>
      <c r="AZ34" s="18" t="s">
        <v>42</v>
      </c>
      <c r="BA34" s="18">
        <f>SUM(BA4:BA33)</f>
        <v>20922</v>
      </c>
      <c r="BF34" s="18" t="s">
        <v>42</v>
      </c>
      <c r="BG34" s="18">
        <f>SUM(BG4:BG33)</f>
        <v>763166</v>
      </c>
      <c r="BH34" s="18">
        <f>SUM(BH4:BH33)</f>
        <v>755399</v>
      </c>
      <c r="BI34" s="22"/>
      <c r="BM34" s="18" t="s">
        <v>42</v>
      </c>
      <c r="BN34" s="18">
        <f>SUM(BN4:BN33)</f>
        <v>0</v>
      </c>
      <c r="BO34" s="18">
        <f>SUM(BO4:BO33)</f>
        <v>0</v>
      </c>
      <c r="BP34" s="22"/>
      <c r="BT34" s="18" t="s">
        <v>42</v>
      </c>
      <c r="BU34" s="18">
        <f>SUM(BU4:BU33)</f>
        <v>13500</v>
      </c>
      <c r="BV34" s="18">
        <f>SUM(BV4:BV33)</f>
        <v>11475</v>
      </c>
      <c r="BW34" s="22"/>
      <c r="CA34" s="18" t="s">
        <v>42</v>
      </c>
      <c r="CB34" s="18">
        <f>SUM(CB4:CB33)</f>
        <v>14100</v>
      </c>
      <c r="CC34" s="18">
        <f>SUM(CC4:CC33)</f>
        <v>11985</v>
      </c>
      <c r="CD34" s="22"/>
      <c r="CH34" s="18" t="s">
        <v>42</v>
      </c>
      <c r="CI34" s="18">
        <f>SUM(CI4:CI33)</f>
        <v>0</v>
      </c>
      <c r="CJ34" s="18">
        <f>SUM(CJ4:CJ33)</f>
        <v>0</v>
      </c>
      <c r="CK34" s="22"/>
      <c r="CO34" s="18" t="s">
        <v>42</v>
      </c>
      <c r="CP34" s="18">
        <f>SUM(CP4:CP33)</f>
        <v>0</v>
      </c>
      <c r="CQ34" s="18">
        <f>SUM(CQ4:CQ33)</f>
        <v>0</v>
      </c>
      <c r="CS34" s="19" t="str">
        <f>IF('ODBC Data'!$I$15&gt;30,'ODBC Data'!$H$15,"")</f>
        <v/>
      </c>
      <c r="CT34" s="19" t="str">
        <f>IF('ODBC Data'!$I$15&gt;30,31,"")</f>
        <v/>
      </c>
      <c r="CU34" s="17" t="str">
        <f t="shared" si="11"/>
        <v/>
      </c>
      <c r="CV34" s="57" t="str">
        <f>IF(ISNA(VLOOKUP(CU34,'ODBC Data'!$B$1:$J$500,3,0)),"",VLOOKUP(CU34,'ODBC Data'!$B$1:$J$500,3,0))</f>
        <v/>
      </c>
      <c r="CW34" s="57" t="str">
        <f>IF(ISNA(VLOOKUP(CU34,'ODBC Data'!$B$1:$J$500,4,0)),"",VLOOKUP(CU34,'ODBC Data'!$B$1:$J$500,4,0))</f>
        <v/>
      </c>
      <c r="CX34" s="57" t="str">
        <f>IF(ISNA(VLOOKUP(CU34,'ODBC Data'!$B$1:$J$500,5,0)),"",VLOOKUP(CU34,'ODBC Data'!$B$1:$J$500,5,0))</f>
        <v/>
      </c>
      <c r="DC34" s="18" t="s">
        <v>42</v>
      </c>
      <c r="DD34" s="18">
        <f>SUM(DD4:DD33)</f>
        <v>411</v>
      </c>
      <c r="DE34" s="18">
        <f>SUM(DE4:DE33)</f>
        <v>622</v>
      </c>
      <c r="DF34" s="22"/>
      <c r="DJ34" s="18" t="s">
        <v>42</v>
      </c>
      <c r="DK34" s="18">
        <f>SUM(DK4:DK33)</f>
        <v>2261</v>
      </c>
      <c r="DL34" s="18">
        <f>SUM(DL4:DL33)</f>
        <v>2261</v>
      </c>
      <c r="DM34" s="22"/>
      <c r="DQ34" s="18" t="s">
        <v>42</v>
      </c>
      <c r="DR34" s="18">
        <f>SUM(DR4:DR33)</f>
        <v>-461740</v>
      </c>
      <c r="DS34" s="18">
        <f>SUM(DS4:DS33)</f>
        <v>-450101</v>
      </c>
      <c r="DT34" s="22"/>
      <c r="DX34" s="18" t="s">
        <v>42</v>
      </c>
      <c r="DY34" s="18">
        <f>SUM(DY4:DY33)</f>
        <v>-25000</v>
      </c>
      <c r="DZ34" s="18">
        <f>SUM(DZ4:DZ33)</f>
        <v>-27500</v>
      </c>
      <c r="EA34" s="22"/>
      <c r="EE34" s="18" t="s">
        <v>42</v>
      </c>
      <c r="EF34" s="18">
        <f>SUM(EF4:EF33)</f>
        <v>-13500</v>
      </c>
      <c r="EG34" s="18">
        <f>SUM(EG4:EG33)</f>
        <v>-14175</v>
      </c>
      <c r="EI34" s="19" t="str">
        <f>IF('ODBC Data'!$I$21&gt;30,'ODBC Data'!$H$21,"")</f>
        <v/>
      </c>
      <c r="EJ34" s="19" t="str">
        <f>IF('ODBC Data'!$I$21&gt;30,31,"")</f>
        <v/>
      </c>
      <c r="EK34" s="17" t="str">
        <f t="shared" si="17"/>
        <v/>
      </c>
      <c r="EL34" s="57" t="str">
        <f>IF(ISNA(VLOOKUP(EK34,'ODBC Data'!$B$1:$J$500,3,0)),"",VLOOKUP(EK34,'ODBC Data'!$B$1:$J$500,3,0))</f>
        <v/>
      </c>
      <c r="EM34" s="57" t="str">
        <f>IF(ISNA(VLOOKUP(EK34,'ODBC Data'!$B$1:$J$500,4,0)),"",VLOOKUP(EK34,'ODBC Data'!$B$1:$J$500,4,0))</f>
        <v/>
      </c>
      <c r="EN34" s="57" t="str">
        <f>IF(ISNA(VLOOKUP(EK34,'ODBC Data'!$B$1:$J$500,5,0)),"",VLOOKUP(EK34,'ODBC Data'!$B$1:$J$500,5,0))</f>
        <v/>
      </c>
      <c r="ES34" s="18" t="s">
        <v>42</v>
      </c>
      <c r="ET34" s="18">
        <f>SUM(ET4:ET33)</f>
        <v>-19999</v>
      </c>
      <c r="EU34" s="18">
        <f>SUM(EU4:EU33)</f>
        <v>-9997</v>
      </c>
      <c r="EZ34" s="18" t="s">
        <v>42</v>
      </c>
      <c r="FA34" s="18">
        <f>SUM(FA4:FA33)</f>
        <v>-10910</v>
      </c>
      <c r="FB34" s="18">
        <f>SUM(FB4:FB33)</f>
        <v>-15650</v>
      </c>
      <c r="FG34" s="18" t="s">
        <v>42</v>
      </c>
      <c r="FH34" s="18">
        <f>SUM(FH4:FH33)</f>
        <v>-15000</v>
      </c>
      <c r="FI34" s="18">
        <f>SUM(FI4:FI33)</f>
        <v>-15750</v>
      </c>
      <c r="FN34" s="18" t="s">
        <v>42</v>
      </c>
      <c r="FO34" s="18">
        <f>SUM(FO4:FO33)</f>
        <v>0</v>
      </c>
      <c r="FP34" s="18">
        <f>SUM(FP4:FP33)</f>
        <v>0</v>
      </c>
      <c r="FR34" s="57"/>
      <c r="FS34" s="57"/>
      <c r="FT34" s="57"/>
      <c r="FU34" s="18" t="s">
        <v>42</v>
      </c>
      <c r="FV34" s="18">
        <f>SUM(FV4:FV33)</f>
        <v>0</v>
      </c>
      <c r="FW34" s="18">
        <f>SUM(FW4:FW33)</f>
        <v>0</v>
      </c>
      <c r="FY34" s="57"/>
      <c r="FZ34" s="57"/>
      <c r="GA34" s="57"/>
      <c r="GB34" s="18" t="s">
        <v>42</v>
      </c>
      <c r="GC34" s="18">
        <f>SUM(GC4:GC33)</f>
        <v>0</v>
      </c>
      <c r="GD34" s="18">
        <f>SUM(GD4:GD33)</f>
        <v>0</v>
      </c>
    </row>
    <row r="35" spans="1:186">
      <c r="CS35" s="19" t="str">
        <f>IF('ODBC Data'!$I$15&gt;31,'ODBC Data'!$H$15,"")</f>
        <v/>
      </c>
      <c r="CT35" s="19" t="str">
        <f>IF('ODBC Data'!$I$15&gt;31,32,"")</f>
        <v/>
      </c>
      <c r="CU35" s="17" t="str">
        <f t="shared" si="11"/>
        <v/>
      </c>
      <c r="CV35" s="57" t="str">
        <f>IF(ISNA(VLOOKUP(CU35,'ODBC Data'!$B$1:$J$500,3,0)),"",VLOOKUP(CU35,'ODBC Data'!$B$1:$J$500,3,0))</f>
        <v/>
      </c>
      <c r="CW35" s="57" t="str">
        <f>IF(ISNA(VLOOKUP(CU35,'ODBC Data'!$B$1:$J$500,4,0)),"",VLOOKUP(CU35,'ODBC Data'!$B$1:$J$500,4,0))</f>
        <v/>
      </c>
      <c r="CX35" s="57" t="str">
        <f>IF(ISNA(VLOOKUP(CU35,'ODBC Data'!$B$1:$J$500,5,0)),"",VLOOKUP(CU35,'ODBC Data'!$B$1:$J$500,5,0))</f>
        <v/>
      </c>
      <c r="EI35" s="19" t="str">
        <f>IF('ODBC Data'!$I$21&gt;31,'ODBC Data'!$H$21,"")</f>
        <v/>
      </c>
      <c r="EJ35" s="19" t="str">
        <f>IF('ODBC Data'!$I$21&gt;31,32,"")</f>
        <v/>
      </c>
      <c r="EK35" s="17" t="str">
        <f t="shared" si="17"/>
        <v/>
      </c>
      <c r="EL35" s="57" t="str">
        <f>IF(ISNA(VLOOKUP(EK35,'ODBC Data'!$B$1:$J$500,3,0)),"",VLOOKUP(EK35,'ODBC Data'!$B$1:$J$500,3,0))</f>
        <v/>
      </c>
      <c r="EM35" s="57" t="str">
        <f>IF(ISNA(VLOOKUP(EK35,'ODBC Data'!$B$1:$J$500,4,0)),"",VLOOKUP(EK35,'ODBC Data'!$B$1:$J$500,4,0))</f>
        <v/>
      </c>
      <c r="EN35" s="57" t="str">
        <f>IF(ISNA(VLOOKUP(EK35,'ODBC Data'!$B$1:$J$500,5,0)),"",VLOOKUP(EK35,'ODBC Data'!$B$1:$J$500,5,0))</f>
        <v/>
      </c>
      <c r="FR35" s="57"/>
      <c r="FS35" s="57"/>
      <c r="FT35" s="57"/>
      <c r="FU35" s="57"/>
      <c r="FV35" s="57"/>
      <c r="FW35" s="57"/>
      <c r="FY35" s="57"/>
      <c r="FZ35" s="57"/>
      <c r="GA35" s="57"/>
      <c r="GB35" s="57"/>
      <c r="GC35" s="57"/>
      <c r="GD35" s="57"/>
    </row>
    <row r="36" spans="1:186">
      <c r="CS36" s="19" t="str">
        <f>IF('ODBC Data'!$I$15&gt;32,'ODBC Data'!$H$15,"")</f>
        <v/>
      </c>
      <c r="CT36" s="19" t="str">
        <f>IF('ODBC Data'!$I$15&gt;32,33,"")</f>
        <v/>
      </c>
      <c r="CU36" s="17" t="str">
        <f t="shared" si="11"/>
        <v/>
      </c>
      <c r="CV36" s="57" t="str">
        <f>IF(ISNA(VLOOKUP(CU36,'ODBC Data'!$B$1:$J$500,3,0)),"",VLOOKUP(CU36,'ODBC Data'!$B$1:$J$500,3,0))</f>
        <v/>
      </c>
      <c r="CW36" s="57" t="str">
        <f>IF(ISNA(VLOOKUP(CU36,'ODBC Data'!$B$1:$J$500,4,0)),"",VLOOKUP(CU36,'ODBC Data'!$B$1:$J$500,4,0))</f>
        <v/>
      </c>
      <c r="CX36" s="57" t="str">
        <f>IF(ISNA(VLOOKUP(CU36,'ODBC Data'!$B$1:$J$500,5,0)),"",VLOOKUP(CU36,'ODBC Data'!$B$1:$J$500,5,0))</f>
        <v/>
      </c>
      <c r="EI36" s="19" t="str">
        <f>IF('ODBC Data'!$I$21&gt;32,'ODBC Data'!$H$21,"")</f>
        <v/>
      </c>
      <c r="EJ36" s="19" t="str">
        <f>IF('ODBC Data'!$I$21&gt;32,33,"")</f>
        <v/>
      </c>
      <c r="EK36" s="17" t="str">
        <f t="shared" si="17"/>
        <v/>
      </c>
      <c r="EL36" s="57" t="str">
        <f>IF(ISNA(VLOOKUP(EK36,'ODBC Data'!$B$1:$J$500,3,0)),"",VLOOKUP(EK36,'ODBC Data'!$B$1:$J$500,3,0))</f>
        <v/>
      </c>
      <c r="EM36" s="57" t="str">
        <f>IF(ISNA(VLOOKUP(EK36,'ODBC Data'!$B$1:$J$500,4,0)),"",VLOOKUP(EK36,'ODBC Data'!$B$1:$J$500,4,0))</f>
        <v/>
      </c>
      <c r="EN36" s="57" t="str">
        <f>IF(ISNA(VLOOKUP(EK36,'ODBC Data'!$B$1:$J$500,5,0)),"",VLOOKUP(EK36,'ODBC Data'!$B$1:$J$500,5,0))</f>
        <v/>
      </c>
    </row>
    <row r="37" spans="1:186">
      <c r="CS37" s="19" t="str">
        <f>IF('ODBC Data'!$I$15&gt;33,'ODBC Data'!$H$15,"")</f>
        <v/>
      </c>
      <c r="CT37" s="19" t="str">
        <f>IF('ODBC Data'!$I$15&gt;33,34,"")</f>
        <v/>
      </c>
      <c r="CU37" s="17" t="str">
        <f t="shared" si="11"/>
        <v/>
      </c>
      <c r="CV37" s="57" t="str">
        <f>IF(ISNA(VLOOKUP(CU37,'ODBC Data'!$B$1:$J$500,3,0)),"",VLOOKUP(CU37,'ODBC Data'!$B$1:$J$500,3,0))</f>
        <v/>
      </c>
      <c r="CW37" s="57" t="str">
        <f>IF(ISNA(VLOOKUP(CU37,'ODBC Data'!$B$1:$J$500,4,0)),"",VLOOKUP(CU37,'ODBC Data'!$B$1:$J$500,4,0))</f>
        <v/>
      </c>
      <c r="CX37" s="57" t="str">
        <f>IF(ISNA(VLOOKUP(CU37,'ODBC Data'!$B$1:$J$500,5,0)),"",VLOOKUP(CU37,'ODBC Data'!$B$1:$J$500,5,0))</f>
        <v/>
      </c>
      <c r="EI37" s="19" t="str">
        <f>IF('ODBC Data'!$I$21&gt;33,'ODBC Data'!$H$21,"")</f>
        <v/>
      </c>
      <c r="EJ37" s="19" t="str">
        <f>IF('ODBC Data'!$I$21&gt;33,34,"")</f>
        <v/>
      </c>
      <c r="EK37" s="17" t="str">
        <f t="shared" si="17"/>
        <v/>
      </c>
      <c r="EL37" s="57" t="str">
        <f>IF(ISNA(VLOOKUP(EK37,'ODBC Data'!$B$1:$J$500,3,0)),"",VLOOKUP(EK37,'ODBC Data'!$B$1:$J$500,3,0))</f>
        <v/>
      </c>
      <c r="EM37" s="57" t="str">
        <f>IF(ISNA(VLOOKUP(EK37,'ODBC Data'!$B$1:$J$500,4,0)),"",VLOOKUP(EK37,'ODBC Data'!$B$1:$J$500,4,0))</f>
        <v/>
      </c>
      <c r="EN37" s="57" t="str">
        <f>IF(ISNA(VLOOKUP(EK37,'ODBC Data'!$B$1:$J$500,5,0)),"",VLOOKUP(EK37,'ODBC Data'!$B$1:$J$500,5,0))</f>
        <v/>
      </c>
    </row>
    <row r="38" spans="1:186">
      <c r="CS38" s="19" t="str">
        <f>IF('ODBC Data'!$I$15&gt;34,'ODBC Data'!$H$15,"")</f>
        <v/>
      </c>
      <c r="CT38" s="19" t="str">
        <f>IF('ODBC Data'!$I$15&gt;34,35,"")</f>
        <v/>
      </c>
      <c r="CU38" s="17" t="str">
        <f t="shared" si="11"/>
        <v/>
      </c>
      <c r="CV38" s="57" t="str">
        <f>IF(ISNA(VLOOKUP(CU38,'ODBC Data'!$B$1:$J$500,3,0)),"",VLOOKUP(CU38,'ODBC Data'!$B$1:$J$500,3,0))</f>
        <v/>
      </c>
      <c r="CW38" s="57" t="str">
        <f>IF(ISNA(VLOOKUP(CU38,'ODBC Data'!$B$1:$J$500,4,0)),"",VLOOKUP(CU38,'ODBC Data'!$B$1:$J$500,4,0))</f>
        <v/>
      </c>
      <c r="CX38" s="57" t="str">
        <f>IF(ISNA(VLOOKUP(CU38,'ODBC Data'!$B$1:$J$500,5,0)),"",VLOOKUP(CU38,'ODBC Data'!$B$1:$J$500,5,0))</f>
        <v/>
      </c>
      <c r="EI38" s="19" t="str">
        <f>IF('ODBC Data'!$I$21&gt;34,'ODBC Data'!$H$21,"")</f>
        <v/>
      </c>
      <c r="EJ38" s="19" t="str">
        <f>IF('ODBC Data'!$I$21&gt;34,35,"")</f>
        <v/>
      </c>
      <c r="EK38" s="17" t="str">
        <f t="shared" si="17"/>
        <v/>
      </c>
      <c r="EL38" s="57" t="str">
        <f>IF(ISNA(VLOOKUP(EK38,'ODBC Data'!$B$1:$J$500,3,0)),"",VLOOKUP(EK38,'ODBC Data'!$B$1:$J$500,3,0))</f>
        <v/>
      </c>
      <c r="EM38" s="57" t="str">
        <f>IF(ISNA(VLOOKUP(EK38,'ODBC Data'!$B$1:$J$500,4,0)),"",VLOOKUP(EK38,'ODBC Data'!$B$1:$J$500,4,0))</f>
        <v/>
      </c>
      <c r="EN38" s="57" t="str">
        <f>IF(ISNA(VLOOKUP(EK38,'ODBC Data'!$B$1:$J$500,5,0)),"",VLOOKUP(EK38,'ODBC Data'!$B$1:$J$500,5,0))</f>
        <v/>
      </c>
    </row>
    <row r="39" spans="1:186">
      <c r="CS39" s="19" t="str">
        <f>IF('ODBC Data'!$I$15&gt;35,'ODBC Data'!$H$15,"")</f>
        <v/>
      </c>
      <c r="CT39" s="19" t="str">
        <f>IF('ODBC Data'!$I$15&gt;35,36,"")</f>
        <v/>
      </c>
      <c r="CU39" s="17" t="str">
        <f t="shared" si="11"/>
        <v/>
      </c>
      <c r="CV39" s="57" t="str">
        <f>IF(ISNA(VLOOKUP(CU39,'ODBC Data'!$B$1:$J$500,3,0)),"",VLOOKUP(CU39,'ODBC Data'!$B$1:$J$500,3,0))</f>
        <v/>
      </c>
      <c r="CW39" s="57" t="str">
        <f>IF(ISNA(VLOOKUP(CU39,'ODBC Data'!$B$1:$J$500,4,0)),"",VLOOKUP(CU39,'ODBC Data'!$B$1:$J$500,4,0))</f>
        <v/>
      </c>
      <c r="CX39" s="57" t="str">
        <f>IF(ISNA(VLOOKUP(CU39,'ODBC Data'!$B$1:$J$500,5,0)),"",VLOOKUP(CU39,'ODBC Data'!$B$1:$J$500,5,0))</f>
        <v/>
      </c>
      <c r="EI39" s="19" t="str">
        <f>IF('ODBC Data'!$I$21&gt;35,'ODBC Data'!$H$21,"")</f>
        <v/>
      </c>
      <c r="EJ39" s="19" t="str">
        <f>IF('ODBC Data'!$I$21&gt;35,36,"")</f>
        <v/>
      </c>
      <c r="EK39" s="17" t="str">
        <f t="shared" si="17"/>
        <v/>
      </c>
      <c r="EL39" s="57" t="str">
        <f>IF(ISNA(VLOOKUP(EK39,'ODBC Data'!$B$1:$J$500,3,0)),"",VLOOKUP(EK39,'ODBC Data'!$B$1:$J$500,3,0))</f>
        <v/>
      </c>
      <c r="EM39" s="57" t="str">
        <f>IF(ISNA(VLOOKUP(EK39,'ODBC Data'!$B$1:$J$500,4,0)),"",VLOOKUP(EK39,'ODBC Data'!$B$1:$J$500,4,0))</f>
        <v/>
      </c>
      <c r="EN39" s="57" t="str">
        <f>IF(ISNA(VLOOKUP(EK39,'ODBC Data'!$B$1:$J$500,5,0)),"",VLOOKUP(EK39,'ODBC Data'!$B$1:$J$500,5,0))</f>
        <v/>
      </c>
    </row>
    <row r="40" spans="1:186">
      <c r="CS40" s="19" t="str">
        <f>IF('ODBC Data'!$I$15&gt;36,'ODBC Data'!$H$15,"")</f>
        <v/>
      </c>
      <c r="CT40" s="19" t="str">
        <f>IF('ODBC Data'!$I$15&gt;36,37,"")</f>
        <v/>
      </c>
      <c r="CU40" s="17" t="str">
        <f t="shared" si="11"/>
        <v/>
      </c>
      <c r="CV40" s="57" t="str">
        <f>IF(ISNA(VLOOKUP(CU40,'ODBC Data'!$B$1:$J$500,3,0)),"",VLOOKUP(CU40,'ODBC Data'!$B$1:$J$500,3,0))</f>
        <v/>
      </c>
      <c r="CW40" s="57" t="str">
        <f>IF(ISNA(VLOOKUP(CU40,'ODBC Data'!$B$1:$J$500,4,0)),"",VLOOKUP(CU40,'ODBC Data'!$B$1:$J$500,4,0))</f>
        <v/>
      </c>
      <c r="CX40" s="57" t="str">
        <f>IF(ISNA(VLOOKUP(CU40,'ODBC Data'!$B$1:$J$500,5,0)),"",VLOOKUP(CU40,'ODBC Data'!$B$1:$J$500,5,0))</f>
        <v/>
      </c>
      <c r="EI40" s="19" t="str">
        <f>IF('ODBC Data'!$I$21&gt;36,'ODBC Data'!$H$21,"")</f>
        <v/>
      </c>
      <c r="EJ40" s="19" t="str">
        <f>IF('ODBC Data'!$I$21&gt;36,37,"")</f>
        <v/>
      </c>
      <c r="EK40" s="17" t="str">
        <f t="shared" si="17"/>
        <v/>
      </c>
      <c r="EL40" s="57" t="str">
        <f>IF(ISNA(VLOOKUP(EK40,'ODBC Data'!$B$1:$J$500,3,0)),"",VLOOKUP(EK40,'ODBC Data'!$B$1:$J$500,3,0))</f>
        <v/>
      </c>
      <c r="EM40" s="57" t="str">
        <f>IF(ISNA(VLOOKUP(EK40,'ODBC Data'!$B$1:$J$500,4,0)),"",VLOOKUP(EK40,'ODBC Data'!$B$1:$J$500,4,0))</f>
        <v/>
      </c>
      <c r="EN40" s="57" t="str">
        <f>IF(ISNA(VLOOKUP(EK40,'ODBC Data'!$B$1:$J$500,5,0)),"",VLOOKUP(EK40,'ODBC Data'!$B$1:$J$500,5,0))</f>
        <v/>
      </c>
    </row>
    <row r="41" spans="1:186">
      <c r="CS41" s="19" t="str">
        <f>IF('ODBC Data'!$I$15&gt;37,'ODBC Data'!$H$15,"")</f>
        <v/>
      </c>
      <c r="CT41" s="19" t="str">
        <f>IF('ODBC Data'!$I$15&gt;37,38,"")</f>
        <v/>
      </c>
      <c r="CU41" s="17" t="str">
        <f t="shared" si="11"/>
        <v/>
      </c>
      <c r="CV41" s="57" t="str">
        <f>IF(ISNA(VLOOKUP(CU41,'ODBC Data'!$B$1:$J$500,3,0)),"",VLOOKUP(CU41,'ODBC Data'!$B$1:$J$500,3,0))</f>
        <v/>
      </c>
      <c r="CW41" s="57" t="str">
        <f>IF(ISNA(VLOOKUP(CU41,'ODBC Data'!$B$1:$J$500,4,0)),"",VLOOKUP(CU41,'ODBC Data'!$B$1:$J$500,4,0))</f>
        <v/>
      </c>
      <c r="CX41" s="57" t="str">
        <f>IF(ISNA(VLOOKUP(CU41,'ODBC Data'!$B$1:$J$500,5,0)),"",VLOOKUP(CU41,'ODBC Data'!$B$1:$J$500,5,0))</f>
        <v/>
      </c>
      <c r="EI41" s="19" t="str">
        <f>IF('ODBC Data'!$I$21&gt;37,'ODBC Data'!$H$21,"")</f>
        <v/>
      </c>
      <c r="EJ41" s="19" t="str">
        <f>IF('ODBC Data'!$I$21&gt;37,38,"")</f>
        <v/>
      </c>
      <c r="EK41" s="17" t="str">
        <f t="shared" si="17"/>
        <v/>
      </c>
      <c r="EL41" s="57" t="str">
        <f>IF(ISNA(VLOOKUP(EK41,'ODBC Data'!$B$1:$J$500,3,0)),"",VLOOKUP(EK41,'ODBC Data'!$B$1:$J$500,3,0))</f>
        <v/>
      </c>
      <c r="EM41" s="57" t="str">
        <f>IF(ISNA(VLOOKUP(EK41,'ODBC Data'!$B$1:$J$500,4,0)),"",VLOOKUP(EK41,'ODBC Data'!$B$1:$J$500,4,0))</f>
        <v/>
      </c>
      <c r="EN41" s="57" t="str">
        <f>IF(ISNA(VLOOKUP(EK41,'ODBC Data'!$B$1:$J$500,5,0)),"",VLOOKUP(EK41,'ODBC Data'!$B$1:$J$500,5,0))</f>
        <v/>
      </c>
    </row>
    <row r="42" spans="1:186">
      <c r="CS42" s="19" t="str">
        <f>IF('ODBC Data'!$I$15&gt;38,'ODBC Data'!$H$15,"")</f>
        <v/>
      </c>
      <c r="CT42" s="19" t="str">
        <f>IF('ODBC Data'!$I$15&gt;38,39,"")</f>
        <v/>
      </c>
      <c r="CU42" s="17" t="str">
        <f t="shared" si="11"/>
        <v/>
      </c>
      <c r="CV42" s="57" t="str">
        <f>IF(ISNA(VLOOKUP(CU42,'ODBC Data'!$B$1:$J$500,3,0)),"",VLOOKUP(CU42,'ODBC Data'!$B$1:$J$500,3,0))</f>
        <v/>
      </c>
      <c r="CW42" s="57" t="str">
        <f>IF(ISNA(VLOOKUP(CU42,'ODBC Data'!$B$1:$J$500,4,0)),"",VLOOKUP(CU42,'ODBC Data'!$B$1:$J$500,4,0))</f>
        <v/>
      </c>
      <c r="CX42" s="57" t="str">
        <f>IF(ISNA(VLOOKUP(CU42,'ODBC Data'!$B$1:$J$500,5,0)),"",VLOOKUP(CU42,'ODBC Data'!$B$1:$J$500,5,0))</f>
        <v/>
      </c>
      <c r="EI42" s="19" t="str">
        <f>IF('ODBC Data'!$I$21&gt;38,'ODBC Data'!$H$21,"")</f>
        <v/>
      </c>
      <c r="EJ42" s="19" t="str">
        <f>IF('ODBC Data'!$I$21&gt;38,39,"")</f>
        <v/>
      </c>
      <c r="EK42" s="17" t="str">
        <f t="shared" si="17"/>
        <v/>
      </c>
      <c r="EL42" s="57" t="str">
        <f>IF(ISNA(VLOOKUP(EK42,'ODBC Data'!$B$1:$J$500,3,0)),"",VLOOKUP(EK42,'ODBC Data'!$B$1:$J$500,3,0))</f>
        <v/>
      </c>
      <c r="EM42" s="57" t="str">
        <f>IF(ISNA(VLOOKUP(EK42,'ODBC Data'!$B$1:$J$500,4,0)),"",VLOOKUP(EK42,'ODBC Data'!$B$1:$J$500,4,0))</f>
        <v/>
      </c>
      <c r="EN42" s="57" t="str">
        <f>IF(ISNA(VLOOKUP(EK42,'ODBC Data'!$B$1:$J$500,5,0)),"",VLOOKUP(EK42,'ODBC Data'!$B$1:$J$500,5,0))</f>
        <v/>
      </c>
    </row>
    <row r="43" spans="1:186">
      <c r="CS43" s="19" t="str">
        <f>IF('ODBC Data'!$I$15&gt;39,'ODBC Data'!$H$15,"")</f>
        <v/>
      </c>
      <c r="CT43" s="19" t="str">
        <f>IF('ODBC Data'!$I$15&gt;39,40,"")</f>
        <v/>
      </c>
      <c r="CU43" s="17" t="str">
        <f t="shared" si="11"/>
        <v/>
      </c>
      <c r="CV43" s="57" t="str">
        <f>IF(ISNA(VLOOKUP(CU43,'ODBC Data'!$B$1:$J$500,3,0)),"",VLOOKUP(CU43,'ODBC Data'!$B$1:$J$500,3,0))</f>
        <v/>
      </c>
      <c r="CW43" s="57" t="str">
        <f>IF(ISNA(VLOOKUP(CU43,'ODBC Data'!$B$1:$J$500,4,0)),"",VLOOKUP(CU43,'ODBC Data'!$B$1:$J$500,4,0))</f>
        <v/>
      </c>
      <c r="CX43" s="57" t="str">
        <f>IF(ISNA(VLOOKUP(CU43,'ODBC Data'!$B$1:$J$500,5,0)),"",VLOOKUP(CU43,'ODBC Data'!$B$1:$J$500,5,0))</f>
        <v/>
      </c>
      <c r="EI43" s="19" t="str">
        <f>IF('ODBC Data'!$I$21&gt;39,'ODBC Data'!$H$21,"")</f>
        <v/>
      </c>
      <c r="EJ43" s="19" t="str">
        <f>IF('ODBC Data'!$I$21&gt;39,40,"")</f>
        <v/>
      </c>
      <c r="EK43" s="17" t="str">
        <f t="shared" si="17"/>
        <v/>
      </c>
      <c r="EL43" s="57" t="str">
        <f>IF(ISNA(VLOOKUP(EK43,'ODBC Data'!$B$1:$J$500,3,0)),"",VLOOKUP(EK43,'ODBC Data'!$B$1:$J$500,3,0))</f>
        <v/>
      </c>
      <c r="EM43" s="57" t="str">
        <f>IF(ISNA(VLOOKUP(EK43,'ODBC Data'!$B$1:$J$500,4,0)),"",VLOOKUP(EK43,'ODBC Data'!$B$1:$J$500,4,0))</f>
        <v/>
      </c>
      <c r="EN43" s="57" t="str">
        <f>IF(ISNA(VLOOKUP(EK43,'ODBC Data'!$B$1:$J$500,5,0)),"",VLOOKUP(EK43,'ODBC Data'!$B$1:$J$500,5,0))</f>
        <v/>
      </c>
    </row>
    <row r="44" spans="1:186">
      <c r="CS44" s="19" t="str">
        <f>IF('ODBC Data'!$I$15&gt;40,'ODBC Data'!$H$15,"")</f>
        <v/>
      </c>
      <c r="CT44" s="19" t="str">
        <f>IF('ODBC Data'!$I$15&gt;40,41,"")</f>
        <v/>
      </c>
      <c r="CU44" s="17" t="str">
        <f t="shared" si="11"/>
        <v/>
      </c>
      <c r="CV44" s="57" t="str">
        <f>IF(ISNA(VLOOKUP(CU44,'ODBC Data'!$B$1:$J$500,3,0)),"",VLOOKUP(CU44,'ODBC Data'!$B$1:$J$500,3,0))</f>
        <v/>
      </c>
      <c r="CW44" s="57" t="str">
        <f>IF(ISNA(VLOOKUP(CU44,'ODBC Data'!$B$1:$J$500,4,0)),"",VLOOKUP(CU44,'ODBC Data'!$B$1:$J$500,4,0))</f>
        <v/>
      </c>
      <c r="CX44" s="57" t="str">
        <f>IF(ISNA(VLOOKUP(CU44,'ODBC Data'!$B$1:$J$500,5,0)),"",VLOOKUP(CU44,'ODBC Data'!$B$1:$J$500,5,0))</f>
        <v/>
      </c>
      <c r="EI44" s="19" t="str">
        <f>IF('ODBC Data'!$I$21&gt;40,'ODBC Data'!$H$21,"")</f>
        <v/>
      </c>
      <c r="EJ44" s="19" t="str">
        <f>IF('ODBC Data'!$I$21&gt;40,41,"")</f>
        <v/>
      </c>
      <c r="EK44" s="17" t="str">
        <f t="shared" si="17"/>
        <v/>
      </c>
      <c r="EL44" s="57" t="str">
        <f>IF(ISNA(VLOOKUP(EK44,'ODBC Data'!$B$1:$J$500,3,0)),"",VLOOKUP(EK44,'ODBC Data'!$B$1:$J$500,3,0))</f>
        <v/>
      </c>
      <c r="EM44" s="57" t="str">
        <f>IF(ISNA(VLOOKUP(EK44,'ODBC Data'!$B$1:$J$500,4,0)),"",VLOOKUP(EK44,'ODBC Data'!$B$1:$J$500,4,0))</f>
        <v/>
      </c>
      <c r="EN44" s="57" t="str">
        <f>IF(ISNA(VLOOKUP(EK44,'ODBC Data'!$B$1:$J$500,5,0)),"",VLOOKUP(EK44,'ODBC Data'!$B$1:$J$500,5,0))</f>
        <v/>
      </c>
    </row>
    <row r="45" spans="1:186">
      <c r="CS45" s="19" t="str">
        <f>IF('ODBC Data'!$I$15&gt;41,'ODBC Data'!$H$15,"")</f>
        <v/>
      </c>
      <c r="CT45" s="19" t="str">
        <f>IF('ODBC Data'!$I$15&gt;41,42,"")</f>
        <v/>
      </c>
      <c r="CU45" s="17" t="str">
        <f t="shared" si="11"/>
        <v/>
      </c>
      <c r="CV45" s="57" t="str">
        <f>IF(ISNA(VLOOKUP(CU45,'ODBC Data'!$B$1:$J$500,3,0)),"",VLOOKUP(CU45,'ODBC Data'!$B$1:$J$500,3,0))</f>
        <v/>
      </c>
      <c r="CW45" s="57" t="str">
        <f>IF(ISNA(VLOOKUP(CU45,'ODBC Data'!$B$1:$J$500,4,0)),"",VLOOKUP(CU45,'ODBC Data'!$B$1:$J$500,4,0))</f>
        <v/>
      </c>
      <c r="CX45" s="57" t="str">
        <f>IF(ISNA(VLOOKUP(CU45,'ODBC Data'!$B$1:$J$500,5,0)),"",VLOOKUP(CU45,'ODBC Data'!$B$1:$J$500,5,0))</f>
        <v/>
      </c>
      <c r="EI45" s="19" t="str">
        <f>IF('ODBC Data'!$I$21&gt;41,'ODBC Data'!$H$21,"")</f>
        <v/>
      </c>
      <c r="EJ45" s="19" t="str">
        <f>IF('ODBC Data'!$I$21&gt;41,42,"")</f>
        <v/>
      </c>
      <c r="EK45" s="17" t="str">
        <f t="shared" si="17"/>
        <v/>
      </c>
      <c r="EL45" s="57" t="str">
        <f>IF(ISNA(VLOOKUP(EK45,'ODBC Data'!$B$1:$J$500,3,0)),"",VLOOKUP(EK45,'ODBC Data'!$B$1:$J$500,3,0))</f>
        <v/>
      </c>
      <c r="EM45" s="57" t="str">
        <f>IF(ISNA(VLOOKUP(EK45,'ODBC Data'!$B$1:$J$500,4,0)),"",VLOOKUP(EK45,'ODBC Data'!$B$1:$J$500,4,0))</f>
        <v/>
      </c>
      <c r="EN45" s="57" t="str">
        <f>IF(ISNA(VLOOKUP(EK45,'ODBC Data'!$B$1:$J$500,5,0)),"",VLOOKUP(EK45,'ODBC Data'!$B$1:$J$500,5,0))</f>
        <v/>
      </c>
    </row>
    <row r="46" spans="1:186">
      <c r="CS46" s="19" t="str">
        <f>IF('ODBC Data'!$I$15&gt;42,'ODBC Data'!$H$15,"")</f>
        <v/>
      </c>
      <c r="CT46" s="19" t="str">
        <f>IF('ODBC Data'!$I$15&gt;42,43,"")</f>
        <v/>
      </c>
      <c r="CU46" s="17" t="str">
        <f t="shared" si="11"/>
        <v/>
      </c>
      <c r="CV46" s="57" t="str">
        <f>IF(ISNA(VLOOKUP(CU46,'ODBC Data'!$B$1:$J$500,3,0)),"",VLOOKUP(CU46,'ODBC Data'!$B$1:$J$500,3,0))</f>
        <v/>
      </c>
      <c r="CW46" s="57" t="str">
        <f>IF(ISNA(VLOOKUP(CU46,'ODBC Data'!$B$1:$J$500,4,0)),"",VLOOKUP(CU46,'ODBC Data'!$B$1:$J$500,4,0))</f>
        <v/>
      </c>
      <c r="CX46" s="57" t="str">
        <f>IF(ISNA(VLOOKUP(CU46,'ODBC Data'!$B$1:$J$500,5,0)),"",VLOOKUP(CU46,'ODBC Data'!$B$1:$J$500,5,0))</f>
        <v/>
      </c>
      <c r="EI46" s="19" t="str">
        <f>IF('ODBC Data'!$I$21&gt;42,'ODBC Data'!$H$21,"")</f>
        <v/>
      </c>
      <c r="EJ46" s="19" t="str">
        <f>IF('ODBC Data'!$I$21&gt;42,43,"")</f>
        <v/>
      </c>
      <c r="EK46" s="17" t="str">
        <f t="shared" si="17"/>
        <v/>
      </c>
      <c r="EL46" s="57" t="str">
        <f>IF(ISNA(VLOOKUP(EK46,'ODBC Data'!$B$1:$J$500,3,0)),"",VLOOKUP(EK46,'ODBC Data'!$B$1:$J$500,3,0))</f>
        <v/>
      </c>
      <c r="EM46" s="57" t="str">
        <f>IF(ISNA(VLOOKUP(EK46,'ODBC Data'!$B$1:$J$500,4,0)),"",VLOOKUP(EK46,'ODBC Data'!$B$1:$J$500,4,0))</f>
        <v/>
      </c>
      <c r="EN46" s="57" t="str">
        <f>IF(ISNA(VLOOKUP(EK46,'ODBC Data'!$B$1:$J$500,5,0)),"",VLOOKUP(EK46,'ODBC Data'!$B$1:$J$500,5,0))</f>
        <v/>
      </c>
    </row>
    <row r="47" spans="1:186">
      <c r="CS47" s="19" t="str">
        <f>IF('ODBC Data'!$I$15&gt;43,'ODBC Data'!$H$15,"")</f>
        <v/>
      </c>
      <c r="CT47" s="19" t="str">
        <f>IF('ODBC Data'!$I$15&gt;43,44,"")</f>
        <v/>
      </c>
      <c r="CU47" s="17" t="str">
        <f t="shared" si="11"/>
        <v/>
      </c>
      <c r="CV47" s="57" t="str">
        <f>IF(ISNA(VLOOKUP(CU47,'ODBC Data'!$B$1:$J$500,3,0)),"",VLOOKUP(CU47,'ODBC Data'!$B$1:$J$500,3,0))</f>
        <v/>
      </c>
      <c r="CW47" s="57" t="str">
        <f>IF(ISNA(VLOOKUP(CU47,'ODBC Data'!$B$1:$J$500,4,0)),"",VLOOKUP(CU47,'ODBC Data'!$B$1:$J$500,4,0))</f>
        <v/>
      </c>
      <c r="CX47" s="57" t="str">
        <f>IF(ISNA(VLOOKUP(CU47,'ODBC Data'!$B$1:$J$500,5,0)),"",VLOOKUP(CU47,'ODBC Data'!$B$1:$J$500,5,0))</f>
        <v/>
      </c>
      <c r="EI47" s="19" t="str">
        <f>IF('ODBC Data'!$I$21&gt;43,'ODBC Data'!$H$21,"")</f>
        <v/>
      </c>
      <c r="EJ47" s="19" t="str">
        <f>IF('ODBC Data'!$I$21&gt;43,44,"")</f>
        <v/>
      </c>
      <c r="EK47" s="17" t="str">
        <f t="shared" si="17"/>
        <v/>
      </c>
      <c r="EL47" s="57" t="str">
        <f>IF(ISNA(VLOOKUP(EK47,'ODBC Data'!$B$1:$J$500,3,0)),"",VLOOKUP(EK47,'ODBC Data'!$B$1:$J$500,3,0))</f>
        <v/>
      </c>
      <c r="EM47" s="57" t="str">
        <f>IF(ISNA(VLOOKUP(EK47,'ODBC Data'!$B$1:$J$500,4,0)),"",VLOOKUP(EK47,'ODBC Data'!$B$1:$J$500,4,0))</f>
        <v/>
      </c>
      <c r="EN47" s="57" t="str">
        <f>IF(ISNA(VLOOKUP(EK47,'ODBC Data'!$B$1:$J$500,5,0)),"",VLOOKUP(EK47,'ODBC Data'!$B$1:$J$500,5,0))</f>
        <v/>
      </c>
    </row>
    <row r="48" spans="1:186">
      <c r="CS48" s="19" t="str">
        <f>IF('ODBC Data'!$I$15&gt;44,'ODBC Data'!$H$15,"")</f>
        <v/>
      </c>
      <c r="CT48" s="19" t="str">
        <f>IF('ODBC Data'!$I$15&gt;44,45,"")</f>
        <v/>
      </c>
      <c r="CU48" s="17" t="str">
        <f t="shared" si="11"/>
        <v/>
      </c>
      <c r="CV48" s="57" t="str">
        <f>IF(ISNA(VLOOKUP(CU48,'ODBC Data'!$B$1:$J$500,3,0)),"",VLOOKUP(CU48,'ODBC Data'!$B$1:$J$500,3,0))</f>
        <v/>
      </c>
      <c r="CW48" s="57" t="str">
        <f>IF(ISNA(VLOOKUP(CU48,'ODBC Data'!$B$1:$J$500,4,0)),"",VLOOKUP(CU48,'ODBC Data'!$B$1:$J$500,4,0))</f>
        <v/>
      </c>
      <c r="CX48" s="57" t="str">
        <f>IF(ISNA(VLOOKUP(CU48,'ODBC Data'!$B$1:$J$500,5,0)),"",VLOOKUP(CU48,'ODBC Data'!$B$1:$J$500,5,0))</f>
        <v/>
      </c>
      <c r="EI48" s="19" t="str">
        <f>IF('ODBC Data'!$I$21&gt;44,'ODBC Data'!$H$21,"")</f>
        <v/>
      </c>
      <c r="EJ48" s="19" t="str">
        <f>IF('ODBC Data'!$I$21&gt;44,45,"")</f>
        <v/>
      </c>
      <c r="EK48" s="17" t="str">
        <f t="shared" si="17"/>
        <v/>
      </c>
      <c r="EL48" s="57" t="str">
        <f>IF(ISNA(VLOOKUP(EK48,'ODBC Data'!$B$1:$J$500,3,0)),"",VLOOKUP(EK48,'ODBC Data'!$B$1:$J$500,3,0))</f>
        <v/>
      </c>
      <c r="EM48" s="57" t="str">
        <f>IF(ISNA(VLOOKUP(EK48,'ODBC Data'!$B$1:$J$500,4,0)),"",VLOOKUP(EK48,'ODBC Data'!$B$1:$J$500,4,0))</f>
        <v/>
      </c>
      <c r="EN48" s="57" t="str">
        <f>IF(ISNA(VLOOKUP(EK48,'ODBC Data'!$B$1:$J$500,5,0)),"",VLOOKUP(EK48,'ODBC Data'!$B$1:$J$500,5,0))</f>
        <v/>
      </c>
    </row>
    <row r="49" spans="97:144">
      <c r="CS49" s="19" t="str">
        <f>IF('ODBC Data'!$I$15&gt;45,'ODBC Data'!$H$15,"")</f>
        <v/>
      </c>
      <c r="CT49" s="19" t="str">
        <f>IF('ODBC Data'!$I$15&gt;45,46,"")</f>
        <v/>
      </c>
      <c r="CU49" s="17" t="str">
        <f t="shared" si="11"/>
        <v/>
      </c>
      <c r="CV49" s="57" t="str">
        <f>IF(ISNA(VLOOKUP(CU49,'ODBC Data'!$B$1:$J$500,3,0)),"",VLOOKUP(CU49,'ODBC Data'!$B$1:$J$500,3,0))</f>
        <v/>
      </c>
      <c r="CW49" s="57" t="str">
        <f>IF(ISNA(VLOOKUP(CU49,'ODBC Data'!$B$1:$J$500,4,0)),"",VLOOKUP(CU49,'ODBC Data'!$B$1:$J$500,4,0))</f>
        <v/>
      </c>
      <c r="CX49" s="57" t="str">
        <f>IF(ISNA(VLOOKUP(CU49,'ODBC Data'!$B$1:$J$500,5,0)),"",VLOOKUP(CU49,'ODBC Data'!$B$1:$J$500,5,0))</f>
        <v/>
      </c>
      <c r="EI49" s="19" t="str">
        <f>IF('ODBC Data'!$I$21&gt;45,'ODBC Data'!$H$21,"")</f>
        <v/>
      </c>
      <c r="EJ49" s="19" t="str">
        <f>IF('ODBC Data'!$I$21&gt;45,46,"")</f>
        <v/>
      </c>
      <c r="EK49" s="17" t="str">
        <f t="shared" si="17"/>
        <v/>
      </c>
      <c r="EL49" s="57" t="str">
        <f>IF(ISNA(VLOOKUP(EK49,'ODBC Data'!$B$1:$J$500,3,0)),"",VLOOKUP(EK49,'ODBC Data'!$B$1:$J$500,3,0))</f>
        <v/>
      </c>
      <c r="EM49" s="57" t="str">
        <f>IF(ISNA(VLOOKUP(EK49,'ODBC Data'!$B$1:$J$500,4,0)),"",VLOOKUP(EK49,'ODBC Data'!$B$1:$J$500,4,0))</f>
        <v/>
      </c>
      <c r="EN49" s="57" t="str">
        <f>IF(ISNA(VLOOKUP(EK49,'ODBC Data'!$B$1:$J$500,5,0)),"",VLOOKUP(EK49,'ODBC Data'!$B$1:$J$500,5,0))</f>
        <v/>
      </c>
    </row>
    <row r="50" spans="97:144">
      <c r="CS50" s="19" t="str">
        <f>IF('ODBC Data'!$I$15&gt;46,'ODBC Data'!$H$15,"")</f>
        <v/>
      </c>
      <c r="CT50" s="19" t="str">
        <f>IF('ODBC Data'!$I$15&gt;46,47,"")</f>
        <v/>
      </c>
      <c r="CU50" s="17" t="str">
        <f t="shared" si="11"/>
        <v/>
      </c>
      <c r="CV50" s="57" t="str">
        <f>IF(ISNA(VLOOKUP(CU50,'ODBC Data'!$B$1:$J$500,3,0)),"",VLOOKUP(CU50,'ODBC Data'!$B$1:$J$500,3,0))</f>
        <v/>
      </c>
      <c r="CW50" s="57" t="str">
        <f>IF(ISNA(VLOOKUP(CU50,'ODBC Data'!$B$1:$J$500,4,0)),"",VLOOKUP(CU50,'ODBC Data'!$B$1:$J$500,4,0))</f>
        <v/>
      </c>
      <c r="CX50" s="57" t="str">
        <f>IF(ISNA(VLOOKUP(CU50,'ODBC Data'!$B$1:$J$500,5,0)),"",VLOOKUP(CU50,'ODBC Data'!$B$1:$J$500,5,0))</f>
        <v/>
      </c>
      <c r="EI50" s="19" t="str">
        <f>IF('ODBC Data'!$I$21&gt;46,'ODBC Data'!$H$21,"")</f>
        <v/>
      </c>
      <c r="EJ50" s="19" t="str">
        <f>IF('ODBC Data'!$I$21&gt;46,47,"")</f>
        <v/>
      </c>
      <c r="EK50" s="17" t="str">
        <f t="shared" si="17"/>
        <v/>
      </c>
      <c r="EL50" s="57" t="str">
        <f>IF(ISNA(VLOOKUP(EK50,'ODBC Data'!$B$1:$J$500,3,0)),"",VLOOKUP(EK50,'ODBC Data'!$B$1:$J$500,3,0))</f>
        <v/>
      </c>
      <c r="EM50" s="57" t="str">
        <f>IF(ISNA(VLOOKUP(EK50,'ODBC Data'!$B$1:$J$500,4,0)),"",VLOOKUP(EK50,'ODBC Data'!$B$1:$J$500,4,0))</f>
        <v/>
      </c>
      <c r="EN50" s="57" t="str">
        <f>IF(ISNA(VLOOKUP(EK50,'ODBC Data'!$B$1:$J$500,5,0)),"",VLOOKUP(EK50,'ODBC Data'!$B$1:$J$500,5,0))</f>
        <v/>
      </c>
    </row>
    <row r="51" spans="97:144">
      <c r="CS51" s="19" t="str">
        <f>IF('ODBC Data'!$I$15&gt;47,'ODBC Data'!$H$15,"")</f>
        <v/>
      </c>
      <c r="CT51" s="19" t="str">
        <f>IF('ODBC Data'!$I$15&gt;47,48,"")</f>
        <v/>
      </c>
      <c r="CU51" s="17" t="str">
        <f t="shared" si="11"/>
        <v/>
      </c>
      <c r="CV51" s="57" t="str">
        <f>IF(ISNA(VLOOKUP(CU51,'ODBC Data'!$B$1:$J$500,3,0)),"",VLOOKUP(CU51,'ODBC Data'!$B$1:$J$500,3,0))</f>
        <v/>
      </c>
      <c r="CW51" s="57" t="str">
        <f>IF(ISNA(VLOOKUP(CU51,'ODBC Data'!$B$1:$J$500,4,0)),"",VLOOKUP(CU51,'ODBC Data'!$B$1:$J$500,4,0))</f>
        <v/>
      </c>
      <c r="CX51" s="57" t="str">
        <f>IF(ISNA(VLOOKUP(CU51,'ODBC Data'!$B$1:$J$500,5,0)),"",VLOOKUP(CU51,'ODBC Data'!$B$1:$J$500,5,0))</f>
        <v/>
      </c>
      <c r="EI51" s="19" t="str">
        <f>IF('ODBC Data'!$I$21&gt;47,'ODBC Data'!$H$21,"")</f>
        <v/>
      </c>
      <c r="EJ51" s="19" t="str">
        <f>IF('ODBC Data'!$I$21&gt;47,48,"")</f>
        <v/>
      </c>
      <c r="EK51" s="17" t="str">
        <f t="shared" si="17"/>
        <v/>
      </c>
      <c r="EL51" s="57" t="str">
        <f>IF(ISNA(VLOOKUP(EK51,'ODBC Data'!$B$1:$J$500,3,0)),"",VLOOKUP(EK51,'ODBC Data'!$B$1:$J$500,3,0))</f>
        <v/>
      </c>
      <c r="EM51" s="57" t="str">
        <f>IF(ISNA(VLOOKUP(EK51,'ODBC Data'!$B$1:$J$500,4,0)),"",VLOOKUP(EK51,'ODBC Data'!$B$1:$J$500,4,0))</f>
        <v/>
      </c>
      <c r="EN51" s="57" t="str">
        <f>IF(ISNA(VLOOKUP(EK51,'ODBC Data'!$B$1:$J$500,5,0)),"",VLOOKUP(EK51,'ODBC Data'!$B$1:$J$500,5,0))</f>
        <v/>
      </c>
    </row>
    <row r="52" spans="97:144">
      <c r="CS52" s="19" t="str">
        <f>IF('ODBC Data'!$I$15&gt;48,'ODBC Data'!$H$15,"")</f>
        <v/>
      </c>
      <c r="CT52" s="19" t="str">
        <f>IF('ODBC Data'!$I$15&gt;48,49,"")</f>
        <v/>
      </c>
      <c r="CU52" s="17" t="str">
        <f t="shared" si="11"/>
        <v/>
      </c>
      <c r="CV52" s="57" t="str">
        <f>IF(ISNA(VLOOKUP(CU52,'ODBC Data'!$B$1:$J$500,3,0)),"",VLOOKUP(CU52,'ODBC Data'!$B$1:$J$500,3,0))</f>
        <v/>
      </c>
      <c r="CW52" s="57" t="str">
        <f>IF(ISNA(VLOOKUP(CU52,'ODBC Data'!$B$1:$J$500,4,0)),"",VLOOKUP(CU52,'ODBC Data'!$B$1:$J$500,4,0))</f>
        <v/>
      </c>
      <c r="CX52" s="57" t="str">
        <f>IF(ISNA(VLOOKUP(CU52,'ODBC Data'!$B$1:$J$500,5,0)),"",VLOOKUP(CU52,'ODBC Data'!$B$1:$J$500,5,0))</f>
        <v/>
      </c>
      <c r="EI52" s="19" t="str">
        <f>IF('ODBC Data'!$I$21&gt;48,'ODBC Data'!$H$21,"")</f>
        <v/>
      </c>
      <c r="EJ52" s="19" t="str">
        <f>IF('ODBC Data'!$I$21&gt;48,49,"")</f>
        <v/>
      </c>
      <c r="EK52" s="17" t="str">
        <f t="shared" si="17"/>
        <v/>
      </c>
      <c r="EL52" s="57" t="str">
        <f>IF(ISNA(VLOOKUP(EK52,'ODBC Data'!$B$1:$J$500,3,0)),"",VLOOKUP(EK52,'ODBC Data'!$B$1:$J$500,3,0))</f>
        <v/>
      </c>
      <c r="EM52" s="57" t="str">
        <f>IF(ISNA(VLOOKUP(EK52,'ODBC Data'!$B$1:$J$500,4,0)),"",VLOOKUP(EK52,'ODBC Data'!$B$1:$J$500,4,0))</f>
        <v/>
      </c>
      <c r="EN52" s="57" t="str">
        <f>IF(ISNA(VLOOKUP(EK52,'ODBC Data'!$B$1:$J$500,5,0)),"",VLOOKUP(EK52,'ODBC Data'!$B$1:$J$500,5,0))</f>
        <v/>
      </c>
    </row>
    <row r="53" spans="97:144">
      <c r="CS53" s="19" t="str">
        <f>IF('ODBC Data'!$I$15&gt;49,'ODBC Data'!$H$15,"")</f>
        <v/>
      </c>
      <c r="CT53" s="19" t="str">
        <f>IF('ODBC Data'!$I$15&gt;49,50,"")</f>
        <v/>
      </c>
      <c r="CU53" s="17" t="str">
        <f t="shared" si="11"/>
        <v/>
      </c>
      <c r="CV53" s="57" t="str">
        <f>IF(ISNA(VLOOKUP(CU53,'ODBC Data'!$B$1:$J$500,3,0)),"",VLOOKUP(CU53,'ODBC Data'!$B$1:$J$500,3,0))</f>
        <v/>
      </c>
      <c r="CW53" s="57" t="str">
        <f>IF(ISNA(VLOOKUP(CU53,'ODBC Data'!$B$1:$J$500,4,0)),"",VLOOKUP(CU53,'ODBC Data'!$B$1:$J$500,4,0))</f>
        <v/>
      </c>
      <c r="CX53" s="57" t="str">
        <f>IF(ISNA(VLOOKUP(CU53,'ODBC Data'!$B$1:$J$500,5,0)),"",VLOOKUP(CU53,'ODBC Data'!$B$1:$J$500,5,0))</f>
        <v/>
      </c>
      <c r="EI53" s="19" t="str">
        <f>IF('ODBC Data'!$I$21&gt;49,'ODBC Data'!$H$21,"")</f>
        <v/>
      </c>
      <c r="EJ53" s="19" t="str">
        <f>IF('ODBC Data'!$I$21&gt;49,50,"")</f>
        <v/>
      </c>
      <c r="EK53" s="17" t="str">
        <f t="shared" si="17"/>
        <v/>
      </c>
      <c r="EL53" s="57" t="str">
        <f>IF(ISNA(VLOOKUP(EK53,'ODBC Data'!$B$1:$J$500,3,0)),"",VLOOKUP(EK53,'ODBC Data'!$B$1:$J$500,3,0))</f>
        <v/>
      </c>
      <c r="EM53" s="57" t="str">
        <f>IF(ISNA(VLOOKUP(EK53,'ODBC Data'!$B$1:$J$500,4,0)),"",VLOOKUP(EK53,'ODBC Data'!$B$1:$J$500,4,0))</f>
        <v/>
      </c>
      <c r="EN53" s="57" t="str">
        <f>IF(ISNA(VLOOKUP(EK53,'ODBC Data'!$B$1:$J$500,5,0)),"",VLOOKUP(EK53,'ODBC Data'!$B$1:$J$500,5,0))</f>
        <v/>
      </c>
    </row>
    <row r="54" spans="97:144">
      <c r="CS54" s="19" t="str">
        <f>IF('ODBC Data'!$I$15&gt;50,'ODBC Data'!$H$15,"")</f>
        <v/>
      </c>
      <c r="CT54" s="19" t="str">
        <f>IF('ODBC Data'!$I$15&gt;50,51,"")</f>
        <v/>
      </c>
      <c r="CU54" s="17" t="str">
        <f t="shared" si="11"/>
        <v/>
      </c>
      <c r="CV54" s="57" t="str">
        <f>IF(ISNA(VLOOKUP(CU54,'ODBC Data'!$B$1:$J$500,3,0)),"",VLOOKUP(CU54,'ODBC Data'!$B$1:$J$500,3,0))</f>
        <v/>
      </c>
      <c r="CW54" s="57" t="str">
        <f>IF(ISNA(VLOOKUP(CU54,'ODBC Data'!$B$1:$J$500,4,0)),"",VLOOKUP(CU54,'ODBC Data'!$B$1:$J$500,4,0))</f>
        <v/>
      </c>
      <c r="CX54" s="57" t="str">
        <f>IF(ISNA(VLOOKUP(CU54,'ODBC Data'!$B$1:$J$500,5,0)),"",VLOOKUP(CU54,'ODBC Data'!$B$1:$J$500,5,0))</f>
        <v/>
      </c>
      <c r="EI54" s="19" t="str">
        <f>IF('ODBC Data'!$I$21&gt;50,'ODBC Data'!$H$21,"")</f>
        <v/>
      </c>
      <c r="EJ54" s="19" t="str">
        <f>IF('ODBC Data'!$I$21&gt;50,51,"")</f>
        <v/>
      </c>
      <c r="EK54" s="17" t="str">
        <f t="shared" si="17"/>
        <v/>
      </c>
      <c r="EL54" s="57" t="str">
        <f>IF(ISNA(VLOOKUP(EK54,'ODBC Data'!$B$1:$J$500,3,0)),"",VLOOKUP(EK54,'ODBC Data'!$B$1:$J$500,3,0))</f>
        <v/>
      </c>
      <c r="EM54" s="57" t="str">
        <f>IF(ISNA(VLOOKUP(EK54,'ODBC Data'!$B$1:$J$500,4,0)),"",VLOOKUP(EK54,'ODBC Data'!$B$1:$J$500,4,0))</f>
        <v/>
      </c>
      <c r="EN54" s="57" t="str">
        <f>IF(ISNA(VLOOKUP(EK54,'ODBC Data'!$B$1:$J$500,5,0)),"",VLOOKUP(EK54,'ODBC Data'!$B$1:$J$500,5,0))</f>
        <v/>
      </c>
    </row>
    <row r="55" spans="97:144">
      <c r="CS55" s="19" t="str">
        <f>IF('ODBC Data'!$I$15&gt;51,'ODBC Data'!$H$15,"")</f>
        <v/>
      </c>
      <c r="CT55" s="19" t="str">
        <f>IF('ODBC Data'!$I$15&gt;51,52,"")</f>
        <v/>
      </c>
      <c r="CU55" s="17" t="str">
        <f t="shared" si="11"/>
        <v/>
      </c>
      <c r="CV55" s="57" t="str">
        <f>IF(ISNA(VLOOKUP(CU55,'ODBC Data'!$B$1:$J$500,3,0)),"",VLOOKUP(CU55,'ODBC Data'!$B$1:$J$500,3,0))</f>
        <v/>
      </c>
      <c r="CW55" s="57" t="str">
        <f>IF(ISNA(VLOOKUP(CU55,'ODBC Data'!$B$1:$J$500,4,0)),"",VLOOKUP(CU55,'ODBC Data'!$B$1:$J$500,4,0))</f>
        <v/>
      </c>
      <c r="CX55" s="57" t="str">
        <f>IF(ISNA(VLOOKUP(CU55,'ODBC Data'!$B$1:$J$500,5,0)),"",VLOOKUP(CU55,'ODBC Data'!$B$1:$J$500,5,0))</f>
        <v/>
      </c>
      <c r="EI55" s="19" t="str">
        <f>IF('ODBC Data'!$I$21&gt;51,'ODBC Data'!$H$21,"")</f>
        <v/>
      </c>
      <c r="EJ55" s="19" t="str">
        <f>IF('ODBC Data'!$I$21&gt;51,52,"")</f>
        <v/>
      </c>
      <c r="EK55" s="17" t="str">
        <f t="shared" si="17"/>
        <v/>
      </c>
      <c r="EL55" s="57" t="str">
        <f>IF(ISNA(VLOOKUP(EK55,'ODBC Data'!$B$1:$J$500,3,0)),"",VLOOKUP(EK55,'ODBC Data'!$B$1:$J$500,3,0))</f>
        <v/>
      </c>
      <c r="EM55" s="57" t="str">
        <f>IF(ISNA(VLOOKUP(EK55,'ODBC Data'!$B$1:$J$500,4,0)),"",VLOOKUP(EK55,'ODBC Data'!$B$1:$J$500,4,0))</f>
        <v/>
      </c>
      <c r="EN55" s="57" t="str">
        <f>IF(ISNA(VLOOKUP(EK55,'ODBC Data'!$B$1:$J$500,5,0)),"",VLOOKUP(EK55,'ODBC Data'!$B$1:$J$500,5,0))</f>
        <v/>
      </c>
    </row>
    <row r="56" spans="97:144">
      <c r="CS56" s="19" t="str">
        <f>IF('ODBC Data'!$I$15&gt;52,'ODBC Data'!$H$15,"")</f>
        <v/>
      </c>
      <c r="CT56" s="19" t="str">
        <f>IF('ODBC Data'!$I$15&gt;52,53,"")</f>
        <v/>
      </c>
      <c r="CU56" s="17" t="str">
        <f t="shared" si="11"/>
        <v/>
      </c>
      <c r="CV56" s="57" t="str">
        <f>IF(ISNA(VLOOKUP(CU56,'ODBC Data'!$B$1:$J$500,3,0)),"",VLOOKUP(CU56,'ODBC Data'!$B$1:$J$500,3,0))</f>
        <v/>
      </c>
      <c r="CW56" s="57" t="str">
        <f>IF(ISNA(VLOOKUP(CU56,'ODBC Data'!$B$1:$J$500,4,0)),"",VLOOKUP(CU56,'ODBC Data'!$B$1:$J$500,4,0))</f>
        <v/>
      </c>
      <c r="CX56" s="57" t="str">
        <f>IF(ISNA(VLOOKUP(CU56,'ODBC Data'!$B$1:$J$500,5,0)),"",VLOOKUP(CU56,'ODBC Data'!$B$1:$J$500,5,0))</f>
        <v/>
      </c>
      <c r="EI56" s="19" t="str">
        <f>IF('ODBC Data'!$I$21&gt;52,'ODBC Data'!$H$21,"")</f>
        <v/>
      </c>
      <c r="EJ56" s="19" t="str">
        <f>IF('ODBC Data'!$I$21&gt;52,53,"")</f>
        <v/>
      </c>
      <c r="EK56" s="17" t="str">
        <f t="shared" si="17"/>
        <v/>
      </c>
      <c r="EL56" s="57" t="str">
        <f>IF(ISNA(VLOOKUP(EK56,'ODBC Data'!$B$1:$J$500,3,0)),"",VLOOKUP(EK56,'ODBC Data'!$B$1:$J$500,3,0))</f>
        <v/>
      </c>
      <c r="EM56" s="57" t="str">
        <f>IF(ISNA(VLOOKUP(EK56,'ODBC Data'!$B$1:$J$500,4,0)),"",VLOOKUP(EK56,'ODBC Data'!$B$1:$J$500,4,0))</f>
        <v/>
      </c>
      <c r="EN56" s="57" t="str">
        <f>IF(ISNA(VLOOKUP(EK56,'ODBC Data'!$B$1:$J$500,5,0)),"",VLOOKUP(EK56,'ODBC Data'!$B$1:$J$500,5,0))</f>
        <v/>
      </c>
    </row>
    <row r="57" spans="97:144">
      <c r="CS57" s="19" t="str">
        <f>IF('ODBC Data'!$I$15&gt;53,'ODBC Data'!$H$15,"")</f>
        <v/>
      </c>
      <c r="CT57" s="19" t="str">
        <f>IF('ODBC Data'!$I$15&gt;53,54,"")</f>
        <v/>
      </c>
      <c r="CU57" s="17" t="str">
        <f t="shared" si="11"/>
        <v/>
      </c>
      <c r="CV57" s="57" t="str">
        <f>IF(ISNA(VLOOKUP(CU57,'ODBC Data'!$B$1:$J$500,3,0)),"",VLOOKUP(CU57,'ODBC Data'!$B$1:$J$500,3,0))</f>
        <v/>
      </c>
      <c r="CW57" s="57" t="str">
        <f>IF(ISNA(VLOOKUP(CU57,'ODBC Data'!$B$1:$J$500,4,0)),"",VLOOKUP(CU57,'ODBC Data'!$B$1:$J$500,4,0))</f>
        <v/>
      </c>
      <c r="CX57" s="57" t="str">
        <f>IF(ISNA(VLOOKUP(CU57,'ODBC Data'!$B$1:$J$500,5,0)),"",VLOOKUP(CU57,'ODBC Data'!$B$1:$J$500,5,0))</f>
        <v/>
      </c>
      <c r="EI57" s="19" t="str">
        <f>IF('ODBC Data'!$I$21&gt;53,'ODBC Data'!$H$21,"")</f>
        <v/>
      </c>
      <c r="EJ57" s="19" t="str">
        <f>IF('ODBC Data'!$I$21&gt;53,54,"")</f>
        <v/>
      </c>
      <c r="EK57" s="17" t="str">
        <f t="shared" si="17"/>
        <v/>
      </c>
      <c r="EL57" s="57" t="str">
        <f>IF(ISNA(VLOOKUP(EK57,'ODBC Data'!$B$1:$J$500,3,0)),"",VLOOKUP(EK57,'ODBC Data'!$B$1:$J$500,3,0))</f>
        <v/>
      </c>
      <c r="EM57" s="57" t="str">
        <f>IF(ISNA(VLOOKUP(EK57,'ODBC Data'!$B$1:$J$500,4,0)),"",VLOOKUP(EK57,'ODBC Data'!$B$1:$J$500,4,0))</f>
        <v/>
      </c>
      <c r="EN57" s="57" t="str">
        <f>IF(ISNA(VLOOKUP(EK57,'ODBC Data'!$B$1:$J$500,5,0)),"",VLOOKUP(EK57,'ODBC Data'!$B$1:$J$500,5,0))</f>
        <v/>
      </c>
    </row>
    <row r="58" spans="97:144">
      <c r="CS58" s="19" t="str">
        <f>IF('ODBC Data'!$I$15&gt;54,'ODBC Data'!$H$15,"")</f>
        <v/>
      </c>
      <c r="CT58" s="19" t="str">
        <f>IF('ODBC Data'!$I$15&gt;54,55,"")</f>
        <v/>
      </c>
      <c r="CU58" s="17" t="str">
        <f t="shared" si="11"/>
        <v/>
      </c>
      <c r="CV58" s="57" t="str">
        <f>IF(ISNA(VLOOKUP(CU58,'ODBC Data'!$B$1:$J$500,3,0)),"",VLOOKUP(CU58,'ODBC Data'!$B$1:$J$500,3,0))</f>
        <v/>
      </c>
      <c r="CW58" s="57" t="str">
        <f>IF(ISNA(VLOOKUP(CU58,'ODBC Data'!$B$1:$J$500,4,0)),"",VLOOKUP(CU58,'ODBC Data'!$B$1:$J$500,4,0))</f>
        <v/>
      </c>
      <c r="CX58" s="57" t="str">
        <f>IF(ISNA(VLOOKUP(CU58,'ODBC Data'!$B$1:$J$500,5,0)),"",VLOOKUP(CU58,'ODBC Data'!$B$1:$J$500,5,0))</f>
        <v/>
      </c>
      <c r="EI58" s="19" t="str">
        <f>IF('ODBC Data'!$I$21&gt;54,'ODBC Data'!$H$21,"")</f>
        <v/>
      </c>
      <c r="EJ58" s="19" t="str">
        <f>IF('ODBC Data'!$I$21&gt;54,55,"")</f>
        <v/>
      </c>
      <c r="EK58" s="17" t="str">
        <f t="shared" si="17"/>
        <v/>
      </c>
      <c r="EL58" s="57" t="str">
        <f>IF(ISNA(VLOOKUP(EK58,'ODBC Data'!$B$1:$J$500,3,0)),"",VLOOKUP(EK58,'ODBC Data'!$B$1:$J$500,3,0))</f>
        <v/>
      </c>
      <c r="EM58" s="57" t="str">
        <f>IF(ISNA(VLOOKUP(EK58,'ODBC Data'!$B$1:$J$500,4,0)),"",VLOOKUP(EK58,'ODBC Data'!$B$1:$J$500,4,0))</f>
        <v/>
      </c>
      <c r="EN58" s="57" t="str">
        <f>IF(ISNA(VLOOKUP(EK58,'ODBC Data'!$B$1:$J$500,5,0)),"",VLOOKUP(EK58,'ODBC Data'!$B$1:$J$500,5,0))</f>
        <v/>
      </c>
    </row>
    <row r="59" spans="97:144">
      <c r="CS59" s="19" t="str">
        <f>IF('ODBC Data'!$I$15&gt;55,'ODBC Data'!$H$15,"")</f>
        <v/>
      </c>
      <c r="CT59" s="19" t="str">
        <f>IF('ODBC Data'!$I$15&gt;55,56,"")</f>
        <v/>
      </c>
      <c r="CU59" s="17" t="str">
        <f t="shared" si="11"/>
        <v/>
      </c>
      <c r="CV59" s="57" t="str">
        <f>IF(ISNA(VLOOKUP(CU59,'ODBC Data'!$B$1:$J$500,3,0)),"",VLOOKUP(CU59,'ODBC Data'!$B$1:$J$500,3,0))</f>
        <v/>
      </c>
      <c r="CW59" s="57" t="str">
        <f>IF(ISNA(VLOOKUP(CU59,'ODBC Data'!$B$1:$J$500,4,0)),"",VLOOKUP(CU59,'ODBC Data'!$B$1:$J$500,4,0))</f>
        <v/>
      </c>
      <c r="CX59" s="57" t="str">
        <f>IF(ISNA(VLOOKUP(CU59,'ODBC Data'!$B$1:$J$500,5,0)),"",VLOOKUP(CU59,'ODBC Data'!$B$1:$J$500,5,0))</f>
        <v/>
      </c>
      <c r="EI59" s="19" t="str">
        <f>IF('ODBC Data'!$I$21&gt;55,'ODBC Data'!$H$21,"")</f>
        <v/>
      </c>
      <c r="EJ59" s="19" t="str">
        <f>IF('ODBC Data'!$I$21&gt;55,56,"")</f>
        <v/>
      </c>
      <c r="EK59" s="17" t="str">
        <f t="shared" si="17"/>
        <v/>
      </c>
      <c r="EL59" s="57" t="str">
        <f>IF(ISNA(VLOOKUP(EK59,'ODBC Data'!$B$1:$J$500,3,0)),"",VLOOKUP(EK59,'ODBC Data'!$B$1:$J$500,3,0))</f>
        <v/>
      </c>
      <c r="EM59" s="57" t="str">
        <f>IF(ISNA(VLOOKUP(EK59,'ODBC Data'!$B$1:$J$500,4,0)),"",VLOOKUP(EK59,'ODBC Data'!$B$1:$J$500,4,0))</f>
        <v/>
      </c>
      <c r="EN59" s="57" t="str">
        <f>IF(ISNA(VLOOKUP(EK59,'ODBC Data'!$B$1:$J$500,5,0)),"",VLOOKUP(EK59,'ODBC Data'!$B$1:$J$500,5,0))</f>
        <v/>
      </c>
    </row>
    <row r="60" spans="97:144">
      <c r="CS60" s="19" t="str">
        <f>IF('ODBC Data'!$I$15&gt;56,'ODBC Data'!$H$15,"")</f>
        <v/>
      </c>
      <c r="CT60" s="19" t="str">
        <f>IF('ODBC Data'!$I$15&gt;56,57,"")</f>
        <v/>
      </c>
      <c r="CU60" s="17" t="str">
        <f t="shared" si="11"/>
        <v/>
      </c>
      <c r="CV60" s="57" t="str">
        <f>IF(ISNA(VLOOKUP(CU60,'ODBC Data'!$B$1:$J$500,3,0)),"",VLOOKUP(CU60,'ODBC Data'!$B$1:$J$500,3,0))</f>
        <v/>
      </c>
      <c r="CW60" s="57" t="str">
        <f>IF(ISNA(VLOOKUP(CU60,'ODBC Data'!$B$1:$J$500,4,0)),"",VLOOKUP(CU60,'ODBC Data'!$B$1:$J$500,4,0))</f>
        <v/>
      </c>
      <c r="CX60" s="57" t="str">
        <f>IF(ISNA(VLOOKUP(CU60,'ODBC Data'!$B$1:$J$500,5,0)),"",VLOOKUP(CU60,'ODBC Data'!$B$1:$J$500,5,0))</f>
        <v/>
      </c>
      <c r="EI60" s="19" t="str">
        <f>IF('ODBC Data'!$I$21&gt;56,'ODBC Data'!$H$21,"")</f>
        <v/>
      </c>
      <c r="EJ60" s="19" t="str">
        <f>IF('ODBC Data'!$I$21&gt;56,57,"")</f>
        <v/>
      </c>
      <c r="EK60" s="17" t="str">
        <f t="shared" si="17"/>
        <v/>
      </c>
      <c r="EL60" s="57" t="str">
        <f>IF(ISNA(VLOOKUP(EK60,'ODBC Data'!$B$1:$J$500,3,0)),"",VLOOKUP(EK60,'ODBC Data'!$B$1:$J$500,3,0))</f>
        <v/>
      </c>
      <c r="EM60" s="57" t="str">
        <f>IF(ISNA(VLOOKUP(EK60,'ODBC Data'!$B$1:$J$500,4,0)),"",VLOOKUP(EK60,'ODBC Data'!$B$1:$J$500,4,0))</f>
        <v/>
      </c>
      <c r="EN60" s="57" t="str">
        <f>IF(ISNA(VLOOKUP(EK60,'ODBC Data'!$B$1:$J$500,5,0)),"",VLOOKUP(EK60,'ODBC Data'!$B$1:$J$500,5,0))</f>
        <v/>
      </c>
    </row>
    <row r="61" spans="97:144">
      <c r="CS61" s="19" t="str">
        <f>IF('ODBC Data'!$I$15&gt;57,'ODBC Data'!$H$15,"")</f>
        <v/>
      </c>
      <c r="CT61" s="19" t="str">
        <f>IF('ODBC Data'!$I$15&gt;57,58,"")</f>
        <v/>
      </c>
      <c r="CU61" s="17" t="str">
        <f t="shared" si="11"/>
        <v/>
      </c>
      <c r="CV61" s="57" t="str">
        <f>IF(ISNA(VLOOKUP(CU61,'ODBC Data'!$B$1:$J$500,3,0)),"",VLOOKUP(CU61,'ODBC Data'!$B$1:$J$500,3,0))</f>
        <v/>
      </c>
      <c r="CW61" s="57" t="str">
        <f>IF(ISNA(VLOOKUP(CU61,'ODBC Data'!$B$1:$J$500,4,0)),"",VLOOKUP(CU61,'ODBC Data'!$B$1:$J$500,4,0))</f>
        <v/>
      </c>
      <c r="CX61" s="57" t="str">
        <f>IF(ISNA(VLOOKUP(CU61,'ODBC Data'!$B$1:$J$500,5,0)),"",VLOOKUP(CU61,'ODBC Data'!$B$1:$J$500,5,0))</f>
        <v/>
      </c>
      <c r="EI61" s="19" t="str">
        <f>IF('ODBC Data'!$I$21&gt;57,'ODBC Data'!$H$21,"")</f>
        <v/>
      </c>
      <c r="EJ61" s="19" t="str">
        <f>IF('ODBC Data'!$I$21&gt;57,58,"")</f>
        <v/>
      </c>
      <c r="EK61" s="17" t="str">
        <f t="shared" si="17"/>
        <v/>
      </c>
      <c r="EL61" s="57" t="str">
        <f>IF(ISNA(VLOOKUP(EK61,'ODBC Data'!$B$1:$J$500,3,0)),"",VLOOKUP(EK61,'ODBC Data'!$B$1:$J$500,3,0))</f>
        <v/>
      </c>
      <c r="EM61" s="57" t="str">
        <f>IF(ISNA(VLOOKUP(EK61,'ODBC Data'!$B$1:$J$500,4,0)),"",VLOOKUP(EK61,'ODBC Data'!$B$1:$J$500,4,0))</f>
        <v/>
      </c>
      <c r="EN61" s="57" t="str">
        <f>IF(ISNA(VLOOKUP(EK61,'ODBC Data'!$B$1:$J$500,5,0)),"",VLOOKUP(EK61,'ODBC Data'!$B$1:$J$500,5,0))</f>
        <v/>
      </c>
    </row>
    <row r="62" spans="97:144">
      <c r="CS62" s="19" t="str">
        <f>IF('ODBC Data'!$I$15&gt;58,'ODBC Data'!$H$15,"")</f>
        <v/>
      </c>
      <c r="CT62" s="19" t="str">
        <f>IF('ODBC Data'!$I$15&gt;58,59,"")</f>
        <v/>
      </c>
      <c r="CU62" s="17" t="str">
        <f t="shared" si="11"/>
        <v/>
      </c>
      <c r="CV62" s="57" t="str">
        <f>IF(ISNA(VLOOKUP(CU62,'ODBC Data'!$B$1:$J$500,3,0)),"",VLOOKUP(CU62,'ODBC Data'!$B$1:$J$500,3,0))</f>
        <v/>
      </c>
      <c r="CW62" s="57" t="str">
        <f>IF(ISNA(VLOOKUP(CU62,'ODBC Data'!$B$1:$J$500,4,0)),"",VLOOKUP(CU62,'ODBC Data'!$B$1:$J$500,4,0))</f>
        <v/>
      </c>
      <c r="CX62" s="57" t="str">
        <f>IF(ISNA(VLOOKUP(CU62,'ODBC Data'!$B$1:$J$500,5,0)),"",VLOOKUP(CU62,'ODBC Data'!$B$1:$J$500,5,0))</f>
        <v/>
      </c>
      <c r="EI62" s="19" t="str">
        <f>IF('ODBC Data'!$I$21&gt;58,'ODBC Data'!$H$21,"")</f>
        <v/>
      </c>
      <c r="EJ62" s="19" t="str">
        <f>IF('ODBC Data'!$I$21&gt;58,59,"")</f>
        <v/>
      </c>
      <c r="EK62" s="17" t="str">
        <f t="shared" si="17"/>
        <v/>
      </c>
      <c r="EL62" s="57" t="str">
        <f>IF(ISNA(VLOOKUP(EK62,'ODBC Data'!$B$1:$J$500,3,0)),"",VLOOKUP(EK62,'ODBC Data'!$B$1:$J$500,3,0))</f>
        <v/>
      </c>
      <c r="EM62" s="57" t="str">
        <f>IF(ISNA(VLOOKUP(EK62,'ODBC Data'!$B$1:$J$500,4,0)),"",VLOOKUP(EK62,'ODBC Data'!$B$1:$J$500,4,0))</f>
        <v/>
      </c>
      <c r="EN62" s="57" t="str">
        <f>IF(ISNA(VLOOKUP(EK62,'ODBC Data'!$B$1:$J$500,5,0)),"",VLOOKUP(EK62,'ODBC Data'!$B$1:$J$500,5,0))</f>
        <v/>
      </c>
    </row>
    <row r="63" spans="97:144">
      <c r="CS63" s="19" t="str">
        <f>IF('ODBC Data'!$I$15&gt;59,'ODBC Data'!$H$15,"")</f>
        <v/>
      </c>
      <c r="CT63" s="19" t="str">
        <f>IF('ODBC Data'!$I$15&gt;59,60,"")</f>
        <v/>
      </c>
      <c r="CU63" s="17" t="str">
        <f t="shared" si="11"/>
        <v/>
      </c>
      <c r="CV63" s="57" t="str">
        <f>IF(ISNA(VLOOKUP(CU63,'ODBC Data'!$B$1:$J$500,3,0)),"",VLOOKUP(CU63,'ODBC Data'!$B$1:$J$500,3,0))</f>
        <v/>
      </c>
      <c r="CW63" s="57" t="str">
        <f>IF(ISNA(VLOOKUP(CU63,'ODBC Data'!$B$1:$J$500,4,0)),"",VLOOKUP(CU63,'ODBC Data'!$B$1:$J$500,4,0))</f>
        <v/>
      </c>
      <c r="CX63" s="57" t="str">
        <f>IF(ISNA(VLOOKUP(CU63,'ODBC Data'!$B$1:$J$500,5,0)),"",VLOOKUP(CU63,'ODBC Data'!$B$1:$J$500,5,0))</f>
        <v/>
      </c>
      <c r="EI63" s="19" t="str">
        <f>IF('ODBC Data'!$I$21&gt;59,'ODBC Data'!$H$21,"")</f>
        <v/>
      </c>
      <c r="EJ63" s="19" t="str">
        <f>IF('ODBC Data'!$I$21&gt;59,60,"")</f>
        <v/>
      </c>
      <c r="EK63" s="17" t="str">
        <f t="shared" si="17"/>
        <v/>
      </c>
      <c r="EL63" s="57" t="str">
        <f>IF(ISNA(VLOOKUP(EK63,'ODBC Data'!$B$1:$J$500,3,0)),"",VLOOKUP(EK63,'ODBC Data'!$B$1:$J$500,3,0))</f>
        <v/>
      </c>
      <c r="EM63" s="57" t="str">
        <f>IF(ISNA(VLOOKUP(EK63,'ODBC Data'!$B$1:$J$500,4,0)),"",VLOOKUP(EK63,'ODBC Data'!$B$1:$J$500,4,0))</f>
        <v/>
      </c>
      <c r="EN63" s="57" t="str">
        <f>IF(ISNA(VLOOKUP(EK63,'ODBC Data'!$B$1:$J$500,5,0)),"",VLOOKUP(EK63,'ODBC Data'!$B$1:$J$500,5,0))</f>
        <v/>
      </c>
    </row>
    <row r="64" spans="97:144">
      <c r="CS64" s="19" t="str">
        <f>IF('ODBC Data'!$I$15&gt;60,'ODBC Data'!$H$15,"")</f>
        <v/>
      </c>
      <c r="CT64" s="19" t="str">
        <f>IF('ODBC Data'!$I$15&gt;60,61,"")</f>
        <v/>
      </c>
      <c r="CU64" s="17" t="str">
        <f t="shared" si="11"/>
        <v/>
      </c>
      <c r="CV64" s="57" t="str">
        <f>IF(ISNA(VLOOKUP(CU64,'ODBC Data'!$B$1:$J$500,3,0)),"",VLOOKUP(CU64,'ODBC Data'!$B$1:$J$500,3,0))</f>
        <v/>
      </c>
      <c r="CW64" s="57" t="str">
        <f>IF(ISNA(VLOOKUP(CU64,'ODBC Data'!$B$1:$J$500,4,0)),"",VLOOKUP(CU64,'ODBC Data'!$B$1:$J$500,4,0))</f>
        <v/>
      </c>
      <c r="CX64" s="57" t="str">
        <f>IF(ISNA(VLOOKUP(CU64,'ODBC Data'!$B$1:$J$500,5,0)),"",VLOOKUP(CU64,'ODBC Data'!$B$1:$J$500,5,0))</f>
        <v/>
      </c>
      <c r="EI64" s="19" t="str">
        <f>IF('ODBC Data'!$I$21&gt;60,'ODBC Data'!$H$21,"")</f>
        <v/>
      </c>
      <c r="EJ64" s="19" t="str">
        <f>IF('ODBC Data'!$I$21&gt;60,61,"")</f>
        <v/>
      </c>
      <c r="EK64" s="17" t="str">
        <f t="shared" si="17"/>
        <v/>
      </c>
      <c r="EL64" s="57" t="str">
        <f>IF(ISNA(VLOOKUP(EK64,'ODBC Data'!$B$1:$J$500,3,0)),"",VLOOKUP(EK64,'ODBC Data'!$B$1:$J$500,3,0))</f>
        <v/>
      </c>
      <c r="EM64" s="57" t="str">
        <f>IF(ISNA(VLOOKUP(EK64,'ODBC Data'!$B$1:$J$500,4,0)),"",VLOOKUP(EK64,'ODBC Data'!$B$1:$J$500,4,0))</f>
        <v/>
      </c>
      <c r="EN64" s="57" t="str">
        <f>IF(ISNA(VLOOKUP(EK64,'ODBC Data'!$B$1:$J$500,5,0)),"",VLOOKUP(EK64,'ODBC Data'!$B$1:$J$500,5,0))</f>
        <v/>
      </c>
    </row>
    <row r="65" spans="97:144">
      <c r="CS65" s="19" t="str">
        <f>IF('ODBC Data'!$I$15&gt;61,'ODBC Data'!$H$15,"")</f>
        <v/>
      </c>
      <c r="CT65" s="19" t="str">
        <f>IF('ODBC Data'!$I$15&gt;61,62,"")</f>
        <v/>
      </c>
      <c r="CU65" s="17" t="str">
        <f t="shared" si="11"/>
        <v/>
      </c>
      <c r="CV65" s="57" t="str">
        <f>IF(ISNA(VLOOKUP(CU65,'ODBC Data'!$B$1:$J$500,3,0)),"",VLOOKUP(CU65,'ODBC Data'!$B$1:$J$500,3,0))</f>
        <v/>
      </c>
      <c r="CW65" s="57" t="str">
        <f>IF(ISNA(VLOOKUP(CU65,'ODBC Data'!$B$1:$J$500,4,0)),"",VLOOKUP(CU65,'ODBC Data'!$B$1:$J$500,4,0))</f>
        <v/>
      </c>
      <c r="CX65" s="57" t="str">
        <f>IF(ISNA(VLOOKUP(CU65,'ODBC Data'!$B$1:$J$500,5,0)),"",VLOOKUP(CU65,'ODBC Data'!$B$1:$J$500,5,0))</f>
        <v/>
      </c>
      <c r="EI65" s="19" t="str">
        <f>IF('ODBC Data'!$I$21&gt;61,'ODBC Data'!$H$21,"")</f>
        <v/>
      </c>
      <c r="EJ65" s="19" t="str">
        <f>IF('ODBC Data'!$I$21&gt;61,62,"")</f>
        <v/>
      </c>
      <c r="EK65" s="17" t="str">
        <f t="shared" si="17"/>
        <v/>
      </c>
      <c r="EL65" s="57" t="str">
        <f>IF(ISNA(VLOOKUP(EK65,'ODBC Data'!$B$1:$J$500,3,0)),"",VLOOKUP(EK65,'ODBC Data'!$B$1:$J$500,3,0))</f>
        <v/>
      </c>
      <c r="EM65" s="57" t="str">
        <f>IF(ISNA(VLOOKUP(EK65,'ODBC Data'!$B$1:$J$500,4,0)),"",VLOOKUP(EK65,'ODBC Data'!$B$1:$J$500,4,0))</f>
        <v/>
      </c>
      <c r="EN65" s="57" t="str">
        <f>IF(ISNA(VLOOKUP(EK65,'ODBC Data'!$B$1:$J$500,5,0)),"",VLOOKUP(EK65,'ODBC Data'!$B$1:$J$500,5,0))</f>
        <v/>
      </c>
    </row>
    <row r="66" spans="97:144">
      <c r="CS66" s="19" t="str">
        <f>IF('ODBC Data'!$I$15&gt;62,'ODBC Data'!$H$15,"")</f>
        <v/>
      </c>
      <c r="CT66" s="19" t="str">
        <f>IF('ODBC Data'!$I$15&gt;62,63,"")</f>
        <v/>
      </c>
      <c r="CU66" s="17" t="str">
        <f t="shared" si="11"/>
        <v/>
      </c>
      <c r="CV66" s="57" t="str">
        <f>IF(ISNA(VLOOKUP(CU66,'ODBC Data'!$B$1:$J$500,3,0)),"",VLOOKUP(CU66,'ODBC Data'!$B$1:$J$500,3,0))</f>
        <v/>
      </c>
      <c r="CW66" s="57" t="str">
        <f>IF(ISNA(VLOOKUP(CU66,'ODBC Data'!$B$1:$J$500,4,0)),"",VLOOKUP(CU66,'ODBC Data'!$B$1:$J$500,4,0))</f>
        <v/>
      </c>
      <c r="CX66" s="57" t="str">
        <f>IF(ISNA(VLOOKUP(CU66,'ODBC Data'!$B$1:$J$500,5,0)),"",VLOOKUP(CU66,'ODBC Data'!$B$1:$J$500,5,0))</f>
        <v/>
      </c>
      <c r="EI66" s="19" t="str">
        <f>IF('ODBC Data'!$I$21&gt;62,'ODBC Data'!$H$21,"")</f>
        <v/>
      </c>
      <c r="EJ66" s="19" t="str">
        <f>IF('ODBC Data'!$I$21&gt;62,63,"")</f>
        <v/>
      </c>
      <c r="EK66" s="17" t="str">
        <f t="shared" si="17"/>
        <v/>
      </c>
      <c r="EL66" s="57" t="str">
        <f>IF(ISNA(VLOOKUP(EK66,'ODBC Data'!$B$1:$J$500,3,0)),"",VLOOKUP(EK66,'ODBC Data'!$B$1:$J$500,3,0))</f>
        <v/>
      </c>
      <c r="EM66" s="57" t="str">
        <f>IF(ISNA(VLOOKUP(EK66,'ODBC Data'!$B$1:$J$500,4,0)),"",VLOOKUP(EK66,'ODBC Data'!$B$1:$J$500,4,0))</f>
        <v/>
      </c>
      <c r="EN66" s="57" t="str">
        <f>IF(ISNA(VLOOKUP(EK66,'ODBC Data'!$B$1:$J$500,5,0)),"",VLOOKUP(EK66,'ODBC Data'!$B$1:$J$500,5,0))</f>
        <v/>
      </c>
    </row>
    <row r="67" spans="97:144">
      <c r="CS67" s="19" t="str">
        <f>IF('ODBC Data'!$I$15&gt;63,'ODBC Data'!$H$15,"")</f>
        <v/>
      </c>
      <c r="CT67" s="19" t="str">
        <f>IF('ODBC Data'!$I$15&gt;63,64,"")</f>
        <v/>
      </c>
      <c r="CU67" s="17" t="str">
        <f t="shared" si="11"/>
        <v/>
      </c>
      <c r="CV67" s="57" t="str">
        <f>IF(ISNA(VLOOKUP(CU67,'ODBC Data'!$B$1:$J$500,3,0)),"",VLOOKUP(CU67,'ODBC Data'!$B$1:$J$500,3,0))</f>
        <v/>
      </c>
      <c r="CW67" s="57" t="str">
        <f>IF(ISNA(VLOOKUP(CU67,'ODBC Data'!$B$1:$J$500,4,0)),"",VLOOKUP(CU67,'ODBC Data'!$B$1:$J$500,4,0))</f>
        <v/>
      </c>
      <c r="CX67" s="57" t="str">
        <f>IF(ISNA(VLOOKUP(CU67,'ODBC Data'!$B$1:$J$500,5,0)),"",VLOOKUP(CU67,'ODBC Data'!$B$1:$J$500,5,0))</f>
        <v/>
      </c>
      <c r="EI67" s="19" t="str">
        <f>IF('ODBC Data'!$I$21&gt;63,'ODBC Data'!$H$21,"")</f>
        <v/>
      </c>
      <c r="EJ67" s="19" t="str">
        <f>IF('ODBC Data'!$I$21&gt;63,64,"")</f>
        <v/>
      </c>
      <c r="EK67" s="17" t="str">
        <f t="shared" si="17"/>
        <v/>
      </c>
      <c r="EL67" s="57" t="str">
        <f>IF(ISNA(VLOOKUP(EK67,'ODBC Data'!$B$1:$J$500,3,0)),"",VLOOKUP(EK67,'ODBC Data'!$B$1:$J$500,3,0))</f>
        <v/>
      </c>
      <c r="EM67" s="57" t="str">
        <f>IF(ISNA(VLOOKUP(EK67,'ODBC Data'!$B$1:$J$500,4,0)),"",VLOOKUP(EK67,'ODBC Data'!$B$1:$J$500,4,0))</f>
        <v/>
      </c>
      <c r="EN67" s="57" t="str">
        <f>IF(ISNA(VLOOKUP(EK67,'ODBC Data'!$B$1:$J$500,5,0)),"",VLOOKUP(EK67,'ODBC Data'!$B$1:$J$500,5,0))</f>
        <v/>
      </c>
    </row>
    <row r="68" spans="97:144">
      <c r="CS68" s="19" t="str">
        <f>IF('ODBC Data'!$I$15&gt;64,'ODBC Data'!$H$15,"")</f>
        <v/>
      </c>
      <c r="CT68" s="19" t="str">
        <f>IF('ODBC Data'!$I$15&gt;64,65,"")</f>
        <v/>
      </c>
      <c r="CU68" s="17" t="str">
        <f t="shared" ref="CU68:CU131" si="29">CONCATENATE(CS68,CT68)</f>
        <v/>
      </c>
      <c r="CV68" s="57" t="str">
        <f>IF(ISNA(VLOOKUP(CU68,'ODBC Data'!$B$1:$J$500,3,0)),"",VLOOKUP(CU68,'ODBC Data'!$B$1:$J$500,3,0))</f>
        <v/>
      </c>
      <c r="CW68" s="57" t="str">
        <f>IF(ISNA(VLOOKUP(CU68,'ODBC Data'!$B$1:$J$500,4,0)),"",VLOOKUP(CU68,'ODBC Data'!$B$1:$J$500,4,0))</f>
        <v/>
      </c>
      <c r="CX68" s="57" t="str">
        <f>IF(ISNA(VLOOKUP(CU68,'ODBC Data'!$B$1:$J$500,5,0)),"",VLOOKUP(CU68,'ODBC Data'!$B$1:$J$500,5,0))</f>
        <v/>
      </c>
      <c r="EI68" s="19" t="str">
        <f>IF('ODBC Data'!$I$21&gt;64,'ODBC Data'!$H$21,"")</f>
        <v/>
      </c>
      <c r="EJ68" s="19" t="str">
        <f>IF('ODBC Data'!$I$21&gt;64,65,"")</f>
        <v/>
      </c>
      <c r="EK68" s="17" t="str">
        <f t="shared" ref="EK68:EK131" si="30">CONCATENATE(EI68,EJ68)</f>
        <v/>
      </c>
      <c r="EL68" s="57" t="str">
        <f>IF(ISNA(VLOOKUP(EK68,'ODBC Data'!$B$1:$J$500,3,0)),"",VLOOKUP(EK68,'ODBC Data'!$B$1:$J$500,3,0))</f>
        <v/>
      </c>
      <c r="EM68" s="57" t="str">
        <f>IF(ISNA(VLOOKUP(EK68,'ODBC Data'!$B$1:$J$500,4,0)),"",VLOOKUP(EK68,'ODBC Data'!$B$1:$J$500,4,0))</f>
        <v/>
      </c>
      <c r="EN68" s="57" t="str">
        <f>IF(ISNA(VLOOKUP(EK68,'ODBC Data'!$B$1:$J$500,5,0)),"",VLOOKUP(EK68,'ODBC Data'!$B$1:$J$500,5,0))</f>
        <v/>
      </c>
    </row>
    <row r="69" spans="97:144">
      <c r="CS69" s="19" t="str">
        <f>IF('ODBC Data'!$I$15&gt;65,'ODBC Data'!$H$15,"")</f>
        <v/>
      </c>
      <c r="CT69" s="19" t="str">
        <f>IF('ODBC Data'!$I$15&gt;65,66,"")</f>
        <v/>
      </c>
      <c r="CU69" s="17" t="str">
        <f t="shared" si="29"/>
        <v/>
      </c>
      <c r="CV69" s="57" t="str">
        <f>IF(ISNA(VLOOKUP(CU69,'ODBC Data'!$B$1:$J$500,3,0)),"",VLOOKUP(CU69,'ODBC Data'!$B$1:$J$500,3,0))</f>
        <v/>
      </c>
      <c r="CW69" s="57" t="str">
        <f>IF(ISNA(VLOOKUP(CU69,'ODBC Data'!$B$1:$J$500,4,0)),"",VLOOKUP(CU69,'ODBC Data'!$B$1:$J$500,4,0))</f>
        <v/>
      </c>
      <c r="CX69" s="57" t="str">
        <f>IF(ISNA(VLOOKUP(CU69,'ODBC Data'!$B$1:$J$500,5,0)),"",VLOOKUP(CU69,'ODBC Data'!$B$1:$J$500,5,0))</f>
        <v/>
      </c>
      <c r="EI69" s="19" t="str">
        <f>IF('ODBC Data'!$I$21&gt;65,'ODBC Data'!$H$21,"")</f>
        <v/>
      </c>
      <c r="EJ69" s="19" t="str">
        <f>IF('ODBC Data'!$I$21&gt;65,66,"")</f>
        <v/>
      </c>
      <c r="EK69" s="17" t="str">
        <f t="shared" si="30"/>
        <v/>
      </c>
      <c r="EL69" s="57" t="str">
        <f>IF(ISNA(VLOOKUP(EK69,'ODBC Data'!$B$1:$J$500,3,0)),"",VLOOKUP(EK69,'ODBC Data'!$B$1:$J$500,3,0))</f>
        <v/>
      </c>
      <c r="EM69" s="57" t="str">
        <f>IF(ISNA(VLOOKUP(EK69,'ODBC Data'!$B$1:$J$500,4,0)),"",VLOOKUP(EK69,'ODBC Data'!$B$1:$J$500,4,0))</f>
        <v/>
      </c>
      <c r="EN69" s="57" t="str">
        <f>IF(ISNA(VLOOKUP(EK69,'ODBC Data'!$B$1:$J$500,5,0)),"",VLOOKUP(EK69,'ODBC Data'!$B$1:$J$500,5,0))</f>
        <v/>
      </c>
    </row>
    <row r="70" spans="97:144">
      <c r="CS70" s="19" t="str">
        <f>IF('ODBC Data'!$I$15&gt;66,'ODBC Data'!$H$15,"")</f>
        <v/>
      </c>
      <c r="CT70" s="19" t="str">
        <f>IF('ODBC Data'!$I$15&gt;66,67,"")</f>
        <v/>
      </c>
      <c r="CU70" s="17" t="str">
        <f t="shared" si="29"/>
        <v/>
      </c>
      <c r="CV70" s="57" t="str">
        <f>IF(ISNA(VLOOKUP(CU70,'ODBC Data'!$B$1:$J$500,3,0)),"",VLOOKUP(CU70,'ODBC Data'!$B$1:$J$500,3,0))</f>
        <v/>
      </c>
      <c r="CW70" s="57" t="str">
        <f>IF(ISNA(VLOOKUP(CU70,'ODBC Data'!$B$1:$J$500,4,0)),"",VLOOKUP(CU70,'ODBC Data'!$B$1:$J$500,4,0))</f>
        <v/>
      </c>
      <c r="CX70" s="57" t="str">
        <f>IF(ISNA(VLOOKUP(CU70,'ODBC Data'!$B$1:$J$500,5,0)),"",VLOOKUP(CU70,'ODBC Data'!$B$1:$J$500,5,0))</f>
        <v/>
      </c>
      <c r="EI70" s="19" t="str">
        <f>IF('ODBC Data'!$I$21&gt;66,'ODBC Data'!$H$21,"")</f>
        <v/>
      </c>
      <c r="EJ70" s="19" t="str">
        <f>IF('ODBC Data'!$I$21&gt;66,67,"")</f>
        <v/>
      </c>
      <c r="EK70" s="17" t="str">
        <f t="shared" si="30"/>
        <v/>
      </c>
      <c r="EL70" s="57" t="str">
        <f>IF(ISNA(VLOOKUP(EK70,'ODBC Data'!$B$1:$J$500,3,0)),"",VLOOKUP(EK70,'ODBC Data'!$B$1:$J$500,3,0))</f>
        <v/>
      </c>
      <c r="EM70" s="57" t="str">
        <f>IF(ISNA(VLOOKUP(EK70,'ODBC Data'!$B$1:$J$500,4,0)),"",VLOOKUP(EK70,'ODBC Data'!$B$1:$J$500,4,0))</f>
        <v/>
      </c>
      <c r="EN70" s="57" t="str">
        <f>IF(ISNA(VLOOKUP(EK70,'ODBC Data'!$B$1:$J$500,5,0)),"",VLOOKUP(EK70,'ODBC Data'!$B$1:$J$500,5,0))</f>
        <v/>
      </c>
    </row>
    <row r="71" spans="97:144">
      <c r="CS71" s="19" t="str">
        <f>IF('ODBC Data'!$I$15&gt;67,'ODBC Data'!$H$15,"")</f>
        <v/>
      </c>
      <c r="CT71" s="19" t="str">
        <f>IF('ODBC Data'!$I$15&gt;67,68,"")</f>
        <v/>
      </c>
      <c r="CU71" s="17" t="str">
        <f t="shared" si="29"/>
        <v/>
      </c>
      <c r="CV71" s="57" t="str">
        <f>IF(ISNA(VLOOKUP(CU71,'ODBC Data'!$B$1:$J$500,3,0)),"",VLOOKUP(CU71,'ODBC Data'!$B$1:$J$500,3,0))</f>
        <v/>
      </c>
      <c r="CW71" s="57" t="str">
        <f>IF(ISNA(VLOOKUP(CU71,'ODBC Data'!$B$1:$J$500,4,0)),"",VLOOKUP(CU71,'ODBC Data'!$B$1:$J$500,4,0))</f>
        <v/>
      </c>
      <c r="CX71" s="57" t="str">
        <f>IF(ISNA(VLOOKUP(CU71,'ODBC Data'!$B$1:$J$500,5,0)),"",VLOOKUP(CU71,'ODBC Data'!$B$1:$J$500,5,0))</f>
        <v/>
      </c>
      <c r="EI71" s="19" t="str">
        <f>IF('ODBC Data'!$I$21&gt;67,'ODBC Data'!$H$21,"")</f>
        <v/>
      </c>
      <c r="EJ71" s="19" t="str">
        <f>IF('ODBC Data'!$I$21&gt;67,68,"")</f>
        <v/>
      </c>
      <c r="EK71" s="17" t="str">
        <f t="shared" si="30"/>
        <v/>
      </c>
      <c r="EL71" s="57" t="str">
        <f>IF(ISNA(VLOOKUP(EK71,'ODBC Data'!$B$1:$J$500,3,0)),"",VLOOKUP(EK71,'ODBC Data'!$B$1:$J$500,3,0))</f>
        <v/>
      </c>
      <c r="EM71" s="57" t="str">
        <f>IF(ISNA(VLOOKUP(EK71,'ODBC Data'!$B$1:$J$500,4,0)),"",VLOOKUP(EK71,'ODBC Data'!$B$1:$J$500,4,0))</f>
        <v/>
      </c>
      <c r="EN71" s="57" t="str">
        <f>IF(ISNA(VLOOKUP(EK71,'ODBC Data'!$B$1:$J$500,5,0)),"",VLOOKUP(EK71,'ODBC Data'!$B$1:$J$500,5,0))</f>
        <v/>
      </c>
    </row>
    <row r="72" spans="97:144">
      <c r="CS72" s="19" t="str">
        <f>IF('ODBC Data'!$I$15&gt;68,'ODBC Data'!$H$15,"")</f>
        <v/>
      </c>
      <c r="CT72" s="19" t="str">
        <f>IF('ODBC Data'!$I$15&gt;68,69,"")</f>
        <v/>
      </c>
      <c r="CU72" s="17" t="str">
        <f t="shared" si="29"/>
        <v/>
      </c>
      <c r="CV72" s="57" t="str">
        <f>IF(ISNA(VLOOKUP(CU72,'ODBC Data'!$B$1:$J$500,3,0)),"",VLOOKUP(CU72,'ODBC Data'!$B$1:$J$500,3,0))</f>
        <v/>
      </c>
      <c r="CW72" s="57" t="str">
        <f>IF(ISNA(VLOOKUP(CU72,'ODBC Data'!$B$1:$J$500,4,0)),"",VLOOKUP(CU72,'ODBC Data'!$B$1:$J$500,4,0))</f>
        <v/>
      </c>
      <c r="CX72" s="57" t="str">
        <f>IF(ISNA(VLOOKUP(CU72,'ODBC Data'!$B$1:$J$500,5,0)),"",VLOOKUP(CU72,'ODBC Data'!$B$1:$J$500,5,0))</f>
        <v/>
      </c>
      <c r="EI72" s="19" t="str">
        <f>IF('ODBC Data'!$I$21&gt;68,'ODBC Data'!$H$21,"")</f>
        <v/>
      </c>
      <c r="EJ72" s="19" t="str">
        <f>IF('ODBC Data'!$I$21&gt;68,69,"")</f>
        <v/>
      </c>
      <c r="EK72" s="17" t="str">
        <f t="shared" si="30"/>
        <v/>
      </c>
      <c r="EL72" s="57" t="str">
        <f>IF(ISNA(VLOOKUP(EK72,'ODBC Data'!$B$1:$J$500,3,0)),"",VLOOKUP(EK72,'ODBC Data'!$B$1:$J$500,3,0))</f>
        <v/>
      </c>
      <c r="EM72" s="57" t="str">
        <f>IF(ISNA(VLOOKUP(EK72,'ODBC Data'!$B$1:$J$500,4,0)),"",VLOOKUP(EK72,'ODBC Data'!$B$1:$J$500,4,0))</f>
        <v/>
      </c>
      <c r="EN72" s="57" t="str">
        <f>IF(ISNA(VLOOKUP(EK72,'ODBC Data'!$B$1:$J$500,5,0)),"",VLOOKUP(EK72,'ODBC Data'!$B$1:$J$500,5,0))</f>
        <v/>
      </c>
    </row>
    <row r="73" spans="97:144">
      <c r="CS73" s="19" t="str">
        <f>IF('ODBC Data'!$I$15&gt;69,'ODBC Data'!$H$15,"")</f>
        <v/>
      </c>
      <c r="CT73" s="19" t="str">
        <f>IF('ODBC Data'!$I$15&gt;69,70,"")</f>
        <v/>
      </c>
      <c r="CU73" s="17" t="str">
        <f t="shared" si="29"/>
        <v/>
      </c>
      <c r="CV73" s="57" t="str">
        <f>IF(ISNA(VLOOKUP(CU73,'ODBC Data'!$B$1:$J$500,3,0)),"",VLOOKUP(CU73,'ODBC Data'!$B$1:$J$500,3,0))</f>
        <v/>
      </c>
      <c r="CW73" s="57" t="str">
        <f>IF(ISNA(VLOOKUP(CU73,'ODBC Data'!$B$1:$J$500,4,0)),"",VLOOKUP(CU73,'ODBC Data'!$B$1:$J$500,4,0))</f>
        <v/>
      </c>
      <c r="CX73" s="57" t="str">
        <f>IF(ISNA(VLOOKUP(CU73,'ODBC Data'!$B$1:$J$500,5,0)),"",VLOOKUP(CU73,'ODBC Data'!$B$1:$J$500,5,0))</f>
        <v/>
      </c>
      <c r="EI73" s="19" t="str">
        <f>IF('ODBC Data'!$I$21&gt;69,'ODBC Data'!$H$21,"")</f>
        <v/>
      </c>
      <c r="EJ73" s="19" t="str">
        <f>IF('ODBC Data'!$I$21&gt;69,70,"")</f>
        <v/>
      </c>
      <c r="EK73" s="17" t="str">
        <f t="shared" si="30"/>
        <v/>
      </c>
      <c r="EL73" s="57" t="str">
        <f>IF(ISNA(VLOOKUP(EK73,'ODBC Data'!$B$1:$J$500,3,0)),"",VLOOKUP(EK73,'ODBC Data'!$B$1:$J$500,3,0))</f>
        <v/>
      </c>
      <c r="EM73" s="57" t="str">
        <f>IF(ISNA(VLOOKUP(EK73,'ODBC Data'!$B$1:$J$500,4,0)),"",VLOOKUP(EK73,'ODBC Data'!$B$1:$J$500,4,0))</f>
        <v/>
      </c>
      <c r="EN73" s="57" t="str">
        <f>IF(ISNA(VLOOKUP(EK73,'ODBC Data'!$B$1:$J$500,5,0)),"",VLOOKUP(EK73,'ODBC Data'!$B$1:$J$500,5,0))</f>
        <v/>
      </c>
    </row>
    <row r="74" spans="97:144">
      <c r="CS74" s="19" t="str">
        <f>IF('ODBC Data'!$I$15&gt;70,'ODBC Data'!$H$15,"")</f>
        <v/>
      </c>
      <c r="CT74" s="19" t="str">
        <f>IF('ODBC Data'!$I$15&gt;70,71,"")</f>
        <v/>
      </c>
      <c r="CU74" s="17" t="str">
        <f t="shared" si="29"/>
        <v/>
      </c>
      <c r="CV74" s="57" t="str">
        <f>IF(ISNA(VLOOKUP(CU74,'ODBC Data'!$B$1:$J$500,3,0)),"",VLOOKUP(CU74,'ODBC Data'!$B$1:$J$500,3,0))</f>
        <v/>
      </c>
      <c r="CW74" s="57" t="str">
        <f>IF(ISNA(VLOOKUP(CU74,'ODBC Data'!$B$1:$J$500,4,0)),"",VLOOKUP(CU74,'ODBC Data'!$B$1:$J$500,4,0))</f>
        <v/>
      </c>
      <c r="CX74" s="57" t="str">
        <f>IF(ISNA(VLOOKUP(CU74,'ODBC Data'!$B$1:$J$500,5,0)),"",VLOOKUP(CU74,'ODBC Data'!$B$1:$J$500,5,0))</f>
        <v/>
      </c>
      <c r="EI74" s="19" t="str">
        <f>IF('ODBC Data'!$I$21&gt;70,'ODBC Data'!$H$21,"")</f>
        <v/>
      </c>
      <c r="EJ74" s="19" t="str">
        <f>IF('ODBC Data'!$I$21&gt;70,71,"")</f>
        <v/>
      </c>
      <c r="EK74" s="17" t="str">
        <f t="shared" si="30"/>
        <v/>
      </c>
      <c r="EL74" s="57" t="str">
        <f>IF(ISNA(VLOOKUP(EK74,'ODBC Data'!$B$1:$J$500,3,0)),"",VLOOKUP(EK74,'ODBC Data'!$B$1:$J$500,3,0))</f>
        <v/>
      </c>
      <c r="EM74" s="57" t="str">
        <f>IF(ISNA(VLOOKUP(EK74,'ODBC Data'!$B$1:$J$500,4,0)),"",VLOOKUP(EK74,'ODBC Data'!$B$1:$J$500,4,0))</f>
        <v/>
      </c>
      <c r="EN74" s="57" t="str">
        <f>IF(ISNA(VLOOKUP(EK74,'ODBC Data'!$B$1:$J$500,5,0)),"",VLOOKUP(EK74,'ODBC Data'!$B$1:$J$500,5,0))</f>
        <v/>
      </c>
    </row>
    <row r="75" spans="97:144">
      <c r="CS75" s="19" t="str">
        <f>IF('ODBC Data'!$I$15&gt;71,'ODBC Data'!$H$15,"")</f>
        <v/>
      </c>
      <c r="CT75" s="19" t="str">
        <f>IF('ODBC Data'!$I$15&gt;71,72,"")</f>
        <v/>
      </c>
      <c r="CU75" s="17" t="str">
        <f t="shared" si="29"/>
        <v/>
      </c>
      <c r="CV75" s="57" t="str">
        <f>IF(ISNA(VLOOKUP(CU75,'ODBC Data'!$B$1:$J$500,3,0)),"",VLOOKUP(CU75,'ODBC Data'!$B$1:$J$500,3,0))</f>
        <v/>
      </c>
      <c r="CW75" s="57" t="str">
        <f>IF(ISNA(VLOOKUP(CU75,'ODBC Data'!$B$1:$J$500,4,0)),"",VLOOKUP(CU75,'ODBC Data'!$B$1:$J$500,4,0))</f>
        <v/>
      </c>
      <c r="CX75" s="57" t="str">
        <f>IF(ISNA(VLOOKUP(CU75,'ODBC Data'!$B$1:$J$500,5,0)),"",VLOOKUP(CU75,'ODBC Data'!$B$1:$J$500,5,0))</f>
        <v/>
      </c>
      <c r="EI75" s="19" t="str">
        <f>IF('ODBC Data'!$I$21&gt;71,'ODBC Data'!$H$21,"")</f>
        <v/>
      </c>
      <c r="EJ75" s="19" t="str">
        <f>IF('ODBC Data'!$I$21&gt;71,72,"")</f>
        <v/>
      </c>
      <c r="EK75" s="17" t="str">
        <f t="shared" si="30"/>
        <v/>
      </c>
      <c r="EL75" s="57" t="str">
        <f>IF(ISNA(VLOOKUP(EK75,'ODBC Data'!$B$1:$J$500,3,0)),"",VLOOKUP(EK75,'ODBC Data'!$B$1:$J$500,3,0))</f>
        <v/>
      </c>
      <c r="EM75" s="57" t="str">
        <f>IF(ISNA(VLOOKUP(EK75,'ODBC Data'!$B$1:$J$500,4,0)),"",VLOOKUP(EK75,'ODBC Data'!$B$1:$J$500,4,0))</f>
        <v/>
      </c>
      <c r="EN75" s="57" t="str">
        <f>IF(ISNA(VLOOKUP(EK75,'ODBC Data'!$B$1:$J$500,5,0)),"",VLOOKUP(EK75,'ODBC Data'!$B$1:$J$500,5,0))</f>
        <v/>
      </c>
    </row>
    <row r="76" spans="97:144">
      <c r="CS76" s="19" t="str">
        <f>IF('ODBC Data'!$I$15&gt;72,'ODBC Data'!$H$15,"")</f>
        <v/>
      </c>
      <c r="CT76" s="19" t="str">
        <f>IF('ODBC Data'!$I$15&gt;72,73,"")</f>
        <v/>
      </c>
      <c r="CU76" s="17" t="str">
        <f t="shared" si="29"/>
        <v/>
      </c>
      <c r="CV76" s="57" t="str">
        <f>IF(ISNA(VLOOKUP(CU76,'ODBC Data'!$B$1:$J$500,3,0)),"",VLOOKUP(CU76,'ODBC Data'!$B$1:$J$500,3,0))</f>
        <v/>
      </c>
      <c r="CW76" s="57" t="str">
        <f>IF(ISNA(VLOOKUP(CU76,'ODBC Data'!$B$1:$J$500,4,0)),"",VLOOKUP(CU76,'ODBC Data'!$B$1:$J$500,4,0))</f>
        <v/>
      </c>
      <c r="CX76" s="57" t="str">
        <f>IF(ISNA(VLOOKUP(CU76,'ODBC Data'!$B$1:$J$500,5,0)),"",VLOOKUP(CU76,'ODBC Data'!$B$1:$J$500,5,0))</f>
        <v/>
      </c>
      <c r="EI76" s="19" t="str">
        <f>IF('ODBC Data'!$I$21&gt;72,'ODBC Data'!$H$21,"")</f>
        <v/>
      </c>
      <c r="EJ76" s="19" t="str">
        <f>IF('ODBC Data'!$I$21&gt;72,73,"")</f>
        <v/>
      </c>
      <c r="EK76" s="17" t="str">
        <f t="shared" si="30"/>
        <v/>
      </c>
      <c r="EL76" s="57" t="str">
        <f>IF(ISNA(VLOOKUP(EK76,'ODBC Data'!$B$1:$J$500,3,0)),"",VLOOKUP(EK76,'ODBC Data'!$B$1:$J$500,3,0))</f>
        <v/>
      </c>
      <c r="EM76" s="57" t="str">
        <f>IF(ISNA(VLOOKUP(EK76,'ODBC Data'!$B$1:$J$500,4,0)),"",VLOOKUP(EK76,'ODBC Data'!$B$1:$J$500,4,0))</f>
        <v/>
      </c>
      <c r="EN76" s="57" t="str">
        <f>IF(ISNA(VLOOKUP(EK76,'ODBC Data'!$B$1:$J$500,5,0)),"",VLOOKUP(EK76,'ODBC Data'!$B$1:$J$500,5,0))</f>
        <v/>
      </c>
    </row>
    <row r="77" spans="97:144">
      <c r="CS77" s="19" t="str">
        <f>IF('ODBC Data'!$I$15&gt;73,'ODBC Data'!$H$15,"")</f>
        <v/>
      </c>
      <c r="CT77" s="19" t="str">
        <f>IF('ODBC Data'!$I$15&gt;73,74,"")</f>
        <v/>
      </c>
      <c r="CU77" s="17" t="str">
        <f t="shared" si="29"/>
        <v/>
      </c>
      <c r="CV77" s="57" t="str">
        <f>IF(ISNA(VLOOKUP(CU77,'ODBC Data'!$B$1:$J$500,3,0)),"",VLOOKUP(CU77,'ODBC Data'!$B$1:$J$500,3,0))</f>
        <v/>
      </c>
      <c r="CW77" s="57" t="str">
        <f>IF(ISNA(VLOOKUP(CU77,'ODBC Data'!$B$1:$J$500,4,0)),"",VLOOKUP(CU77,'ODBC Data'!$B$1:$J$500,4,0))</f>
        <v/>
      </c>
      <c r="CX77" s="57" t="str">
        <f>IF(ISNA(VLOOKUP(CU77,'ODBC Data'!$B$1:$J$500,5,0)),"",VLOOKUP(CU77,'ODBC Data'!$B$1:$J$500,5,0))</f>
        <v/>
      </c>
      <c r="EI77" s="19" t="str">
        <f>IF('ODBC Data'!$I$21&gt;73,'ODBC Data'!$H$21,"")</f>
        <v/>
      </c>
      <c r="EJ77" s="19" t="str">
        <f>IF('ODBC Data'!$I$21&gt;73,74,"")</f>
        <v/>
      </c>
      <c r="EK77" s="17" t="str">
        <f t="shared" si="30"/>
        <v/>
      </c>
      <c r="EL77" s="57" t="str">
        <f>IF(ISNA(VLOOKUP(EK77,'ODBC Data'!$B$1:$J$500,3,0)),"",VLOOKUP(EK77,'ODBC Data'!$B$1:$J$500,3,0))</f>
        <v/>
      </c>
      <c r="EM77" s="57" t="str">
        <f>IF(ISNA(VLOOKUP(EK77,'ODBC Data'!$B$1:$J$500,4,0)),"",VLOOKUP(EK77,'ODBC Data'!$B$1:$J$500,4,0))</f>
        <v/>
      </c>
      <c r="EN77" s="57" t="str">
        <f>IF(ISNA(VLOOKUP(EK77,'ODBC Data'!$B$1:$J$500,5,0)),"",VLOOKUP(EK77,'ODBC Data'!$B$1:$J$500,5,0))</f>
        <v/>
      </c>
    </row>
    <row r="78" spans="97:144">
      <c r="CS78" s="19" t="str">
        <f>IF('ODBC Data'!$I$15&gt;74,'ODBC Data'!$H$15,"")</f>
        <v/>
      </c>
      <c r="CT78" s="19" t="str">
        <f>IF('ODBC Data'!$I$15&gt;74,75,"")</f>
        <v/>
      </c>
      <c r="CU78" s="17" t="str">
        <f t="shared" si="29"/>
        <v/>
      </c>
      <c r="CV78" s="57" t="str">
        <f>IF(ISNA(VLOOKUP(CU78,'ODBC Data'!$B$1:$J$500,3,0)),"",VLOOKUP(CU78,'ODBC Data'!$B$1:$J$500,3,0))</f>
        <v/>
      </c>
      <c r="CW78" s="57" t="str">
        <f>IF(ISNA(VLOOKUP(CU78,'ODBC Data'!$B$1:$J$500,4,0)),"",VLOOKUP(CU78,'ODBC Data'!$B$1:$J$500,4,0))</f>
        <v/>
      </c>
      <c r="CX78" s="57" t="str">
        <f>IF(ISNA(VLOOKUP(CU78,'ODBC Data'!$B$1:$J$500,5,0)),"",VLOOKUP(CU78,'ODBC Data'!$B$1:$J$500,5,0))</f>
        <v/>
      </c>
      <c r="EI78" s="19" t="str">
        <f>IF('ODBC Data'!$I$21&gt;74,'ODBC Data'!$H$21,"")</f>
        <v/>
      </c>
      <c r="EJ78" s="19" t="str">
        <f>IF('ODBC Data'!$I$21&gt;74,75,"")</f>
        <v/>
      </c>
      <c r="EK78" s="17" t="str">
        <f t="shared" si="30"/>
        <v/>
      </c>
      <c r="EL78" s="57" t="str">
        <f>IF(ISNA(VLOOKUP(EK78,'ODBC Data'!$B$1:$J$500,3,0)),"",VLOOKUP(EK78,'ODBC Data'!$B$1:$J$500,3,0))</f>
        <v/>
      </c>
      <c r="EM78" s="57" t="str">
        <f>IF(ISNA(VLOOKUP(EK78,'ODBC Data'!$B$1:$J$500,4,0)),"",VLOOKUP(EK78,'ODBC Data'!$B$1:$J$500,4,0))</f>
        <v/>
      </c>
      <c r="EN78" s="57" t="str">
        <f>IF(ISNA(VLOOKUP(EK78,'ODBC Data'!$B$1:$J$500,5,0)),"",VLOOKUP(EK78,'ODBC Data'!$B$1:$J$500,5,0))</f>
        <v/>
      </c>
    </row>
    <row r="79" spans="97:144">
      <c r="CS79" s="19" t="str">
        <f>IF('ODBC Data'!$I$15&gt;75,'ODBC Data'!$H$15,"")</f>
        <v/>
      </c>
      <c r="CT79" s="19" t="str">
        <f>IF('ODBC Data'!$I$15&gt;75,76,"")</f>
        <v/>
      </c>
      <c r="CU79" s="17" t="str">
        <f t="shared" si="29"/>
        <v/>
      </c>
      <c r="CV79" s="57" t="str">
        <f>IF(ISNA(VLOOKUP(CU79,'ODBC Data'!$B$1:$J$500,3,0)),"",VLOOKUP(CU79,'ODBC Data'!$B$1:$J$500,3,0))</f>
        <v/>
      </c>
      <c r="CW79" s="57" t="str">
        <f>IF(ISNA(VLOOKUP(CU79,'ODBC Data'!$B$1:$J$500,4,0)),"",VLOOKUP(CU79,'ODBC Data'!$B$1:$J$500,4,0))</f>
        <v/>
      </c>
      <c r="CX79" s="57" t="str">
        <f>IF(ISNA(VLOOKUP(CU79,'ODBC Data'!$B$1:$J$500,5,0)),"",VLOOKUP(CU79,'ODBC Data'!$B$1:$J$500,5,0))</f>
        <v/>
      </c>
      <c r="EI79" s="19" t="str">
        <f>IF('ODBC Data'!$I$21&gt;75,'ODBC Data'!$H$21,"")</f>
        <v/>
      </c>
      <c r="EJ79" s="19" t="str">
        <f>IF('ODBC Data'!$I$21&gt;75,76,"")</f>
        <v/>
      </c>
      <c r="EK79" s="17" t="str">
        <f t="shared" si="30"/>
        <v/>
      </c>
      <c r="EL79" s="57" t="str">
        <f>IF(ISNA(VLOOKUP(EK79,'ODBC Data'!$B$1:$J$500,3,0)),"",VLOOKUP(EK79,'ODBC Data'!$B$1:$J$500,3,0))</f>
        <v/>
      </c>
      <c r="EM79" s="57" t="str">
        <f>IF(ISNA(VLOOKUP(EK79,'ODBC Data'!$B$1:$J$500,4,0)),"",VLOOKUP(EK79,'ODBC Data'!$B$1:$J$500,4,0))</f>
        <v/>
      </c>
      <c r="EN79" s="57" t="str">
        <f>IF(ISNA(VLOOKUP(EK79,'ODBC Data'!$B$1:$J$500,5,0)),"",VLOOKUP(EK79,'ODBC Data'!$B$1:$J$500,5,0))</f>
        <v/>
      </c>
    </row>
    <row r="80" spans="97:144">
      <c r="CS80" s="19" t="str">
        <f>IF('ODBC Data'!$I$15&gt;76,'ODBC Data'!$H$15,"")</f>
        <v/>
      </c>
      <c r="CT80" s="19" t="str">
        <f>IF('ODBC Data'!$I$15&gt;76,77,"")</f>
        <v/>
      </c>
      <c r="CU80" s="17" t="str">
        <f t="shared" si="29"/>
        <v/>
      </c>
      <c r="CV80" s="57" t="str">
        <f>IF(ISNA(VLOOKUP(CU80,'ODBC Data'!$B$1:$J$500,3,0)),"",VLOOKUP(CU80,'ODBC Data'!$B$1:$J$500,3,0))</f>
        <v/>
      </c>
      <c r="CW80" s="57" t="str">
        <f>IF(ISNA(VLOOKUP(CU80,'ODBC Data'!$B$1:$J$500,4,0)),"",VLOOKUP(CU80,'ODBC Data'!$B$1:$J$500,4,0))</f>
        <v/>
      </c>
      <c r="CX80" s="57" t="str">
        <f>IF(ISNA(VLOOKUP(CU80,'ODBC Data'!$B$1:$J$500,5,0)),"",VLOOKUP(CU80,'ODBC Data'!$B$1:$J$500,5,0))</f>
        <v/>
      </c>
      <c r="EI80" s="19" t="str">
        <f>IF('ODBC Data'!$I$21&gt;76,'ODBC Data'!$H$21,"")</f>
        <v/>
      </c>
      <c r="EJ80" s="19" t="str">
        <f>IF('ODBC Data'!$I$21&gt;76,77,"")</f>
        <v/>
      </c>
      <c r="EK80" s="17" t="str">
        <f t="shared" si="30"/>
        <v/>
      </c>
      <c r="EL80" s="57" t="str">
        <f>IF(ISNA(VLOOKUP(EK80,'ODBC Data'!$B$1:$J$500,3,0)),"",VLOOKUP(EK80,'ODBC Data'!$B$1:$J$500,3,0))</f>
        <v/>
      </c>
      <c r="EM80" s="57" t="str">
        <f>IF(ISNA(VLOOKUP(EK80,'ODBC Data'!$B$1:$J$500,4,0)),"",VLOOKUP(EK80,'ODBC Data'!$B$1:$J$500,4,0))</f>
        <v/>
      </c>
      <c r="EN80" s="57" t="str">
        <f>IF(ISNA(VLOOKUP(EK80,'ODBC Data'!$B$1:$J$500,5,0)),"",VLOOKUP(EK80,'ODBC Data'!$B$1:$J$500,5,0))</f>
        <v/>
      </c>
    </row>
    <row r="81" spans="97:144">
      <c r="CS81" s="19" t="str">
        <f>IF('ODBC Data'!$I$15&gt;77,'ODBC Data'!$H$15,"")</f>
        <v/>
      </c>
      <c r="CT81" s="19" t="str">
        <f>IF('ODBC Data'!$I$15&gt;77,78,"")</f>
        <v/>
      </c>
      <c r="CU81" s="17" t="str">
        <f t="shared" si="29"/>
        <v/>
      </c>
      <c r="CV81" s="57" t="str">
        <f>IF(ISNA(VLOOKUP(CU81,'ODBC Data'!$B$1:$J$500,3,0)),"",VLOOKUP(CU81,'ODBC Data'!$B$1:$J$500,3,0))</f>
        <v/>
      </c>
      <c r="CW81" s="57" t="str">
        <f>IF(ISNA(VLOOKUP(CU81,'ODBC Data'!$B$1:$J$500,4,0)),"",VLOOKUP(CU81,'ODBC Data'!$B$1:$J$500,4,0))</f>
        <v/>
      </c>
      <c r="CX81" s="57" t="str">
        <f>IF(ISNA(VLOOKUP(CU81,'ODBC Data'!$B$1:$J$500,5,0)),"",VLOOKUP(CU81,'ODBC Data'!$B$1:$J$500,5,0))</f>
        <v/>
      </c>
      <c r="EI81" s="19" t="str">
        <f>IF('ODBC Data'!$I$21&gt;77,'ODBC Data'!$H$21,"")</f>
        <v/>
      </c>
      <c r="EJ81" s="19" t="str">
        <f>IF('ODBC Data'!$I$21&gt;77,78,"")</f>
        <v/>
      </c>
      <c r="EK81" s="17" t="str">
        <f t="shared" si="30"/>
        <v/>
      </c>
      <c r="EL81" s="57" t="str">
        <f>IF(ISNA(VLOOKUP(EK81,'ODBC Data'!$B$1:$J$500,3,0)),"",VLOOKUP(EK81,'ODBC Data'!$B$1:$J$500,3,0))</f>
        <v/>
      </c>
      <c r="EM81" s="57" t="str">
        <f>IF(ISNA(VLOOKUP(EK81,'ODBC Data'!$B$1:$J$500,4,0)),"",VLOOKUP(EK81,'ODBC Data'!$B$1:$J$500,4,0))</f>
        <v/>
      </c>
      <c r="EN81" s="57" t="str">
        <f>IF(ISNA(VLOOKUP(EK81,'ODBC Data'!$B$1:$J$500,5,0)),"",VLOOKUP(EK81,'ODBC Data'!$B$1:$J$500,5,0))</f>
        <v/>
      </c>
    </row>
    <row r="82" spans="97:144">
      <c r="CS82" s="19" t="str">
        <f>IF('ODBC Data'!$I$15&gt;78,'ODBC Data'!$H$15,"")</f>
        <v/>
      </c>
      <c r="CT82" s="19" t="str">
        <f>IF('ODBC Data'!$I$15&gt;78,79,"")</f>
        <v/>
      </c>
      <c r="CU82" s="17" t="str">
        <f t="shared" si="29"/>
        <v/>
      </c>
      <c r="CV82" s="57" t="str">
        <f>IF(ISNA(VLOOKUP(CU82,'ODBC Data'!$B$1:$J$500,3,0)),"",VLOOKUP(CU82,'ODBC Data'!$B$1:$J$500,3,0))</f>
        <v/>
      </c>
      <c r="CW82" s="57" t="str">
        <f>IF(ISNA(VLOOKUP(CU82,'ODBC Data'!$B$1:$J$500,4,0)),"",VLOOKUP(CU82,'ODBC Data'!$B$1:$J$500,4,0))</f>
        <v/>
      </c>
      <c r="CX82" s="57" t="str">
        <f>IF(ISNA(VLOOKUP(CU82,'ODBC Data'!$B$1:$J$500,5,0)),"",VLOOKUP(CU82,'ODBC Data'!$B$1:$J$500,5,0))</f>
        <v/>
      </c>
      <c r="EI82" s="19" t="str">
        <f>IF('ODBC Data'!$I$21&gt;78,'ODBC Data'!$H$21,"")</f>
        <v/>
      </c>
      <c r="EJ82" s="19" t="str">
        <f>IF('ODBC Data'!$I$21&gt;78,79,"")</f>
        <v/>
      </c>
      <c r="EK82" s="17" t="str">
        <f t="shared" si="30"/>
        <v/>
      </c>
      <c r="EL82" s="57" t="str">
        <f>IF(ISNA(VLOOKUP(EK82,'ODBC Data'!$B$1:$J$500,3,0)),"",VLOOKUP(EK82,'ODBC Data'!$B$1:$J$500,3,0))</f>
        <v/>
      </c>
      <c r="EM82" s="57" t="str">
        <f>IF(ISNA(VLOOKUP(EK82,'ODBC Data'!$B$1:$J$500,4,0)),"",VLOOKUP(EK82,'ODBC Data'!$B$1:$J$500,4,0))</f>
        <v/>
      </c>
      <c r="EN82" s="57" t="str">
        <f>IF(ISNA(VLOOKUP(EK82,'ODBC Data'!$B$1:$J$500,5,0)),"",VLOOKUP(EK82,'ODBC Data'!$B$1:$J$500,5,0))</f>
        <v/>
      </c>
    </row>
    <row r="83" spans="97:144">
      <c r="CS83" s="19" t="str">
        <f>IF('ODBC Data'!$I$15&gt;79,'ODBC Data'!$H$15,"")</f>
        <v/>
      </c>
      <c r="CT83" s="19" t="str">
        <f>IF('ODBC Data'!$I$15&gt;79,80,"")</f>
        <v/>
      </c>
      <c r="CU83" s="17" t="str">
        <f t="shared" si="29"/>
        <v/>
      </c>
      <c r="CV83" s="57" t="str">
        <f>IF(ISNA(VLOOKUP(CU83,'ODBC Data'!$B$1:$J$500,3,0)),"",VLOOKUP(CU83,'ODBC Data'!$B$1:$J$500,3,0))</f>
        <v/>
      </c>
      <c r="CW83" s="57" t="str">
        <f>IF(ISNA(VLOOKUP(CU83,'ODBC Data'!$B$1:$J$500,4,0)),"",VLOOKUP(CU83,'ODBC Data'!$B$1:$J$500,4,0))</f>
        <v/>
      </c>
      <c r="CX83" s="57" t="str">
        <f>IF(ISNA(VLOOKUP(CU83,'ODBC Data'!$B$1:$J$500,5,0)),"",VLOOKUP(CU83,'ODBC Data'!$B$1:$J$500,5,0))</f>
        <v/>
      </c>
      <c r="EI83" s="19" t="str">
        <f>IF('ODBC Data'!$I$21&gt;79,'ODBC Data'!$H$21,"")</f>
        <v/>
      </c>
      <c r="EJ83" s="19" t="str">
        <f>IF('ODBC Data'!$I$21&gt;79,80,"")</f>
        <v/>
      </c>
      <c r="EK83" s="17" t="str">
        <f t="shared" si="30"/>
        <v/>
      </c>
      <c r="EL83" s="57" t="str">
        <f>IF(ISNA(VLOOKUP(EK83,'ODBC Data'!$B$1:$J$500,3,0)),"",VLOOKUP(EK83,'ODBC Data'!$B$1:$J$500,3,0))</f>
        <v/>
      </c>
      <c r="EM83" s="57" t="str">
        <f>IF(ISNA(VLOOKUP(EK83,'ODBC Data'!$B$1:$J$500,4,0)),"",VLOOKUP(EK83,'ODBC Data'!$B$1:$J$500,4,0))</f>
        <v/>
      </c>
      <c r="EN83" s="57" t="str">
        <f>IF(ISNA(VLOOKUP(EK83,'ODBC Data'!$B$1:$J$500,5,0)),"",VLOOKUP(EK83,'ODBC Data'!$B$1:$J$500,5,0))</f>
        <v/>
      </c>
    </row>
    <row r="84" spans="97:144">
      <c r="CS84" s="19" t="str">
        <f>IF('ODBC Data'!$I$15&gt;80,'ODBC Data'!$H$15,"")</f>
        <v/>
      </c>
      <c r="CT84" s="19" t="str">
        <f>IF('ODBC Data'!$I$15&gt;80,81,"")</f>
        <v/>
      </c>
      <c r="CU84" s="17" t="str">
        <f t="shared" si="29"/>
        <v/>
      </c>
      <c r="CV84" s="57" t="str">
        <f>IF(ISNA(VLOOKUP(CU84,'ODBC Data'!$B$1:$J$500,3,0)),"",VLOOKUP(CU84,'ODBC Data'!$B$1:$J$500,3,0))</f>
        <v/>
      </c>
      <c r="CW84" s="57" t="str">
        <f>IF(ISNA(VLOOKUP(CU84,'ODBC Data'!$B$1:$J$500,4,0)),"",VLOOKUP(CU84,'ODBC Data'!$B$1:$J$500,4,0))</f>
        <v/>
      </c>
      <c r="CX84" s="57" t="str">
        <f>IF(ISNA(VLOOKUP(CU84,'ODBC Data'!$B$1:$J$500,5,0)),"",VLOOKUP(CU84,'ODBC Data'!$B$1:$J$500,5,0))</f>
        <v/>
      </c>
      <c r="EI84" s="19" t="str">
        <f>IF('ODBC Data'!$I$21&gt;80,'ODBC Data'!$H$21,"")</f>
        <v/>
      </c>
      <c r="EJ84" s="19" t="str">
        <f>IF('ODBC Data'!$I$21&gt;80,81,"")</f>
        <v/>
      </c>
      <c r="EK84" s="17" t="str">
        <f t="shared" si="30"/>
        <v/>
      </c>
      <c r="EL84" s="57" t="str">
        <f>IF(ISNA(VLOOKUP(EK84,'ODBC Data'!$B$1:$J$500,3,0)),"",VLOOKUP(EK84,'ODBC Data'!$B$1:$J$500,3,0))</f>
        <v/>
      </c>
      <c r="EM84" s="57" t="str">
        <f>IF(ISNA(VLOOKUP(EK84,'ODBC Data'!$B$1:$J$500,4,0)),"",VLOOKUP(EK84,'ODBC Data'!$B$1:$J$500,4,0))</f>
        <v/>
      </c>
      <c r="EN84" s="57" t="str">
        <f>IF(ISNA(VLOOKUP(EK84,'ODBC Data'!$B$1:$J$500,5,0)),"",VLOOKUP(EK84,'ODBC Data'!$B$1:$J$500,5,0))</f>
        <v/>
      </c>
    </row>
    <row r="85" spans="97:144">
      <c r="CS85" s="19" t="str">
        <f>IF('ODBC Data'!$I$15&gt;81,'ODBC Data'!$H$15,"")</f>
        <v/>
      </c>
      <c r="CT85" s="19" t="str">
        <f>IF('ODBC Data'!$I$15&gt;81,82,"")</f>
        <v/>
      </c>
      <c r="CU85" s="17" t="str">
        <f t="shared" si="29"/>
        <v/>
      </c>
      <c r="CV85" s="57" t="str">
        <f>IF(ISNA(VLOOKUP(CU85,'ODBC Data'!$B$1:$J$500,3,0)),"",VLOOKUP(CU85,'ODBC Data'!$B$1:$J$500,3,0))</f>
        <v/>
      </c>
      <c r="CW85" s="57" t="str">
        <f>IF(ISNA(VLOOKUP(CU85,'ODBC Data'!$B$1:$J$500,4,0)),"",VLOOKUP(CU85,'ODBC Data'!$B$1:$J$500,4,0))</f>
        <v/>
      </c>
      <c r="CX85" s="57" t="str">
        <f>IF(ISNA(VLOOKUP(CU85,'ODBC Data'!$B$1:$J$500,5,0)),"",VLOOKUP(CU85,'ODBC Data'!$B$1:$J$500,5,0))</f>
        <v/>
      </c>
      <c r="EI85" s="19" t="str">
        <f>IF('ODBC Data'!$I$21&gt;81,'ODBC Data'!$H$21,"")</f>
        <v/>
      </c>
      <c r="EJ85" s="19" t="str">
        <f>IF('ODBC Data'!$I$21&gt;81,82,"")</f>
        <v/>
      </c>
      <c r="EK85" s="17" t="str">
        <f t="shared" si="30"/>
        <v/>
      </c>
      <c r="EL85" s="57" t="str">
        <f>IF(ISNA(VLOOKUP(EK85,'ODBC Data'!$B$1:$J$500,3,0)),"",VLOOKUP(EK85,'ODBC Data'!$B$1:$J$500,3,0))</f>
        <v/>
      </c>
      <c r="EM85" s="57" t="str">
        <f>IF(ISNA(VLOOKUP(EK85,'ODBC Data'!$B$1:$J$500,4,0)),"",VLOOKUP(EK85,'ODBC Data'!$B$1:$J$500,4,0))</f>
        <v/>
      </c>
      <c r="EN85" s="57" t="str">
        <f>IF(ISNA(VLOOKUP(EK85,'ODBC Data'!$B$1:$J$500,5,0)),"",VLOOKUP(EK85,'ODBC Data'!$B$1:$J$500,5,0))</f>
        <v/>
      </c>
    </row>
    <row r="86" spans="97:144">
      <c r="CS86" s="19" t="str">
        <f>IF('ODBC Data'!$I$15&gt;82,'ODBC Data'!$H$15,"")</f>
        <v/>
      </c>
      <c r="CT86" s="19" t="str">
        <f>IF('ODBC Data'!$I$15&gt;82,83,"")</f>
        <v/>
      </c>
      <c r="CU86" s="17" t="str">
        <f t="shared" si="29"/>
        <v/>
      </c>
      <c r="CV86" s="57" t="str">
        <f>IF(ISNA(VLOOKUP(CU86,'ODBC Data'!$B$1:$J$500,3,0)),"",VLOOKUP(CU86,'ODBC Data'!$B$1:$J$500,3,0))</f>
        <v/>
      </c>
      <c r="CW86" s="57" t="str">
        <f>IF(ISNA(VLOOKUP(CU86,'ODBC Data'!$B$1:$J$500,4,0)),"",VLOOKUP(CU86,'ODBC Data'!$B$1:$J$500,4,0))</f>
        <v/>
      </c>
      <c r="CX86" s="57" t="str">
        <f>IF(ISNA(VLOOKUP(CU86,'ODBC Data'!$B$1:$J$500,5,0)),"",VLOOKUP(CU86,'ODBC Data'!$B$1:$J$500,5,0))</f>
        <v/>
      </c>
      <c r="EI86" s="19" t="str">
        <f>IF('ODBC Data'!$I$21&gt;82,'ODBC Data'!$H$21,"")</f>
        <v/>
      </c>
      <c r="EJ86" s="19" t="str">
        <f>IF('ODBC Data'!$I$21&gt;82,83,"")</f>
        <v/>
      </c>
      <c r="EK86" s="17" t="str">
        <f t="shared" si="30"/>
        <v/>
      </c>
      <c r="EL86" s="57" t="str">
        <f>IF(ISNA(VLOOKUP(EK86,'ODBC Data'!$B$1:$J$500,3,0)),"",VLOOKUP(EK86,'ODBC Data'!$B$1:$J$500,3,0))</f>
        <v/>
      </c>
      <c r="EM86" s="57" t="str">
        <f>IF(ISNA(VLOOKUP(EK86,'ODBC Data'!$B$1:$J$500,4,0)),"",VLOOKUP(EK86,'ODBC Data'!$B$1:$J$500,4,0))</f>
        <v/>
      </c>
      <c r="EN86" s="57" t="str">
        <f>IF(ISNA(VLOOKUP(EK86,'ODBC Data'!$B$1:$J$500,5,0)),"",VLOOKUP(EK86,'ODBC Data'!$B$1:$J$500,5,0))</f>
        <v/>
      </c>
    </row>
    <row r="87" spans="97:144">
      <c r="CS87" s="19" t="str">
        <f>IF('ODBC Data'!$I$15&gt;83,'ODBC Data'!$H$15,"")</f>
        <v/>
      </c>
      <c r="CT87" s="19" t="str">
        <f>IF('ODBC Data'!$I$15&gt;83,84,"")</f>
        <v/>
      </c>
      <c r="CU87" s="17" t="str">
        <f t="shared" si="29"/>
        <v/>
      </c>
      <c r="CV87" s="57" t="str">
        <f>IF(ISNA(VLOOKUP(CU87,'ODBC Data'!$B$1:$J$500,3,0)),"",VLOOKUP(CU87,'ODBC Data'!$B$1:$J$500,3,0))</f>
        <v/>
      </c>
      <c r="CW87" s="57" t="str">
        <f>IF(ISNA(VLOOKUP(CU87,'ODBC Data'!$B$1:$J$500,4,0)),"",VLOOKUP(CU87,'ODBC Data'!$B$1:$J$500,4,0))</f>
        <v/>
      </c>
      <c r="CX87" s="57" t="str">
        <f>IF(ISNA(VLOOKUP(CU87,'ODBC Data'!$B$1:$J$500,5,0)),"",VLOOKUP(CU87,'ODBC Data'!$B$1:$J$500,5,0))</f>
        <v/>
      </c>
      <c r="EI87" s="19" t="str">
        <f>IF('ODBC Data'!$I$21&gt;83,'ODBC Data'!$H$21,"")</f>
        <v/>
      </c>
      <c r="EJ87" s="19" t="str">
        <f>IF('ODBC Data'!$I$21&gt;83,84,"")</f>
        <v/>
      </c>
      <c r="EK87" s="17" t="str">
        <f t="shared" si="30"/>
        <v/>
      </c>
      <c r="EL87" s="57" t="str">
        <f>IF(ISNA(VLOOKUP(EK87,'ODBC Data'!$B$1:$J$500,3,0)),"",VLOOKUP(EK87,'ODBC Data'!$B$1:$J$500,3,0))</f>
        <v/>
      </c>
      <c r="EM87" s="57" t="str">
        <f>IF(ISNA(VLOOKUP(EK87,'ODBC Data'!$B$1:$J$500,4,0)),"",VLOOKUP(EK87,'ODBC Data'!$B$1:$J$500,4,0))</f>
        <v/>
      </c>
      <c r="EN87" s="57" t="str">
        <f>IF(ISNA(VLOOKUP(EK87,'ODBC Data'!$B$1:$J$500,5,0)),"",VLOOKUP(EK87,'ODBC Data'!$B$1:$J$500,5,0))</f>
        <v/>
      </c>
    </row>
    <row r="88" spans="97:144">
      <c r="CS88" s="19" t="str">
        <f>IF('ODBC Data'!$I$15&gt;84,'ODBC Data'!$H$15,"")</f>
        <v/>
      </c>
      <c r="CT88" s="19" t="str">
        <f>IF('ODBC Data'!$I$15&gt;84,85,"")</f>
        <v/>
      </c>
      <c r="CU88" s="17" t="str">
        <f t="shared" si="29"/>
        <v/>
      </c>
      <c r="CV88" s="57" t="str">
        <f>IF(ISNA(VLOOKUP(CU88,'ODBC Data'!$B$1:$J$500,3,0)),"",VLOOKUP(CU88,'ODBC Data'!$B$1:$J$500,3,0))</f>
        <v/>
      </c>
      <c r="CW88" s="57" t="str">
        <f>IF(ISNA(VLOOKUP(CU88,'ODBC Data'!$B$1:$J$500,4,0)),"",VLOOKUP(CU88,'ODBC Data'!$B$1:$J$500,4,0))</f>
        <v/>
      </c>
      <c r="CX88" s="57" t="str">
        <f>IF(ISNA(VLOOKUP(CU88,'ODBC Data'!$B$1:$J$500,5,0)),"",VLOOKUP(CU88,'ODBC Data'!$B$1:$J$500,5,0))</f>
        <v/>
      </c>
      <c r="EI88" s="19" t="str">
        <f>IF('ODBC Data'!$I$21&gt;84,'ODBC Data'!$H$21,"")</f>
        <v/>
      </c>
      <c r="EJ88" s="19" t="str">
        <f>IF('ODBC Data'!$I$21&gt;84,85,"")</f>
        <v/>
      </c>
      <c r="EK88" s="17" t="str">
        <f t="shared" si="30"/>
        <v/>
      </c>
      <c r="EL88" s="57" t="str">
        <f>IF(ISNA(VLOOKUP(EK88,'ODBC Data'!$B$1:$J$500,3,0)),"",VLOOKUP(EK88,'ODBC Data'!$B$1:$J$500,3,0))</f>
        <v/>
      </c>
      <c r="EM88" s="57" t="str">
        <f>IF(ISNA(VLOOKUP(EK88,'ODBC Data'!$B$1:$J$500,4,0)),"",VLOOKUP(EK88,'ODBC Data'!$B$1:$J$500,4,0))</f>
        <v/>
      </c>
      <c r="EN88" s="57" t="str">
        <f>IF(ISNA(VLOOKUP(EK88,'ODBC Data'!$B$1:$J$500,5,0)),"",VLOOKUP(EK88,'ODBC Data'!$B$1:$J$500,5,0))</f>
        <v/>
      </c>
    </row>
    <row r="89" spans="97:144">
      <c r="CS89" s="19" t="str">
        <f>IF('ODBC Data'!$I$15&gt;85,'ODBC Data'!$H$15,"")</f>
        <v/>
      </c>
      <c r="CT89" s="19" t="str">
        <f>IF('ODBC Data'!$I$15&gt;85,86,"")</f>
        <v/>
      </c>
      <c r="CU89" s="17" t="str">
        <f t="shared" si="29"/>
        <v/>
      </c>
      <c r="CV89" s="57" t="str">
        <f>IF(ISNA(VLOOKUP(CU89,'ODBC Data'!$B$1:$J$500,3,0)),"",VLOOKUP(CU89,'ODBC Data'!$B$1:$J$500,3,0))</f>
        <v/>
      </c>
      <c r="CW89" s="57" t="str">
        <f>IF(ISNA(VLOOKUP(CU89,'ODBC Data'!$B$1:$J$500,4,0)),"",VLOOKUP(CU89,'ODBC Data'!$B$1:$J$500,4,0))</f>
        <v/>
      </c>
      <c r="CX89" s="57" t="str">
        <f>IF(ISNA(VLOOKUP(CU89,'ODBC Data'!$B$1:$J$500,5,0)),"",VLOOKUP(CU89,'ODBC Data'!$B$1:$J$500,5,0))</f>
        <v/>
      </c>
      <c r="EI89" s="19" t="str">
        <f>IF('ODBC Data'!$I$21&gt;85,'ODBC Data'!$H$21,"")</f>
        <v/>
      </c>
      <c r="EJ89" s="19" t="str">
        <f>IF('ODBC Data'!$I$21&gt;85,86,"")</f>
        <v/>
      </c>
      <c r="EK89" s="17" t="str">
        <f t="shared" si="30"/>
        <v/>
      </c>
      <c r="EL89" s="57" t="str">
        <f>IF(ISNA(VLOOKUP(EK89,'ODBC Data'!$B$1:$J$500,3,0)),"",VLOOKUP(EK89,'ODBC Data'!$B$1:$J$500,3,0))</f>
        <v/>
      </c>
      <c r="EM89" s="57" t="str">
        <f>IF(ISNA(VLOOKUP(EK89,'ODBC Data'!$B$1:$J$500,4,0)),"",VLOOKUP(EK89,'ODBC Data'!$B$1:$J$500,4,0))</f>
        <v/>
      </c>
      <c r="EN89" s="57" t="str">
        <f>IF(ISNA(VLOOKUP(EK89,'ODBC Data'!$B$1:$J$500,5,0)),"",VLOOKUP(EK89,'ODBC Data'!$B$1:$J$500,5,0))</f>
        <v/>
      </c>
    </row>
    <row r="90" spans="97:144">
      <c r="CS90" s="19" t="str">
        <f>IF('ODBC Data'!$I$15&gt;86,'ODBC Data'!$H$15,"")</f>
        <v/>
      </c>
      <c r="CT90" s="19" t="str">
        <f>IF('ODBC Data'!$I$15&gt;86,87,"")</f>
        <v/>
      </c>
      <c r="CU90" s="17" t="str">
        <f t="shared" si="29"/>
        <v/>
      </c>
      <c r="CV90" s="57" t="str">
        <f>IF(ISNA(VLOOKUP(CU90,'ODBC Data'!$B$1:$J$500,3,0)),"",VLOOKUP(CU90,'ODBC Data'!$B$1:$J$500,3,0))</f>
        <v/>
      </c>
      <c r="CW90" s="57" t="str">
        <f>IF(ISNA(VLOOKUP(CU90,'ODBC Data'!$B$1:$J$500,4,0)),"",VLOOKUP(CU90,'ODBC Data'!$B$1:$J$500,4,0))</f>
        <v/>
      </c>
      <c r="CX90" s="57" t="str">
        <f>IF(ISNA(VLOOKUP(CU90,'ODBC Data'!$B$1:$J$500,5,0)),"",VLOOKUP(CU90,'ODBC Data'!$B$1:$J$500,5,0))</f>
        <v/>
      </c>
      <c r="EI90" s="19" t="str">
        <f>IF('ODBC Data'!$I$21&gt;86,'ODBC Data'!$H$21,"")</f>
        <v/>
      </c>
      <c r="EJ90" s="19" t="str">
        <f>IF('ODBC Data'!$I$21&gt;86,87,"")</f>
        <v/>
      </c>
      <c r="EK90" s="17" t="str">
        <f t="shared" si="30"/>
        <v/>
      </c>
      <c r="EL90" s="57" t="str">
        <f>IF(ISNA(VLOOKUP(EK90,'ODBC Data'!$B$1:$J$500,3,0)),"",VLOOKUP(EK90,'ODBC Data'!$B$1:$J$500,3,0))</f>
        <v/>
      </c>
      <c r="EM90" s="57" t="str">
        <f>IF(ISNA(VLOOKUP(EK90,'ODBC Data'!$B$1:$J$500,4,0)),"",VLOOKUP(EK90,'ODBC Data'!$B$1:$J$500,4,0))</f>
        <v/>
      </c>
      <c r="EN90" s="57" t="str">
        <f>IF(ISNA(VLOOKUP(EK90,'ODBC Data'!$B$1:$J$500,5,0)),"",VLOOKUP(EK90,'ODBC Data'!$B$1:$J$500,5,0))</f>
        <v/>
      </c>
    </row>
    <row r="91" spans="97:144">
      <c r="CS91" s="19" t="str">
        <f>IF('ODBC Data'!$I$15&gt;87,'ODBC Data'!$H$15,"")</f>
        <v/>
      </c>
      <c r="CT91" s="19" t="str">
        <f>IF('ODBC Data'!$I$15&gt;87,88,"")</f>
        <v/>
      </c>
      <c r="CU91" s="17" t="str">
        <f t="shared" si="29"/>
        <v/>
      </c>
      <c r="CV91" s="57" t="str">
        <f>IF(ISNA(VLOOKUP(CU91,'ODBC Data'!$B$1:$J$500,3,0)),"",VLOOKUP(CU91,'ODBC Data'!$B$1:$J$500,3,0))</f>
        <v/>
      </c>
      <c r="CW91" s="57" t="str">
        <f>IF(ISNA(VLOOKUP(CU91,'ODBC Data'!$B$1:$J$500,4,0)),"",VLOOKUP(CU91,'ODBC Data'!$B$1:$J$500,4,0))</f>
        <v/>
      </c>
      <c r="CX91" s="57" t="str">
        <f>IF(ISNA(VLOOKUP(CU91,'ODBC Data'!$B$1:$J$500,5,0)),"",VLOOKUP(CU91,'ODBC Data'!$B$1:$J$500,5,0))</f>
        <v/>
      </c>
      <c r="EI91" s="19" t="str">
        <f>IF('ODBC Data'!$I$21&gt;87,'ODBC Data'!$H$21,"")</f>
        <v/>
      </c>
      <c r="EJ91" s="19" t="str">
        <f>IF('ODBC Data'!$I$21&gt;87,88,"")</f>
        <v/>
      </c>
      <c r="EK91" s="17" t="str">
        <f t="shared" si="30"/>
        <v/>
      </c>
      <c r="EL91" s="57" t="str">
        <f>IF(ISNA(VLOOKUP(EK91,'ODBC Data'!$B$1:$J$500,3,0)),"",VLOOKUP(EK91,'ODBC Data'!$B$1:$J$500,3,0))</f>
        <v/>
      </c>
      <c r="EM91" s="57" t="str">
        <f>IF(ISNA(VLOOKUP(EK91,'ODBC Data'!$B$1:$J$500,4,0)),"",VLOOKUP(EK91,'ODBC Data'!$B$1:$J$500,4,0))</f>
        <v/>
      </c>
      <c r="EN91" s="57" t="str">
        <f>IF(ISNA(VLOOKUP(EK91,'ODBC Data'!$B$1:$J$500,5,0)),"",VLOOKUP(EK91,'ODBC Data'!$B$1:$J$500,5,0))</f>
        <v/>
      </c>
    </row>
    <row r="92" spans="97:144">
      <c r="CS92" s="19" t="str">
        <f>IF('ODBC Data'!$I$15&gt;88,'ODBC Data'!$H$15,"")</f>
        <v/>
      </c>
      <c r="CT92" s="19" t="str">
        <f>IF('ODBC Data'!$I$15&gt;88,89,"")</f>
        <v/>
      </c>
      <c r="CU92" s="17" t="str">
        <f t="shared" si="29"/>
        <v/>
      </c>
      <c r="CV92" s="57" t="str">
        <f>IF(ISNA(VLOOKUP(CU92,'ODBC Data'!$B$1:$J$500,3,0)),"",VLOOKUP(CU92,'ODBC Data'!$B$1:$J$500,3,0))</f>
        <v/>
      </c>
      <c r="CW92" s="57" t="str">
        <f>IF(ISNA(VLOOKUP(CU92,'ODBC Data'!$B$1:$J$500,4,0)),"",VLOOKUP(CU92,'ODBC Data'!$B$1:$J$500,4,0))</f>
        <v/>
      </c>
      <c r="CX92" s="57" t="str">
        <f>IF(ISNA(VLOOKUP(CU92,'ODBC Data'!$B$1:$J$500,5,0)),"",VLOOKUP(CU92,'ODBC Data'!$B$1:$J$500,5,0))</f>
        <v/>
      </c>
      <c r="EI92" s="19" t="str">
        <f>IF('ODBC Data'!$I$21&gt;88,'ODBC Data'!$H$21,"")</f>
        <v/>
      </c>
      <c r="EJ92" s="19" t="str">
        <f>IF('ODBC Data'!$I$21&gt;88,89,"")</f>
        <v/>
      </c>
      <c r="EK92" s="17" t="str">
        <f t="shared" si="30"/>
        <v/>
      </c>
      <c r="EL92" s="57" t="str">
        <f>IF(ISNA(VLOOKUP(EK92,'ODBC Data'!$B$1:$J$500,3,0)),"",VLOOKUP(EK92,'ODBC Data'!$B$1:$J$500,3,0))</f>
        <v/>
      </c>
      <c r="EM92" s="57" t="str">
        <f>IF(ISNA(VLOOKUP(EK92,'ODBC Data'!$B$1:$J$500,4,0)),"",VLOOKUP(EK92,'ODBC Data'!$B$1:$J$500,4,0))</f>
        <v/>
      </c>
      <c r="EN92" s="57" t="str">
        <f>IF(ISNA(VLOOKUP(EK92,'ODBC Data'!$B$1:$J$500,5,0)),"",VLOOKUP(EK92,'ODBC Data'!$B$1:$J$500,5,0))</f>
        <v/>
      </c>
    </row>
    <row r="93" spans="97:144">
      <c r="CS93" s="19" t="str">
        <f>IF('ODBC Data'!$I$15&gt;89,'ODBC Data'!$H$15,"")</f>
        <v/>
      </c>
      <c r="CT93" s="19" t="str">
        <f>IF('ODBC Data'!$I$15&gt;89,90,"")</f>
        <v/>
      </c>
      <c r="CU93" s="17" t="str">
        <f t="shared" si="29"/>
        <v/>
      </c>
      <c r="CV93" s="57" t="str">
        <f>IF(ISNA(VLOOKUP(CU93,'ODBC Data'!$B$1:$J$500,3,0)),"",VLOOKUP(CU93,'ODBC Data'!$B$1:$J$500,3,0))</f>
        <v/>
      </c>
      <c r="CW93" s="57" t="str">
        <f>IF(ISNA(VLOOKUP(CU93,'ODBC Data'!$B$1:$J$500,4,0)),"",VLOOKUP(CU93,'ODBC Data'!$B$1:$J$500,4,0))</f>
        <v/>
      </c>
      <c r="CX93" s="57" t="str">
        <f>IF(ISNA(VLOOKUP(CU93,'ODBC Data'!$B$1:$J$500,5,0)),"",VLOOKUP(CU93,'ODBC Data'!$B$1:$J$500,5,0))</f>
        <v/>
      </c>
      <c r="EI93" s="19" t="str">
        <f>IF('ODBC Data'!$I$21&gt;89,'ODBC Data'!$H$21,"")</f>
        <v/>
      </c>
      <c r="EJ93" s="19" t="str">
        <f>IF('ODBC Data'!$I$21&gt;89,90,"")</f>
        <v/>
      </c>
      <c r="EK93" s="17" t="str">
        <f t="shared" si="30"/>
        <v/>
      </c>
      <c r="EL93" s="57" t="str">
        <f>IF(ISNA(VLOOKUP(EK93,'ODBC Data'!$B$1:$J$500,3,0)),"",VLOOKUP(EK93,'ODBC Data'!$B$1:$J$500,3,0))</f>
        <v/>
      </c>
      <c r="EM93" s="57" t="str">
        <f>IF(ISNA(VLOOKUP(EK93,'ODBC Data'!$B$1:$J$500,4,0)),"",VLOOKUP(EK93,'ODBC Data'!$B$1:$J$500,4,0))</f>
        <v/>
      </c>
      <c r="EN93" s="57" t="str">
        <f>IF(ISNA(VLOOKUP(EK93,'ODBC Data'!$B$1:$J$500,5,0)),"",VLOOKUP(EK93,'ODBC Data'!$B$1:$J$500,5,0))</f>
        <v/>
      </c>
    </row>
    <row r="94" spans="97:144">
      <c r="CS94" s="19" t="str">
        <f>IF('ODBC Data'!$I$15&gt;90,'ODBC Data'!$H$15,"")</f>
        <v/>
      </c>
      <c r="CT94" s="19" t="str">
        <f>IF('ODBC Data'!$I$15&gt;90,91,"")</f>
        <v/>
      </c>
      <c r="CU94" s="17" t="str">
        <f t="shared" si="29"/>
        <v/>
      </c>
      <c r="CV94" s="57" t="str">
        <f>IF(ISNA(VLOOKUP(CU94,'ODBC Data'!$B$1:$J$500,3,0)),"",VLOOKUP(CU94,'ODBC Data'!$B$1:$J$500,3,0))</f>
        <v/>
      </c>
      <c r="CW94" s="57" t="str">
        <f>IF(ISNA(VLOOKUP(CU94,'ODBC Data'!$B$1:$J$500,4,0)),"",VLOOKUP(CU94,'ODBC Data'!$B$1:$J$500,4,0))</f>
        <v/>
      </c>
      <c r="CX94" s="57" t="str">
        <f>IF(ISNA(VLOOKUP(CU94,'ODBC Data'!$B$1:$J$500,5,0)),"",VLOOKUP(CU94,'ODBC Data'!$B$1:$J$500,5,0))</f>
        <v/>
      </c>
      <c r="EI94" s="19" t="str">
        <f>IF('ODBC Data'!$I$21&gt;90,'ODBC Data'!$H$21,"")</f>
        <v/>
      </c>
      <c r="EJ94" s="19" t="str">
        <f>IF('ODBC Data'!$I$21&gt;90,91,"")</f>
        <v/>
      </c>
      <c r="EK94" s="17" t="str">
        <f t="shared" si="30"/>
        <v/>
      </c>
      <c r="EL94" s="57" t="str">
        <f>IF(ISNA(VLOOKUP(EK94,'ODBC Data'!$B$1:$J$500,3,0)),"",VLOOKUP(EK94,'ODBC Data'!$B$1:$J$500,3,0))</f>
        <v/>
      </c>
      <c r="EM94" s="57" t="str">
        <f>IF(ISNA(VLOOKUP(EK94,'ODBC Data'!$B$1:$J$500,4,0)),"",VLOOKUP(EK94,'ODBC Data'!$B$1:$J$500,4,0))</f>
        <v/>
      </c>
      <c r="EN94" s="57" t="str">
        <f>IF(ISNA(VLOOKUP(EK94,'ODBC Data'!$B$1:$J$500,5,0)),"",VLOOKUP(EK94,'ODBC Data'!$B$1:$J$500,5,0))</f>
        <v/>
      </c>
    </row>
    <row r="95" spans="97:144">
      <c r="CS95" s="19" t="str">
        <f>IF('ODBC Data'!$I$15&gt;91,'ODBC Data'!$H$15,"")</f>
        <v/>
      </c>
      <c r="CT95" s="19" t="str">
        <f>IF('ODBC Data'!$I$15&gt;91,92,"")</f>
        <v/>
      </c>
      <c r="CU95" s="17" t="str">
        <f t="shared" si="29"/>
        <v/>
      </c>
      <c r="CV95" s="57" t="str">
        <f>IF(ISNA(VLOOKUP(CU95,'ODBC Data'!$B$1:$J$500,3,0)),"",VLOOKUP(CU95,'ODBC Data'!$B$1:$J$500,3,0))</f>
        <v/>
      </c>
      <c r="CW95" s="57" t="str">
        <f>IF(ISNA(VLOOKUP(CU95,'ODBC Data'!$B$1:$J$500,4,0)),"",VLOOKUP(CU95,'ODBC Data'!$B$1:$J$500,4,0))</f>
        <v/>
      </c>
      <c r="CX95" s="57" t="str">
        <f>IF(ISNA(VLOOKUP(CU95,'ODBC Data'!$B$1:$J$500,5,0)),"",VLOOKUP(CU95,'ODBC Data'!$B$1:$J$500,5,0))</f>
        <v/>
      </c>
      <c r="EI95" s="19" t="str">
        <f>IF('ODBC Data'!$I$21&gt;91,'ODBC Data'!$H$21,"")</f>
        <v/>
      </c>
      <c r="EJ95" s="19" t="str">
        <f>IF('ODBC Data'!$I$21&gt;91,92,"")</f>
        <v/>
      </c>
      <c r="EK95" s="17" t="str">
        <f t="shared" si="30"/>
        <v/>
      </c>
      <c r="EL95" s="57" t="str">
        <f>IF(ISNA(VLOOKUP(EK95,'ODBC Data'!$B$1:$J$500,3,0)),"",VLOOKUP(EK95,'ODBC Data'!$B$1:$J$500,3,0))</f>
        <v/>
      </c>
      <c r="EM95" s="57" t="str">
        <f>IF(ISNA(VLOOKUP(EK95,'ODBC Data'!$B$1:$J$500,4,0)),"",VLOOKUP(EK95,'ODBC Data'!$B$1:$J$500,4,0))</f>
        <v/>
      </c>
      <c r="EN95" s="57" t="str">
        <f>IF(ISNA(VLOOKUP(EK95,'ODBC Data'!$B$1:$J$500,5,0)),"",VLOOKUP(EK95,'ODBC Data'!$B$1:$J$500,5,0))</f>
        <v/>
      </c>
    </row>
    <row r="96" spans="97:144">
      <c r="CS96" s="19" t="str">
        <f>IF('ODBC Data'!$I$15&gt;92,'ODBC Data'!$H$15,"")</f>
        <v/>
      </c>
      <c r="CT96" s="19" t="str">
        <f>IF('ODBC Data'!$I$15&gt;92,93,"")</f>
        <v/>
      </c>
      <c r="CU96" s="17" t="str">
        <f t="shared" si="29"/>
        <v/>
      </c>
      <c r="CV96" s="57" t="str">
        <f>IF(ISNA(VLOOKUP(CU96,'ODBC Data'!$B$1:$J$500,3,0)),"",VLOOKUP(CU96,'ODBC Data'!$B$1:$J$500,3,0))</f>
        <v/>
      </c>
      <c r="CW96" s="57" t="str">
        <f>IF(ISNA(VLOOKUP(CU96,'ODBC Data'!$B$1:$J$500,4,0)),"",VLOOKUP(CU96,'ODBC Data'!$B$1:$J$500,4,0))</f>
        <v/>
      </c>
      <c r="CX96" s="57" t="str">
        <f>IF(ISNA(VLOOKUP(CU96,'ODBC Data'!$B$1:$J$500,5,0)),"",VLOOKUP(CU96,'ODBC Data'!$B$1:$J$500,5,0))</f>
        <v/>
      </c>
      <c r="EI96" s="19" t="str">
        <f>IF('ODBC Data'!$I$21&gt;92,'ODBC Data'!$H$21,"")</f>
        <v/>
      </c>
      <c r="EJ96" s="19" t="str">
        <f>IF('ODBC Data'!$I$21&gt;92,93,"")</f>
        <v/>
      </c>
      <c r="EK96" s="17" t="str">
        <f t="shared" si="30"/>
        <v/>
      </c>
      <c r="EL96" s="57" t="str">
        <f>IF(ISNA(VLOOKUP(EK96,'ODBC Data'!$B$1:$J$500,3,0)),"",VLOOKUP(EK96,'ODBC Data'!$B$1:$J$500,3,0))</f>
        <v/>
      </c>
      <c r="EM96" s="57" t="str">
        <f>IF(ISNA(VLOOKUP(EK96,'ODBC Data'!$B$1:$J$500,4,0)),"",VLOOKUP(EK96,'ODBC Data'!$B$1:$J$500,4,0))</f>
        <v/>
      </c>
      <c r="EN96" s="57" t="str">
        <f>IF(ISNA(VLOOKUP(EK96,'ODBC Data'!$B$1:$J$500,5,0)),"",VLOOKUP(EK96,'ODBC Data'!$B$1:$J$500,5,0))</f>
        <v/>
      </c>
    </row>
    <row r="97" spans="97:144">
      <c r="CS97" s="19" t="str">
        <f>IF('ODBC Data'!$I$15&gt;93,'ODBC Data'!$H$15,"")</f>
        <v/>
      </c>
      <c r="CT97" s="19" t="str">
        <f>IF('ODBC Data'!$I$15&gt;93,94,"")</f>
        <v/>
      </c>
      <c r="CU97" s="17" t="str">
        <f t="shared" si="29"/>
        <v/>
      </c>
      <c r="CV97" s="57" t="str">
        <f>IF(ISNA(VLOOKUP(CU97,'ODBC Data'!$B$1:$J$500,3,0)),"",VLOOKUP(CU97,'ODBC Data'!$B$1:$J$500,3,0))</f>
        <v/>
      </c>
      <c r="CW97" s="57" t="str">
        <f>IF(ISNA(VLOOKUP(CU97,'ODBC Data'!$B$1:$J$500,4,0)),"",VLOOKUP(CU97,'ODBC Data'!$B$1:$J$500,4,0))</f>
        <v/>
      </c>
      <c r="CX97" s="57" t="str">
        <f>IF(ISNA(VLOOKUP(CU97,'ODBC Data'!$B$1:$J$500,5,0)),"",VLOOKUP(CU97,'ODBC Data'!$B$1:$J$500,5,0))</f>
        <v/>
      </c>
      <c r="EI97" s="19" t="str">
        <f>IF('ODBC Data'!$I$21&gt;93,'ODBC Data'!$H$21,"")</f>
        <v/>
      </c>
      <c r="EJ97" s="19" t="str">
        <f>IF('ODBC Data'!$I$21&gt;93,94,"")</f>
        <v/>
      </c>
      <c r="EK97" s="17" t="str">
        <f t="shared" si="30"/>
        <v/>
      </c>
      <c r="EL97" s="57" t="str">
        <f>IF(ISNA(VLOOKUP(EK97,'ODBC Data'!$B$1:$J$500,3,0)),"",VLOOKUP(EK97,'ODBC Data'!$B$1:$J$500,3,0))</f>
        <v/>
      </c>
      <c r="EM97" s="57" t="str">
        <f>IF(ISNA(VLOOKUP(EK97,'ODBC Data'!$B$1:$J$500,4,0)),"",VLOOKUP(EK97,'ODBC Data'!$B$1:$J$500,4,0))</f>
        <v/>
      </c>
      <c r="EN97" s="57" t="str">
        <f>IF(ISNA(VLOOKUP(EK97,'ODBC Data'!$B$1:$J$500,5,0)),"",VLOOKUP(EK97,'ODBC Data'!$B$1:$J$500,5,0))</f>
        <v/>
      </c>
    </row>
    <row r="98" spans="97:144">
      <c r="CS98" s="19" t="str">
        <f>IF('ODBC Data'!$I$15&gt;94,'ODBC Data'!$H$15,"")</f>
        <v/>
      </c>
      <c r="CT98" s="19" t="str">
        <f>IF('ODBC Data'!$I$15&gt;94,95,"")</f>
        <v/>
      </c>
      <c r="CU98" s="17" t="str">
        <f t="shared" si="29"/>
        <v/>
      </c>
      <c r="CV98" s="57" t="str">
        <f>IF(ISNA(VLOOKUP(CU98,'ODBC Data'!$B$1:$J$500,3,0)),"",VLOOKUP(CU98,'ODBC Data'!$B$1:$J$500,3,0))</f>
        <v/>
      </c>
      <c r="CW98" s="57" t="str">
        <f>IF(ISNA(VLOOKUP(CU98,'ODBC Data'!$B$1:$J$500,4,0)),"",VLOOKUP(CU98,'ODBC Data'!$B$1:$J$500,4,0))</f>
        <v/>
      </c>
      <c r="CX98" s="57" t="str">
        <f>IF(ISNA(VLOOKUP(CU98,'ODBC Data'!$B$1:$J$500,5,0)),"",VLOOKUP(CU98,'ODBC Data'!$B$1:$J$500,5,0))</f>
        <v/>
      </c>
      <c r="EI98" s="19" t="str">
        <f>IF('ODBC Data'!$I$21&gt;94,'ODBC Data'!$H$21,"")</f>
        <v/>
      </c>
      <c r="EJ98" s="19" t="str">
        <f>IF('ODBC Data'!$I$21&gt;94,95,"")</f>
        <v/>
      </c>
      <c r="EK98" s="17" t="str">
        <f t="shared" si="30"/>
        <v/>
      </c>
      <c r="EL98" s="57" t="str">
        <f>IF(ISNA(VLOOKUP(EK98,'ODBC Data'!$B$1:$J$500,3,0)),"",VLOOKUP(EK98,'ODBC Data'!$B$1:$J$500,3,0))</f>
        <v/>
      </c>
      <c r="EM98" s="57" t="str">
        <f>IF(ISNA(VLOOKUP(EK98,'ODBC Data'!$B$1:$J$500,4,0)),"",VLOOKUP(EK98,'ODBC Data'!$B$1:$J$500,4,0))</f>
        <v/>
      </c>
      <c r="EN98" s="57" t="str">
        <f>IF(ISNA(VLOOKUP(EK98,'ODBC Data'!$B$1:$J$500,5,0)),"",VLOOKUP(EK98,'ODBC Data'!$B$1:$J$500,5,0))</f>
        <v/>
      </c>
    </row>
    <row r="99" spans="97:144">
      <c r="CS99" s="19" t="str">
        <f>IF('ODBC Data'!$I$15&gt;95,'ODBC Data'!$H$15,"")</f>
        <v/>
      </c>
      <c r="CT99" s="19" t="str">
        <f>IF('ODBC Data'!$I$15&gt;95,96,"")</f>
        <v/>
      </c>
      <c r="CU99" s="17" t="str">
        <f t="shared" si="29"/>
        <v/>
      </c>
      <c r="CV99" s="57" t="str">
        <f>IF(ISNA(VLOOKUP(CU99,'ODBC Data'!$B$1:$J$500,3,0)),"",VLOOKUP(CU99,'ODBC Data'!$B$1:$J$500,3,0))</f>
        <v/>
      </c>
      <c r="CW99" s="57" t="str">
        <f>IF(ISNA(VLOOKUP(CU99,'ODBC Data'!$B$1:$J$500,4,0)),"",VLOOKUP(CU99,'ODBC Data'!$B$1:$J$500,4,0))</f>
        <v/>
      </c>
      <c r="CX99" s="57" t="str">
        <f>IF(ISNA(VLOOKUP(CU99,'ODBC Data'!$B$1:$J$500,5,0)),"",VLOOKUP(CU99,'ODBC Data'!$B$1:$J$500,5,0))</f>
        <v/>
      </c>
      <c r="EI99" s="19" t="str">
        <f>IF('ODBC Data'!$I$21&gt;95,'ODBC Data'!$H$21,"")</f>
        <v/>
      </c>
      <c r="EJ99" s="19" t="str">
        <f>IF('ODBC Data'!$I$21&gt;95,96,"")</f>
        <v/>
      </c>
      <c r="EK99" s="17" t="str">
        <f t="shared" si="30"/>
        <v/>
      </c>
      <c r="EL99" s="57" t="str">
        <f>IF(ISNA(VLOOKUP(EK99,'ODBC Data'!$B$1:$J$500,3,0)),"",VLOOKUP(EK99,'ODBC Data'!$B$1:$J$500,3,0))</f>
        <v/>
      </c>
      <c r="EM99" s="57" t="str">
        <f>IF(ISNA(VLOOKUP(EK99,'ODBC Data'!$B$1:$J$500,4,0)),"",VLOOKUP(EK99,'ODBC Data'!$B$1:$J$500,4,0))</f>
        <v/>
      </c>
      <c r="EN99" s="57" t="str">
        <f>IF(ISNA(VLOOKUP(EK99,'ODBC Data'!$B$1:$J$500,5,0)),"",VLOOKUP(EK99,'ODBC Data'!$B$1:$J$500,5,0))</f>
        <v/>
      </c>
    </row>
    <row r="100" spans="97:144">
      <c r="CS100" s="19" t="str">
        <f>IF('ODBC Data'!$I$15&gt;96,'ODBC Data'!$H$15,"")</f>
        <v/>
      </c>
      <c r="CT100" s="19" t="str">
        <f>IF('ODBC Data'!$I$15&gt;96,97,"")</f>
        <v/>
      </c>
      <c r="CU100" s="17" t="str">
        <f t="shared" si="29"/>
        <v/>
      </c>
      <c r="CV100" s="57" t="str">
        <f>IF(ISNA(VLOOKUP(CU100,'ODBC Data'!$B$1:$J$500,3,0)),"",VLOOKUP(CU100,'ODBC Data'!$B$1:$J$500,3,0))</f>
        <v/>
      </c>
      <c r="CW100" s="57" t="str">
        <f>IF(ISNA(VLOOKUP(CU100,'ODBC Data'!$B$1:$J$500,4,0)),"",VLOOKUP(CU100,'ODBC Data'!$B$1:$J$500,4,0))</f>
        <v/>
      </c>
      <c r="CX100" s="57" t="str">
        <f>IF(ISNA(VLOOKUP(CU100,'ODBC Data'!$B$1:$J$500,5,0)),"",VLOOKUP(CU100,'ODBC Data'!$B$1:$J$500,5,0))</f>
        <v/>
      </c>
      <c r="EI100" s="19" t="str">
        <f>IF('ODBC Data'!$I$21&gt;96,'ODBC Data'!$H$21,"")</f>
        <v/>
      </c>
      <c r="EJ100" s="19" t="str">
        <f>IF('ODBC Data'!$I$21&gt;96,97,"")</f>
        <v/>
      </c>
      <c r="EK100" s="17" t="str">
        <f t="shared" si="30"/>
        <v/>
      </c>
      <c r="EL100" s="57" t="str">
        <f>IF(ISNA(VLOOKUP(EK100,'ODBC Data'!$B$1:$J$500,3,0)),"",VLOOKUP(EK100,'ODBC Data'!$B$1:$J$500,3,0))</f>
        <v/>
      </c>
      <c r="EM100" s="57" t="str">
        <f>IF(ISNA(VLOOKUP(EK100,'ODBC Data'!$B$1:$J$500,4,0)),"",VLOOKUP(EK100,'ODBC Data'!$B$1:$J$500,4,0))</f>
        <v/>
      </c>
      <c r="EN100" s="57" t="str">
        <f>IF(ISNA(VLOOKUP(EK100,'ODBC Data'!$B$1:$J$500,5,0)),"",VLOOKUP(EK100,'ODBC Data'!$B$1:$J$500,5,0))</f>
        <v/>
      </c>
    </row>
    <row r="101" spans="97:144">
      <c r="CS101" s="19" t="str">
        <f>IF('ODBC Data'!$I$15&gt;97,'ODBC Data'!$H$15,"")</f>
        <v/>
      </c>
      <c r="CT101" s="19" t="str">
        <f>IF('ODBC Data'!$I$15&gt;97,98,"")</f>
        <v/>
      </c>
      <c r="CU101" s="17" t="str">
        <f t="shared" si="29"/>
        <v/>
      </c>
      <c r="CV101" s="57" t="str">
        <f>IF(ISNA(VLOOKUP(CU101,'ODBC Data'!$B$1:$J$500,3,0)),"",VLOOKUP(CU101,'ODBC Data'!$B$1:$J$500,3,0))</f>
        <v/>
      </c>
      <c r="CW101" s="57" t="str">
        <f>IF(ISNA(VLOOKUP(CU101,'ODBC Data'!$B$1:$J$500,4,0)),"",VLOOKUP(CU101,'ODBC Data'!$B$1:$J$500,4,0))</f>
        <v/>
      </c>
      <c r="CX101" s="57" t="str">
        <f>IF(ISNA(VLOOKUP(CU101,'ODBC Data'!$B$1:$J$500,5,0)),"",VLOOKUP(CU101,'ODBC Data'!$B$1:$J$500,5,0))</f>
        <v/>
      </c>
      <c r="EI101" s="19" t="str">
        <f>IF('ODBC Data'!$I$21&gt;97,'ODBC Data'!$H$21,"")</f>
        <v/>
      </c>
      <c r="EJ101" s="19" t="str">
        <f>IF('ODBC Data'!$I$21&gt;97,98,"")</f>
        <v/>
      </c>
      <c r="EK101" s="17" t="str">
        <f t="shared" si="30"/>
        <v/>
      </c>
      <c r="EL101" s="57" t="str">
        <f>IF(ISNA(VLOOKUP(EK101,'ODBC Data'!$B$1:$J$500,3,0)),"",VLOOKUP(EK101,'ODBC Data'!$B$1:$J$500,3,0))</f>
        <v/>
      </c>
      <c r="EM101" s="57" t="str">
        <f>IF(ISNA(VLOOKUP(EK101,'ODBC Data'!$B$1:$J$500,4,0)),"",VLOOKUP(EK101,'ODBC Data'!$B$1:$J$500,4,0))</f>
        <v/>
      </c>
      <c r="EN101" s="57" t="str">
        <f>IF(ISNA(VLOOKUP(EK101,'ODBC Data'!$B$1:$J$500,5,0)),"",VLOOKUP(EK101,'ODBC Data'!$B$1:$J$500,5,0))</f>
        <v/>
      </c>
    </row>
    <row r="102" spans="97:144">
      <c r="CS102" s="19" t="str">
        <f>IF('ODBC Data'!$I$15&gt;98,'ODBC Data'!$H$15,"")</f>
        <v/>
      </c>
      <c r="CT102" s="19" t="str">
        <f>IF('ODBC Data'!$I$15&gt;98,99,"")</f>
        <v/>
      </c>
      <c r="CU102" s="17" t="str">
        <f t="shared" si="29"/>
        <v/>
      </c>
      <c r="CV102" s="57" t="str">
        <f>IF(ISNA(VLOOKUP(CU102,'ODBC Data'!$B$1:$J$500,3,0)),"",VLOOKUP(CU102,'ODBC Data'!$B$1:$J$500,3,0))</f>
        <v/>
      </c>
      <c r="CW102" s="57" t="str">
        <f>IF(ISNA(VLOOKUP(CU102,'ODBC Data'!$B$1:$J$500,4,0)),"",VLOOKUP(CU102,'ODBC Data'!$B$1:$J$500,4,0))</f>
        <v/>
      </c>
      <c r="CX102" s="57" t="str">
        <f>IF(ISNA(VLOOKUP(CU102,'ODBC Data'!$B$1:$J$500,5,0)),"",VLOOKUP(CU102,'ODBC Data'!$B$1:$J$500,5,0))</f>
        <v/>
      </c>
      <c r="EI102" s="19" t="str">
        <f>IF('ODBC Data'!$I$21&gt;98,'ODBC Data'!$H$21,"")</f>
        <v/>
      </c>
      <c r="EJ102" s="19" t="str">
        <f>IF('ODBC Data'!$I$21&gt;98,99,"")</f>
        <v/>
      </c>
      <c r="EK102" s="17" t="str">
        <f t="shared" si="30"/>
        <v/>
      </c>
      <c r="EL102" s="57" t="str">
        <f>IF(ISNA(VLOOKUP(EK102,'ODBC Data'!$B$1:$J$500,3,0)),"",VLOOKUP(EK102,'ODBC Data'!$B$1:$J$500,3,0))</f>
        <v/>
      </c>
      <c r="EM102" s="57" t="str">
        <f>IF(ISNA(VLOOKUP(EK102,'ODBC Data'!$B$1:$J$500,4,0)),"",VLOOKUP(EK102,'ODBC Data'!$B$1:$J$500,4,0))</f>
        <v/>
      </c>
      <c r="EN102" s="57" t="str">
        <f>IF(ISNA(VLOOKUP(EK102,'ODBC Data'!$B$1:$J$500,5,0)),"",VLOOKUP(EK102,'ODBC Data'!$B$1:$J$500,5,0))</f>
        <v/>
      </c>
    </row>
    <row r="103" spans="97:144">
      <c r="CS103" s="19" t="str">
        <f>IF('ODBC Data'!$I$15&gt;99,'ODBC Data'!$H$15,"")</f>
        <v/>
      </c>
      <c r="CT103" s="19" t="str">
        <f>IF('ODBC Data'!$I$15&gt;99,100,"")</f>
        <v/>
      </c>
      <c r="CU103" s="17" t="str">
        <f t="shared" si="29"/>
        <v/>
      </c>
      <c r="CV103" s="57" t="str">
        <f>IF(ISNA(VLOOKUP(CU103,'ODBC Data'!$B$1:$J$500,3,0)),"",VLOOKUP(CU103,'ODBC Data'!$B$1:$J$500,3,0))</f>
        <v/>
      </c>
      <c r="CW103" s="57" t="str">
        <f>IF(ISNA(VLOOKUP(CU103,'ODBC Data'!$B$1:$J$500,4,0)),"",VLOOKUP(CU103,'ODBC Data'!$B$1:$J$500,4,0))</f>
        <v/>
      </c>
      <c r="CX103" s="57" t="str">
        <f>IF(ISNA(VLOOKUP(CU103,'ODBC Data'!$B$1:$J$500,5,0)),"",VLOOKUP(CU103,'ODBC Data'!$B$1:$J$500,5,0))</f>
        <v/>
      </c>
      <c r="EI103" s="19" t="str">
        <f>IF('ODBC Data'!$I$21&gt;99,'ODBC Data'!$H$21,"")</f>
        <v/>
      </c>
      <c r="EJ103" s="19" t="str">
        <f>IF('ODBC Data'!$I$21&gt;99,100,"")</f>
        <v/>
      </c>
      <c r="EK103" s="17" t="str">
        <f t="shared" si="30"/>
        <v/>
      </c>
      <c r="EL103" s="57" t="str">
        <f>IF(ISNA(VLOOKUP(EK103,'ODBC Data'!$B$1:$J$500,3,0)),"",VLOOKUP(EK103,'ODBC Data'!$B$1:$J$500,3,0))</f>
        <v/>
      </c>
      <c r="EM103" s="57" t="str">
        <f>IF(ISNA(VLOOKUP(EK103,'ODBC Data'!$B$1:$J$500,4,0)),"",VLOOKUP(EK103,'ODBC Data'!$B$1:$J$500,4,0))</f>
        <v/>
      </c>
      <c r="EN103" s="57" t="str">
        <f>IF(ISNA(VLOOKUP(EK103,'ODBC Data'!$B$1:$J$500,5,0)),"",VLOOKUP(EK103,'ODBC Data'!$B$1:$J$500,5,0))</f>
        <v/>
      </c>
    </row>
    <row r="104" spans="97:144">
      <c r="CS104" s="19" t="str">
        <f>IF('ODBC Data'!$I$15&gt;100,'ODBC Data'!$H$15,"")</f>
        <v/>
      </c>
      <c r="CT104" s="19" t="str">
        <f>IF('ODBC Data'!$I$15&gt;100,101,"")</f>
        <v/>
      </c>
      <c r="CU104" s="17" t="str">
        <f t="shared" si="29"/>
        <v/>
      </c>
      <c r="CV104" s="57" t="str">
        <f>IF(ISNA(VLOOKUP(CU104,'ODBC Data'!$B$1:$J$500,3,0)),"",VLOOKUP(CU104,'ODBC Data'!$B$1:$J$500,3,0))</f>
        <v/>
      </c>
      <c r="CW104" s="57" t="str">
        <f>IF(ISNA(VLOOKUP(CU104,'ODBC Data'!$B$1:$J$500,4,0)),"",VLOOKUP(CU104,'ODBC Data'!$B$1:$J$500,4,0))</f>
        <v/>
      </c>
      <c r="CX104" s="57" t="str">
        <f>IF(ISNA(VLOOKUP(CU104,'ODBC Data'!$B$1:$J$500,5,0)),"",VLOOKUP(CU104,'ODBC Data'!$B$1:$J$500,5,0))</f>
        <v/>
      </c>
      <c r="EI104" s="19" t="str">
        <f>IF('ODBC Data'!$I$21&gt;100,'ODBC Data'!$H$21,"")</f>
        <v/>
      </c>
      <c r="EJ104" s="19" t="str">
        <f>IF('ODBC Data'!$I$21&gt;100,101,"")</f>
        <v/>
      </c>
      <c r="EK104" s="17" t="str">
        <f t="shared" si="30"/>
        <v/>
      </c>
      <c r="EL104" s="57" t="str">
        <f>IF(ISNA(VLOOKUP(EK104,'ODBC Data'!$B$1:$J$500,3,0)),"",VLOOKUP(EK104,'ODBC Data'!$B$1:$J$500,3,0))</f>
        <v/>
      </c>
      <c r="EM104" s="57" t="str">
        <f>IF(ISNA(VLOOKUP(EK104,'ODBC Data'!$B$1:$J$500,4,0)),"",VLOOKUP(EK104,'ODBC Data'!$B$1:$J$500,4,0))</f>
        <v/>
      </c>
      <c r="EN104" s="57" t="str">
        <f>IF(ISNA(VLOOKUP(EK104,'ODBC Data'!$B$1:$J$500,5,0)),"",VLOOKUP(EK104,'ODBC Data'!$B$1:$J$500,5,0))</f>
        <v/>
      </c>
    </row>
    <row r="105" spans="97:144">
      <c r="CS105" s="19" t="str">
        <f>IF('ODBC Data'!$I$15&gt;101,'ODBC Data'!$H$15,"")</f>
        <v/>
      </c>
      <c r="CT105" s="19" t="str">
        <f>IF('ODBC Data'!$I$15&gt;101,102,"")</f>
        <v/>
      </c>
      <c r="CU105" s="17" t="str">
        <f t="shared" si="29"/>
        <v/>
      </c>
      <c r="CV105" s="57" t="str">
        <f>IF(ISNA(VLOOKUP(CU105,'ODBC Data'!$B$1:$J$500,3,0)),"",VLOOKUP(CU105,'ODBC Data'!$B$1:$J$500,3,0))</f>
        <v/>
      </c>
      <c r="CW105" s="57" t="str">
        <f>IF(ISNA(VLOOKUP(CU105,'ODBC Data'!$B$1:$J$500,4,0)),"",VLOOKUP(CU105,'ODBC Data'!$B$1:$J$500,4,0))</f>
        <v/>
      </c>
      <c r="CX105" s="57" t="str">
        <f>IF(ISNA(VLOOKUP(CU105,'ODBC Data'!$B$1:$J$500,5,0)),"",VLOOKUP(CU105,'ODBC Data'!$B$1:$J$500,5,0))</f>
        <v/>
      </c>
      <c r="EI105" s="19" t="str">
        <f>IF('ODBC Data'!$I$21&gt;101,'ODBC Data'!$H$21,"")</f>
        <v/>
      </c>
      <c r="EJ105" s="19" t="str">
        <f>IF('ODBC Data'!$I$21&gt;101,102,"")</f>
        <v/>
      </c>
      <c r="EK105" s="17" t="str">
        <f t="shared" si="30"/>
        <v/>
      </c>
      <c r="EL105" s="57" t="str">
        <f>IF(ISNA(VLOOKUP(EK105,'ODBC Data'!$B$1:$J$500,3,0)),"",VLOOKUP(EK105,'ODBC Data'!$B$1:$J$500,3,0))</f>
        <v/>
      </c>
      <c r="EM105" s="57" t="str">
        <f>IF(ISNA(VLOOKUP(EK105,'ODBC Data'!$B$1:$J$500,4,0)),"",VLOOKUP(EK105,'ODBC Data'!$B$1:$J$500,4,0))</f>
        <v/>
      </c>
      <c r="EN105" s="57" t="str">
        <f>IF(ISNA(VLOOKUP(EK105,'ODBC Data'!$B$1:$J$500,5,0)),"",VLOOKUP(EK105,'ODBC Data'!$B$1:$J$500,5,0))</f>
        <v/>
      </c>
    </row>
    <row r="106" spans="97:144">
      <c r="CS106" s="19" t="str">
        <f>IF('ODBC Data'!$I$15&gt;102,'ODBC Data'!$H$15,"")</f>
        <v/>
      </c>
      <c r="CT106" s="19" t="str">
        <f>IF('ODBC Data'!$I$15&gt;102,103,"")</f>
        <v/>
      </c>
      <c r="CU106" s="17" t="str">
        <f t="shared" si="29"/>
        <v/>
      </c>
      <c r="CV106" s="57" t="str">
        <f>IF(ISNA(VLOOKUP(CU106,'ODBC Data'!$B$1:$J$500,3,0)),"",VLOOKUP(CU106,'ODBC Data'!$B$1:$J$500,3,0))</f>
        <v/>
      </c>
      <c r="CW106" s="57" t="str">
        <f>IF(ISNA(VLOOKUP(CU106,'ODBC Data'!$B$1:$J$500,4,0)),"",VLOOKUP(CU106,'ODBC Data'!$B$1:$J$500,4,0))</f>
        <v/>
      </c>
      <c r="CX106" s="57" t="str">
        <f>IF(ISNA(VLOOKUP(CU106,'ODBC Data'!$B$1:$J$500,5,0)),"",VLOOKUP(CU106,'ODBC Data'!$B$1:$J$500,5,0))</f>
        <v/>
      </c>
      <c r="EI106" s="19" t="str">
        <f>IF('ODBC Data'!$I$21&gt;102,'ODBC Data'!$H$21,"")</f>
        <v/>
      </c>
      <c r="EJ106" s="19" t="str">
        <f>IF('ODBC Data'!$I$21&gt;102,103,"")</f>
        <v/>
      </c>
      <c r="EK106" s="17" t="str">
        <f t="shared" si="30"/>
        <v/>
      </c>
      <c r="EL106" s="57" t="str">
        <f>IF(ISNA(VLOOKUP(EK106,'ODBC Data'!$B$1:$J$500,3,0)),"",VLOOKUP(EK106,'ODBC Data'!$B$1:$J$500,3,0))</f>
        <v/>
      </c>
      <c r="EM106" s="57" t="str">
        <f>IF(ISNA(VLOOKUP(EK106,'ODBC Data'!$B$1:$J$500,4,0)),"",VLOOKUP(EK106,'ODBC Data'!$B$1:$J$500,4,0))</f>
        <v/>
      </c>
      <c r="EN106" s="57" t="str">
        <f>IF(ISNA(VLOOKUP(EK106,'ODBC Data'!$B$1:$J$500,5,0)),"",VLOOKUP(EK106,'ODBC Data'!$B$1:$J$500,5,0))</f>
        <v/>
      </c>
    </row>
    <row r="107" spans="97:144">
      <c r="CS107" s="19" t="str">
        <f>IF('ODBC Data'!$I$15&gt;103,'ODBC Data'!$H$15,"")</f>
        <v/>
      </c>
      <c r="CT107" s="19" t="str">
        <f>IF('ODBC Data'!$I$15&gt;103,104,"")</f>
        <v/>
      </c>
      <c r="CU107" s="17" t="str">
        <f t="shared" si="29"/>
        <v/>
      </c>
      <c r="CV107" s="57" t="str">
        <f>IF(ISNA(VLOOKUP(CU107,'ODBC Data'!$B$1:$J$500,3,0)),"",VLOOKUP(CU107,'ODBC Data'!$B$1:$J$500,3,0))</f>
        <v/>
      </c>
      <c r="CW107" s="57" t="str">
        <f>IF(ISNA(VLOOKUP(CU107,'ODBC Data'!$B$1:$J$500,4,0)),"",VLOOKUP(CU107,'ODBC Data'!$B$1:$J$500,4,0))</f>
        <v/>
      </c>
      <c r="CX107" s="57" t="str">
        <f>IF(ISNA(VLOOKUP(CU107,'ODBC Data'!$B$1:$J$500,5,0)),"",VLOOKUP(CU107,'ODBC Data'!$B$1:$J$500,5,0))</f>
        <v/>
      </c>
      <c r="EI107" s="19" t="str">
        <f>IF('ODBC Data'!$I$21&gt;103,'ODBC Data'!$H$21,"")</f>
        <v/>
      </c>
      <c r="EJ107" s="19" t="str">
        <f>IF('ODBC Data'!$I$21&gt;103,104,"")</f>
        <v/>
      </c>
      <c r="EK107" s="17" t="str">
        <f t="shared" si="30"/>
        <v/>
      </c>
      <c r="EL107" s="57" t="str">
        <f>IF(ISNA(VLOOKUP(EK107,'ODBC Data'!$B$1:$J$500,3,0)),"",VLOOKUP(EK107,'ODBC Data'!$B$1:$J$500,3,0))</f>
        <v/>
      </c>
      <c r="EM107" s="57" t="str">
        <f>IF(ISNA(VLOOKUP(EK107,'ODBC Data'!$B$1:$J$500,4,0)),"",VLOOKUP(EK107,'ODBC Data'!$B$1:$J$500,4,0))</f>
        <v/>
      </c>
      <c r="EN107" s="57" t="str">
        <f>IF(ISNA(VLOOKUP(EK107,'ODBC Data'!$B$1:$J$500,5,0)),"",VLOOKUP(EK107,'ODBC Data'!$B$1:$J$500,5,0))</f>
        <v/>
      </c>
    </row>
    <row r="108" spans="97:144">
      <c r="CS108" s="19" t="str">
        <f>IF('ODBC Data'!$I$15&gt;104,'ODBC Data'!$H$15,"")</f>
        <v/>
      </c>
      <c r="CT108" s="19" t="str">
        <f>IF('ODBC Data'!$I$15&gt;104,105,"")</f>
        <v/>
      </c>
      <c r="CU108" s="17" t="str">
        <f t="shared" si="29"/>
        <v/>
      </c>
      <c r="CV108" s="57" t="str">
        <f>IF(ISNA(VLOOKUP(CU108,'ODBC Data'!$B$1:$J$500,3,0)),"",VLOOKUP(CU108,'ODBC Data'!$B$1:$J$500,3,0))</f>
        <v/>
      </c>
      <c r="CW108" s="57" t="str">
        <f>IF(ISNA(VLOOKUP(CU108,'ODBC Data'!$B$1:$J$500,4,0)),"",VLOOKUP(CU108,'ODBC Data'!$B$1:$J$500,4,0))</f>
        <v/>
      </c>
      <c r="CX108" s="57" t="str">
        <f>IF(ISNA(VLOOKUP(CU108,'ODBC Data'!$B$1:$J$500,5,0)),"",VLOOKUP(CU108,'ODBC Data'!$B$1:$J$500,5,0))</f>
        <v/>
      </c>
      <c r="EI108" s="19" t="str">
        <f>IF('ODBC Data'!$I$21&gt;104,'ODBC Data'!$H$21,"")</f>
        <v/>
      </c>
      <c r="EJ108" s="19" t="str">
        <f>IF('ODBC Data'!$I$21&gt;104,105,"")</f>
        <v/>
      </c>
      <c r="EK108" s="17" t="str">
        <f t="shared" si="30"/>
        <v/>
      </c>
      <c r="EL108" s="57" t="str">
        <f>IF(ISNA(VLOOKUP(EK108,'ODBC Data'!$B$1:$J$500,3,0)),"",VLOOKUP(EK108,'ODBC Data'!$B$1:$J$500,3,0))</f>
        <v/>
      </c>
      <c r="EM108" s="57" t="str">
        <f>IF(ISNA(VLOOKUP(EK108,'ODBC Data'!$B$1:$J$500,4,0)),"",VLOOKUP(EK108,'ODBC Data'!$B$1:$J$500,4,0))</f>
        <v/>
      </c>
      <c r="EN108" s="57" t="str">
        <f>IF(ISNA(VLOOKUP(EK108,'ODBC Data'!$B$1:$J$500,5,0)),"",VLOOKUP(EK108,'ODBC Data'!$B$1:$J$500,5,0))</f>
        <v/>
      </c>
    </row>
    <row r="109" spans="97:144">
      <c r="CS109" s="19" t="str">
        <f>IF('ODBC Data'!$I$15&gt;105,'ODBC Data'!$H$15,"")</f>
        <v/>
      </c>
      <c r="CT109" s="19" t="str">
        <f>IF('ODBC Data'!$I$15&gt;105,106,"")</f>
        <v/>
      </c>
      <c r="CU109" s="17" t="str">
        <f t="shared" si="29"/>
        <v/>
      </c>
      <c r="CV109" s="57" t="str">
        <f>IF(ISNA(VLOOKUP(CU109,'ODBC Data'!$B$1:$J$500,3,0)),"",VLOOKUP(CU109,'ODBC Data'!$B$1:$J$500,3,0))</f>
        <v/>
      </c>
      <c r="CW109" s="57" t="str">
        <f>IF(ISNA(VLOOKUP(CU109,'ODBC Data'!$B$1:$J$500,4,0)),"",VLOOKUP(CU109,'ODBC Data'!$B$1:$J$500,4,0))</f>
        <v/>
      </c>
      <c r="CX109" s="57" t="str">
        <f>IF(ISNA(VLOOKUP(CU109,'ODBC Data'!$B$1:$J$500,5,0)),"",VLOOKUP(CU109,'ODBC Data'!$B$1:$J$500,5,0))</f>
        <v/>
      </c>
      <c r="EI109" s="19" t="str">
        <f>IF('ODBC Data'!$I$21&gt;105,'ODBC Data'!$H$21,"")</f>
        <v/>
      </c>
      <c r="EJ109" s="19" t="str">
        <f>IF('ODBC Data'!$I$21&gt;105,106,"")</f>
        <v/>
      </c>
      <c r="EK109" s="17" t="str">
        <f t="shared" si="30"/>
        <v/>
      </c>
      <c r="EL109" s="57" t="str">
        <f>IF(ISNA(VLOOKUP(EK109,'ODBC Data'!$B$1:$J$500,3,0)),"",VLOOKUP(EK109,'ODBC Data'!$B$1:$J$500,3,0))</f>
        <v/>
      </c>
      <c r="EM109" s="57" t="str">
        <f>IF(ISNA(VLOOKUP(EK109,'ODBC Data'!$B$1:$J$500,4,0)),"",VLOOKUP(EK109,'ODBC Data'!$B$1:$J$500,4,0))</f>
        <v/>
      </c>
      <c r="EN109" s="57" t="str">
        <f>IF(ISNA(VLOOKUP(EK109,'ODBC Data'!$B$1:$J$500,5,0)),"",VLOOKUP(EK109,'ODBC Data'!$B$1:$J$500,5,0))</f>
        <v/>
      </c>
    </row>
    <row r="110" spans="97:144">
      <c r="CS110" s="19" t="str">
        <f>IF('ODBC Data'!$I$15&gt;106,'ODBC Data'!$H$15,"")</f>
        <v/>
      </c>
      <c r="CT110" s="19" t="str">
        <f>IF('ODBC Data'!$I$15&gt;106,107,"")</f>
        <v/>
      </c>
      <c r="CU110" s="17" t="str">
        <f t="shared" si="29"/>
        <v/>
      </c>
      <c r="CV110" s="57" t="str">
        <f>IF(ISNA(VLOOKUP(CU110,'ODBC Data'!$B$1:$J$500,3,0)),"",VLOOKUP(CU110,'ODBC Data'!$B$1:$J$500,3,0))</f>
        <v/>
      </c>
      <c r="CW110" s="57" t="str">
        <f>IF(ISNA(VLOOKUP(CU110,'ODBC Data'!$B$1:$J$500,4,0)),"",VLOOKUP(CU110,'ODBC Data'!$B$1:$J$500,4,0))</f>
        <v/>
      </c>
      <c r="CX110" s="57" t="str">
        <f>IF(ISNA(VLOOKUP(CU110,'ODBC Data'!$B$1:$J$500,5,0)),"",VLOOKUP(CU110,'ODBC Data'!$B$1:$J$500,5,0))</f>
        <v/>
      </c>
      <c r="EI110" s="19" t="str">
        <f>IF('ODBC Data'!$I$21&gt;106,'ODBC Data'!$H$21,"")</f>
        <v/>
      </c>
      <c r="EJ110" s="19" t="str">
        <f>IF('ODBC Data'!$I$21&gt;106,107,"")</f>
        <v/>
      </c>
      <c r="EK110" s="17" t="str">
        <f t="shared" si="30"/>
        <v/>
      </c>
      <c r="EL110" s="57" t="str">
        <f>IF(ISNA(VLOOKUP(EK110,'ODBC Data'!$B$1:$J$500,3,0)),"",VLOOKUP(EK110,'ODBC Data'!$B$1:$J$500,3,0))</f>
        <v/>
      </c>
      <c r="EM110" s="57" t="str">
        <f>IF(ISNA(VLOOKUP(EK110,'ODBC Data'!$B$1:$J$500,4,0)),"",VLOOKUP(EK110,'ODBC Data'!$B$1:$J$500,4,0))</f>
        <v/>
      </c>
      <c r="EN110" s="57" t="str">
        <f>IF(ISNA(VLOOKUP(EK110,'ODBC Data'!$B$1:$J$500,5,0)),"",VLOOKUP(EK110,'ODBC Data'!$B$1:$J$500,5,0))</f>
        <v/>
      </c>
    </row>
    <row r="111" spans="97:144">
      <c r="CS111" s="19" t="str">
        <f>IF('ODBC Data'!$I$15&gt;107,'ODBC Data'!$H$15,"")</f>
        <v/>
      </c>
      <c r="CT111" s="19" t="str">
        <f>IF('ODBC Data'!$I$15&gt;107,108,"")</f>
        <v/>
      </c>
      <c r="CU111" s="17" t="str">
        <f t="shared" si="29"/>
        <v/>
      </c>
      <c r="CV111" s="57" t="str">
        <f>IF(ISNA(VLOOKUP(CU111,'ODBC Data'!$B$1:$J$500,3,0)),"",VLOOKUP(CU111,'ODBC Data'!$B$1:$J$500,3,0))</f>
        <v/>
      </c>
      <c r="CW111" s="57" t="str">
        <f>IF(ISNA(VLOOKUP(CU111,'ODBC Data'!$B$1:$J$500,4,0)),"",VLOOKUP(CU111,'ODBC Data'!$B$1:$J$500,4,0))</f>
        <v/>
      </c>
      <c r="CX111" s="57" t="str">
        <f>IF(ISNA(VLOOKUP(CU111,'ODBC Data'!$B$1:$J$500,5,0)),"",VLOOKUP(CU111,'ODBC Data'!$B$1:$J$500,5,0))</f>
        <v/>
      </c>
      <c r="EI111" s="19" t="str">
        <f>IF('ODBC Data'!$I$21&gt;107,'ODBC Data'!$H$21,"")</f>
        <v/>
      </c>
      <c r="EJ111" s="19" t="str">
        <f>IF('ODBC Data'!$I$21&gt;107,108,"")</f>
        <v/>
      </c>
      <c r="EK111" s="17" t="str">
        <f t="shared" si="30"/>
        <v/>
      </c>
      <c r="EL111" s="57" t="str">
        <f>IF(ISNA(VLOOKUP(EK111,'ODBC Data'!$B$1:$J$500,3,0)),"",VLOOKUP(EK111,'ODBC Data'!$B$1:$J$500,3,0))</f>
        <v/>
      </c>
      <c r="EM111" s="57" t="str">
        <f>IF(ISNA(VLOOKUP(EK111,'ODBC Data'!$B$1:$J$500,4,0)),"",VLOOKUP(EK111,'ODBC Data'!$B$1:$J$500,4,0))</f>
        <v/>
      </c>
      <c r="EN111" s="57" t="str">
        <f>IF(ISNA(VLOOKUP(EK111,'ODBC Data'!$B$1:$J$500,5,0)),"",VLOOKUP(EK111,'ODBC Data'!$B$1:$J$500,5,0))</f>
        <v/>
      </c>
    </row>
    <row r="112" spans="97:144">
      <c r="CS112" s="19" t="str">
        <f>IF('ODBC Data'!$I$15&gt;108,'ODBC Data'!$H$15,"")</f>
        <v/>
      </c>
      <c r="CT112" s="19" t="str">
        <f>IF('ODBC Data'!$I$15&gt;108,109,"")</f>
        <v/>
      </c>
      <c r="CU112" s="17" t="str">
        <f t="shared" si="29"/>
        <v/>
      </c>
      <c r="CV112" s="57" t="str">
        <f>IF(ISNA(VLOOKUP(CU112,'ODBC Data'!$B$1:$J$500,3,0)),"",VLOOKUP(CU112,'ODBC Data'!$B$1:$J$500,3,0))</f>
        <v/>
      </c>
      <c r="CW112" s="57" t="str">
        <f>IF(ISNA(VLOOKUP(CU112,'ODBC Data'!$B$1:$J$500,4,0)),"",VLOOKUP(CU112,'ODBC Data'!$B$1:$J$500,4,0))</f>
        <v/>
      </c>
      <c r="CX112" s="57" t="str">
        <f>IF(ISNA(VLOOKUP(CU112,'ODBC Data'!$B$1:$J$500,5,0)),"",VLOOKUP(CU112,'ODBC Data'!$B$1:$J$500,5,0))</f>
        <v/>
      </c>
      <c r="EI112" s="19" t="str">
        <f>IF('ODBC Data'!$I$21&gt;108,'ODBC Data'!$H$21,"")</f>
        <v/>
      </c>
      <c r="EJ112" s="19" t="str">
        <f>IF('ODBC Data'!$I$21&gt;108,109,"")</f>
        <v/>
      </c>
      <c r="EK112" s="17" t="str">
        <f t="shared" si="30"/>
        <v/>
      </c>
      <c r="EL112" s="57" t="str">
        <f>IF(ISNA(VLOOKUP(EK112,'ODBC Data'!$B$1:$J$500,3,0)),"",VLOOKUP(EK112,'ODBC Data'!$B$1:$J$500,3,0))</f>
        <v/>
      </c>
      <c r="EM112" s="57" t="str">
        <f>IF(ISNA(VLOOKUP(EK112,'ODBC Data'!$B$1:$J$500,4,0)),"",VLOOKUP(EK112,'ODBC Data'!$B$1:$J$500,4,0))</f>
        <v/>
      </c>
      <c r="EN112" s="57" t="str">
        <f>IF(ISNA(VLOOKUP(EK112,'ODBC Data'!$B$1:$J$500,5,0)),"",VLOOKUP(EK112,'ODBC Data'!$B$1:$J$500,5,0))</f>
        <v/>
      </c>
    </row>
    <row r="113" spans="97:144">
      <c r="CS113" s="19" t="str">
        <f>IF('ODBC Data'!$I$15&gt;109,'ODBC Data'!$H$15,"")</f>
        <v/>
      </c>
      <c r="CT113" s="19" t="str">
        <f>IF('ODBC Data'!$I$15&gt;109,110,"")</f>
        <v/>
      </c>
      <c r="CU113" s="17" t="str">
        <f t="shared" si="29"/>
        <v/>
      </c>
      <c r="CV113" s="57" t="str">
        <f>IF(ISNA(VLOOKUP(CU113,'ODBC Data'!$B$1:$J$500,3,0)),"",VLOOKUP(CU113,'ODBC Data'!$B$1:$J$500,3,0))</f>
        <v/>
      </c>
      <c r="CW113" s="57" t="str">
        <f>IF(ISNA(VLOOKUP(CU113,'ODBC Data'!$B$1:$J$500,4,0)),"",VLOOKUP(CU113,'ODBC Data'!$B$1:$J$500,4,0))</f>
        <v/>
      </c>
      <c r="CX113" s="57" t="str">
        <f>IF(ISNA(VLOOKUP(CU113,'ODBC Data'!$B$1:$J$500,5,0)),"",VLOOKUP(CU113,'ODBC Data'!$B$1:$J$500,5,0))</f>
        <v/>
      </c>
      <c r="EI113" s="19" t="str">
        <f>IF('ODBC Data'!$I$21&gt;109,'ODBC Data'!$H$21,"")</f>
        <v/>
      </c>
      <c r="EJ113" s="19" t="str">
        <f>IF('ODBC Data'!$I$21&gt;109,110,"")</f>
        <v/>
      </c>
      <c r="EK113" s="17" t="str">
        <f t="shared" si="30"/>
        <v/>
      </c>
      <c r="EL113" s="57" t="str">
        <f>IF(ISNA(VLOOKUP(EK113,'ODBC Data'!$B$1:$J$500,3,0)),"",VLOOKUP(EK113,'ODBC Data'!$B$1:$J$500,3,0))</f>
        <v/>
      </c>
      <c r="EM113" s="57" t="str">
        <f>IF(ISNA(VLOOKUP(EK113,'ODBC Data'!$B$1:$J$500,4,0)),"",VLOOKUP(EK113,'ODBC Data'!$B$1:$J$500,4,0))</f>
        <v/>
      </c>
      <c r="EN113" s="57" t="str">
        <f>IF(ISNA(VLOOKUP(EK113,'ODBC Data'!$B$1:$J$500,5,0)),"",VLOOKUP(EK113,'ODBC Data'!$B$1:$J$500,5,0))</f>
        <v/>
      </c>
    </row>
    <row r="114" spans="97:144">
      <c r="CS114" s="19" t="str">
        <f>IF('ODBC Data'!$I$15&gt;110,'ODBC Data'!$H$15,"")</f>
        <v/>
      </c>
      <c r="CT114" s="19" t="str">
        <f>IF('ODBC Data'!$I$15&gt;110,111,"")</f>
        <v/>
      </c>
      <c r="CU114" s="17" t="str">
        <f t="shared" si="29"/>
        <v/>
      </c>
      <c r="CV114" s="57" t="str">
        <f>IF(ISNA(VLOOKUP(CU114,'ODBC Data'!$B$1:$J$500,3,0)),"",VLOOKUP(CU114,'ODBC Data'!$B$1:$J$500,3,0))</f>
        <v/>
      </c>
      <c r="CW114" s="57" t="str">
        <f>IF(ISNA(VLOOKUP(CU114,'ODBC Data'!$B$1:$J$500,4,0)),"",VLOOKUP(CU114,'ODBC Data'!$B$1:$J$500,4,0))</f>
        <v/>
      </c>
      <c r="CX114" s="57" t="str">
        <f>IF(ISNA(VLOOKUP(CU114,'ODBC Data'!$B$1:$J$500,5,0)),"",VLOOKUP(CU114,'ODBC Data'!$B$1:$J$500,5,0))</f>
        <v/>
      </c>
      <c r="EI114" s="19" t="str">
        <f>IF('ODBC Data'!$I$21&gt;110,'ODBC Data'!$H$21,"")</f>
        <v/>
      </c>
      <c r="EJ114" s="19" t="str">
        <f>IF('ODBC Data'!$I$21&gt;110,111,"")</f>
        <v/>
      </c>
      <c r="EK114" s="17" t="str">
        <f t="shared" si="30"/>
        <v/>
      </c>
      <c r="EL114" s="57" t="str">
        <f>IF(ISNA(VLOOKUP(EK114,'ODBC Data'!$B$1:$J$500,3,0)),"",VLOOKUP(EK114,'ODBC Data'!$B$1:$J$500,3,0))</f>
        <v/>
      </c>
      <c r="EM114" s="57" t="str">
        <f>IF(ISNA(VLOOKUP(EK114,'ODBC Data'!$B$1:$J$500,4,0)),"",VLOOKUP(EK114,'ODBC Data'!$B$1:$J$500,4,0))</f>
        <v/>
      </c>
      <c r="EN114" s="57" t="str">
        <f>IF(ISNA(VLOOKUP(EK114,'ODBC Data'!$B$1:$J$500,5,0)),"",VLOOKUP(EK114,'ODBC Data'!$B$1:$J$500,5,0))</f>
        <v/>
      </c>
    </row>
    <row r="115" spans="97:144">
      <c r="CS115" s="19" t="str">
        <f>IF('ODBC Data'!$I$15&gt;111,'ODBC Data'!$H$15,"")</f>
        <v/>
      </c>
      <c r="CT115" s="19" t="str">
        <f>IF('ODBC Data'!$I$15&gt;111,112,"")</f>
        <v/>
      </c>
      <c r="CU115" s="17" t="str">
        <f t="shared" si="29"/>
        <v/>
      </c>
      <c r="CV115" s="57" t="str">
        <f>IF(ISNA(VLOOKUP(CU115,'ODBC Data'!$B$1:$J$500,3,0)),"",VLOOKUP(CU115,'ODBC Data'!$B$1:$J$500,3,0))</f>
        <v/>
      </c>
      <c r="CW115" s="57" t="str">
        <f>IF(ISNA(VLOOKUP(CU115,'ODBC Data'!$B$1:$J$500,4,0)),"",VLOOKUP(CU115,'ODBC Data'!$B$1:$J$500,4,0))</f>
        <v/>
      </c>
      <c r="CX115" s="57" t="str">
        <f>IF(ISNA(VLOOKUP(CU115,'ODBC Data'!$B$1:$J$500,5,0)),"",VLOOKUP(CU115,'ODBC Data'!$B$1:$J$500,5,0))</f>
        <v/>
      </c>
      <c r="EI115" s="19" t="str">
        <f>IF('ODBC Data'!$I$21&gt;111,'ODBC Data'!$H$21,"")</f>
        <v/>
      </c>
      <c r="EJ115" s="19" t="str">
        <f>IF('ODBC Data'!$I$21&gt;111,112,"")</f>
        <v/>
      </c>
      <c r="EK115" s="17" t="str">
        <f t="shared" si="30"/>
        <v/>
      </c>
      <c r="EL115" s="57" t="str">
        <f>IF(ISNA(VLOOKUP(EK115,'ODBC Data'!$B$1:$J$500,3,0)),"",VLOOKUP(EK115,'ODBC Data'!$B$1:$J$500,3,0))</f>
        <v/>
      </c>
      <c r="EM115" s="57" t="str">
        <f>IF(ISNA(VLOOKUP(EK115,'ODBC Data'!$B$1:$J$500,4,0)),"",VLOOKUP(EK115,'ODBC Data'!$B$1:$J$500,4,0))</f>
        <v/>
      </c>
      <c r="EN115" s="57" t="str">
        <f>IF(ISNA(VLOOKUP(EK115,'ODBC Data'!$B$1:$J$500,5,0)),"",VLOOKUP(EK115,'ODBC Data'!$B$1:$J$500,5,0))</f>
        <v/>
      </c>
    </row>
    <row r="116" spans="97:144">
      <c r="CS116" s="19" t="str">
        <f>IF('ODBC Data'!$I$15&gt;112,'ODBC Data'!$H$15,"")</f>
        <v/>
      </c>
      <c r="CT116" s="19" t="str">
        <f>IF('ODBC Data'!$I$15&gt;112,113,"")</f>
        <v/>
      </c>
      <c r="CU116" s="17" t="str">
        <f t="shared" si="29"/>
        <v/>
      </c>
      <c r="CV116" s="57" t="str">
        <f>IF(ISNA(VLOOKUP(CU116,'ODBC Data'!$B$1:$J$500,3,0)),"",VLOOKUP(CU116,'ODBC Data'!$B$1:$J$500,3,0))</f>
        <v/>
      </c>
      <c r="CW116" s="57" t="str">
        <f>IF(ISNA(VLOOKUP(CU116,'ODBC Data'!$B$1:$J$500,4,0)),"",VLOOKUP(CU116,'ODBC Data'!$B$1:$J$500,4,0))</f>
        <v/>
      </c>
      <c r="CX116" s="57" t="str">
        <f>IF(ISNA(VLOOKUP(CU116,'ODBC Data'!$B$1:$J$500,5,0)),"",VLOOKUP(CU116,'ODBC Data'!$B$1:$J$500,5,0))</f>
        <v/>
      </c>
      <c r="EI116" s="19" t="str">
        <f>IF('ODBC Data'!$I$21&gt;112,'ODBC Data'!$H$21,"")</f>
        <v/>
      </c>
      <c r="EJ116" s="19" t="str">
        <f>IF('ODBC Data'!$I$21&gt;112,113,"")</f>
        <v/>
      </c>
      <c r="EK116" s="17" t="str">
        <f t="shared" si="30"/>
        <v/>
      </c>
      <c r="EL116" s="57" t="str">
        <f>IF(ISNA(VLOOKUP(EK116,'ODBC Data'!$B$1:$J$500,3,0)),"",VLOOKUP(EK116,'ODBC Data'!$B$1:$J$500,3,0))</f>
        <v/>
      </c>
      <c r="EM116" s="57" t="str">
        <f>IF(ISNA(VLOOKUP(EK116,'ODBC Data'!$B$1:$J$500,4,0)),"",VLOOKUP(EK116,'ODBC Data'!$B$1:$J$500,4,0))</f>
        <v/>
      </c>
      <c r="EN116" s="57" t="str">
        <f>IF(ISNA(VLOOKUP(EK116,'ODBC Data'!$B$1:$J$500,5,0)),"",VLOOKUP(EK116,'ODBC Data'!$B$1:$J$500,5,0))</f>
        <v/>
      </c>
    </row>
    <row r="117" spans="97:144">
      <c r="CS117" s="19" t="str">
        <f>IF('ODBC Data'!$I$15&gt;113,'ODBC Data'!$H$15,"")</f>
        <v/>
      </c>
      <c r="CT117" s="19" t="str">
        <f>IF('ODBC Data'!$I$15&gt;113,114,"")</f>
        <v/>
      </c>
      <c r="CU117" s="17" t="str">
        <f t="shared" si="29"/>
        <v/>
      </c>
      <c r="CV117" s="57" t="str">
        <f>IF(ISNA(VLOOKUP(CU117,'ODBC Data'!$B$1:$J$500,3,0)),"",VLOOKUP(CU117,'ODBC Data'!$B$1:$J$500,3,0))</f>
        <v/>
      </c>
      <c r="CW117" s="57" t="str">
        <f>IF(ISNA(VLOOKUP(CU117,'ODBC Data'!$B$1:$J$500,4,0)),"",VLOOKUP(CU117,'ODBC Data'!$B$1:$J$500,4,0))</f>
        <v/>
      </c>
      <c r="CX117" s="57" t="str">
        <f>IF(ISNA(VLOOKUP(CU117,'ODBC Data'!$B$1:$J$500,5,0)),"",VLOOKUP(CU117,'ODBC Data'!$B$1:$J$500,5,0))</f>
        <v/>
      </c>
      <c r="EI117" s="19" t="str">
        <f>IF('ODBC Data'!$I$21&gt;113,'ODBC Data'!$H$21,"")</f>
        <v/>
      </c>
      <c r="EJ117" s="19" t="str">
        <f>IF('ODBC Data'!$I$21&gt;113,114,"")</f>
        <v/>
      </c>
      <c r="EK117" s="17" t="str">
        <f t="shared" si="30"/>
        <v/>
      </c>
      <c r="EL117" s="57" t="str">
        <f>IF(ISNA(VLOOKUP(EK117,'ODBC Data'!$B$1:$J$500,3,0)),"",VLOOKUP(EK117,'ODBC Data'!$B$1:$J$500,3,0))</f>
        <v/>
      </c>
      <c r="EM117" s="57" t="str">
        <f>IF(ISNA(VLOOKUP(EK117,'ODBC Data'!$B$1:$J$500,4,0)),"",VLOOKUP(EK117,'ODBC Data'!$B$1:$J$500,4,0))</f>
        <v/>
      </c>
      <c r="EN117" s="57" t="str">
        <f>IF(ISNA(VLOOKUP(EK117,'ODBC Data'!$B$1:$J$500,5,0)),"",VLOOKUP(EK117,'ODBC Data'!$B$1:$J$500,5,0))</f>
        <v/>
      </c>
    </row>
    <row r="118" spans="97:144">
      <c r="CS118" s="19" t="str">
        <f>IF('ODBC Data'!$I$15&gt;114,'ODBC Data'!$H$15,"")</f>
        <v/>
      </c>
      <c r="CT118" s="19" t="str">
        <f>IF('ODBC Data'!$I$15&gt;114,115,"")</f>
        <v/>
      </c>
      <c r="CU118" s="17" t="str">
        <f t="shared" si="29"/>
        <v/>
      </c>
      <c r="CV118" s="57" t="str">
        <f>IF(ISNA(VLOOKUP(CU118,'ODBC Data'!$B$1:$J$500,3,0)),"",VLOOKUP(CU118,'ODBC Data'!$B$1:$J$500,3,0))</f>
        <v/>
      </c>
      <c r="CW118" s="57" t="str">
        <f>IF(ISNA(VLOOKUP(CU118,'ODBC Data'!$B$1:$J$500,4,0)),"",VLOOKUP(CU118,'ODBC Data'!$B$1:$J$500,4,0))</f>
        <v/>
      </c>
      <c r="CX118" s="57" t="str">
        <f>IF(ISNA(VLOOKUP(CU118,'ODBC Data'!$B$1:$J$500,5,0)),"",VLOOKUP(CU118,'ODBC Data'!$B$1:$J$500,5,0))</f>
        <v/>
      </c>
      <c r="EI118" s="19" t="str">
        <f>IF('ODBC Data'!$I$21&gt;114,'ODBC Data'!$H$21,"")</f>
        <v/>
      </c>
      <c r="EJ118" s="19" t="str">
        <f>IF('ODBC Data'!$I$21&gt;114,115,"")</f>
        <v/>
      </c>
      <c r="EK118" s="17" t="str">
        <f t="shared" si="30"/>
        <v/>
      </c>
      <c r="EL118" s="57" t="str">
        <f>IF(ISNA(VLOOKUP(EK118,'ODBC Data'!$B$1:$J$500,3,0)),"",VLOOKUP(EK118,'ODBC Data'!$B$1:$J$500,3,0))</f>
        <v/>
      </c>
      <c r="EM118" s="57" t="str">
        <f>IF(ISNA(VLOOKUP(EK118,'ODBC Data'!$B$1:$J$500,4,0)),"",VLOOKUP(EK118,'ODBC Data'!$B$1:$J$500,4,0))</f>
        <v/>
      </c>
      <c r="EN118" s="57" t="str">
        <f>IF(ISNA(VLOOKUP(EK118,'ODBC Data'!$B$1:$J$500,5,0)),"",VLOOKUP(EK118,'ODBC Data'!$B$1:$J$500,5,0))</f>
        <v/>
      </c>
    </row>
    <row r="119" spans="97:144">
      <c r="CS119" s="19" t="str">
        <f>IF('ODBC Data'!$I$15&gt;115,'ODBC Data'!$H$15,"")</f>
        <v/>
      </c>
      <c r="CT119" s="19" t="str">
        <f>IF('ODBC Data'!$I$15&gt;115,116,"")</f>
        <v/>
      </c>
      <c r="CU119" s="17" t="str">
        <f t="shared" si="29"/>
        <v/>
      </c>
      <c r="CV119" s="57" t="str">
        <f>IF(ISNA(VLOOKUP(CU119,'ODBC Data'!$B$1:$J$500,3,0)),"",VLOOKUP(CU119,'ODBC Data'!$B$1:$J$500,3,0))</f>
        <v/>
      </c>
      <c r="CW119" s="57" t="str">
        <f>IF(ISNA(VLOOKUP(CU119,'ODBC Data'!$B$1:$J$500,4,0)),"",VLOOKUP(CU119,'ODBC Data'!$B$1:$J$500,4,0))</f>
        <v/>
      </c>
      <c r="CX119" s="57" t="str">
        <f>IF(ISNA(VLOOKUP(CU119,'ODBC Data'!$B$1:$J$500,5,0)),"",VLOOKUP(CU119,'ODBC Data'!$B$1:$J$500,5,0))</f>
        <v/>
      </c>
      <c r="EI119" s="19" t="str">
        <f>IF('ODBC Data'!$I$21&gt;115,'ODBC Data'!$H$21,"")</f>
        <v/>
      </c>
      <c r="EJ119" s="19" t="str">
        <f>IF('ODBC Data'!$I$21&gt;115,116,"")</f>
        <v/>
      </c>
      <c r="EK119" s="17" t="str">
        <f t="shared" si="30"/>
        <v/>
      </c>
      <c r="EL119" s="57" t="str">
        <f>IF(ISNA(VLOOKUP(EK119,'ODBC Data'!$B$1:$J$500,3,0)),"",VLOOKUP(EK119,'ODBC Data'!$B$1:$J$500,3,0))</f>
        <v/>
      </c>
      <c r="EM119" s="57" t="str">
        <f>IF(ISNA(VLOOKUP(EK119,'ODBC Data'!$B$1:$J$500,4,0)),"",VLOOKUP(EK119,'ODBC Data'!$B$1:$J$500,4,0))</f>
        <v/>
      </c>
      <c r="EN119" s="57" t="str">
        <f>IF(ISNA(VLOOKUP(EK119,'ODBC Data'!$B$1:$J$500,5,0)),"",VLOOKUP(EK119,'ODBC Data'!$B$1:$J$500,5,0))</f>
        <v/>
      </c>
    </row>
    <row r="120" spans="97:144">
      <c r="CS120" s="19" t="str">
        <f>IF('ODBC Data'!$I$15&gt;116,'ODBC Data'!$H$15,"")</f>
        <v/>
      </c>
      <c r="CT120" s="19" t="str">
        <f>IF('ODBC Data'!$I$15&gt;116,117,"")</f>
        <v/>
      </c>
      <c r="CU120" s="17" t="str">
        <f t="shared" si="29"/>
        <v/>
      </c>
      <c r="CV120" s="57" t="str">
        <f>IF(ISNA(VLOOKUP(CU120,'ODBC Data'!$B$1:$J$500,3,0)),"",VLOOKUP(CU120,'ODBC Data'!$B$1:$J$500,3,0))</f>
        <v/>
      </c>
      <c r="CW120" s="57" t="str">
        <f>IF(ISNA(VLOOKUP(CU120,'ODBC Data'!$B$1:$J$500,4,0)),"",VLOOKUP(CU120,'ODBC Data'!$B$1:$J$500,4,0))</f>
        <v/>
      </c>
      <c r="CX120" s="57" t="str">
        <f>IF(ISNA(VLOOKUP(CU120,'ODBC Data'!$B$1:$J$500,5,0)),"",VLOOKUP(CU120,'ODBC Data'!$B$1:$J$500,5,0))</f>
        <v/>
      </c>
      <c r="EI120" s="19" t="str">
        <f>IF('ODBC Data'!$I$21&gt;116,'ODBC Data'!$H$21,"")</f>
        <v/>
      </c>
      <c r="EJ120" s="19" t="str">
        <f>IF('ODBC Data'!$I$21&gt;116,117,"")</f>
        <v/>
      </c>
      <c r="EK120" s="17" t="str">
        <f t="shared" si="30"/>
        <v/>
      </c>
      <c r="EL120" s="57" t="str">
        <f>IF(ISNA(VLOOKUP(EK120,'ODBC Data'!$B$1:$J$500,3,0)),"",VLOOKUP(EK120,'ODBC Data'!$B$1:$J$500,3,0))</f>
        <v/>
      </c>
      <c r="EM120" s="57" t="str">
        <f>IF(ISNA(VLOOKUP(EK120,'ODBC Data'!$B$1:$J$500,4,0)),"",VLOOKUP(EK120,'ODBC Data'!$B$1:$J$500,4,0))</f>
        <v/>
      </c>
      <c r="EN120" s="57" t="str">
        <f>IF(ISNA(VLOOKUP(EK120,'ODBC Data'!$B$1:$J$500,5,0)),"",VLOOKUP(EK120,'ODBC Data'!$B$1:$J$500,5,0))</f>
        <v/>
      </c>
    </row>
    <row r="121" spans="97:144">
      <c r="CS121" s="19" t="str">
        <f>IF('ODBC Data'!$I$15&gt;117,'ODBC Data'!$H$15,"")</f>
        <v/>
      </c>
      <c r="CT121" s="19" t="str">
        <f>IF('ODBC Data'!$I$15&gt;117,118,"")</f>
        <v/>
      </c>
      <c r="CU121" s="17" t="str">
        <f t="shared" si="29"/>
        <v/>
      </c>
      <c r="CV121" s="57" t="str">
        <f>IF(ISNA(VLOOKUP(CU121,'ODBC Data'!$B$1:$J$500,3,0)),"",VLOOKUP(CU121,'ODBC Data'!$B$1:$J$500,3,0))</f>
        <v/>
      </c>
      <c r="CW121" s="57" t="str">
        <f>IF(ISNA(VLOOKUP(CU121,'ODBC Data'!$B$1:$J$500,4,0)),"",VLOOKUP(CU121,'ODBC Data'!$B$1:$J$500,4,0))</f>
        <v/>
      </c>
      <c r="CX121" s="57" t="str">
        <f>IF(ISNA(VLOOKUP(CU121,'ODBC Data'!$B$1:$J$500,5,0)),"",VLOOKUP(CU121,'ODBC Data'!$B$1:$J$500,5,0))</f>
        <v/>
      </c>
      <c r="EI121" s="19" t="str">
        <f>IF('ODBC Data'!$I$21&gt;117,'ODBC Data'!$H$21,"")</f>
        <v/>
      </c>
      <c r="EJ121" s="19" t="str">
        <f>IF('ODBC Data'!$I$21&gt;117,118,"")</f>
        <v/>
      </c>
      <c r="EK121" s="17" t="str">
        <f t="shared" si="30"/>
        <v/>
      </c>
      <c r="EL121" s="57" t="str">
        <f>IF(ISNA(VLOOKUP(EK121,'ODBC Data'!$B$1:$J$500,3,0)),"",VLOOKUP(EK121,'ODBC Data'!$B$1:$J$500,3,0))</f>
        <v/>
      </c>
      <c r="EM121" s="57" t="str">
        <f>IF(ISNA(VLOOKUP(EK121,'ODBC Data'!$B$1:$J$500,4,0)),"",VLOOKUP(EK121,'ODBC Data'!$B$1:$J$500,4,0))</f>
        <v/>
      </c>
      <c r="EN121" s="57" t="str">
        <f>IF(ISNA(VLOOKUP(EK121,'ODBC Data'!$B$1:$J$500,5,0)),"",VLOOKUP(EK121,'ODBC Data'!$B$1:$J$500,5,0))</f>
        <v/>
      </c>
    </row>
    <row r="122" spans="97:144">
      <c r="CS122" s="19" t="str">
        <f>IF('ODBC Data'!$I$15&gt;118,'ODBC Data'!$H$15,"")</f>
        <v/>
      </c>
      <c r="CT122" s="19" t="str">
        <f>IF('ODBC Data'!$I$15&gt;118,119,"")</f>
        <v/>
      </c>
      <c r="CU122" s="17" t="str">
        <f t="shared" si="29"/>
        <v/>
      </c>
      <c r="CV122" s="57" t="str">
        <f>IF(ISNA(VLOOKUP(CU122,'ODBC Data'!$B$1:$J$500,3,0)),"",VLOOKUP(CU122,'ODBC Data'!$B$1:$J$500,3,0))</f>
        <v/>
      </c>
      <c r="CW122" s="57" t="str">
        <f>IF(ISNA(VLOOKUP(CU122,'ODBC Data'!$B$1:$J$500,4,0)),"",VLOOKUP(CU122,'ODBC Data'!$B$1:$J$500,4,0))</f>
        <v/>
      </c>
      <c r="CX122" s="57" t="str">
        <f>IF(ISNA(VLOOKUP(CU122,'ODBC Data'!$B$1:$J$500,5,0)),"",VLOOKUP(CU122,'ODBC Data'!$B$1:$J$500,5,0))</f>
        <v/>
      </c>
      <c r="EI122" s="19" t="str">
        <f>IF('ODBC Data'!$I$21&gt;118,'ODBC Data'!$H$21,"")</f>
        <v/>
      </c>
      <c r="EJ122" s="19" t="str">
        <f>IF('ODBC Data'!$I$21&gt;118,119,"")</f>
        <v/>
      </c>
      <c r="EK122" s="17" t="str">
        <f t="shared" si="30"/>
        <v/>
      </c>
      <c r="EL122" s="57" t="str">
        <f>IF(ISNA(VLOOKUP(EK122,'ODBC Data'!$B$1:$J$500,3,0)),"",VLOOKUP(EK122,'ODBC Data'!$B$1:$J$500,3,0))</f>
        <v/>
      </c>
      <c r="EM122" s="57" t="str">
        <f>IF(ISNA(VLOOKUP(EK122,'ODBC Data'!$B$1:$J$500,4,0)),"",VLOOKUP(EK122,'ODBC Data'!$B$1:$J$500,4,0))</f>
        <v/>
      </c>
      <c r="EN122" s="57" t="str">
        <f>IF(ISNA(VLOOKUP(EK122,'ODBC Data'!$B$1:$J$500,5,0)),"",VLOOKUP(EK122,'ODBC Data'!$B$1:$J$500,5,0))</f>
        <v/>
      </c>
    </row>
    <row r="123" spans="97:144">
      <c r="CS123" s="19" t="str">
        <f>IF('ODBC Data'!$I$15&gt;119,'ODBC Data'!$H$15,"")</f>
        <v/>
      </c>
      <c r="CT123" s="19" t="str">
        <f>IF('ODBC Data'!$I$15&gt;119,120,"")</f>
        <v/>
      </c>
      <c r="CU123" s="17" t="str">
        <f t="shared" si="29"/>
        <v/>
      </c>
      <c r="CV123" s="57" t="str">
        <f>IF(ISNA(VLOOKUP(CU123,'ODBC Data'!$B$1:$J$500,3,0)),"",VLOOKUP(CU123,'ODBC Data'!$B$1:$J$500,3,0))</f>
        <v/>
      </c>
      <c r="CW123" s="57" t="str">
        <f>IF(ISNA(VLOOKUP(CU123,'ODBC Data'!$B$1:$J$500,4,0)),"",VLOOKUP(CU123,'ODBC Data'!$B$1:$J$500,4,0))</f>
        <v/>
      </c>
      <c r="CX123" s="57" t="str">
        <f>IF(ISNA(VLOOKUP(CU123,'ODBC Data'!$B$1:$J$500,5,0)),"",VLOOKUP(CU123,'ODBC Data'!$B$1:$J$500,5,0))</f>
        <v/>
      </c>
      <c r="EI123" s="19" t="str">
        <f>IF('ODBC Data'!$I$21&gt;119,'ODBC Data'!$H$21,"")</f>
        <v/>
      </c>
      <c r="EJ123" s="19" t="str">
        <f>IF('ODBC Data'!$I$21&gt;119,120,"")</f>
        <v/>
      </c>
      <c r="EK123" s="17" t="str">
        <f t="shared" si="30"/>
        <v/>
      </c>
      <c r="EL123" s="57" t="str">
        <f>IF(ISNA(VLOOKUP(EK123,'ODBC Data'!$B$1:$J$500,3,0)),"",VLOOKUP(EK123,'ODBC Data'!$B$1:$J$500,3,0))</f>
        <v/>
      </c>
      <c r="EM123" s="57" t="str">
        <f>IF(ISNA(VLOOKUP(EK123,'ODBC Data'!$B$1:$J$500,4,0)),"",VLOOKUP(EK123,'ODBC Data'!$B$1:$J$500,4,0))</f>
        <v/>
      </c>
      <c r="EN123" s="57" t="str">
        <f>IF(ISNA(VLOOKUP(EK123,'ODBC Data'!$B$1:$J$500,5,0)),"",VLOOKUP(EK123,'ODBC Data'!$B$1:$J$500,5,0))</f>
        <v/>
      </c>
    </row>
    <row r="124" spans="97:144">
      <c r="CS124" s="19" t="str">
        <f>IF('ODBC Data'!$I$15&gt;120,'ODBC Data'!$H$15,"")</f>
        <v/>
      </c>
      <c r="CT124" s="19" t="str">
        <f>IF('ODBC Data'!$I$15&gt;120,121,"")</f>
        <v/>
      </c>
      <c r="CU124" s="17" t="str">
        <f t="shared" si="29"/>
        <v/>
      </c>
      <c r="CV124" s="57" t="str">
        <f>IF(ISNA(VLOOKUP(CU124,'ODBC Data'!$B$1:$J$500,3,0)),"",VLOOKUP(CU124,'ODBC Data'!$B$1:$J$500,3,0))</f>
        <v/>
      </c>
      <c r="CW124" s="57" t="str">
        <f>IF(ISNA(VLOOKUP(CU124,'ODBC Data'!$B$1:$J$500,4,0)),"",VLOOKUP(CU124,'ODBC Data'!$B$1:$J$500,4,0))</f>
        <v/>
      </c>
      <c r="CX124" s="57" t="str">
        <f>IF(ISNA(VLOOKUP(CU124,'ODBC Data'!$B$1:$J$500,5,0)),"",VLOOKUP(CU124,'ODBC Data'!$B$1:$J$500,5,0))</f>
        <v/>
      </c>
      <c r="EI124" s="19" t="str">
        <f>IF('ODBC Data'!$I$21&gt;120,'ODBC Data'!$H$21,"")</f>
        <v/>
      </c>
      <c r="EJ124" s="19" t="str">
        <f>IF('ODBC Data'!$I$21&gt;120,121,"")</f>
        <v/>
      </c>
      <c r="EK124" s="17" t="str">
        <f t="shared" si="30"/>
        <v/>
      </c>
      <c r="EL124" s="57" t="str">
        <f>IF(ISNA(VLOOKUP(EK124,'ODBC Data'!$B$1:$J$500,3,0)),"",VLOOKUP(EK124,'ODBC Data'!$B$1:$J$500,3,0))</f>
        <v/>
      </c>
      <c r="EM124" s="57" t="str">
        <f>IF(ISNA(VLOOKUP(EK124,'ODBC Data'!$B$1:$J$500,4,0)),"",VLOOKUP(EK124,'ODBC Data'!$B$1:$J$500,4,0))</f>
        <v/>
      </c>
      <c r="EN124" s="57" t="str">
        <f>IF(ISNA(VLOOKUP(EK124,'ODBC Data'!$B$1:$J$500,5,0)),"",VLOOKUP(EK124,'ODBC Data'!$B$1:$J$500,5,0))</f>
        <v/>
      </c>
    </row>
    <row r="125" spans="97:144">
      <c r="CS125" s="19" t="str">
        <f>IF('ODBC Data'!$I$15&gt;121,'ODBC Data'!$H$15,"")</f>
        <v/>
      </c>
      <c r="CT125" s="19" t="str">
        <f>IF('ODBC Data'!$I$15&gt;121,122,"")</f>
        <v/>
      </c>
      <c r="CU125" s="17" t="str">
        <f t="shared" si="29"/>
        <v/>
      </c>
      <c r="CV125" s="57" t="str">
        <f>IF(ISNA(VLOOKUP(CU125,'ODBC Data'!$B$1:$J$500,3,0)),"",VLOOKUP(CU125,'ODBC Data'!$B$1:$J$500,3,0))</f>
        <v/>
      </c>
      <c r="CW125" s="57" t="str">
        <f>IF(ISNA(VLOOKUP(CU125,'ODBC Data'!$B$1:$J$500,4,0)),"",VLOOKUP(CU125,'ODBC Data'!$B$1:$J$500,4,0))</f>
        <v/>
      </c>
      <c r="CX125" s="57" t="str">
        <f>IF(ISNA(VLOOKUP(CU125,'ODBC Data'!$B$1:$J$500,5,0)),"",VLOOKUP(CU125,'ODBC Data'!$B$1:$J$500,5,0))</f>
        <v/>
      </c>
      <c r="EI125" s="19" t="str">
        <f>IF('ODBC Data'!$I$21&gt;121,'ODBC Data'!$H$21,"")</f>
        <v/>
      </c>
      <c r="EJ125" s="19" t="str">
        <f>IF('ODBC Data'!$I$21&gt;121,122,"")</f>
        <v/>
      </c>
      <c r="EK125" s="17" t="str">
        <f t="shared" si="30"/>
        <v/>
      </c>
      <c r="EL125" s="57" t="str">
        <f>IF(ISNA(VLOOKUP(EK125,'ODBC Data'!$B$1:$J$500,3,0)),"",VLOOKUP(EK125,'ODBC Data'!$B$1:$J$500,3,0))</f>
        <v/>
      </c>
      <c r="EM125" s="57" t="str">
        <f>IF(ISNA(VLOOKUP(EK125,'ODBC Data'!$B$1:$J$500,4,0)),"",VLOOKUP(EK125,'ODBC Data'!$B$1:$J$500,4,0))</f>
        <v/>
      </c>
      <c r="EN125" s="57" t="str">
        <f>IF(ISNA(VLOOKUP(EK125,'ODBC Data'!$B$1:$J$500,5,0)),"",VLOOKUP(EK125,'ODBC Data'!$B$1:$J$500,5,0))</f>
        <v/>
      </c>
    </row>
    <row r="126" spans="97:144">
      <c r="CS126" s="19" t="str">
        <f>IF('ODBC Data'!$I$15&gt;122,'ODBC Data'!$H$15,"")</f>
        <v/>
      </c>
      <c r="CT126" s="19" t="str">
        <f>IF('ODBC Data'!$I$15&gt;122,123,"")</f>
        <v/>
      </c>
      <c r="CU126" s="17" t="str">
        <f t="shared" si="29"/>
        <v/>
      </c>
      <c r="CV126" s="57" t="str">
        <f>IF(ISNA(VLOOKUP(CU126,'ODBC Data'!$B$1:$J$500,3,0)),"",VLOOKUP(CU126,'ODBC Data'!$B$1:$J$500,3,0))</f>
        <v/>
      </c>
      <c r="CW126" s="57" t="str">
        <f>IF(ISNA(VLOOKUP(CU126,'ODBC Data'!$B$1:$J$500,4,0)),"",VLOOKUP(CU126,'ODBC Data'!$B$1:$J$500,4,0))</f>
        <v/>
      </c>
      <c r="CX126" s="57" t="str">
        <f>IF(ISNA(VLOOKUP(CU126,'ODBC Data'!$B$1:$J$500,5,0)),"",VLOOKUP(CU126,'ODBC Data'!$B$1:$J$500,5,0))</f>
        <v/>
      </c>
      <c r="EI126" s="19" t="str">
        <f>IF('ODBC Data'!$I$21&gt;122,'ODBC Data'!$H$21,"")</f>
        <v/>
      </c>
      <c r="EJ126" s="19" t="str">
        <f>IF('ODBC Data'!$I$21&gt;122,123,"")</f>
        <v/>
      </c>
      <c r="EK126" s="17" t="str">
        <f t="shared" si="30"/>
        <v/>
      </c>
      <c r="EL126" s="57" t="str">
        <f>IF(ISNA(VLOOKUP(EK126,'ODBC Data'!$B$1:$J$500,3,0)),"",VLOOKUP(EK126,'ODBC Data'!$B$1:$J$500,3,0))</f>
        <v/>
      </c>
      <c r="EM126" s="57" t="str">
        <f>IF(ISNA(VLOOKUP(EK126,'ODBC Data'!$B$1:$J$500,4,0)),"",VLOOKUP(EK126,'ODBC Data'!$B$1:$J$500,4,0))</f>
        <v/>
      </c>
      <c r="EN126" s="57" t="str">
        <f>IF(ISNA(VLOOKUP(EK126,'ODBC Data'!$B$1:$J$500,5,0)),"",VLOOKUP(EK126,'ODBC Data'!$B$1:$J$500,5,0))</f>
        <v/>
      </c>
    </row>
    <row r="127" spans="97:144">
      <c r="CS127" s="19" t="str">
        <f>IF('ODBC Data'!$I$15&gt;123,'ODBC Data'!$H$15,"")</f>
        <v/>
      </c>
      <c r="CT127" s="19" t="str">
        <f>IF('ODBC Data'!$I$15&gt;123,124,"")</f>
        <v/>
      </c>
      <c r="CU127" s="17" t="str">
        <f t="shared" si="29"/>
        <v/>
      </c>
      <c r="CV127" s="57" t="str">
        <f>IF(ISNA(VLOOKUP(CU127,'ODBC Data'!$B$1:$J$500,3,0)),"",VLOOKUP(CU127,'ODBC Data'!$B$1:$J$500,3,0))</f>
        <v/>
      </c>
      <c r="CW127" s="57" t="str">
        <f>IF(ISNA(VLOOKUP(CU127,'ODBC Data'!$B$1:$J$500,4,0)),"",VLOOKUP(CU127,'ODBC Data'!$B$1:$J$500,4,0))</f>
        <v/>
      </c>
      <c r="CX127" s="57" t="str">
        <f>IF(ISNA(VLOOKUP(CU127,'ODBC Data'!$B$1:$J$500,5,0)),"",VLOOKUP(CU127,'ODBC Data'!$B$1:$J$500,5,0))</f>
        <v/>
      </c>
      <c r="EI127" s="19" t="str">
        <f>IF('ODBC Data'!$I$21&gt;123,'ODBC Data'!$H$21,"")</f>
        <v/>
      </c>
      <c r="EJ127" s="19" t="str">
        <f>IF('ODBC Data'!$I$21&gt;123,124,"")</f>
        <v/>
      </c>
      <c r="EK127" s="17" t="str">
        <f t="shared" si="30"/>
        <v/>
      </c>
      <c r="EL127" s="57" t="str">
        <f>IF(ISNA(VLOOKUP(EK127,'ODBC Data'!$B$1:$J$500,3,0)),"",VLOOKUP(EK127,'ODBC Data'!$B$1:$J$500,3,0))</f>
        <v/>
      </c>
      <c r="EM127" s="57" t="str">
        <f>IF(ISNA(VLOOKUP(EK127,'ODBC Data'!$B$1:$J$500,4,0)),"",VLOOKUP(EK127,'ODBC Data'!$B$1:$J$500,4,0))</f>
        <v/>
      </c>
      <c r="EN127" s="57" t="str">
        <f>IF(ISNA(VLOOKUP(EK127,'ODBC Data'!$B$1:$J$500,5,0)),"",VLOOKUP(EK127,'ODBC Data'!$B$1:$J$500,5,0))</f>
        <v/>
      </c>
    </row>
    <row r="128" spans="97:144">
      <c r="CS128" s="19" t="str">
        <f>IF('ODBC Data'!$I$15&gt;124,'ODBC Data'!$H$15,"")</f>
        <v/>
      </c>
      <c r="CT128" s="19" t="str">
        <f>IF('ODBC Data'!$I$15&gt;124,125,"")</f>
        <v/>
      </c>
      <c r="CU128" s="17" t="str">
        <f t="shared" si="29"/>
        <v/>
      </c>
      <c r="CV128" s="57" t="str">
        <f>IF(ISNA(VLOOKUP(CU128,'ODBC Data'!$B$1:$J$500,3,0)),"",VLOOKUP(CU128,'ODBC Data'!$B$1:$J$500,3,0))</f>
        <v/>
      </c>
      <c r="CW128" s="57" t="str">
        <f>IF(ISNA(VLOOKUP(CU128,'ODBC Data'!$B$1:$J$500,4,0)),"",VLOOKUP(CU128,'ODBC Data'!$B$1:$J$500,4,0))</f>
        <v/>
      </c>
      <c r="CX128" s="57" t="str">
        <f>IF(ISNA(VLOOKUP(CU128,'ODBC Data'!$B$1:$J$500,5,0)),"",VLOOKUP(CU128,'ODBC Data'!$B$1:$J$500,5,0))</f>
        <v/>
      </c>
      <c r="EI128" s="19" t="str">
        <f>IF('ODBC Data'!$I$21&gt;124,'ODBC Data'!$H$21,"")</f>
        <v/>
      </c>
      <c r="EJ128" s="19" t="str">
        <f>IF('ODBC Data'!$I$21&gt;124,125,"")</f>
        <v/>
      </c>
      <c r="EK128" s="17" t="str">
        <f t="shared" si="30"/>
        <v/>
      </c>
      <c r="EL128" s="57" t="str">
        <f>IF(ISNA(VLOOKUP(EK128,'ODBC Data'!$B$1:$J$500,3,0)),"",VLOOKUP(EK128,'ODBC Data'!$B$1:$J$500,3,0))</f>
        <v/>
      </c>
      <c r="EM128" s="57" t="str">
        <f>IF(ISNA(VLOOKUP(EK128,'ODBC Data'!$B$1:$J$500,4,0)),"",VLOOKUP(EK128,'ODBC Data'!$B$1:$J$500,4,0))</f>
        <v/>
      </c>
      <c r="EN128" s="57" t="str">
        <f>IF(ISNA(VLOOKUP(EK128,'ODBC Data'!$B$1:$J$500,5,0)),"",VLOOKUP(EK128,'ODBC Data'!$B$1:$J$500,5,0))</f>
        <v/>
      </c>
    </row>
    <row r="129" spans="97:144">
      <c r="CS129" s="19" t="str">
        <f>IF('ODBC Data'!$I$15&gt;125,'ODBC Data'!$H$15,"")</f>
        <v/>
      </c>
      <c r="CT129" s="19" t="str">
        <f>IF('ODBC Data'!$I$15&gt;125,126,"")</f>
        <v/>
      </c>
      <c r="CU129" s="17" t="str">
        <f t="shared" si="29"/>
        <v/>
      </c>
      <c r="CV129" s="57" t="str">
        <f>IF(ISNA(VLOOKUP(CU129,'ODBC Data'!$B$1:$J$500,3,0)),"",VLOOKUP(CU129,'ODBC Data'!$B$1:$J$500,3,0))</f>
        <v/>
      </c>
      <c r="CW129" s="57" t="str">
        <f>IF(ISNA(VLOOKUP(CU129,'ODBC Data'!$B$1:$J$500,4,0)),"",VLOOKUP(CU129,'ODBC Data'!$B$1:$J$500,4,0))</f>
        <v/>
      </c>
      <c r="CX129" s="57" t="str">
        <f>IF(ISNA(VLOOKUP(CU129,'ODBC Data'!$B$1:$J$500,5,0)),"",VLOOKUP(CU129,'ODBC Data'!$B$1:$J$500,5,0))</f>
        <v/>
      </c>
      <c r="EI129" s="19" t="str">
        <f>IF('ODBC Data'!$I$21&gt;125,'ODBC Data'!$H$21,"")</f>
        <v/>
      </c>
      <c r="EJ129" s="19" t="str">
        <f>IF('ODBC Data'!$I$21&gt;125,126,"")</f>
        <v/>
      </c>
      <c r="EK129" s="17" t="str">
        <f t="shared" si="30"/>
        <v/>
      </c>
      <c r="EL129" s="57" t="str">
        <f>IF(ISNA(VLOOKUP(EK129,'ODBC Data'!$B$1:$J$500,3,0)),"",VLOOKUP(EK129,'ODBC Data'!$B$1:$J$500,3,0))</f>
        <v/>
      </c>
      <c r="EM129" s="57" t="str">
        <f>IF(ISNA(VLOOKUP(EK129,'ODBC Data'!$B$1:$J$500,4,0)),"",VLOOKUP(EK129,'ODBC Data'!$B$1:$J$500,4,0))</f>
        <v/>
      </c>
      <c r="EN129" s="57" t="str">
        <f>IF(ISNA(VLOOKUP(EK129,'ODBC Data'!$B$1:$J$500,5,0)),"",VLOOKUP(EK129,'ODBC Data'!$B$1:$J$500,5,0))</f>
        <v/>
      </c>
    </row>
    <row r="130" spans="97:144">
      <c r="CS130" s="19" t="str">
        <f>IF('ODBC Data'!$I$15&gt;126,'ODBC Data'!$H$15,"")</f>
        <v/>
      </c>
      <c r="CT130" s="19" t="str">
        <f>IF('ODBC Data'!$I$15&gt;126,127,"")</f>
        <v/>
      </c>
      <c r="CU130" s="17" t="str">
        <f t="shared" si="29"/>
        <v/>
      </c>
      <c r="CV130" s="57" t="str">
        <f>IF(ISNA(VLOOKUP(CU130,'ODBC Data'!$B$1:$J$500,3,0)),"",VLOOKUP(CU130,'ODBC Data'!$B$1:$J$500,3,0))</f>
        <v/>
      </c>
      <c r="CW130" s="57" t="str">
        <f>IF(ISNA(VLOOKUP(CU130,'ODBC Data'!$B$1:$J$500,4,0)),"",VLOOKUP(CU130,'ODBC Data'!$B$1:$J$500,4,0))</f>
        <v/>
      </c>
      <c r="CX130" s="57" t="str">
        <f>IF(ISNA(VLOOKUP(CU130,'ODBC Data'!$B$1:$J$500,5,0)),"",VLOOKUP(CU130,'ODBC Data'!$B$1:$J$500,5,0))</f>
        <v/>
      </c>
      <c r="EI130" s="19" t="str">
        <f>IF('ODBC Data'!$I$21&gt;126,'ODBC Data'!$H$21,"")</f>
        <v/>
      </c>
      <c r="EJ130" s="19" t="str">
        <f>IF('ODBC Data'!$I$21&gt;126,127,"")</f>
        <v/>
      </c>
      <c r="EK130" s="17" t="str">
        <f t="shared" si="30"/>
        <v/>
      </c>
      <c r="EL130" s="57" t="str">
        <f>IF(ISNA(VLOOKUP(EK130,'ODBC Data'!$B$1:$J$500,3,0)),"",VLOOKUP(EK130,'ODBC Data'!$B$1:$J$500,3,0))</f>
        <v/>
      </c>
      <c r="EM130" s="57" t="str">
        <f>IF(ISNA(VLOOKUP(EK130,'ODBC Data'!$B$1:$J$500,4,0)),"",VLOOKUP(EK130,'ODBC Data'!$B$1:$J$500,4,0))</f>
        <v/>
      </c>
      <c r="EN130" s="57" t="str">
        <f>IF(ISNA(VLOOKUP(EK130,'ODBC Data'!$B$1:$J$500,5,0)),"",VLOOKUP(EK130,'ODBC Data'!$B$1:$J$500,5,0))</f>
        <v/>
      </c>
    </row>
    <row r="131" spans="97:144">
      <c r="CS131" s="19" t="str">
        <f>IF('ODBC Data'!$I$15&gt;127,'ODBC Data'!$H$15,"")</f>
        <v/>
      </c>
      <c r="CT131" s="19" t="str">
        <f>IF('ODBC Data'!$I$15&gt;127,128,"")</f>
        <v/>
      </c>
      <c r="CU131" s="17" t="str">
        <f t="shared" si="29"/>
        <v/>
      </c>
      <c r="CV131" s="57" t="str">
        <f>IF(ISNA(VLOOKUP(CU131,'ODBC Data'!$B$1:$J$500,3,0)),"",VLOOKUP(CU131,'ODBC Data'!$B$1:$J$500,3,0))</f>
        <v/>
      </c>
      <c r="CW131" s="57" t="str">
        <f>IF(ISNA(VLOOKUP(CU131,'ODBC Data'!$B$1:$J$500,4,0)),"",VLOOKUP(CU131,'ODBC Data'!$B$1:$J$500,4,0))</f>
        <v/>
      </c>
      <c r="CX131" s="57" t="str">
        <f>IF(ISNA(VLOOKUP(CU131,'ODBC Data'!$B$1:$J$500,5,0)),"",VLOOKUP(CU131,'ODBC Data'!$B$1:$J$500,5,0))</f>
        <v/>
      </c>
      <c r="EI131" s="19" t="str">
        <f>IF('ODBC Data'!$I$21&gt;127,'ODBC Data'!$H$21,"")</f>
        <v/>
      </c>
      <c r="EJ131" s="19" t="str">
        <f>IF('ODBC Data'!$I$21&gt;127,128,"")</f>
        <v/>
      </c>
      <c r="EK131" s="17" t="str">
        <f t="shared" si="30"/>
        <v/>
      </c>
      <c r="EL131" s="57" t="str">
        <f>IF(ISNA(VLOOKUP(EK131,'ODBC Data'!$B$1:$J$500,3,0)),"",VLOOKUP(EK131,'ODBC Data'!$B$1:$J$500,3,0))</f>
        <v/>
      </c>
      <c r="EM131" s="57" t="str">
        <f>IF(ISNA(VLOOKUP(EK131,'ODBC Data'!$B$1:$J$500,4,0)),"",VLOOKUP(EK131,'ODBC Data'!$B$1:$J$500,4,0))</f>
        <v/>
      </c>
      <c r="EN131" s="57" t="str">
        <f>IF(ISNA(VLOOKUP(EK131,'ODBC Data'!$B$1:$J$500,5,0)),"",VLOOKUP(EK131,'ODBC Data'!$B$1:$J$500,5,0))</f>
        <v/>
      </c>
    </row>
    <row r="132" spans="97:144">
      <c r="CS132" s="19" t="str">
        <f>IF('ODBC Data'!$I$15&gt;128,'ODBC Data'!$H$15,"")</f>
        <v/>
      </c>
      <c r="CT132" s="19" t="str">
        <f>IF('ODBC Data'!$I$15&gt;128,129,"")</f>
        <v/>
      </c>
      <c r="CU132" s="17" t="str">
        <f t="shared" ref="CU132:CU195" si="31">CONCATENATE(CS132,CT132)</f>
        <v/>
      </c>
      <c r="CV132" s="57" t="str">
        <f>IF(ISNA(VLOOKUP(CU132,'ODBC Data'!$B$1:$J$500,3,0)),"",VLOOKUP(CU132,'ODBC Data'!$B$1:$J$500,3,0))</f>
        <v/>
      </c>
      <c r="CW132" s="57" t="str">
        <f>IF(ISNA(VLOOKUP(CU132,'ODBC Data'!$B$1:$J$500,4,0)),"",VLOOKUP(CU132,'ODBC Data'!$B$1:$J$500,4,0))</f>
        <v/>
      </c>
      <c r="CX132" s="57" t="str">
        <f>IF(ISNA(VLOOKUP(CU132,'ODBC Data'!$B$1:$J$500,5,0)),"",VLOOKUP(CU132,'ODBC Data'!$B$1:$J$500,5,0))</f>
        <v/>
      </c>
      <c r="EI132" s="19" t="str">
        <f>IF('ODBC Data'!$I$21&gt;128,'ODBC Data'!$H$21,"")</f>
        <v/>
      </c>
      <c r="EJ132" s="19" t="str">
        <f>IF('ODBC Data'!$I$21&gt;128,129,"")</f>
        <v/>
      </c>
      <c r="EK132" s="17" t="str">
        <f t="shared" ref="EK132:EK195" si="32">CONCATENATE(EI132,EJ132)</f>
        <v/>
      </c>
      <c r="EL132" s="57" t="str">
        <f>IF(ISNA(VLOOKUP(EK132,'ODBC Data'!$B$1:$J$500,3,0)),"",VLOOKUP(EK132,'ODBC Data'!$B$1:$J$500,3,0))</f>
        <v/>
      </c>
      <c r="EM132" s="57" t="str">
        <f>IF(ISNA(VLOOKUP(EK132,'ODBC Data'!$B$1:$J$500,4,0)),"",VLOOKUP(EK132,'ODBC Data'!$B$1:$J$500,4,0))</f>
        <v/>
      </c>
      <c r="EN132" s="57" t="str">
        <f>IF(ISNA(VLOOKUP(EK132,'ODBC Data'!$B$1:$J$500,5,0)),"",VLOOKUP(EK132,'ODBC Data'!$B$1:$J$500,5,0))</f>
        <v/>
      </c>
    </row>
    <row r="133" spans="97:144">
      <c r="CS133" s="19" t="str">
        <f>IF('ODBC Data'!$I$15&gt;129,'ODBC Data'!$H$15,"")</f>
        <v/>
      </c>
      <c r="CT133" s="19" t="str">
        <f>IF('ODBC Data'!$I$15&gt;129,130,"")</f>
        <v/>
      </c>
      <c r="CU133" s="17" t="str">
        <f t="shared" si="31"/>
        <v/>
      </c>
      <c r="CV133" s="57" t="str">
        <f>IF(ISNA(VLOOKUP(CU133,'ODBC Data'!$B$1:$J$500,3,0)),"",VLOOKUP(CU133,'ODBC Data'!$B$1:$J$500,3,0))</f>
        <v/>
      </c>
      <c r="CW133" s="57" t="str">
        <f>IF(ISNA(VLOOKUP(CU133,'ODBC Data'!$B$1:$J$500,4,0)),"",VLOOKUP(CU133,'ODBC Data'!$B$1:$J$500,4,0))</f>
        <v/>
      </c>
      <c r="CX133" s="57" t="str">
        <f>IF(ISNA(VLOOKUP(CU133,'ODBC Data'!$B$1:$J$500,5,0)),"",VLOOKUP(CU133,'ODBC Data'!$B$1:$J$500,5,0))</f>
        <v/>
      </c>
      <c r="EI133" s="19" t="str">
        <f>IF('ODBC Data'!$I$21&gt;129,'ODBC Data'!$H$21,"")</f>
        <v/>
      </c>
      <c r="EJ133" s="19" t="str">
        <f>IF('ODBC Data'!$I$21&gt;129,130,"")</f>
        <v/>
      </c>
      <c r="EK133" s="17" t="str">
        <f t="shared" si="32"/>
        <v/>
      </c>
      <c r="EL133" s="57" t="str">
        <f>IF(ISNA(VLOOKUP(EK133,'ODBC Data'!$B$1:$J$500,3,0)),"",VLOOKUP(EK133,'ODBC Data'!$B$1:$J$500,3,0))</f>
        <v/>
      </c>
      <c r="EM133" s="57" t="str">
        <f>IF(ISNA(VLOOKUP(EK133,'ODBC Data'!$B$1:$J$500,4,0)),"",VLOOKUP(EK133,'ODBC Data'!$B$1:$J$500,4,0))</f>
        <v/>
      </c>
      <c r="EN133" s="57" t="str">
        <f>IF(ISNA(VLOOKUP(EK133,'ODBC Data'!$B$1:$J$500,5,0)),"",VLOOKUP(EK133,'ODBC Data'!$B$1:$J$500,5,0))</f>
        <v/>
      </c>
    </row>
    <row r="134" spans="97:144">
      <c r="CS134" s="19" t="str">
        <f>IF('ODBC Data'!$I$15&gt;130,'ODBC Data'!$H$15,"")</f>
        <v/>
      </c>
      <c r="CT134" s="19" t="str">
        <f>IF('ODBC Data'!$I$15&gt;130,131,"")</f>
        <v/>
      </c>
      <c r="CU134" s="17" t="str">
        <f t="shared" si="31"/>
        <v/>
      </c>
      <c r="CV134" s="57" t="str">
        <f>IF(ISNA(VLOOKUP(CU134,'ODBC Data'!$B$1:$J$500,3,0)),"",VLOOKUP(CU134,'ODBC Data'!$B$1:$J$500,3,0))</f>
        <v/>
      </c>
      <c r="CW134" s="57" t="str">
        <f>IF(ISNA(VLOOKUP(CU134,'ODBC Data'!$B$1:$J$500,4,0)),"",VLOOKUP(CU134,'ODBC Data'!$B$1:$J$500,4,0))</f>
        <v/>
      </c>
      <c r="CX134" s="57" t="str">
        <f>IF(ISNA(VLOOKUP(CU134,'ODBC Data'!$B$1:$J$500,5,0)),"",VLOOKUP(CU134,'ODBC Data'!$B$1:$J$500,5,0))</f>
        <v/>
      </c>
      <c r="EI134" s="19" t="str">
        <f>IF('ODBC Data'!$I$21&gt;130,'ODBC Data'!$H$21,"")</f>
        <v/>
      </c>
      <c r="EJ134" s="19" t="str">
        <f>IF('ODBC Data'!$I$21&gt;130,131,"")</f>
        <v/>
      </c>
      <c r="EK134" s="17" t="str">
        <f t="shared" si="32"/>
        <v/>
      </c>
      <c r="EL134" s="57" t="str">
        <f>IF(ISNA(VLOOKUP(EK134,'ODBC Data'!$B$1:$J$500,3,0)),"",VLOOKUP(EK134,'ODBC Data'!$B$1:$J$500,3,0))</f>
        <v/>
      </c>
      <c r="EM134" s="57" t="str">
        <f>IF(ISNA(VLOOKUP(EK134,'ODBC Data'!$B$1:$J$500,4,0)),"",VLOOKUP(EK134,'ODBC Data'!$B$1:$J$500,4,0))</f>
        <v/>
      </c>
      <c r="EN134" s="57" t="str">
        <f>IF(ISNA(VLOOKUP(EK134,'ODBC Data'!$B$1:$J$500,5,0)),"",VLOOKUP(EK134,'ODBC Data'!$B$1:$J$500,5,0))</f>
        <v/>
      </c>
    </row>
    <row r="135" spans="97:144">
      <c r="CS135" s="19" t="str">
        <f>IF('ODBC Data'!$I$15&gt;131,'ODBC Data'!$H$15,"")</f>
        <v/>
      </c>
      <c r="CT135" s="19" t="str">
        <f>IF('ODBC Data'!$I$15&gt;131,132,"")</f>
        <v/>
      </c>
      <c r="CU135" s="17" t="str">
        <f t="shared" si="31"/>
        <v/>
      </c>
      <c r="CV135" s="57" t="str">
        <f>IF(ISNA(VLOOKUP(CU135,'ODBC Data'!$B$1:$J$500,3,0)),"",VLOOKUP(CU135,'ODBC Data'!$B$1:$J$500,3,0))</f>
        <v/>
      </c>
      <c r="CW135" s="57" t="str">
        <f>IF(ISNA(VLOOKUP(CU135,'ODBC Data'!$B$1:$J$500,4,0)),"",VLOOKUP(CU135,'ODBC Data'!$B$1:$J$500,4,0))</f>
        <v/>
      </c>
      <c r="CX135" s="57" t="str">
        <f>IF(ISNA(VLOOKUP(CU135,'ODBC Data'!$B$1:$J$500,5,0)),"",VLOOKUP(CU135,'ODBC Data'!$B$1:$J$500,5,0))</f>
        <v/>
      </c>
      <c r="EI135" s="19" t="str">
        <f>IF('ODBC Data'!$I$21&gt;131,'ODBC Data'!$H$21,"")</f>
        <v/>
      </c>
      <c r="EJ135" s="19" t="str">
        <f>IF('ODBC Data'!$I$21&gt;131,132,"")</f>
        <v/>
      </c>
      <c r="EK135" s="17" t="str">
        <f t="shared" si="32"/>
        <v/>
      </c>
      <c r="EL135" s="57" t="str">
        <f>IF(ISNA(VLOOKUP(EK135,'ODBC Data'!$B$1:$J$500,3,0)),"",VLOOKUP(EK135,'ODBC Data'!$B$1:$J$500,3,0))</f>
        <v/>
      </c>
      <c r="EM135" s="57" t="str">
        <f>IF(ISNA(VLOOKUP(EK135,'ODBC Data'!$B$1:$J$500,4,0)),"",VLOOKUP(EK135,'ODBC Data'!$B$1:$J$500,4,0))</f>
        <v/>
      </c>
      <c r="EN135" s="57" t="str">
        <f>IF(ISNA(VLOOKUP(EK135,'ODBC Data'!$B$1:$J$500,5,0)),"",VLOOKUP(EK135,'ODBC Data'!$B$1:$J$500,5,0))</f>
        <v/>
      </c>
    </row>
    <row r="136" spans="97:144">
      <c r="CS136" s="19" t="str">
        <f>IF('ODBC Data'!$I$15&gt;132,'ODBC Data'!$H$15,"")</f>
        <v/>
      </c>
      <c r="CT136" s="19" t="str">
        <f>IF('ODBC Data'!$I$15&gt;132,133,"")</f>
        <v/>
      </c>
      <c r="CU136" s="17" t="str">
        <f t="shared" si="31"/>
        <v/>
      </c>
      <c r="CV136" s="57" t="str">
        <f>IF(ISNA(VLOOKUP(CU136,'ODBC Data'!$B$1:$J$500,3,0)),"",VLOOKUP(CU136,'ODBC Data'!$B$1:$J$500,3,0))</f>
        <v/>
      </c>
      <c r="CW136" s="57" t="str">
        <f>IF(ISNA(VLOOKUP(CU136,'ODBC Data'!$B$1:$J$500,4,0)),"",VLOOKUP(CU136,'ODBC Data'!$B$1:$J$500,4,0))</f>
        <v/>
      </c>
      <c r="CX136" s="57" t="str">
        <f>IF(ISNA(VLOOKUP(CU136,'ODBC Data'!$B$1:$J$500,5,0)),"",VLOOKUP(CU136,'ODBC Data'!$B$1:$J$500,5,0))</f>
        <v/>
      </c>
      <c r="EI136" s="19" t="str">
        <f>IF('ODBC Data'!$I$21&gt;132,'ODBC Data'!$H$21,"")</f>
        <v/>
      </c>
      <c r="EJ136" s="19" t="str">
        <f>IF('ODBC Data'!$I$21&gt;132,133,"")</f>
        <v/>
      </c>
      <c r="EK136" s="17" t="str">
        <f t="shared" si="32"/>
        <v/>
      </c>
      <c r="EL136" s="57" t="str">
        <f>IF(ISNA(VLOOKUP(EK136,'ODBC Data'!$B$1:$J$500,3,0)),"",VLOOKUP(EK136,'ODBC Data'!$B$1:$J$500,3,0))</f>
        <v/>
      </c>
      <c r="EM136" s="57" t="str">
        <f>IF(ISNA(VLOOKUP(EK136,'ODBC Data'!$B$1:$J$500,4,0)),"",VLOOKUP(EK136,'ODBC Data'!$B$1:$J$500,4,0))</f>
        <v/>
      </c>
      <c r="EN136" s="57" t="str">
        <f>IF(ISNA(VLOOKUP(EK136,'ODBC Data'!$B$1:$J$500,5,0)),"",VLOOKUP(EK136,'ODBC Data'!$B$1:$J$500,5,0))</f>
        <v/>
      </c>
    </row>
    <row r="137" spans="97:144">
      <c r="CS137" s="19" t="str">
        <f>IF('ODBC Data'!$I$15&gt;133,'ODBC Data'!$H$15,"")</f>
        <v/>
      </c>
      <c r="CT137" s="19" t="str">
        <f>IF('ODBC Data'!$I$15&gt;133,134,"")</f>
        <v/>
      </c>
      <c r="CU137" s="17" t="str">
        <f t="shared" si="31"/>
        <v/>
      </c>
      <c r="CV137" s="57" t="str">
        <f>IF(ISNA(VLOOKUP(CU137,'ODBC Data'!$B$1:$J$500,3,0)),"",VLOOKUP(CU137,'ODBC Data'!$B$1:$J$500,3,0))</f>
        <v/>
      </c>
      <c r="CW137" s="57" t="str">
        <f>IF(ISNA(VLOOKUP(CU137,'ODBC Data'!$B$1:$J$500,4,0)),"",VLOOKUP(CU137,'ODBC Data'!$B$1:$J$500,4,0))</f>
        <v/>
      </c>
      <c r="CX137" s="57" t="str">
        <f>IF(ISNA(VLOOKUP(CU137,'ODBC Data'!$B$1:$J$500,5,0)),"",VLOOKUP(CU137,'ODBC Data'!$B$1:$J$500,5,0))</f>
        <v/>
      </c>
      <c r="EI137" s="19" t="str">
        <f>IF('ODBC Data'!$I$21&gt;133,'ODBC Data'!$H$21,"")</f>
        <v/>
      </c>
      <c r="EJ137" s="19" t="str">
        <f>IF('ODBC Data'!$I$21&gt;133,134,"")</f>
        <v/>
      </c>
      <c r="EK137" s="17" t="str">
        <f t="shared" si="32"/>
        <v/>
      </c>
      <c r="EL137" s="57" t="str">
        <f>IF(ISNA(VLOOKUP(EK137,'ODBC Data'!$B$1:$J$500,3,0)),"",VLOOKUP(EK137,'ODBC Data'!$B$1:$J$500,3,0))</f>
        <v/>
      </c>
      <c r="EM137" s="57" t="str">
        <f>IF(ISNA(VLOOKUP(EK137,'ODBC Data'!$B$1:$J$500,4,0)),"",VLOOKUP(EK137,'ODBC Data'!$B$1:$J$500,4,0))</f>
        <v/>
      </c>
      <c r="EN137" s="57" t="str">
        <f>IF(ISNA(VLOOKUP(EK137,'ODBC Data'!$B$1:$J$500,5,0)),"",VLOOKUP(EK137,'ODBC Data'!$B$1:$J$500,5,0))</f>
        <v/>
      </c>
    </row>
    <row r="138" spans="97:144">
      <c r="CS138" s="19" t="str">
        <f>IF('ODBC Data'!$I$15&gt;134,'ODBC Data'!$H$15,"")</f>
        <v/>
      </c>
      <c r="CT138" s="19" t="str">
        <f>IF('ODBC Data'!$I$15&gt;134,135,"")</f>
        <v/>
      </c>
      <c r="CU138" s="17" t="str">
        <f t="shared" si="31"/>
        <v/>
      </c>
      <c r="CV138" s="57" t="str">
        <f>IF(ISNA(VLOOKUP(CU138,'ODBC Data'!$B$1:$J$500,3,0)),"",VLOOKUP(CU138,'ODBC Data'!$B$1:$J$500,3,0))</f>
        <v/>
      </c>
      <c r="CW138" s="57" t="str">
        <f>IF(ISNA(VLOOKUP(CU138,'ODBC Data'!$B$1:$J$500,4,0)),"",VLOOKUP(CU138,'ODBC Data'!$B$1:$J$500,4,0))</f>
        <v/>
      </c>
      <c r="CX138" s="57" t="str">
        <f>IF(ISNA(VLOOKUP(CU138,'ODBC Data'!$B$1:$J$500,5,0)),"",VLOOKUP(CU138,'ODBC Data'!$B$1:$J$500,5,0))</f>
        <v/>
      </c>
      <c r="EI138" s="19" t="str">
        <f>IF('ODBC Data'!$I$21&gt;134,'ODBC Data'!$H$21,"")</f>
        <v/>
      </c>
      <c r="EJ138" s="19" t="str">
        <f>IF('ODBC Data'!$I$21&gt;134,135,"")</f>
        <v/>
      </c>
      <c r="EK138" s="17" t="str">
        <f t="shared" si="32"/>
        <v/>
      </c>
      <c r="EL138" s="57" t="str">
        <f>IF(ISNA(VLOOKUP(EK138,'ODBC Data'!$B$1:$J$500,3,0)),"",VLOOKUP(EK138,'ODBC Data'!$B$1:$J$500,3,0))</f>
        <v/>
      </c>
      <c r="EM138" s="57" t="str">
        <f>IF(ISNA(VLOOKUP(EK138,'ODBC Data'!$B$1:$J$500,4,0)),"",VLOOKUP(EK138,'ODBC Data'!$B$1:$J$500,4,0))</f>
        <v/>
      </c>
      <c r="EN138" s="57" t="str">
        <f>IF(ISNA(VLOOKUP(EK138,'ODBC Data'!$B$1:$J$500,5,0)),"",VLOOKUP(EK138,'ODBC Data'!$B$1:$J$500,5,0))</f>
        <v/>
      </c>
    </row>
    <row r="139" spans="97:144">
      <c r="CS139" s="19" t="str">
        <f>IF('ODBC Data'!$I$15&gt;135,'ODBC Data'!$H$15,"")</f>
        <v/>
      </c>
      <c r="CT139" s="19" t="str">
        <f>IF('ODBC Data'!$I$15&gt;135,136,"")</f>
        <v/>
      </c>
      <c r="CU139" s="17" t="str">
        <f t="shared" si="31"/>
        <v/>
      </c>
      <c r="CV139" s="57" t="str">
        <f>IF(ISNA(VLOOKUP(CU139,'ODBC Data'!$B$1:$J$500,3,0)),"",VLOOKUP(CU139,'ODBC Data'!$B$1:$J$500,3,0))</f>
        <v/>
      </c>
      <c r="CW139" s="57" t="str">
        <f>IF(ISNA(VLOOKUP(CU139,'ODBC Data'!$B$1:$J$500,4,0)),"",VLOOKUP(CU139,'ODBC Data'!$B$1:$J$500,4,0))</f>
        <v/>
      </c>
      <c r="CX139" s="57" t="str">
        <f>IF(ISNA(VLOOKUP(CU139,'ODBC Data'!$B$1:$J$500,5,0)),"",VLOOKUP(CU139,'ODBC Data'!$B$1:$J$500,5,0))</f>
        <v/>
      </c>
      <c r="EI139" s="19" t="str">
        <f>IF('ODBC Data'!$I$21&gt;135,'ODBC Data'!$H$21,"")</f>
        <v/>
      </c>
      <c r="EJ139" s="19" t="str">
        <f>IF('ODBC Data'!$I$21&gt;135,136,"")</f>
        <v/>
      </c>
      <c r="EK139" s="17" t="str">
        <f t="shared" si="32"/>
        <v/>
      </c>
      <c r="EL139" s="57" t="str">
        <f>IF(ISNA(VLOOKUP(EK139,'ODBC Data'!$B$1:$J$500,3,0)),"",VLOOKUP(EK139,'ODBC Data'!$B$1:$J$500,3,0))</f>
        <v/>
      </c>
      <c r="EM139" s="57" t="str">
        <f>IF(ISNA(VLOOKUP(EK139,'ODBC Data'!$B$1:$J$500,4,0)),"",VLOOKUP(EK139,'ODBC Data'!$B$1:$J$500,4,0))</f>
        <v/>
      </c>
      <c r="EN139" s="57" t="str">
        <f>IF(ISNA(VLOOKUP(EK139,'ODBC Data'!$B$1:$J$500,5,0)),"",VLOOKUP(EK139,'ODBC Data'!$B$1:$J$500,5,0))</f>
        <v/>
      </c>
    </row>
    <row r="140" spans="97:144">
      <c r="CS140" s="19" t="str">
        <f>IF('ODBC Data'!$I$15&gt;136,'ODBC Data'!$H$15,"")</f>
        <v/>
      </c>
      <c r="CT140" s="19" t="str">
        <f>IF('ODBC Data'!$I$15&gt;136,137,"")</f>
        <v/>
      </c>
      <c r="CU140" s="17" t="str">
        <f t="shared" si="31"/>
        <v/>
      </c>
      <c r="CV140" s="57" t="str">
        <f>IF(ISNA(VLOOKUP(CU140,'ODBC Data'!$B$1:$J$500,3,0)),"",VLOOKUP(CU140,'ODBC Data'!$B$1:$J$500,3,0))</f>
        <v/>
      </c>
      <c r="CW140" s="57" t="str">
        <f>IF(ISNA(VLOOKUP(CU140,'ODBC Data'!$B$1:$J$500,4,0)),"",VLOOKUP(CU140,'ODBC Data'!$B$1:$J$500,4,0))</f>
        <v/>
      </c>
      <c r="CX140" s="57" t="str">
        <f>IF(ISNA(VLOOKUP(CU140,'ODBC Data'!$B$1:$J$500,5,0)),"",VLOOKUP(CU140,'ODBC Data'!$B$1:$J$500,5,0))</f>
        <v/>
      </c>
      <c r="EI140" s="19" t="str">
        <f>IF('ODBC Data'!$I$21&gt;136,'ODBC Data'!$H$21,"")</f>
        <v/>
      </c>
      <c r="EJ140" s="19" t="str">
        <f>IF('ODBC Data'!$I$21&gt;136,137,"")</f>
        <v/>
      </c>
      <c r="EK140" s="17" t="str">
        <f t="shared" si="32"/>
        <v/>
      </c>
      <c r="EL140" s="57" t="str">
        <f>IF(ISNA(VLOOKUP(EK140,'ODBC Data'!$B$1:$J$500,3,0)),"",VLOOKUP(EK140,'ODBC Data'!$B$1:$J$500,3,0))</f>
        <v/>
      </c>
      <c r="EM140" s="57" t="str">
        <f>IF(ISNA(VLOOKUP(EK140,'ODBC Data'!$B$1:$J$500,4,0)),"",VLOOKUP(EK140,'ODBC Data'!$B$1:$J$500,4,0))</f>
        <v/>
      </c>
      <c r="EN140" s="57" t="str">
        <f>IF(ISNA(VLOOKUP(EK140,'ODBC Data'!$B$1:$J$500,5,0)),"",VLOOKUP(EK140,'ODBC Data'!$B$1:$J$500,5,0))</f>
        <v/>
      </c>
    </row>
    <row r="141" spans="97:144">
      <c r="CS141" s="19" t="str">
        <f>IF('ODBC Data'!$I$15&gt;137,'ODBC Data'!$H$15,"")</f>
        <v/>
      </c>
      <c r="CT141" s="19" t="str">
        <f>IF('ODBC Data'!$I$15&gt;137,138,"")</f>
        <v/>
      </c>
      <c r="CU141" s="17" t="str">
        <f t="shared" si="31"/>
        <v/>
      </c>
      <c r="CV141" s="57" t="str">
        <f>IF(ISNA(VLOOKUP(CU141,'ODBC Data'!$B$1:$J$500,3,0)),"",VLOOKUP(CU141,'ODBC Data'!$B$1:$J$500,3,0))</f>
        <v/>
      </c>
      <c r="CW141" s="57" t="str">
        <f>IF(ISNA(VLOOKUP(CU141,'ODBC Data'!$B$1:$J$500,4,0)),"",VLOOKUP(CU141,'ODBC Data'!$B$1:$J$500,4,0))</f>
        <v/>
      </c>
      <c r="CX141" s="57" t="str">
        <f>IF(ISNA(VLOOKUP(CU141,'ODBC Data'!$B$1:$J$500,5,0)),"",VLOOKUP(CU141,'ODBC Data'!$B$1:$J$500,5,0))</f>
        <v/>
      </c>
      <c r="EI141" s="19" t="str">
        <f>IF('ODBC Data'!$I$21&gt;137,'ODBC Data'!$H$21,"")</f>
        <v/>
      </c>
      <c r="EJ141" s="19" t="str">
        <f>IF('ODBC Data'!$I$21&gt;137,138,"")</f>
        <v/>
      </c>
      <c r="EK141" s="17" t="str">
        <f t="shared" si="32"/>
        <v/>
      </c>
      <c r="EL141" s="57" t="str">
        <f>IF(ISNA(VLOOKUP(EK141,'ODBC Data'!$B$1:$J$500,3,0)),"",VLOOKUP(EK141,'ODBC Data'!$B$1:$J$500,3,0))</f>
        <v/>
      </c>
      <c r="EM141" s="57" t="str">
        <f>IF(ISNA(VLOOKUP(EK141,'ODBC Data'!$B$1:$J$500,4,0)),"",VLOOKUP(EK141,'ODBC Data'!$B$1:$J$500,4,0))</f>
        <v/>
      </c>
      <c r="EN141" s="57" t="str">
        <f>IF(ISNA(VLOOKUP(EK141,'ODBC Data'!$B$1:$J$500,5,0)),"",VLOOKUP(EK141,'ODBC Data'!$B$1:$J$500,5,0))</f>
        <v/>
      </c>
    </row>
    <row r="142" spans="97:144">
      <c r="CS142" s="19" t="str">
        <f>IF('ODBC Data'!$I$15&gt;138,'ODBC Data'!$H$15,"")</f>
        <v/>
      </c>
      <c r="CT142" s="19" t="str">
        <f>IF('ODBC Data'!$I$15&gt;138,139,"")</f>
        <v/>
      </c>
      <c r="CU142" s="17" t="str">
        <f t="shared" si="31"/>
        <v/>
      </c>
      <c r="CV142" s="57" t="str">
        <f>IF(ISNA(VLOOKUP(CU142,'ODBC Data'!$B$1:$J$500,3,0)),"",VLOOKUP(CU142,'ODBC Data'!$B$1:$J$500,3,0))</f>
        <v/>
      </c>
      <c r="CW142" s="57" t="str">
        <f>IF(ISNA(VLOOKUP(CU142,'ODBC Data'!$B$1:$J$500,4,0)),"",VLOOKUP(CU142,'ODBC Data'!$B$1:$J$500,4,0))</f>
        <v/>
      </c>
      <c r="CX142" s="57" t="str">
        <f>IF(ISNA(VLOOKUP(CU142,'ODBC Data'!$B$1:$J$500,5,0)),"",VLOOKUP(CU142,'ODBC Data'!$B$1:$J$500,5,0))</f>
        <v/>
      </c>
      <c r="EI142" s="19" t="str">
        <f>IF('ODBC Data'!$I$21&gt;138,'ODBC Data'!$H$21,"")</f>
        <v/>
      </c>
      <c r="EJ142" s="19" t="str">
        <f>IF('ODBC Data'!$I$21&gt;138,139,"")</f>
        <v/>
      </c>
      <c r="EK142" s="17" t="str">
        <f t="shared" si="32"/>
        <v/>
      </c>
      <c r="EL142" s="57" t="str">
        <f>IF(ISNA(VLOOKUP(EK142,'ODBC Data'!$B$1:$J$500,3,0)),"",VLOOKUP(EK142,'ODBC Data'!$B$1:$J$500,3,0))</f>
        <v/>
      </c>
      <c r="EM142" s="57" t="str">
        <f>IF(ISNA(VLOOKUP(EK142,'ODBC Data'!$B$1:$J$500,4,0)),"",VLOOKUP(EK142,'ODBC Data'!$B$1:$J$500,4,0))</f>
        <v/>
      </c>
      <c r="EN142" s="57" t="str">
        <f>IF(ISNA(VLOOKUP(EK142,'ODBC Data'!$B$1:$J$500,5,0)),"",VLOOKUP(EK142,'ODBC Data'!$B$1:$J$500,5,0))</f>
        <v/>
      </c>
    </row>
    <row r="143" spans="97:144">
      <c r="CS143" s="19" t="str">
        <f>IF('ODBC Data'!$I$15&gt;139,'ODBC Data'!$H$15,"")</f>
        <v/>
      </c>
      <c r="CT143" s="19" t="str">
        <f>IF('ODBC Data'!$I$15&gt;139,140,"")</f>
        <v/>
      </c>
      <c r="CU143" s="17" t="str">
        <f t="shared" si="31"/>
        <v/>
      </c>
      <c r="CV143" s="57" t="str">
        <f>IF(ISNA(VLOOKUP(CU143,'ODBC Data'!$B$1:$J$500,3,0)),"",VLOOKUP(CU143,'ODBC Data'!$B$1:$J$500,3,0))</f>
        <v/>
      </c>
      <c r="CW143" s="57" t="str">
        <f>IF(ISNA(VLOOKUP(CU143,'ODBC Data'!$B$1:$J$500,4,0)),"",VLOOKUP(CU143,'ODBC Data'!$B$1:$J$500,4,0))</f>
        <v/>
      </c>
      <c r="CX143" s="57" t="str">
        <f>IF(ISNA(VLOOKUP(CU143,'ODBC Data'!$B$1:$J$500,5,0)),"",VLOOKUP(CU143,'ODBC Data'!$B$1:$J$500,5,0))</f>
        <v/>
      </c>
      <c r="EI143" s="19" t="str">
        <f>IF('ODBC Data'!$I$21&gt;139,'ODBC Data'!$H$21,"")</f>
        <v/>
      </c>
      <c r="EJ143" s="19" t="str">
        <f>IF('ODBC Data'!$I$21&gt;139,140,"")</f>
        <v/>
      </c>
      <c r="EK143" s="17" t="str">
        <f t="shared" si="32"/>
        <v/>
      </c>
      <c r="EL143" s="57" t="str">
        <f>IF(ISNA(VLOOKUP(EK143,'ODBC Data'!$B$1:$J$500,3,0)),"",VLOOKUP(EK143,'ODBC Data'!$B$1:$J$500,3,0))</f>
        <v/>
      </c>
      <c r="EM143" s="57" t="str">
        <f>IF(ISNA(VLOOKUP(EK143,'ODBC Data'!$B$1:$J$500,4,0)),"",VLOOKUP(EK143,'ODBC Data'!$B$1:$J$500,4,0))</f>
        <v/>
      </c>
      <c r="EN143" s="57" t="str">
        <f>IF(ISNA(VLOOKUP(EK143,'ODBC Data'!$B$1:$J$500,5,0)),"",VLOOKUP(EK143,'ODBC Data'!$B$1:$J$500,5,0))</f>
        <v/>
      </c>
    </row>
    <row r="144" spans="97:144">
      <c r="CS144" s="19" t="str">
        <f>IF('ODBC Data'!$I$15&gt;140,'ODBC Data'!$H$15,"")</f>
        <v/>
      </c>
      <c r="CT144" s="19" t="str">
        <f>IF('ODBC Data'!$I$15&gt;140,141,"")</f>
        <v/>
      </c>
      <c r="CU144" s="17" t="str">
        <f t="shared" si="31"/>
        <v/>
      </c>
      <c r="CV144" s="57" t="str">
        <f>IF(ISNA(VLOOKUP(CU144,'ODBC Data'!$B$1:$J$500,3,0)),"",VLOOKUP(CU144,'ODBC Data'!$B$1:$J$500,3,0))</f>
        <v/>
      </c>
      <c r="CW144" s="57" t="str">
        <f>IF(ISNA(VLOOKUP(CU144,'ODBC Data'!$B$1:$J$500,4,0)),"",VLOOKUP(CU144,'ODBC Data'!$B$1:$J$500,4,0))</f>
        <v/>
      </c>
      <c r="CX144" s="57" t="str">
        <f>IF(ISNA(VLOOKUP(CU144,'ODBC Data'!$B$1:$J$500,5,0)),"",VLOOKUP(CU144,'ODBC Data'!$B$1:$J$500,5,0))</f>
        <v/>
      </c>
      <c r="EI144" s="19" t="str">
        <f>IF('ODBC Data'!$I$21&gt;140,'ODBC Data'!$H$21,"")</f>
        <v/>
      </c>
      <c r="EJ144" s="19" t="str">
        <f>IF('ODBC Data'!$I$21&gt;140,141,"")</f>
        <v/>
      </c>
      <c r="EK144" s="17" t="str">
        <f t="shared" si="32"/>
        <v/>
      </c>
      <c r="EL144" s="57" t="str">
        <f>IF(ISNA(VLOOKUP(EK144,'ODBC Data'!$B$1:$J$500,3,0)),"",VLOOKUP(EK144,'ODBC Data'!$B$1:$J$500,3,0))</f>
        <v/>
      </c>
      <c r="EM144" s="57" t="str">
        <f>IF(ISNA(VLOOKUP(EK144,'ODBC Data'!$B$1:$J$500,4,0)),"",VLOOKUP(EK144,'ODBC Data'!$B$1:$J$500,4,0))</f>
        <v/>
      </c>
      <c r="EN144" s="57" t="str">
        <f>IF(ISNA(VLOOKUP(EK144,'ODBC Data'!$B$1:$J$500,5,0)),"",VLOOKUP(EK144,'ODBC Data'!$B$1:$J$500,5,0))</f>
        <v/>
      </c>
    </row>
    <row r="145" spans="97:144">
      <c r="CS145" s="19" t="str">
        <f>IF('ODBC Data'!$I$15&gt;141,'ODBC Data'!$H$15,"")</f>
        <v/>
      </c>
      <c r="CT145" s="19" t="str">
        <f>IF('ODBC Data'!$I$15&gt;141,142,"")</f>
        <v/>
      </c>
      <c r="CU145" s="17" t="str">
        <f t="shared" si="31"/>
        <v/>
      </c>
      <c r="CV145" s="57" t="str">
        <f>IF(ISNA(VLOOKUP(CU145,'ODBC Data'!$B$1:$J$500,3,0)),"",VLOOKUP(CU145,'ODBC Data'!$B$1:$J$500,3,0))</f>
        <v/>
      </c>
      <c r="CW145" s="57" t="str">
        <f>IF(ISNA(VLOOKUP(CU145,'ODBC Data'!$B$1:$J$500,4,0)),"",VLOOKUP(CU145,'ODBC Data'!$B$1:$J$500,4,0))</f>
        <v/>
      </c>
      <c r="CX145" s="57" t="str">
        <f>IF(ISNA(VLOOKUP(CU145,'ODBC Data'!$B$1:$J$500,5,0)),"",VLOOKUP(CU145,'ODBC Data'!$B$1:$J$500,5,0))</f>
        <v/>
      </c>
      <c r="EI145" s="19" t="str">
        <f>IF('ODBC Data'!$I$21&gt;141,'ODBC Data'!$H$21,"")</f>
        <v/>
      </c>
      <c r="EJ145" s="19" t="str">
        <f>IF('ODBC Data'!$I$21&gt;141,142,"")</f>
        <v/>
      </c>
      <c r="EK145" s="17" t="str">
        <f t="shared" si="32"/>
        <v/>
      </c>
      <c r="EL145" s="57" t="str">
        <f>IF(ISNA(VLOOKUP(EK145,'ODBC Data'!$B$1:$J$500,3,0)),"",VLOOKUP(EK145,'ODBC Data'!$B$1:$J$500,3,0))</f>
        <v/>
      </c>
      <c r="EM145" s="57" t="str">
        <f>IF(ISNA(VLOOKUP(EK145,'ODBC Data'!$B$1:$J$500,4,0)),"",VLOOKUP(EK145,'ODBC Data'!$B$1:$J$500,4,0))</f>
        <v/>
      </c>
      <c r="EN145" s="57" t="str">
        <f>IF(ISNA(VLOOKUP(EK145,'ODBC Data'!$B$1:$J$500,5,0)),"",VLOOKUP(EK145,'ODBC Data'!$B$1:$J$500,5,0))</f>
        <v/>
      </c>
    </row>
    <row r="146" spans="97:144">
      <c r="CS146" s="19" t="str">
        <f>IF('ODBC Data'!$I$15&gt;142,'ODBC Data'!$H$15,"")</f>
        <v/>
      </c>
      <c r="CT146" s="19" t="str">
        <f>IF('ODBC Data'!$I$15&gt;142,143,"")</f>
        <v/>
      </c>
      <c r="CU146" s="17" t="str">
        <f t="shared" si="31"/>
        <v/>
      </c>
      <c r="CV146" s="57" t="str">
        <f>IF(ISNA(VLOOKUP(CU146,'ODBC Data'!$B$1:$J$500,3,0)),"",VLOOKUP(CU146,'ODBC Data'!$B$1:$J$500,3,0))</f>
        <v/>
      </c>
      <c r="CW146" s="57" t="str">
        <f>IF(ISNA(VLOOKUP(CU146,'ODBC Data'!$B$1:$J$500,4,0)),"",VLOOKUP(CU146,'ODBC Data'!$B$1:$J$500,4,0))</f>
        <v/>
      </c>
      <c r="CX146" s="57" t="str">
        <f>IF(ISNA(VLOOKUP(CU146,'ODBC Data'!$B$1:$J$500,5,0)),"",VLOOKUP(CU146,'ODBC Data'!$B$1:$J$500,5,0))</f>
        <v/>
      </c>
      <c r="EI146" s="19" t="str">
        <f>IF('ODBC Data'!$I$21&gt;142,'ODBC Data'!$H$21,"")</f>
        <v/>
      </c>
      <c r="EJ146" s="19" t="str">
        <f>IF('ODBC Data'!$I$21&gt;142,143,"")</f>
        <v/>
      </c>
      <c r="EK146" s="17" t="str">
        <f t="shared" si="32"/>
        <v/>
      </c>
      <c r="EL146" s="57" t="str">
        <f>IF(ISNA(VLOOKUP(EK146,'ODBC Data'!$B$1:$J$500,3,0)),"",VLOOKUP(EK146,'ODBC Data'!$B$1:$J$500,3,0))</f>
        <v/>
      </c>
      <c r="EM146" s="57" t="str">
        <f>IF(ISNA(VLOOKUP(EK146,'ODBC Data'!$B$1:$J$500,4,0)),"",VLOOKUP(EK146,'ODBC Data'!$B$1:$J$500,4,0))</f>
        <v/>
      </c>
      <c r="EN146" s="57" t="str">
        <f>IF(ISNA(VLOOKUP(EK146,'ODBC Data'!$B$1:$J$500,5,0)),"",VLOOKUP(EK146,'ODBC Data'!$B$1:$J$500,5,0))</f>
        <v/>
      </c>
    </row>
    <row r="147" spans="97:144">
      <c r="CS147" s="19" t="str">
        <f>IF('ODBC Data'!$I$15&gt;143,'ODBC Data'!$H$15,"")</f>
        <v/>
      </c>
      <c r="CT147" s="19" t="str">
        <f>IF('ODBC Data'!$I$15&gt;143,144,"")</f>
        <v/>
      </c>
      <c r="CU147" s="17" t="str">
        <f t="shared" si="31"/>
        <v/>
      </c>
      <c r="CV147" s="57" t="str">
        <f>IF(ISNA(VLOOKUP(CU147,'ODBC Data'!$B$1:$J$500,3,0)),"",VLOOKUP(CU147,'ODBC Data'!$B$1:$J$500,3,0))</f>
        <v/>
      </c>
      <c r="CW147" s="57" t="str">
        <f>IF(ISNA(VLOOKUP(CU147,'ODBC Data'!$B$1:$J$500,4,0)),"",VLOOKUP(CU147,'ODBC Data'!$B$1:$J$500,4,0))</f>
        <v/>
      </c>
      <c r="CX147" s="57" t="str">
        <f>IF(ISNA(VLOOKUP(CU147,'ODBC Data'!$B$1:$J$500,5,0)),"",VLOOKUP(CU147,'ODBC Data'!$B$1:$J$500,5,0))</f>
        <v/>
      </c>
      <c r="EI147" s="19" t="str">
        <f>IF('ODBC Data'!$I$21&gt;143,'ODBC Data'!$H$21,"")</f>
        <v/>
      </c>
      <c r="EJ147" s="19" t="str">
        <f>IF('ODBC Data'!$I$21&gt;143,144,"")</f>
        <v/>
      </c>
      <c r="EK147" s="17" t="str">
        <f t="shared" si="32"/>
        <v/>
      </c>
      <c r="EL147" s="57" t="str">
        <f>IF(ISNA(VLOOKUP(EK147,'ODBC Data'!$B$1:$J$500,3,0)),"",VLOOKUP(EK147,'ODBC Data'!$B$1:$J$500,3,0))</f>
        <v/>
      </c>
      <c r="EM147" s="57" t="str">
        <f>IF(ISNA(VLOOKUP(EK147,'ODBC Data'!$B$1:$J$500,4,0)),"",VLOOKUP(EK147,'ODBC Data'!$B$1:$J$500,4,0))</f>
        <v/>
      </c>
      <c r="EN147" s="57" t="str">
        <f>IF(ISNA(VLOOKUP(EK147,'ODBC Data'!$B$1:$J$500,5,0)),"",VLOOKUP(EK147,'ODBC Data'!$B$1:$J$500,5,0))</f>
        <v/>
      </c>
    </row>
    <row r="148" spans="97:144">
      <c r="CS148" s="19" t="str">
        <f>IF('ODBC Data'!$I$15&gt;144,'ODBC Data'!$H$15,"")</f>
        <v/>
      </c>
      <c r="CT148" s="19" t="str">
        <f>IF('ODBC Data'!$I$15&gt;144,145,"")</f>
        <v/>
      </c>
      <c r="CU148" s="17" t="str">
        <f t="shared" si="31"/>
        <v/>
      </c>
      <c r="CV148" s="57" t="str">
        <f>IF(ISNA(VLOOKUP(CU148,'ODBC Data'!$B$1:$J$500,3,0)),"",VLOOKUP(CU148,'ODBC Data'!$B$1:$J$500,3,0))</f>
        <v/>
      </c>
      <c r="CW148" s="57" t="str">
        <f>IF(ISNA(VLOOKUP(CU148,'ODBC Data'!$B$1:$J$500,4,0)),"",VLOOKUP(CU148,'ODBC Data'!$B$1:$J$500,4,0))</f>
        <v/>
      </c>
      <c r="CX148" s="57" t="str">
        <f>IF(ISNA(VLOOKUP(CU148,'ODBC Data'!$B$1:$J$500,5,0)),"",VLOOKUP(CU148,'ODBC Data'!$B$1:$J$500,5,0))</f>
        <v/>
      </c>
      <c r="EI148" s="19" t="str">
        <f>IF('ODBC Data'!$I$21&gt;144,'ODBC Data'!$H$21,"")</f>
        <v/>
      </c>
      <c r="EJ148" s="19" t="str">
        <f>IF('ODBC Data'!$I$21&gt;144,145,"")</f>
        <v/>
      </c>
      <c r="EK148" s="17" t="str">
        <f t="shared" si="32"/>
        <v/>
      </c>
      <c r="EL148" s="57" t="str">
        <f>IF(ISNA(VLOOKUP(EK148,'ODBC Data'!$B$1:$J$500,3,0)),"",VLOOKUP(EK148,'ODBC Data'!$B$1:$J$500,3,0))</f>
        <v/>
      </c>
      <c r="EM148" s="57" t="str">
        <f>IF(ISNA(VLOOKUP(EK148,'ODBC Data'!$B$1:$J$500,4,0)),"",VLOOKUP(EK148,'ODBC Data'!$B$1:$J$500,4,0))</f>
        <v/>
      </c>
      <c r="EN148" s="57" t="str">
        <f>IF(ISNA(VLOOKUP(EK148,'ODBC Data'!$B$1:$J$500,5,0)),"",VLOOKUP(EK148,'ODBC Data'!$B$1:$J$500,5,0))</f>
        <v/>
      </c>
    </row>
    <row r="149" spans="97:144">
      <c r="CS149" s="19" t="str">
        <f>IF('ODBC Data'!$I$15&gt;145,'ODBC Data'!$H$15,"")</f>
        <v/>
      </c>
      <c r="CT149" s="19" t="str">
        <f>IF('ODBC Data'!$I$15&gt;145,146,"")</f>
        <v/>
      </c>
      <c r="CU149" s="17" t="str">
        <f t="shared" si="31"/>
        <v/>
      </c>
      <c r="CV149" s="57" t="str">
        <f>IF(ISNA(VLOOKUP(CU149,'ODBC Data'!$B$1:$J$500,3,0)),"",VLOOKUP(CU149,'ODBC Data'!$B$1:$J$500,3,0))</f>
        <v/>
      </c>
      <c r="CW149" s="57" t="str">
        <f>IF(ISNA(VLOOKUP(CU149,'ODBC Data'!$B$1:$J$500,4,0)),"",VLOOKUP(CU149,'ODBC Data'!$B$1:$J$500,4,0))</f>
        <v/>
      </c>
      <c r="CX149" s="57" t="str">
        <f>IF(ISNA(VLOOKUP(CU149,'ODBC Data'!$B$1:$J$500,5,0)),"",VLOOKUP(CU149,'ODBC Data'!$B$1:$J$500,5,0))</f>
        <v/>
      </c>
      <c r="EI149" s="19" t="str">
        <f>IF('ODBC Data'!$I$21&gt;145,'ODBC Data'!$H$21,"")</f>
        <v/>
      </c>
      <c r="EJ149" s="19" t="str">
        <f>IF('ODBC Data'!$I$21&gt;145,146,"")</f>
        <v/>
      </c>
      <c r="EK149" s="17" t="str">
        <f t="shared" si="32"/>
        <v/>
      </c>
      <c r="EL149" s="57" t="str">
        <f>IF(ISNA(VLOOKUP(EK149,'ODBC Data'!$B$1:$J$500,3,0)),"",VLOOKUP(EK149,'ODBC Data'!$B$1:$J$500,3,0))</f>
        <v/>
      </c>
      <c r="EM149" s="57" t="str">
        <f>IF(ISNA(VLOOKUP(EK149,'ODBC Data'!$B$1:$J$500,4,0)),"",VLOOKUP(EK149,'ODBC Data'!$B$1:$J$500,4,0))</f>
        <v/>
      </c>
      <c r="EN149" s="57" t="str">
        <f>IF(ISNA(VLOOKUP(EK149,'ODBC Data'!$B$1:$J$500,5,0)),"",VLOOKUP(EK149,'ODBC Data'!$B$1:$J$500,5,0))</f>
        <v/>
      </c>
    </row>
    <row r="150" spans="97:144">
      <c r="CS150" s="19" t="str">
        <f>IF('ODBC Data'!$I$15&gt;146,'ODBC Data'!$H$15,"")</f>
        <v/>
      </c>
      <c r="CT150" s="19" t="str">
        <f>IF('ODBC Data'!$I$15&gt;146,147,"")</f>
        <v/>
      </c>
      <c r="CU150" s="17" t="str">
        <f t="shared" si="31"/>
        <v/>
      </c>
      <c r="CV150" s="57" t="str">
        <f>IF(ISNA(VLOOKUP(CU150,'ODBC Data'!$B$1:$J$500,3,0)),"",VLOOKUP(CU150,'ODBC Data'!$B$1:$J$500,3,0))</f>
        <v/>
      </c>
      <c r="CW150" s="57" t="str">
        <f>IF(ISNA(VLOOKUP(CU150,'ODBC Data'!$B$1:$J$500,4,0)),"",VLOOKUP(CU150,'ODBC Data'!$B$1:$J$500,4,0))</f>
        <v/>
      </c>
      <c r="CX150" s="57" t="str">
        <f>IF(ISNA(VLOOKUP(CU150,'ODBC Data'!$B$1:$J$500,5,0)),"",VLOOKUP(CU150,'ODBC Data'!$B$1:$J$500,5,0))</f>
        <v/>
      </c>
      <c r="EI150" s="19" t="str">
        <f>IF('ODBC Data'!$I$21&gt;146,'ODBC Data'!$H$21,"")</f>
        <v/>
      </c>
      <c r="EJ150" s="19" t="str">
        <f>IF('ODBC Data'!$I$21&gt;146,147,"")</f>
        <v/>
      </c>
      <c r="EK150" s="17" t="str">
        <f t="shared" si="32"/>
        <v/>
      </c>
      <c r="EL150" s="57" t="str">
        <f>IF(ISNA(VLOOKUP(EK150,'ODBC Data'!$B$1:$J$500,3,0)),"",VLOOKUP(EK150,'ODBC Data'!$B$1:$J$500,3,0))</f>
        <v/>
      </c>
      <c r="EM150" s="57" t="str">
        <f>IF(ISNA(VLOOKUP(EK150,'ODBC Data'!$B$1:$J$500,4,0)),"",VLOOKUP(EK150,'ODBC Data'!$B$1:$J$500,4,0))</f>
        <v/>
      </c>
      <c r="EN150" s="57" t="str">
        <f>IF(ISNA(VLOOKUP(EK150,'ODBC Data'!$B$1:$J$500,5,0)),"",VLOOKUP(EK150,'ODBC Data'!$B$1:$J$500,5,0))</f>
        <v/>
      </c>
    </row>
    <row r="151" spans="97:144">
      <c r="CS151" s="19" t="str">
        <f>IF('ODBC Data'!$I$15&gt;147,'ODBC Data'!$H$15,"")</f>
        <v/>
      </c>
      <c r="CT151" s="19" t="str">
        <f>IF('ODBC Data'!$I$15&gt;147,148,"")</f>
        <v/>
      </c>
      <c r="CU151" s="17" t="str">
        <f t="shared" si="31"/>
        <v/>
      </c>
      <c r="CV151" s="57" t="str">
        <f>IF(ISNA(VLOOKUP(CU151,'ODBC Data'!$B$1:$J$500,3,0)),"",VLOOKUP(CU151,'ODBC Data'!$B$1:$J$500,3,0))</f>
        <v/>
      </c>
      <c r="CW151" s="57" t="str">
        <f>IF(ISNA(VLOOKUP(CU151,'ODBC Data'!$B$1:$J$500,4,0)),"",VLOOKUP(CU151,'ODBC Data'!$B$1:$J$500,4,0))</f>
        <v/>
      </c>
      <c r="CX151" s="57" t="str">
        <f>IF(ISNA(VLOOKUP(CU151,'ODBC Data'!$B$1:$J$500,5,0)),"",VLOOKUP(CU151,'ODBC Data'!$B$1:$J$500,5,0))</f>
        <v/>
      </c>
      <c r="EI151" s="19" t="str">
        <f>IF('ODBC Data'!$I$21&gt;147,'ODBC Data'!$H$21,"")</f>
        <v/>
      </c>
      <c r="EJ151" s="19" t="str">
        <f>IF('ODBC Data'!$I$21&gt;147,148,"")</f>
        <v/>
      </c>
      <c r="EK151" s="17" t="str">
        <f t="shared" si="32"/>
        <v/>
      </c>
      <c r="EL151" s="57" t="str">
        <f>IF(ISNA(VLOOKUP(EK151,'ODBC Data'!$B$1:$J$500,3,0)),"",VLOOKUP(EK151,'ODBC Data'!$B$1:$J$500,3,0))</f>
        <v/>
      </c>
      <c r="EM151" s="57" t="str">
        <f>IF(ISNA(VLOOKUP(EK151,'ODBC Data'!$B$1:$J$500,4,0)),"",VLOOKUP(EK151,'ODBC Data'!$B$1:$J$500,4,0))</f>
        <v/>
      </c>
      <c r="EN151" s="57" t="str">
        <f>IF(ISNA(VLOOKUP(EK151,'ODBC Data'!$B$1:$J$500,5,0)),"",VLOOKUP(EK151,'ODBC Data'!$B$1:$J$500,5,0))</f>
        <v/>
      </c>
    </row>
    <row r="152" spans="97:144">
      <c r="CS152" s="19" t="str">
        <f>IF('ODBC Data'!$I$15&gt;148,'ODBC Data'!$H$15,"")</f>
        <v/>
      </c>
      <c r="CT152" s="19" t="str">
        <f>IF('ODBC Data'!$I$15&gt;148,149,"")</f>
        <v/>
      </c>
      <c r="CU152" s="17" t="str">
        <f t="shared" si="31"/>
        <v/>
      </c>
      <c r="CV152" s="57" t="str">
        <f>IF(ISNA(VLOOKUP(CU152,'ODBC Data'!$B$1:$J$500,3,0)),"",VLOOKUP(CU152,'ODBC Data'!$B$1:$J$500,3,0))</f>
        <v/>
      </c>
      <c r="CW152" s="57" t="str">
        <f>IF(ISNA(VLOOKUP(CU152,'ODBC Data'!$B$1:$J$500,4,0)),"",VLOOKUP(CU152,'ODBC Data'!$B$1:$J$500,4,0))</f>
        <v/>
      </c>
      <c r="CX152" s="57" t="str">
        <f>IF(ISNA(VLOOKUP(CU152,'ODBC Data'!$B$1:$J$500,5,0)),"",VLOOKUP(CU152,'ODBC Data'!$B$1:$J$500,5,0))</f>
        <v/>
      </c>
      <c r="EI152" s="19" t="str">
        <f>IF('ODBC Data'!$I$21&gt;148,'ODBC Data'!$H$21,"")</f>
        <v/>
      </c>
      <c r="EJ152" s="19" t="str">
        <f>IF('ODBC Data'!$I$21&gt;148,149,"")</f>
        <v/>
      </c>
      <c r="EK152" s="17" t="str">
        <f t="shared" si="32"/>
        <v/>
      </c>
      <c r="EL152" s="57" t="str">
        <f>IF(ISNA(VLOOKUP(EK152,'ODBC Data'!$B$1:$J$500,3,0)),"",VLOOKUP(EK152,'ODBC Data'!$B$1:$J$500,3,0))</f>
        <v/>
      </c>
      <c r="EM152" s="57" t="str">
        <f>IF(ISNA(VLOOKUP(EK152,'ODBC Data'!$B$1:$J$500,4,0)),"",VLOOKUP(EK152,'ODBC Data'!$B$1:$J$500,4,0))</f>
        <v/>
      </c>
      <c r="EN152" s="57" t="str">
        <f>IF(ISNA(VLOOKUP(EK152,'ODBC Data'!$B$1:$J$500,5,0)),"",VLOOKUP(EK152,'ODBC Data'!$B$1:$J$500,5,0))</f>
        <v/>
      </c>
    </row>
    <row r="153" spans="97:144">
      <c r="CS153" s="19" t="str">
        <f>IF('ODBC Data'!$I$15&gt;149,'ODBC Data'!$H$15,"")</f>
        <v/>
      </c>
      <c r="CT153" s="19" t="str">
        <f>IF('ODBC Data'!$I$15&gt;149,150,"")</f>
        <v/>
      </c>
      <c r="CU153" s="17" t="str">
        <f t="shared" si="31"/>
        <v/>
      </c>
      <c r="CV153" s="57" t="str">
        <f>IF(ISNA(VLOOKUP(CU153,'ODBC Data'!$B$1:$J$500,3,0)),"",VLOOKUP(CU153,'ODBC Data'!$B$1:$J$500,3,0))</f>
        <v/>
      </c>
      <c r="CW153" s="57" t="str">
        <f>IF(ISNA(VLOOKUP(CU153,'ODBC Data'!$B$1:$J$500,4,0)),"",VLOOKUP(CU153,'ODBC Data'!$B$1:$J$500,4,0))</f>
        <v/>
      </c>
      <c r="CX153" s="57" t="str">
        <f>IF(ISNA(VLOOKUP(CU153,'ODBC Data'!$B$1:$J$500,5,0)),"",VLOOKUP(CU153,'ODBC Data'!$B$1:$J$500,5,0))</f>
        <v/>
      </c>
      <c r="EI153" s="19" t="str">
        <f>IF('ODBC Data'!$I$21&gt;149,'ODBC Data'!$H$21,"")</f>
        <v/>
      </c>
      <c r="EJ153" s="19" t="str">
        <f>IF('ODBC Data'!$I$21&gt;149,150,"")</f>
        <v/>
      </c>
      <c r="EK153" s="17" t="str">
        <f t="shared" si="32"/>
        <v/>
      </c>
      <c r="EL153" s="57" t="str">
        <f>IF(ISNA(VLOOKUP(EK153,'ODBC Data'!$B$1:$J$500,3,0)),"",VLOOKUP(EK153,'ODBC Data'!$B$1:$J$500,3,0))</f>
        <v/>
      </c>
      <c r="EM153" s="57" t="str">
        <f>IF(ISNA(VLOOKUP(EK153,'ODBC Data'!$B$1:$J$500,4,0)),"",VLOOKUP(EK153,'ODBC Data'!$B$1:$J$500,4,0))</f>
        <v/>
      </c>
      <c r="EN153" s="57" t="str">
        <f>IF(ISNA(VLOOKUP(EK153,'ODBC Data'!$B$1:$J$500,5,0)),"",VLOOKUP(EK153,'ODBC Data'!$B$1:$J$500,5,0))</f>
        <v/>
      </c>
    </row>
    <row r="154" spans="97:144">
      <c r="CS154" s="19" t="str">
        <f>IF('ODBC Data'!$I$15&gt;150,'ODBC Data'!$H$15,"")</f>
        <v/>
      </c>
      <c r="CT154" s="19" t="str">
        <f>IF('ODBC Data'!$I$15&gt;150,151,"")</f>
        <v/>
      </c>
      <c r="CU154" s="17" t="str">
        <f t="shared" si="31"/>
        <v/>
      </c>
      <c r="CV154" s="57" t="str">
        <f>IF(ISNA(VLOOKUP(CU154,'ODBC Data'!$B$1:$J$500,3,0)),"",VLOOKUP(CU154,'ODBC Data'!$B$1:$J$500,3,0))</f>
        <v/>
      </c>
      <c r="CW154" s="57" t="str">
        <f>IF(ISNA(VLOOKUP(CU154,'ODBC Data'!$B$1:$J$500,4,0)),"",VLOOKUP(CU154,'ODBC Data'!$B$1:$J$500,4,0))</f>
        <v/>
      </c>
      <c r="CX154" s="57" t="str">
        <f>IF(ISNA(VLOOKUP(CU154,'ODBC Data'!$B$1:$J$500,5,0)),"",VLOOKUP(CU154,'ODBC Data'!$B$1:$J$500,5,0))</f>
        <v/>
      </c>
      <c r="EI154" s="19" t="str">
        <f>IF('ODBC Data'!$I$21&gt;150,'ODBC Data'!$H$21,"")</f>
        <v/>
      </c>
      <c r="EJ154" s="19" t="str">
        <f>IF('ODBC Data'!$I$21&gt;150,151,"")</f>
        <v/>
      </c>
      <c r="EK154" s="17" t="str">
        <f t="shared" si="32"/>
        <v/>
      </c>
      <c r="EL154" s="57" t="str">
        <f>IF(ISNA(VLOOKUP(EK154,'ODBC Data'!$B$1:$J$500,3,0)),"",VLOOKUP(EK154,'ODBC Data'!$B$1:$J$500,3,0))</f>
        <v/>
      </c>
      <c r="EM154" s="57" t="str">
        <f>IF(ISNA(VLOOKUP(EK154,'ODBC Data'!$B$1:$J$500,4,0)),"",VLOOKUP(EK154,'ODBC Data'!$B$1:$J$500,4,0))</f>
        <v/>
      </c>
      <c r="EN154" s="57" t="str">
        <f>IF(ISNA(VLOOKUP(EK154,'ODBC Data'!$B$1:$J$500,5,0)),"",VLOOKUP(EK154,'ODBC Data'!$B$1:$J$500,5,0))</f>
        <v/>
      </c>
    </row>
    <row r="155" spans="97:144">
      <c r="CS155" s="19" t="str">
        <f>IF('ODBC Data'!$I$15&gt;151,'ODBC Data'!$H$15,"")</f>
        <v/>
      </c>
      <c r="CT155" s="19" t="str">
        <f>IF('ODBC Data'!$I$15&gt;151,152,"")</f>
        <v/>
      </c>
      <c r="CU155" s="17" t="str">
        <f t="shared" si="31"/>
        <v/>
      </c>
      <c r="CV155" s="57" t="str">
        <f>IF(ISNA(VLOOKUP(CU155,'ODBC Data'!$B$1:$J$500,3,0)),"",VLOOKUP(CU155,'ODBC Data'!$B$1:$J$500,3,0))</f>
        <v/>
      </c>
      <c r="CW155" s="57" t="str">
        <f>IF(ISNA(VLOOKUP(CU155,'ODBC Data'!$B$1:$J$500,4,0)),"",VLOOKUP(CU155,'ODBC Data'!$B$1:$J$500,4,0))</f>
        <v/>
      </c>
      <c r="CX155" s="57" t="str">
        <f>IF(ISNA(VLOOKUP(CU155,'ODBC Data'!$B$1:$J$500,5,0)),"",VLOOKUP(CU155,'ODBC Data'!$B$1:$J$500,5,0))</f>
        <v/>
      </c>
      <c r="EI155" s="19" t="str">
        <f>IF('ODBC Data'!$I$21&gt;151,'ODBC Data'!$H$21,"")</f>
        <v/>
      </c>
      <c r="EJ155" s="19" t="str">
        <f>IF('ODBC Data'!$I$21&gt;151,152,"")</f>
        <v/>
      </c>
      <c r="EK155" s="17" t="str">
        <f t="shared" si="32"/>
        <v/>
      </c>
      <c r="EL155" s="57" t="str">
        <f>IF(ISNA(VLOOKUP(EK155,'ODBC Data'!$B$1:$J$500,3,0)),"",VLOOKUP(EK155,'ODBC Data'!$B$1:$J$500,3,0))</f>
        <v/>
      </c>
      <c r="EM155" s="57" t="str">
        <f>IF(ISNA(VLOOKUP(EK155,'ODBC Data'!$B$1:$J$500,4,0)),"",VLOOKUP(EK155,'ODBC Data'!$B$1:$J$500,4,0))</f>
        <v/>
      </c>
      <c r="EN155" s="57" t="str">
        <f>IF(ISNA(VLOOKUP(EK155,'ODBC Data'!$B$1:$J$500,5,0)),"",VLOOKUP(EK155,'ODBC Data'!$B$1:$J$500,5,0))</f>
        <v/>
      </c>
    </row>
    <row r="156" spans="97:144">
      <c r="CS156" s="19" t="str">
        <f>IF('ODBC Data'!$I$15&gt;152,'ODBC Data'!$H$15,"")</f>
        <v/>
      </c>
      <c r="CT156" s="19" t="str">
        <f>IF('ODBC Data'!$I$15&gt;152,153,"")</f>
        <v/>
      </c>
      <c r="CU156" s="17" t="str">
        <f t="shared" si="31"/>
        <v/>
      </c>
      <c r="CV156" s="57" t="str">
        <f>IF(ISNA(VLOOKUP(CU156,'ODBC Data'!$B$1:$J$500,3,0)),"",VLOOKUP(CU156,'ODBC Data'!$B$1:$J$500,3,0))</f>
        <v/>
      </c>
      <c r="CW156" s="57" t="str">
        <f>IF(ISNA(VLOOKUP(CU156,'ODBC Data'!$B$1:$J$500,4,0)),"",VLOOKUP(CU156,'ODBC Data'!$B$1:$J$500,4,0))</f>
        <v/>
      </c>
      <c r="CX156" s="57" t="str">
        <f>IF(ISNA(VLOOKUP(CU156,'ODBC Data'!$B$1:$J$500,5,0)),"",VLOOKUP(CU156,'ODBC Data'!$B$1:$J$500,5,0))</f>
        <v/>
      </c>
      <c r="EI156" s="19" t="str">
        <f>IF('ODBC Data'!$I$21&gt;152,'ODBC Data'!$H$21,"")</f>
        <v/>
      </c>
      <c r="EJ156" s="19" t="str">
        <f>IF('ODBC Data'!$I$21&gt;152,153,"")</f>
        <v/>
      </c>
      <c r="EK156" s="17" t="str">
        <f t="shared" si="32"/>
        <v/>
      </c>
      <c r="EL156" s="57" t="str">
        <f>IF(ISNA(VLOOKUP(EK156,'ODBC Data'!$B$1:$J$500,3,0)),"",VLOOKUP(EK156,'ODBC Data'!$B$1:$J$500,3,0))</f>
        <v/>
      </c>
      <c r="EM156" s="57" t="str">
        <f>IF(ISNA(VLOOKUP(EK156,'ODBC Data'!$B$1:$J$500,4,0)),"",VLOOKUP(EK156,'ODBC Data'!$B$1:$J$500,4,0))</f>
        <v/>
      </c>
      <c r="EN156" s="57" t="str">
        <f>IF(ISNA(VLOOKUP(EK156,'ODBC Data'!$B$1:$J$500,5,0)),"",VLOOKUP(EK156,'ODBC Data'!$B$1:$J$500,5,0))</f>
        <v/>
      </c>
    </row>
    <row r="157" spans="97:144">
      <c r="CS157" s="19" t="str">
        <f>IF('ODBC Data'!$I$15&gt;153,'ODBC Data'!$H$15,"")</f>
        <v/>
      </c>
      <c r="CT157" s="19" t="str">
        <f>IF('ODBC Data'!$I$15&gt;153,154,"")</f>
        <v/>
      </c>
      <c r="CU157" s="17" t="str">
        <f t="shared" si="31"/>
        <v/>
      </c>
      <c r="CV157" s="57" t="str">
        <f>IF(ISNA(VLOOKUP(CU157,'ODBC Data'!$B$1:$J$500,3,0)),"",VLOOKUP(CU157,'ODBC Data'!$B$1:$J$500,3,0))</f>
        <v/>
      </c>
      <c r="CW157" s="57" t="str">
        <f>IF(ISNA(VLOOKUP(CU157,'ODBC Data'!$B$1:$J$500,4,0)),"",VLOOKUP(CU157,'ODBC Data'!$B$1:$J$500,4,0))</f>
        <v/>
      </c>
      <c r="CX157" s="57" t="str">
        <f>IF(ISNA(VLOOKUP(CU157,'ODBC Data'!$B$1:$J$500,5,0)),"",VLOOKUP(CU157,'ODBC Data'!$B$1:$J$500,5,0))</f>
        <v/>
      </c>
      <c r="EI157" s="19" t="str">
        <f>IF('ODBC Data'!$I$21&gt;153,'ODBC Data'!$H$21,"")</f>
        <v/>
      </c>
      <c r="EJ157" s="19" t="str">
        <f>IF('ODBC Data'!$I$21&gt;153,154,"")</f>
        <v/>
      </c>
      <c r="EK157" s="17" t="str">
        <f t="shared" si="32"/>
        <v/>
      </c>
      <c r="EL157" s="57" t="str">
        <f>IF(ISNA(VLOOKUP(EK157,'ODBC Data'!$B$1:$J$500,3,0)),"",VLOOKUP(EK157,'ODBC Data'!$B$1:$J$500,3,0))</f>
        <v/>
      </c>
      <c r="EM157" s="57" t="str">
        <f>IF(ISNA(VLOOKUP(EK157,'ODBC Data'!$B$1:$J$500,4,0)),"",VLOOKUP(EK157,'ODBC Data'!$B$1:$J$500,4,0))</f>
        <v/>
      </c>
      <c r="EN157" s="57" t="str">
        <f>IF(ISNA(VLOOKUP(EK157,'ODBC Data'!$B$1:$J$500,5,0)),"",VLOOKUP(EK157,'ODBC Data'!$B$1:$J$500,5,0))</f>
        <v/>
      </c>
    </row>
    <row r="158" spans="97:144">
      <c r="CS158" s="19" t="str">
        <f>IF('ODBC Data'!$I$15&gt;154,'ODBC Data'!$H$15,"")</f>
        <v/>
      </c>
      <c r="CT158" s="19" t="str">
        <f>IF('ODBC Data'!$I$15&gt;154,155,"")</f>
        <v/>
      </c>
      <c r="CU158" s="17" t="str">
        <f t="shared" si="31"/>
        <v/>
      </c>
      <c r="CV158" s="57" t="str">
        <f>IF(ISNA(VLOOKUP(CU158,'ODBC Data'!$B$1:$J$500,3,0)),"",VLOOKUP(CU158,'ODBC Data'!$B$1:$J$500,3,0))</f>
        <v/>
      </c>
      <c r="CW158" s="57" t="str">
        <f>IF(ISNA(VLOOKUP(CU158,'ODBC Data'!$B$1:$J$500,4,0)),"",VLOOKUP(CU158,'ODBC Data'!$B$1:$J$500,4,0))</f>
        <v/>
      </c>
      <c r="CX158" s="57" t="str">
        <f>IF(ISNA(VLOOKUP(CU158,'ODBC Data'!$B$1:$J$500,5,0)),"",VLOOKUP(CU158,'ODBC Data'!$B$1:$J$500,5,0))</f>
        <v/>
      </c>
      <c r="EI158" s="19" t="str">
        <f>IF('ODBC Data'!$I$21&gt;154,'ODBC Data'!$H$21,"")</f>
        <v/>
      </c>
      <c r="EJ158" s="19" t="str">
        <f>IF('ODBC Data'!$I$21&gt;154,155,"")</f>
        <v/>
      </c>
      <c r="EK158" s="17" t="str">
        <f t="shared" si="32"/>
        <v/>
      </c>
      <c r="EL158" s="57" t="str">
        <f>IF(ISNA(VLOOKUP(EK158,'ODBC Data'!$B$1:$J$500,3,0)),"",VLOOKUP(EK158,'ODBC Data'!$B$1:$J$500,3,0))</f>
        <v/>
      </c>
      <c r="EM158" s="57" t="str">
        <f>IF(ISNA(VLOOKUP(EK158,'ODBC Data'!$B$1:$J$500,4,0)),"",VLOOKUP(EK158,'ODBC Data'!$B$1:$J$500,4,0))</f>
        <v/>
      </c>
      <c r="EN158" s="57" t="str">
        <f>IF(ISNA(VLOOKUP(EK158,'ODBC Data'!$B$1:$J$500,5,0)),"",VLOOKUP(EK158,'ODBC Data'!$B$1:$J$500,5,0))</f>
        <v/>
      </c>
    </row>
    <row r="159" spans="97:144">
      <c r="CS159" s="19" t="str">
        <f>IF('ODBC Data'!$I$15&gt;155,'ODBC Data'!$H$15,"")</f>
        <v/>
      </c>
      <c r="CT159" s="19" t="str">
        <f>IF('ODBC Data'!$I$15&gt;155,156,"")</f>
        <v/>
      </c>
      <c r="CU159" s="17" t="str">
        <f t="shared" si="31"/>
        <v/>
      </c>
      <c r="CV159" s="57" t="str">
        <f>IF(ISNA(VLOOKUP(CU159,'ODBC Data'!$B$1:$J$500,3,0)),"",VLOOKUP(CU159,'ODBC Data'!$B$1:$J$500,3,0))</f>
        <v/>
      </c>
      <c r="CW159" s="57" t="str">
        <f>IF(ISNA(VLOOKUP(CU159,'ODBC Data'!$B$1:$J$500,4,0)),"",VLOOKUP(CU159,'ODBC Data'!$B$1:$J$500,4,0))</f>
        <v/>
      </c>
      <c r="CX159" s="57" t="str">
        <f>IF(ISNA(VLOOKUP(CU159,'ODBC Data'!$B$1:$J$500,5,0)),"",VLOOKUP(CU159,'ODBC Data'!$B$1:$J$500,5,0))</f>
        <v/>
      </c>
      <c r="EI159" s="19" t="str">
        <f>IF('ODBC Data'!$I$21&gt;155,'ODBC Data'!$H$21,"")</f>
        <v/>
      </c>
      <c r="EJ159" s="19" t="str">
        <f>IF('ODBC Data'!$I$21&gt;155,156,"")</f>
        <v/>
      </c>
      <c r="EK159" s="17" t="str">
        <f t="shared" si="32"/>
        <v/>
      </c>
      <c r="EL159" s="57" t="str">
        <f>IF(ISNA(VLOOKUP(EK159,'ODBC Data'!$B$1:$J$500,3,0)),"",VLOOKUP(EK159,'ODBC Data'!$B$1:$J$500,3,0))</f>
        <v/>
      </c>
      <c r="EM159" s="57" t="str">
        <f>IF(ISNA(VLOOKUP(EK159,'ODBC Data'!$B$1:$J$500,4,0)),"",VLOOKUP(EK159,'ODBC Data'!$B$1:$J$500,4,0))</f>
        <v/>
      </c>
      <c r="EN159" s="57" t="str">
        <f>IF(ISNA(VLOOKUP(EK159,'ODBC Data'!$B$1:$J$500,5,0)),"",VLOOKUP(EK159,'ODBC Data'!$B$1:$J$500,5,0))</f>
        <v/>
      </c>
    </row>
    <row r="160" spans="97:144">
      <c r="CS160" s="19" t="str">
        <f>IF('ODBC Data'!$I$15&gt;156,'ODBC Data'!$H$15,"")</f>
        <v/>
      </c>
      <c r="CT160" s="19" t="str">
        <f>IF('ODBC Data'!$I$15&gt;156,157,"")</f>
        <v/>
      </c>
      <c r="CU160" s="17" t="str">
        <f t="shared" si="31"/>
        <v/>
      </c>
      <c r="CV160" s="57" t="str">
        <f>IF(ISNA(VLOOKUP(CU160,'ODBC Data'!$B$1:$J$500,3,0)),"",VLOOKUP(CU160,'ODBC Data'!$B$1:$J$500,3,0))</f>
        <v/>
      </c>
      <c r="CW160" s="57" t="str">
        <f>IF(ISNA(VLOOKUP(CU160,'ODBC Data'!$B$1:$J$500,4,0)),"",VLOOKUP(CU160,'ODBC Data'!$B$1:$J$500,4,0))</f>
        <v/>
      </c>
      <c r="CX160" s="57" t="str">
        <f>IF(ISNA(VLOOKUP(CU160,'ODBC Data'!$B$1:$J$500,5,0)),"",VLOOKUP(CU160,'ODBC Data'!$B$1:$J$500,5,0))</f>
        <v/>
      </c>
      <c r="EI160" s="19" t="str">
        <f>IF('ODBC Data'!$I$21&gt;156,'ODBC Data'!$H$21,"")</f>
        <v/>
      </c>
      <c r="EJ160" s="19" t="str">
        <f>IF('ODBC Data'!$I$21&gt;156,157,"")</f>
        <v/>
      </c>
      <c r="EK160" s="17" t="str">
        <f t="shared" si="32"/>
        <v/>
      </c>
      <c r="EL160" s="57" t="str">
        <f>IF(ISNA(VLOOKUP(EK160,'ODBC Data'!$B$1:$J$500,3,0)),"",VLOOKUP(EK160,'ODBC Data'!$B$1:$J$500,3,0))</f>
        <v/>
      </c>
      <c r="EM160" s="57" t="str">
        <f>IF(ISNA(VLOOKUP(EK160,'ODBC Data'!$B$1:$J$500,4,0)),"",VLOOKUP(EK160,'ODBC Data'!$B$1:$J$500,4,0))</f>
        <v/>
      </c>
      <c r="EN160" s="57" t="str">
        <f>IF(ISNA(VLOOKUP(EK160,'ODBC Data'!$B$1:$J$500,5,0)),"",VLOOKUP(EK160,'ODBC Data'!$B$1:$J$500,5,0))</f>
        <v/>
      </c>
    </row>
    <row r="161" spans="97:144">
      <c r="CS161" s="19" t="str">
        <f>IF('ODBC Data'!$I$15&gt;157,'ODBC Data'!$H$15,"")</f>
        <v/>
      </c>
      <c r="CT161" s="19" t="str">
        <f>IF('ODBC Data'!$I$15&gt;157,158,"")</f>
        <v/>
      </c>
      <c r="CU161" s="17" t="str">
        <f t="shared" si="31"/>
        <v/>
      </c>
      <c r="CV161" s="57" t="str">
        <f>IF(ISNA(VLOOKUP(CU161,'ODBC Data'!$B$1:$J$500,3,0)),"",VLOOKUP(CU161,'ODBC Data'!$B$1:$J$500,3,0))</f>
        <v/>
      </c>
      <c r="CW161" s="57" t="str">
        <f>IF(ISNA(VLOOKUP(CU161,'ODBC Data'!$B$1:$J$500,4,0)),"",VLOOKUP(CU161,'ODBC Data'!$B$1:$J$500,4,0))</f>
        <v/>
      </c>
      <c r="CX161" s="57" t="str">
        <f>IF(ISNA(VLOOKUP(CU161,'ODBC Data'!$B$1:$J$500,5,0)),"",VLOOKUP(CU161,'ODBC Data'!$B$1:$J$500,5,0))</f>
        <v/>
      </c>
      <c r="EI161" s="19" t="str">
        <f>IF('ODBC Data'!$I$21&gt;157,'ODBC Data'!$H$21,"")</f>
        <v/>
      </c>
      <c r="EJ161" s="19" t="str">
        <f>IF('ODBC Data'!$I$21&gt;157,158,"")</f>
        <v/>
      </c>
      <c r="EK161" s="17" t="str">
        <f t="shared" si="32"/>
        <v/>
      </c>
      <c r="EL161" s="57" t="str">
        <f>IF(ISNA(VLOOKUP(EK161,'ODBC Data'!$B$1:$J$500,3,0)),"",VLOOKUP(EK161,'ODBC Data'!$B$1:$J$500,3,0))</f>
        <v/>
      </c>
      <c r="EM161" s="57" t="str">
        <f>IF(ISNA(VLOOKUP(EK161,'ODBC Data'!$B$1:$J$500,4,0)),"",VLOOKUP(EK161,'ODBC Data'!$B$1:$J$500,4,0))</f>
        <v/>
      </c>
      <c r="EN161" s="57" t="str">
        <f>IF(ISNA(VLOOKUP(EK161,'ODBC Data'!$B$1:$J$500,5,0)),"",VLOOKUP(EK161,'ODBC Data'!$B$1:$J$500,5,0))</f>
        <v/>
      </c>
    </row>
    <row r="162" spans="97:144">
      <c r="CS162" s="19" t="str">
        <f>IF('ODBC Data'!$I$15&gt;158,'ODBC Data'!$H$15,"")</f>
        <v/>
      </c>
      <c r="CT162" s="19" t="str">
        <f>IF('ODBC Data'!$I$15&gt;158,159,"")</f>
        <v/>
      </c>
      <c r="CU162" s="17" t="str">
        <f t="shared" si="31"/>
        <v/>
      </c>
      <c r="CV162" s="57" t="str">
        <f>IF(ISNA(VLOOKUP(CU162,'ODBC Data'!$B$1:$J$500,3,0)),"",VLOOKUP(CU162,'ODBC Data'!$B$1:$J$500,3,0))</f>
        <v/>
      </c>
      <c r="CW162" s="57" t="str">
        <f>IF(ISNA(VLOOKUP(CU162,'ODBC Data'!$B$1:$J$500,4,0)),"",VLOOKUP(CU162,'ODBC Data'!$B$1:$J$500,4,0))</f>
        <v/>
      </c>
      <c r="CX162" s="57" t="str">
        <f>IF(ISNA(VLOOKUP(CU162,'ODBC Data'!$B$1:$J$500,5,0)),"",VLOOKUP(CU162,'ODBC Data'!$B$1:$J$500,5,0))</f>
        <v/>
      </c>
      <c r="EI162" s="19" t="str">
        <f>IF('ODBC Data'!$I$21&gt;158,'ODBC Data'!$H$21,"")</f>
        <v/>
      </c>
      <c r="EJ162" s="19" t="str">
        <f>IF('ODBC Data'!$I$21&gt;158,159,"")</f>
        <v/>
      </c>
      <c r="EK162" s="17" t="str">
        <f t="shared" si="32"/>
        <v/>
      </c>
      <c r="EL162" s="57" t="str">
        <f>IF(ISNA(VLOOKUP(EK162,'ODBC Data'!$B$1:$J$500,3,0)),"",VLOOKUP(EK162,'ODBC Data'!$B$1:$J$500,3,0))</f>
        <v/>
      </c>
      <c r="EM162" s="57" t="str">
        <f>IF(ISNA(VLOOKUP(EK162,'ODBC Data'!$B$1:$J$500,4,0)),"",VLOOKUP(EK162,'ODBC Data'!$B$1:$J$500,4,0))</f>
        <v/>
      </c>
      <c r="EN162" s="57" t="str">
        <f>IF(ISNA(VLOOKUP(EK162,'ODBC Data'!$B$1:$J$500,5,0)),"",VLOOKUP(EK162,'ODBC Data'!$B$1:$J$500,5,0))</f>
        <v/>
      </c>
    </row>
    <row r="163" spans="97:144">
      <c r="CS163" s="19" t="str">
        <f>IF('ODBC Data'!$I$15&gt;159,'ODBC Data'!$H$15,"")</f>
        <v/>
      </c>
      <c r="CT163" s="19" t="str">
        <f>IF('ODBC Data'!$I$15&gt;159,160,"")</f>
        <v/>
      </c>
      <c r="CU163" s="17" t="str">
        <f t="shared" si="31"/>
        <v/>
      </c>
      <c r="CV163" s="57" t="str">
        <f>IF(ISNA(VLOOKUP(CU163,'ODBC Data'!$B$1:$J$500,3,0)),"",VLOOKUP(CU163,'ODBC Data'!$B$1:$J$500,3,0))</f>
        <v/>
      </c>
      <c r="CW163" s="57" t="str">
        <f>IF(ISNA(VLOOKUP(CU163,'ODBC Data'!$B$1:$J$500,4,0)),"",VLOOKUP(CU163,'ODBC Data'!$B$1:$J$500,4,0))</f>
        <v/>
      </c>
      <c r="CX163" s="57" t="str">
        <f>IF(ISNA(VLOOKUP(CU163,'ODBC Data'!$B$1:$J$500,5,0)),"",VLOOKUP(CU163,'ODBC Data'!$B$1:$J$500,5,0))</f>
        <v/>
      </c>
      <c r="EI163" s="19" t="str">
        <f>IF('ODBC Data'!$I$21&gt;159,'ODBC Data'!$H$21,"")</f>
        <v/>
      </c>
      <c r="EJ163" s="19" t="str">
        <f>IF('ODBC Data'!$I$21&gt;159,160,"")</f>
        <v/>
      </c>
      <c r="EK163" s="17" t="str">
        <f t="shared" si="32"/>
        <v/>
      </c>
      <c r="EL163" s="57" t="str">
        <f>IF(ISNA(VLOOKUP(EK163,'ODBC Data'!$B$1:$J$500,3,0)),"",VLOOKUP(EK163,'ODBC Data'!$B$1:$J$500,3,0))</f>
        <v/>
      </c>
      <c r="EM163" s="57" t="str">
        <f>IF(ISNA(VLOOKUP(EK163,'ODBC Data'!$B$1:$J$500,4,0)),"",VLOOKUP(EK163,'ODBC Data'!$B$1:$J$500,4,0))</f>
        <v/>
      </c>
      <c r="EN163" s="57" t="str">
        <f>IF(ISNA(VLOOKUP(EK163,'ODBC Data'!$B$1:$J$500,5,0)),"",VLOOKUP(EK163,'ODBC Data'!$B$1:$J$500,5,0))</f>
        <v/>
      </c>
    </row>
    <row r="164" spans="97:144">
      <c r="CS164" s="19" t="str">
        <f>IF('ODBC Data'!$I$15&gt;160,'ODBC Data'!$H$15,"")</f>
        <v/>
      </c>
      <c r="CT164" s="19" t="str">
        <f>IF('ODBC Data'!$I$15&gt;160,161,"")</f>
        <v/>
      </c>
      <c r="CU164" s="17" t="str">
        <f t="shared" si="31"/>
        <v/>
      </c>
      <c r="CV164" s="57" t="str">
        <f>IF(ISNA(VLOOKUP(CU164,'ODBC Data'!$B$1:$J$500,3,0)),"",VLOOKUP(CU164,'ODBC Data'!$B$1:$J$500,3,0))</f>
        <v/>
      </c>
      <c r="CW164" s="57" t="str">
        <f>IF(ISNA(VLOOKUP(CU164,'ODBC Data'!$B$1:$J$500,4,0)),"",VLOOKUP(CU164,'ODBC Data'!$B$1:$J$500,4,0))</f>
        <v/>
      </c>
      <c r="CX164" s="57" t="str">
        <f>IF(ISNA(VLOOKUP(CU164,'ODBC Data'!$B$1:$J$500,5,0)),"",VLOOKUP(CU164,'ODBC Data'!$B$1:$J$500,5,0))</f>
        <v/>
      </c>
      <c r="EI164" s="19" t="str">
        <f>IF('ODBC Data'!$I$21&gt;160,'ODBC Data'!$H$21,"")</f>
        <v/>
      </c>
      <c r="EJ164" s="19" t="str">
        <f>IF('ODBC Data'!$I$21&gt;160,161,"")</f>
        <v/>
      </c>
      <c r="EK164" s="17" t="str">
        <f t="shared" si="32"/>
        <v/>
      </c>
      <c r="EL164" s="57" t="str">
        <f>IF(ISNA(VLOOKUP(EK164,'ODBC Data'!$B$1:$J$500,3,0)),"",VLOOKUP(EK164,'ODBC Data'!$B$1:$J$500,3,0))</f>
        <v/>
      </c>
      <c r="EM164" s="57" t="str">
        <f>IF(ISNA(VLOOKUP(EK164,'ODBC Data'!$B$1:$J$500,4,0)),"",VLOOKUP(EK164,'ODBC Data'!$B$1:$J$500,4,0))</f>
        <v/>
      </c>
      <c r="EN164" s="57" t="str">
        <f>IF(ISNA(VLOOKUP(EK164,'ODBC Data'!$B$1:$J$500,5,0)),"",VLOOKUP(EK164,'ODBC Data'!$B$1:$J$500,5,0))</f>
        <v/>
      </c>
    </row>
    <row r="165" spans="97:144">
      <c r="CS165" s="19" t="str">
        <f>IF('ODBC Data'!$I$15&gt;161,'ODBC Data'!$H$15,"")</f>
        <v/>
      </c>
      <c r="CT165" s="19" t="str">
        <f>IF('ODBC Data'!$I$15&gt;161,162,"")</f>
        <v/>
      </c>
      <c r="CU165" s="17" t="str">
        <f t="shared" si="31"/>
        <v/>
      </c>
      <c r="CV165" s="57" t="str">
        <f>IF(ISNA(VLOOKUP(CU165,'ODBC Data'!$B$1:$J$500,3,0)),"",VLOOKUP(CU165,'ODBC Data'!$B$1:$J$500,3,0))</f>
        <v/>
      </c>
      <c r="CW165" s="57" t="str">
        <f>IF(ISNA(VLOOKUP(CU165,'ODBC Data'!$B$1:$J$500,4,0)),"",VLOOKUP(CU165,'ODBC Data'!$B$1:$J$500,4,0))</f>
        <v/>
      </c>
      <c r="CX165" s="57" t="str">
        <f>IF(ISNA(VLOOKUP(CU165,'ODBC Data'!$B$1:$J$500,5,0)),"",VLOOKUP(CU165,'ODBC Data'!$B$1:$J$500,5,0))</f>
        <v/>
      </c>
      <c r="EI165" s="19" t="str">
        <f>IF('ODBC Data'!$I$21&gt;161,'ODBC Data'!$H$21,"")</f>
        <v/>
      </c>
      <c r="EJ165" s="19" t="str">
        <f>IF('ODBC Data'!$I$21&gt;161,162,"")</f>
        <v/>
      </c>
      <c r="EK165" s="17" t="str">
        <f t="shared" si="32"/>
        <v/>
      </c>
      <c r="EL165" s="57" t="str">
        <f>IF(ISNA(VLOOKUP(EK165,'ODBC Data'!$B$1:$J$500,3,0)),"",VLOOKUP(EK165,'ODBC Data'!$B$1:$J$500,3,0))</f>
        <v/>
      </c>
      <c r="EM165" s="57" t="str">
        <f>IF(ISNA(VLOOKUP(EK165,'ODBC Data'!$B$1:$J$500,4,0)),"",VLOOKUP(EK165,'ODBC Data'!$B$1:$J$500,4,0))</f>
        <v/>
      </c>
      <c r="EN165" s="57" t="str">
        <f>IF(ISNA(VLOOKUP(EK165,'ODBC Data'!$B$1:$J$500,5,0)),"",VLOOKUP(EK165,'ODBC Data'!$B$1:$J$500,5,0))</f>
        <v/>
      </c>
    </row>
    <row r="166" spans="97:144">
      <c r="CS166" s="19" t="str">
        <f>IF('ODBC Data'!$I$15&gt;162,'ODBC Data'!$H$15,"")</f>
        <v/>
      </c>
      <c r="CT166" s="19" t="str">
        <f>IF('ODBC Data'!$I$15&gt;162,163,"")</f>
        <v/>
      </c>
      <c r="CU166" s="17" t="str">
        <f t="shared" si="31"/>
        <v/>
      </c>
      <c r="CV166" s="57" t="str">
        <f>IF(ISNA(VLOOKUP(CU166,'ODBC Data'!$B$1:$J$500,3,0)),"",VLOOKUP(CU166,'ODBC Data'!$B$1:$J$500,3,0))</f>
        <v/>
      </c>
      <c r="CW166" s="57" t="str">
        <f>IF(ISNA(VLOOKUP(CU166,'ODBC Data'!$B$1:$J$500,4,0)),"",VLOOKUP(CU166,'ODBC Data'!$B$1:$J$500,4,0))</f>
        <v/>
      </c>
      <c r="CX166" s="57" t="str">
        <f>IF(ISNA(VLOOKUP(CU166,'ODBC Data'!$B$1:$J$500,5,0)),"",VLOOKUP(CU166,'ODBC Data'!$B$1:$J$500,5,0))</f>
        <v/>
      </c>
      <c r="EI166" s="19" t="str">
        <f>IF('ODBC Data'!$I$21&gt;162,'ODBC Data'!$H$21,"")</f>
        <v/>
      </c>
      <c r="EJ166" s="19" t="str">
        <f>IF('ODBC Data'!$I$21&gt;162,163,"")</f>
        <v/>
      </c>
      <c r="EK166" s="17" t="str">
        <f t="shared" si="32"/>
        <v/>
      </c>
      <c r="EL166" s="57" t="str">
        <f>IF(ISNA(VLOOKUP(EK166,'ODBC Data'!$B$1:$J$500,3,0)),"",VLOOKUP(EK166,'ODBC Data'!$B$1:$J$500,3,0))</f>
        <v/>
      </c>
      <c r="EM166" s="57" t="str">
        <f>IF(ISNA(VLOOKUP(EK166,'ODBC Data'!$B$1:$J$500,4,0)),"",VLOOKUP(EK166,'ODBC Data'!$B$1:$J$500,4,0))</f>
        <v/>
      </c>
      <c r="EN166" s="57" t="str">
        <f>IF(ISNA(VLOOKUP(EK166,'ODBC Data'!$B$1:$J$500,5,0)),"",VLOOKUP(EK166,'ODBC Data'!$B$1:$J$500,5,0))</f>
        <v/>
      </c>
    </row>
    <row r="167" spans="97:144">
      <c r="CS167" s="19" t="str">
        <f>IF('ODBC Data'!$I$15&gt;163,'ODBC Data'!$H$15,"")</f>
        <v/>
      </c>
      <c r="CT167" s="19" t="str">
        <f>IF('ODBC Data'!$I$15&gt;163,164,"")</f>
        <v/>
      </c>
      <c r="CU167" s="17" t="str">
        <f t="shared" si="31"/>
        <v/>
      </c>
      <c r="CV167" s="57" t="str">
        <f>IF(ISNA(VLOOKUP(CU167,'ODBC Data'!$B$1:$J$500,3,0)),"",VLOOKUP(CU167,'ODBC Data'!$B$1:$J$500,3,0))</f>
        <v/>
      </c>
      <c r="CW167" s="57" t="str">
        <f>IF(ISNA(VLOOKUP(CU167,'ODBC Data'!$B$1:$J$500,4,0)),"",VLOOKUP(CU167,'ODBC Data'!$B$1:$J$500,4,0))</f>
        <v/>
      </c>
      <c r="CX167" s="57" t="str">
        <f>IF(ISNA(VLOOKUP(CU167,'ODBC Data'!$B$1:$J$500,5,0)),"",VLOOKUP(CU167,'ODBC Data'!$B$1:$J$500,5,0))</f>
        <v/>
      </c>
      <c r="EI167" s="19" t="str">
        <f>IF('ODBC Data'!$I$21&gt;163,'ODBC Data'!$H$21,"")</f>
        <v/>
      </c>
      <c r="EJ167" s="19" t="str">
        <f>IF('ODBC Data'!$I$21&gt;163,164,"")</f>
        <v/>
      </c>
      <c r="EK167" s="17" t="str">
        <f t="shared" si="32"/>
        <v/>
      </c>
      <c r="EL167" s="57" t="str">
        <f>IF(ISNA(VLOOKUP(EK167,'ODBC Data'!$B$1:$J$500,3,0)),"",VLOOKUP(EK167,'ODBC Data'!$B$1:$J$500,3,0))</f>
        <v/>
      </c>
      <c r="EM167" s="57" t="str">
        <f>IF(ISNA(VLOOKUP(EK167,'ODBC Data'!$B$1:$J$500,4,0)),"",VLOOKUP(EK167,'ODBC Data'!$B$1:$J$500,4,0))</f>
        <v/>
      </c>
      <c r="EN167" s="57" t="str">
        <f>IF(ISNA(VLOOKUP(EK167,'ODBC Data'!$B$1:$J$500,5,0)),"",VLOOKUP(EK167,'ODBC Data'!$B$1:$J$500,5,0))</f>
        <v/>
      </c>
    </row>
    <row r="168" spans="97:144">
      <c r="CS168" s="19" t="str">
        <f>IF('ODBC Data'!$I$15&gt;164,'ODBC Data'!$H$15,"")</f>
        <v/>
      </c>
      <c r="CT168" s="19" t="str">
        <f>IF('ODBC Data'!$I$15&gt;164,165,"")</f>
        <v/>
      </c>
      <c r="CU168" s="17" t="str">
        <f t="shared" si="31"/>
        <v/>
      </c>
      <c r="CV168" s="57" t="str">
        <f>IF(ISNA(VLOOKUP(CU168,'ODBC Data'!$B$1:$J$500,3,0)),"",VLOOKUP(CU168,'ODBC Data'!$B$1:$J$500,3,0))</f>
        <v/>
      </c>
      <c r="CW168" s="57" t="str">
        <f>IF(ISNA(VLOOKUP(CU168,'ODBC Data'!$B$1:$J$500,4,0)),"",VLOOKUP(CU168,'ODBC Data'!$B$1:$J$500,4,0))</f>
        <v/>
      </c>
      <c r="CX168" s="57" t="str">
        <f>IF(ISNA(VLOOKUP(CU168,'ODBC Data'!$B$1:$J$500,5,0)),"",VLOOKUP(CU168,'ODBC Data'!$B$1:$J$500,5,0))</f>
        <v/>
      </c>
      <c r="EI168" s="19" t="str">
        <f>IF('ODBC Data'!$I$21&gt;164,'ODBC Data'!$H$21,"")</f>
        <v/>
      </c>
      <c r="EJ168" s="19" t="str">
        <f>IF('ODBC Data'!$I$21&gt;164,165,"")</f>
        <v/>
      </c>
      <c r="EK168" s="17" t="str">
        <f t="shared" si="32"/>
        <v/>
      </c>
      <c r="EL168" s="57" t="str">
        <f>IF(ISNA(VLOOKUP(EK168,'ODBC Data'!$B$1:$J$500,3,0)),"",VLOOKUP(EK168,'ODBC Data'!$B$1:$J$500,3,0))</f>
        <v/>
      </c>
      <c r="EM168" s="57" t="str">
        <f>IF(ISNA(VLOOKUP(EK168,'ODBC Data'!$B$1:$J$500,4,0)),"",VLOOKUP(EK168,'ODBC Data'!$B$1:$J$500,4,0))</f>
        <v/>
      </c>
      <c r="EN168" s="57" t="str">
        <f>IF(ISNA(VLOOKUP(EK168,'ODBC Data'!$B$1:$J$500,5,0)),"",VLOOKUP(EK168,'ODBC Data'!$B$1:$J$500,5,0))</f>
        <v/>
      </c>
    </row>
    <row r="169" spans="97:144">
      <c r="CS169" s="19" t="str">
        <f>IF('ODBC Data'!$I$15&gt;165,'ODBC Data'!$H$15,"")</f>
        <v/>
      </c>
      <c r="CT169" s="19" t="str">
        <f>IF('ODBC Data'!$I$15&gt;165,166,"")</f>
        <v/>
      </c>
      <c r="CU169" s="17" t="str">
        <f t="shared" si="31"/>
        <v/>
      </c>
      <c r="CV169" s="57" t="str">
        <f>IF(ISNA(VLOOKUP(CU169,'ODBC Data'!$B$1:$J$500,3,0)),"",VLOOKUP(CU169,'ODBC Data'!$B$1:$J$500,3,0))</f>
        <v/>
      </c>
      <c r="CW169" s="57" t="str">
        <f>IF(ISNA(VLOOKUP(CU169,'ODBC Data'!$B$1:$J$500,4,0)),"",VLOOKUP(CU169,'ODBC Data'!$B$1:$J$500,4,0))</f>
        <v/>
      </c>
      <c r="CX169" s="57" t="str">
        <f>IF(ISNA(VLOOKUP(CU169,'ODBC Data'!$B$1:$J$500,5,0)),"",VLOOKUP(CU169,'ODBC Data'!$B$1:$J$500,5,0))</f>
        <v/>
      </c>
      <c r="EI169" s="19" t="str">
        <f>IF('ODBC Data'!$I$21&gt;165,'ODBC Data'!$H$21,"")</f>
        <v/>
      </c>
      <c r="EJ169" s="19" t="str">
        <f>IF('ODBC Data'!$I$21&gt;165,166,"")</f>
        <v/>
      </c>
      <c r="EK169" s="17" t="str">
        <f t="shared" si="32"/>
        <v/>
      </c>
      <c r="EL169" s="57" t="str">
        <f>IF(ISNA(VLOOKUP(EK169,'ODBC Data'!$B$1:$J$500,3,0)),"",VLOOKUP(EK169,'ODBC Data'!$B$1:$J$500,3,0))</f>
        <v/>
      </c>
      <c r="EM169" s="57" t="str">
        <f>IF(ISNA(VLOOKUP(EK169,'ODBC Data'!$B$1:$J$500,4,0)),"",VLOOKUP(EK169,'ODBC Data'!$B$1:$J$500,4,0))</f>
        <v/>
      </c>
      <c r="EN169" s="57" t="str">
        <f>IF(ISNA(VLOOKUP(EK169,'ODBC Data'!$B$1:$J$500,5,0)),"",VLOOKUP(EK169,'ODBC Data'!$B$1:$J$500,5,0))</f>
        <v/>
      </c>
    </row>
    <row r="170" spans="97:144">
      <c r="CS170" s="19" t="str">
        <f>IF('ODBC Data'!$I$15&gt;166,'ODBC Data'!$H$15,"")</f>
        <v/>
      </c>
      <c r="CT170" s="19" t="str">
        <f>IF('ODBC Data'!$I$15&gt;166,167,"")</f>
        <v/>
      </c>
      <c r="CU170" s="17" t="str">
        <f t="shared" si="31"/>
        <v/>
      </c>
      <c r="CV170" s="57" t="str">
        <f>IF(ISNA(VLOOKUP(CU170,'ODBC Data'!$B$1:$J$500,3,0)),"",VLOOKUP(CU170,'ODBC Data'!$B$1:$J$500,3,0))</f>
        <v/>
      </c>
      <c r="CW170" s="57" t="str">
        <f>IF(ISNA(VLOOKUP(CU170,'ODBC Data'!$B$1:$J$500,4,0)),"",VLOOKUP(CU170,'ODBC Data'!$B$1:$J$500,4,0))</f>
        <v/>
      </c>
      <c r="CX170" s="57" t="str">
        <f>IF(ISNA(VLOOKUP(CU170,'ODBC Data'!$B$1:$J$500,5,0)),"",VLOOKUP(CU170,'ODBC Data'!$B$1:$J$500,5,0))</f>
        <v/>
      </c>
      <c r="EI170" s="19" t="str">
        <f>IF('ODBC Data'!$I$21&gt;166,'ODBC Data'!$H$21,"")</f>
        <v/>
      </c>
      <c r="EJ170" s="19" t="str">
        <f>IF('ODBC Data'!$I$21&gt;166,167,"")</f>
        <v/>
      </c>
      <c r="EK170" s="17" t="str">
        <f t="shared" si="32"/>
        <v/>
      </c>
      <c r="EL170" s="57" t="str">
        <f>IF(ISNA(VLOOKUP(EK170,'ODBC Data'!$B$1:$J$500,3,0)),"",VLOOKUP(EK170,'ODBC Data'!$B$1:$J$500,3,0))</f>
        <v/>
      </c>
      <c r="EM170" s="57" t="str">
        <f>IF(ISNA(VLOOKUP(EK170,'ODBC Data'!$B$1:$J$500,4,0)),"",VLOOKUP(EK170,'ODBC Data'!$B$1:$J$500,4,0))</f>
        <v/>
      </c>
      <c r="EN170" s="57" t="str">
        <f>IF(ISNA(VLOOKUP(EK170,'ODBC Data'!$B$1:$J$500,5,0)),"",VLOOKUP(EK170,'ODBC Data'!$B$1:$J$500,5,0))</f>
        <v/>
      </c>
    </row>
    <row r="171" spans="97:144">
      <c r="CS171" s="19" t="str">
        <f>IF('ODBC Data'!$I$15&gt;167,'ODBC Data'!$H$15,"")</f>
        <v/>
      </c>
      <c r="CT171" s="19" t="str">
        <f>IF('ODBC Data'!$I$15&gt;167,168,"")</f>
        <v/>
      </c>
      <c r="CU171" s="17" t="str">
        <f t="shared" si="31"/>
        <v/>
      </c>
      <c r="CV171" s="57" t="str">
        <f>IF(ISNA(VLOOKUP(CU171,'ODBC Data'!$B$1:$J$500,3,0)),"",VLOOKUP(CU171,'ODBC Data'!$B$1:$J$500,3,0))</f>
        <v/>
      </c>
      <c r="CW171" s="57" t="str">
        <f>IF(ISNA(VLOOKUP(CU171,'ODBC Data'!$B$1:$J$500,4,0)),"",VLOOKUP(CU171,'ODBC Data'!$B$1:$J$500,4,0))</f>
        <v/>
      </c>
      <c r="CX171" s="57" t="str">
        <f>IF(ISNA(VLOOKUP(CU171,'ODBC Data'!$B$1:$J$500,5,0)),"",VLOOKUP(CU171,'ODBC Data'!$B$1:$J$500,5,0))</f>
        <v/>
      </c>
      <c r="EI171" s="19" t="str">
        <f>IF('ODBC Data'!$I$21&gt;167,'ODBC Data'!$H$21,"")</f>
        <v/>
      </c>
      <c r="EJ171" s="19" t="str">
        <f>IF('ODBC Data'!$I$21&gt;167,168,"")</f>
        <v/>
      </c>
      <c r="EK171" s="17" t="str">
        <f t="shared" si="32"/>
        <v/>
      </c>
      <c r="EL171" s="57" t="str">
        <f>IF(ISNA(VLOOKUP(EK171,'ODBC Data'!$B$1:$J$500,3,0)),"",VLOOKUP(EK171,'ODBC Data'!$B$1:$J$500,3,0))</f>
        <v/>
      </c>
      <c r="EM171" s="57" t="str">
        <f>IF(ISNA(VLOOKUP(EK171,'ODBC Data'!$B$1:$J$500,4,0)),"",VLOOKUP(EK171,'ODBC Data'!$B$1:$J$500,4,0))</f>
        <v/>
      </c>
      <c r="EN171" s="57" t="str">
        <f>IF(ISNA(VLOOKUP(EK171,'ODBC Data'!$B$1:$J$500,5,0)),"",VLOOKUP(EK171,'ODBC Data'!$B$1:$J$500,5,0))</f>
        <v/>
      </c>
    </row>
    <row r="172" spans="97:144">
      <c r="CS172" s="19" t="str">
        <f>IF('ODBC Data'!$I$15&gt;168,'ODBC Data'!$H$15,"")</f>
        <v/>
      </c>
      <c r="CT172" s="19" t="str">
        <f>IF('ODBC Data'!$I$15&gt;168,169,"")</f>
        <v/>
      </c>
      <c r="CU172" s="17" t="str">
        <f t="shared" si="31"/>
        <v/>
      </c>
      <c r="CV172" s="57" t="str">
        <f>IF(ISNA(VLOOKUP(CU172,'ODBC Data'!$B$1:$J$500,3,0)),"",VLOOKUP(CU172,'ODBC Data'!$B$1:$J$500,3,0))</f>
        <v/>
      </c>
      <c r="CW172" s="57" t="str">
        <f>IF(ISNA(VLOOKUP(CU172,'ODBC Data'!$B$1:$J$500,4,0)),"",VLOOKUP(CU172,'ODBC Data'!$B$1:$J$500,4,0))</f>
        <v/>
      </c>
      <c r="CX172" s="57" t="str">
        <f>IF(ISNA(VLOOKUP(CU172,'ODBC Data'!$B$1:$J$500,5,0)),"",VLOOKUP(CU172,'ODBC Data'!$B$1:$J$500,5,0))</f>
        <v/>
      </c>
      <c r="EI172" s="19" t="str">
        <f>IF('ODBC Data'!$I$21&gt;168,'ODBC Data'!$H$21,"")</f>
        <v/>
      </c>
      <c r="EJ172" s="19" t="str">
        <f>IF('ODBC Data'!$I$21&gt;168,169,"")</f>
        <v/>
      </c>
      <c r="EK172" s="17" t="str">
        <f t="shared" si="32"/>
        <v/>
      </c>
      <c r="EL172" s="57" t="str">
        <f>IF(ISNA(VLOOKUP(EK172,'ODBC Data'!$B$1:$J$500,3,0)),"",VLOOKUP(EK172,'ODBC Data'!$B$1:$J$500,3,0))</f>
        <v/>
      </c>
      <c r="EM172" s="57" t="str">
        <f>IF(ISNA(VLOOKUP(EK172,'ODBC Data'!$B$1:$J$500,4,0)),"",VLOOKUP(EK172,'ODBC Data'!$B$1:$J$500,4,0))</f>
        <v/>
      </c>
      <c r="EN172" s="57" t="str">
        <f>IF(ISNA(VLOOKUP(EK172,'ODBC Data'!$B$1:$J$500,5,0)),"",VLOOKUP(EK172,'ODBC Data'!$B$1:$J$500,5,0))</f>
        <v/>
      </c>
    </row>
    <row r="173" spans="97:144">
      <c r="CS173" s="19" t="str">
        <f>IF('ODBC Data'!$I$15&gt;169,'ODBC Data'!$H$15,"")</f>
        <v/>
      </c>
      <c r="CT173" s="19" t="str">
        <f>IF('ODBC Data'!$I$15&gt;169,170,"")</f>
        <v/>
      </c>
      <c r="CU173" s="17" t="str">
        <f t="shared" si="31"/>
        <v/>
      </c>
      <c r="CV173" s="57" t="str">
        <f>IF(ISNA(VLOOKUP(CU173,'ODBC Data'!$B$1:$J$500,3,0)),"",VLOOKUP(CU173,'ODBC Data'!$B$1:$J$500,3,0))</f>
        <v/>
      </c>
      <c r="CW173" s="57" t="str">
        <f>IF(ISNA(VLOOKUP(CU173,'ODBC Data'!$B$1:$J$500,4,0)),"",VLOOKUP(CU173,'ODBC Data'!$B$1:$J$500,4,0))</f>
        <v/>
      </c>
      <c r="CX173" s="57" t="str">
        <f>IF(ISNA(VLOOKUP(CU173,'ODBC Data'!$B$1:$J$500,5,0)),"",VLOOKUP(CU173,'ODBC Data'!$B$1:$J$500,5,0))</f>
        <v/>
      </c>
      <c r="EI173" s="19" t="str">
        <f>IF('ODBC Data'!$I$21&gt;169,'ODBC Data'!$H$21,"")</f>
        <v/>
      </c>
      <c r="EJ173" s="19" t="str">
        <f>IF('ODBC Data'!$I$21&gt;169,170,"")</f>
        <v/>
      </c>
      <c r="EK173" s="17" t="str">
        <f t="shared" si="32"/>
        <v/>
      </c>
      <c r="EL173" s="57" t="str">
        <f>IF(ISNA(VLOOKUP(EK173,'ODBC Data'!$B$1:$J$500,3,0)),"",VLOOKUP(EK173,'ODBC Data'!$B$1:$J$500,3,0))</f>
        <v/>
      </c>
      <c r="EM173" s="57" t="str">
        <f>IF(ISNA(VLOOKUP(EK173,'ODBC Data'!$B$1:$J$500,4,0)),"",VLOOKUP(EK173,'ODBC Data'!$B$1:$J$500,4,0))</f>
        <v/>
      </c>
      <c r="EN173" s="57" t="str">
        <f>IF(ISNA(VLOOKUP(EK173,'ODBC Data'!$B$1:$J$500,5,0)),"",VLOOKUP(EK173,'ODBC Data'!$B$1:$J$500,5,0))</f>
        <v/>
      </c>
    </row>
    <row r="174" spans="97:144">
      <c r="CS174" s="19" t="str">
        <f>IF('ODBC Data'!$I$15&gt;170,'ODBC Data'!$H$15,"")</f>
        <v/>
      </c>
      <c r="CT174" s="19" t="str">
        <f>IF('ODBC Data'!$I$15&gt;170,171,"")</f>
        <v/>
      </c>
      <c r="CU174" s="17" t="str">
        <f t="shared" si="31"/>
        <v/>
      </c>
      <c r="CV174" s="57" t="str">
        <f>IF(ISNA(VLOOKUP(CU174,'ODBC Data'!$B$1:$J$500,3,0)),"",VLOOKUP(CU174,'ODBC Data'!$B$1:$J$500,3,0))</f>
        <v/>
      </c>
      <c r="CW174" s="57" t="str">
        <f>IF(ISNA(VLOOKUP(CU174,'ODBC Data'!$B$1:$J$500,4,0)),"",VLOOKUP(CU174,'ODBC Data'!$B$1:$J$500,4,0))</f>
        <v/>
      </c>
      <c r="CX174" s="57" t="str">
        <f>IF(ISNA(VLOOKUP(CU174,'ODBC Data'!$B$1:$J$500,5,0)),"",VLOOKUP(CU174,'ODBC Data'!$B$1:$J$500,5,0))</f>
        <v/>
      </c>
      <c r="EI174" s="19" t="str">
        <f>IF('ODBC Data'!$I$21&gt;170,'ODBC Data'!$H$21,"")</f>
        <v/>
      </c>
      <c r="EJ174" s="19" t="str">
        <f>IF('ODBC Data'!$I$21&gt;170,171,"")</f>
        <v/>
      </c>
      <c r="EK174" s="17" t="str">
        <f t="shared" si="32"/>
        <v/>
      </c>
      <c r="EL174" s="57" t="str">
        <f>IF(ISNA(VLOOKUP(EK174,'ODBC Data'!$B$1:$J$500,3,0)),"",VLOOKUP(EK174,'ODBC Data'!$B$1:$J$500,3,0))</f>
        <v/>
      </c>
      <c r="EM174" s="57" t="str">
        <f>IF(ISNA(VLOOKUP(EK174,'ODBC Data'!$B$1:$J$500,4,0)),"",VLOOKUP(EK174,'ODBC Data'!$B$1:$J$500,4,0))</f>
        <v/>
      </c>
      <c r="EN174" s="57" t="str">
        <f>IF(ISNA(VLOOKUP(EK174,'ODBC Data'!$B$1:$J$500,5,0)),"",VLOOKUP(EK174,'ODBC Data'!$B$1:$J$500,5,0))</f>
        <v/>
      </c>
    </row>
    <row r="175" spans="97:144">
      <c r="CS175" s="19" t="str">
        <f>IF('ODBC Data'!$I$15&gt;171,'ODBC Data'!$H$15,"")</f>
        <v/>
      </c>
      <c r="CT175" s="19" t="str">
        <f>IF('ODBC Data'!$I$15&gt;171,172,"")</f>
        <v/>
      </c>
      <c r="CU175" s="17" t="str">
        <f t="shared" si="31"/>
        <v/>
      </c>
      <c r="CV175" s="57" t="str">
        <f>IF(ISNA(VLOOKUP(CU175,'ODBC Data'!$B$1:$J$500,3,0)),"",VLOOKUP(CU175,'ODBC Data'!$B$1:$J$500,3,0))</f>
        <v/>
      </c>
      <c r="CW175" s="57" t="str">
        <f>IF(ISNA(VLOOKUP(CU175,'ODBC Data'!$B$1:$J$500,4,0)),"",VLOOKUP(CU175,'ODBC Data'!$B$1:$J$500,4,0))</f>
        <v/>
      </c>
      <c r="CX175" s="57" t="str">
        <f>IF(ISNA(VLOOKUP(CU175,'ODBC Data'!$B$1:$J$500,5,0)),"",VLOOKUP(CU175,'ODBC Data'!$B$1:$J$500,5,0))</f>
        <v/>
      </c>
      <c r="EI175" s="19" t="str">
        <f>IF('ODBC Data'!$I$21&gt;171,'ODBC Data'!$H$21,"")</f>
        <v/>
      </c>
      <c r="EJ175" s="19" t="str">
        <f>IF('ODBC Data'!$I$21&gt;171,172,"")</f>
        <v/>
      </c>
      <c r="EK175" s="17" t="str">
        <f t="shared" si="32"/>
        <v/>
      </c>
      <c r="EL175" s="57" t="str">
        <f>IF(ISNA(VLOOKUP(EK175,'ODBC Data'!$B$1:$J$500,3,0)),"",VLOOKUP(EK175,'ODBC Data'!$B$1:$J$500,3,0))</f>
        <v/>
      </c>
      <c r="EM175" s="57" t="str">
        <f>IF(ISNA(VLOOKUP(EK175,'ODBC Data'!$B$1:$J$500,4,0)),"",VLOOKUP(EK175,'ODBC Data'!$B$1:$J$500,4,0))</f>
        <v/>
      </c>
      <c r="EN175" s="57" t="str">
        <f>IF(ISNA(VLOOKUP(EK175,'ODBC Data'!$B$1:$J$500,5,0)),"",VLOOKUP(EK175,'ODBC Data'!$B$1:$J$500,5,0))</f>
        <v/>
      </c>
    </row>
    <row r="176" spans="97:144">
      <c r="CS176" s="19" t="str">
        <f>IF('ODBC Data'!$I$15&gt;172,'ODBC Data'!$H$15,"")</f>
        <v/>
      </c>
      <c r="CT176" s="19" t="str">
        <f>IF('ODBC Data'!$I$15&gt;172,173,"")</f>
        <v/>
      </c>
      <c r="CU176" s="17" t="str">
        <f t="shared" si="31"/>
        <v/>
      </c>
      <c r="CV176" s="57" t="str">
        <f>IF(ISNA(VLOOKUP(CU176,'ODBC Data'!$B$1:$J$500,3,0)),"",VLOOKUP(CU176,'ODBC Data'!$B$1:$J$500,3,0))</f>
        <v/>
      </c>
      <c r="CW176" s="57" t="str">
        <f>IF(ISNA(VLOOKUP(CU176,'ODBC Data'!$B$1:$J$500,4,0)),"",VLOOKUP(CU176,'ODBC Data'!$B$1:$J$500,4,0))</f>
        <v/>
      </c>
      <c r="CX176" s="57" t="str">
        <f>IF(ISNA(VLOOKUP(CU176,'ODBC Data'!$B$1:$J$500,5,0)),"",VLOOKUP(CU176,'ODBC Data'!$B$1:$J$500,5,0))</f>
        <v/>
      </c>
      <c r="EI176" s="19" t="str">
        <f>IF('ODBC Data'!$I$21&gt;172,'ODBC Data'!$H$21,"")</f>
        <v/>
      </c>
      <c r="EJ176" s="19" t="str">
        <f>IF('ODBC Data'!$I$21&gt;172,173,"")</f>
        <v/>
      </c>
      <c r="EK176" s="17" t="str">
        <f t="shared" si="32"/>
        <v/>
      </c>
      <c r="EL176" s="57" t="str">
        <f>IF(ISNA(VLOOKUP(EK176,'ODBC Data'!$B$1:$J$500,3,0)),"",VLOOKUP(EK176,'ODBC Data'!$B$1:$J$500,3,0))</f>
        <v/>
      </c>
      <c r="EM176" s="57" t="str">
        <f>IF(ISNA(VLOOKUP(EK176,'ODBC Data'!$B$1:$J$500,4,0)),"",VLOOKUP(EK176,'ODBC Data'!$B$1:$J$500,4,0))</f>
        <v/>
      </c>
      <c r="EN176" s="57" t="str">
        <f>IF(ISNA(VLOOKUP(EK176,'ODBC Data'!$B$1:$J$500,5,0)),"",VLOOKUP(EK176,'ODBC Data'!$B$1:$J$500,5,0))</f>
        <v/>
      </c>
    </row>
    <row r="177" spans="97:144">
      <c r="CS177" s="19" t="str">
        <f>IF('ODBC Data'!$I$15&gt;173,'ODBC Data'!$H$15,"")</f>
        <v/>
      </c>
      <c r="CT177" s="19" t="str">
        <f>IF('ODBC Data'!$I$15&gt;173,174,"")</f>
        <v/>
      </c>
      <c r="CU177" s="17" t="str">
        <f t="shared" si="31"/>
        <v/>
      </c>
      <c r="CV177" s="57" t="str">
        <f>IF(ISNA(VLOOKUP(CU177,'ODBC Data'!$B$1:$J$500,3,0)),"",VLOOKUP(CU177,'ODBC Data'!$B$1:$J$500,3,0))</f>
        <v/>
      </c>
      <c r="CW177" s="57" t="str">
        <f>IF(ISNA(VLOOKUP(CU177,'ODBC Data'!$B$1:$J$500,4,0)),"",VLOOKUP(CU177,'ODBC Data'!$B$1:$J$500,4,0))</f>
        <v/>
      </c>
      <c r="CX177" s="57" t="str">
        <f>IF(ISNA(VLOOKUP(CU177,'ODBC Data'!$B$1:$J$500,5,0)),"",VLOOKUP(CU177,'ODBC Data'!$B$1:$J$500,5,0))</f>
        <v/>
      </c>
      <c r="EI177" s="19" t="str">
        <f>IF('ODBC Data'!$I$21&gt;173,'ODBC Data'!$H$21,"")</f>
        <v/>
      </c>
      <c r="EJ177" s="19" t="str">
        <f>IF('ODBC Data'!$I$21&gt;173,174,"")</f>
        <v/>
      </c>
      <c r="EK177" s="17" t="str">
        <f t="shared" si="32"/>
        <v/>
      </c>
      <c r="EL177" s="57" t="str">
        <f>IF(ISNA(VLOOKUP(EK177,'ODBC Data'!$B$1:$J$500,3,0)),"",VLOOKUP(EK177,'ODBC Data'!$B$1:$J$500,3,0))</f>
        <v/>
      </c>
      <c r="EM177" s="57" t="str">
        <f>IF(ISNA(VLOOKUP(EK177,'ODBC Data'!$B$1:$J$500,4,0)),"",VLOOKUP(EK177,'ODBC Data'!$B$1:$J$500,4,0))</f>
        <v/>
      </c>
      <c r="EN177" s="57" t="str">
        <f>IF(ISNA(VLOOKUP(EK177,'ODBC Data'!$B$1:$J$500,5,0)),"",VLOOKUP(EK177,'ODBC Data'!$B$1:$J$500,5,0))</f>
        <v/>
      </c>
    </row>
    <row r="178" spans="97:144">
      <c r="CS178" s="19" t="str">
        <f>IF('ODBC Data'!$I$15&gt;174,'ODBC Data'!$H$15,"")</f>
        <v/>
      </c>
      <c r="CT178" s="19" t="str">
        <f>IF('ODBC Data'!$I$15&gt;174,175,"")</f>
        <v/>
      </c>
      <c r="CU178" s="17" t="str">
        <f t="shared" si="31"/>
        <v/>
      </c>
      <c r="CV178" s="57" t="str">
        <f>IF(ISNA(VLOOKUP(CU178,'ODBC Data'!$B$1:$J$500,3,0)),"",VLOOKUP(CU178,'ODBC Data'!$B$1:$J$500,3,0))</f>
        <v/>
      </c>
      <c r="CW178" s="57" t="str">
        <f>IF(ISNA(VLOOKUP(CU178,'ODBC Data'!$B$1:$J$500,4,0)),"",VLOOKUP(CU178,'ODBC Data'!$B$1:$J$500,4,0))</f>
        <v/>
      </c>
      <c r="CX178" s="57" t="str">
        <f>IF(ISNA(VLOOKUP(CU178,'ODBC Data'!$B$1:$J$500,5,0)),"",VLOOKUP(CU178,'ODBC Data'!$B$1:$J$500,5,0))</f>
        <v/>
      </c>
      <c r="EI178" s="19" t="str">
        <f>IF('ODBC Data'!$I$21&gt;174,'ODBC Data'!$H$21,"")</f>
        <v/>
      </c>
      <c r="EJ178" s="19" t="str">
        <f>IF('ODBC Data'!$I$21&gt;174,175,"")</f>
        <v/>
      </c>
      <c r="EK178" s="17" t="str">
        <f t="shared" si="32"/>
        <v/>
      </c>
      <c r="EL178" s="57" t="str">
        <f>IF(ISNA(VLOOKUP(EK178,'ODBC Data'!$B$1:$J$500,3,0)),"",VLOOKUP(EK178,'ODBC Data'!$B$1:$J$500,3,0))</f>
        <v/>
      </c>
      <c r="EM178" s="57" t="str">
        <f>IF(ISNA(VLOOKUP(EK178,'ODBC Data'!$B$1:$J$500,4,0)),"",VLOOKUP(EK178,'ODBC Data'!$B$1:$J$500,4,0))</f>
        <v/>
      </c>
      <c r="EN178" s="57" t="str">
        <f>IF(ISNA(VLOOKUP(EK178,'ODBC Data'!$B$1:$J$500,5,0)),"",VLOOKUP(EK178,'ODBC Data'!$B$1:$J$500,5,0))</f>
        <v/>
      </c>
    </row>
    <row r="179" spans="97:144">
      <c r="CS179" s="19" t="str">
        <f>IF('ODBC Data'!$I$15&gt;175,'ODBC Data'!$H$15,"")</f>
        <v/>
      </c>
      <c r="CT179" s="19" t="str">
        <f>IF('ODBC Data'!$I$15&gt;175,176,"")</f>
        <v/>
      </c>
      <c r="CU179" s="17" t="str">
        <f t="shared" si="31"/>
        <v/>
      </c>
      <c r="CV179" s="57" t="str">
        <f>IF(ISNA(VLOOKUP(CU179,'ODBC Data'!$B$1:$J$500,3,0)),"",VLOOKUP(CU179,'ODBC Data'!$B$1:$J$500,3,0))</f>
        <v/>
      </c>
      <c r="CW179" s="57" t="str">
        <f>IF(ISNA(VLOOKUP(CU179,'ODBC Data'!$B$1:$J$500,4,0)),"",VLOOKUP(CU179,'ODBC Data'!$B$1:$J$500,4,0))</f>
        <v/>
      </c>
      <c r="CX179" s="57" t="str">
        <f>IF(ISNA(VLOOKUP(CU179,'ODBC Data'!$B$1:$J$500,5,0)),"",VLOOKUP(CU179,'ODBC Data'!$B$1:$J$500,5,0))</f>
        <v/>
      </c>
      <c r="EI179" s="19" t="str">
        <f>IF('ODBC Data'!$I$21&gt;175,'ODBC Data'!$H$21,"")</f>
        <v/>
      </c>
      <c r="EJ179" s="19" t="str">
        <f>IF('ODBC Data'!$I$21&gt;175,176,"")</f>
        <v/>
      </c>
      <c r="EK179" s="17" t="str">
        <f t="shared" si="32"/>
        <v/>
      </c>
      <c r="EL179" s="57" t="str">
        <f>IF(ISNA(VLOOKUP(EK179,'ODBC Data'!$B$1:$J$500,3,0)),"",VLOOKUP(EK179,'ODBC Data'!$B$1:$J$500,3,0))</f>
        <v/>
      </c>
      <c r="EM179" s="57" t="str">
        <f>IF(ISNA(VLOOKUP(EK179,'ODBC Data'!$B$1:$J$500,4,0)),"",VLOOKUP(EK179,'ODBC Data'!$B$1:$J$500,4,0))</f>
        <v/>
      </c>
      <c r="EN179" s="57" t="str">
        <f>IF(ISNA(VLOOKUP(EK179,'ODBC Data'!$B$1:$J$500,5,0)),"",VLOOKUP(EK179,'ODBC Data'!$B$1:$J$500,5,0))</f>
        <v/>
      </c>
    </row>
    <row r="180" spans="97:144">
      <c r="CS180" s="19" t="str">
        <f>IF('ODBC Data'!$I$15&gt;176,'ODBC Data'!$H$15,"")</f>
        <v/>
      </c>
      <c r="CT180" s="19" t="str">
        <f>IF('ODBC Data'!$I$15&gt;176,177,"")</f>
        <v/>
      </c>
      <c r="CU180" s="17" t="str">
        <f t="shared" si="31"/>
        <v/>
      </c>
      <c r="CV180" s="57" t="str">
        <f>IF(ISNA(VLOOKUP(CU180,'ODBC Data'!$B$1:$J$500,3,0)),"",VLOOKUP(CU180,'ODBC Data'!$B$1:$J$500,3,0))</f>
        <v/>
      </c>
      <c r="CW180" s="57" t="str">
        <f>IF(ISNA(VLOOKUP(CU180,'ODBC Data'!$B$1:$J$500,4,0)),"",VLOOKUP(CU180,'ODBC Data'!$B$1:$J$500,4,0))</f>
        <v/>
      </c>
      <c r="CX180" s="57" t="str">
        <f>IF(ISNA(VLOOKUP(CU180,'ODBC Data'!$B$1:$J$500,5,0)),"",VLOOKUP(CU180,'ODBC Data'!$B$1:$J$500,5,0))</f>
        <v/>
      </c>
      <c r="EI180" s="19" t="str">
        <f>IF('ODBC Data'!$I$21&gt;176,'ODBC Data'!$H$21,"")</f>
        <v/>
      </c>
      <c r="EJ180" s="19" t="str">
        <f>IF('ODBC Data'!$I$21&gt;176,177,"")</f>
        <v/>
      </c>
      <c r="EK180" s="17" t="str">
        <f t="shared" si="32"/>
        <v/>
      </c>
      <c r="EL180" s="57" t="str">
        <f>IF(ISNA(VLOOKUP(EK180,'ODBC Data'!$B$1:$J$500,3,0)),"",VLOOKUP(EK180,'ODBC Data'!$B$1:$J$500,3,0))</f>
        <v/>
      </c>
      <c r="EM180" s="57" t="str">
        <f>IF(ISNA(VLOOKUP(EK180,'ODBC Data'!$B$1:$J$500,4,0)),"",VLOOKUP(EK180,'ODBC Data'!$B$1:$J$500,4,0))</f>
        <v/>
      </c>
      <c r="EN180" s="57" t="str">
        <f>IF(ISNA(VLOOKUP(EK180,'ODBC Data'!$B$1:$J$500,5,0)),"",VLOOKUP(EK180,'ODBC Data'!$B$1:$J$500,5,0))</f>
        <v/>
      </c>
    </row>
    <row r="181" spans="97:144">
      <c r="CS181" s="19" t="str">
        <f>IF('ODBC Data'!$I$15&gt;177,'ODBC Data'!$H$15,"")</f>
        <v/>
      </c>
      <c r="CT181" s="19" t="str">
        <f>IF('ODBC Data'!$I$15&gt;177,178,"")</f>
        <v/>
      </c>
      <c r="CU181" s="17" t="str">
        <f t="shared" si="31"/>
        <v/>
      </c>
      <c r="CV181" s="57" t="str">
        <f>IF(ISNA(VLOOKUP(CU181,'ODBC Data'!$B$1:$J$500,3,0)),"",VLOOKUP(CU181,'ODBC Data'!$B$1:$J$500,3,0))</f>
        <v/>
      </c>
      <c r="CW181" s="57" t="str">
        <f>IF(ISNA(VLOOKUP(CU181,'ODBC Data'!$B$1:$J$500,4,0)),"",VLOOKUP(CU181,'ODBC Data'!$B$1:$J$500,4,0))</f>
        <v/>
      </c>
      <c r="CX181" s="57" t="str">
        <f>IF(ISNA(VLOOKUP(CU181,'ODBC Data'!$B$1:$J$500,5,0)),"",VLOOKUP(CU181,'ODBC Data'!$B$1:$J$500,5,0))</f>
        <v/>
      </c>
      <c r="EI181" s="19" t="str">
        <f>IF('ODBC Data'!$I$21&gt;177,'ODBC Data'!$H$21,"")</f>
        <v/>
      </c>
      <c r="EJ181" s="19" t="str">
        <f>IF('ODBC Data'!$I$21&gt;177,178,"")</f>
        <v/>
      </c>
      <c r="EK181" s="17" t="str">
        <f t="shared" si="32"/>
        <v/>
      </c>
      <c r="EL181" s="57" t="str">
        <f>IF(ISNA(VLOOKUP(EK181,'ODBC Data'!$B$1:$J$500,3,0)),"",VLOOKUP(EK181,'ODBC Data'!$B$1:$J$500,3,0))</f>
        <v/>
      </c>
      <c r="EM181" s="57" t="str">
        <f>IF(ISNA(VLOOKUP(EK181,'ODBC Data'!$B$1:$J$500,4,0)),"",VLOOKUP(EK181,'ODBC Data'!$B$1:$J$500,4,0))</f>
        <v/>
      </c>
      <c r="EN181" s="57" t="str">
        <f>IF(ISNA(VLOOKUP(EK181,'ODBC Data'!$B$1:$J$500,5,0)),"",VLOOKUP(EK181,'ODBC Data'!$B$1:$J$500,5,0))</f>
        <v/>
      </c>
    </row>
    <row r="182" spans="97:144">
      <c r="CS182" s="19" t="str">
        <f>IF('ODBC Data'!$I$15&gt;178,'ODBC Data'!$H$15,"")</f>
        <v/>
      </c>
      <c r="CT182" s="19" t="str">
        <f>IF('ODBC Data'!$I$15&gt;178,179,"")</f>
        <v/>
      </c>
      <c r="CU182" s="17" t="str">
        <f t="shared" si="31"/>
        <v/>
      </c>
      <c r="CV182" s="57" t="str">
        <f>IF(ISNA(VLOOKUP(CU182,'ODBC Data'!$B$1:$J$500,3,0)),"",VLOOKUP(CU182,'ODBC Data'!$B$1:$J$500,3,0))</f>
        <v/>
      </c>
      <c r="CW182" s="57" t="str">
        <f>IF(ISNA(VLOOKUP(CU182,'ODBC Data'!$B$1:$J$500,4,0)),"",VLOOKUP(CU182,'ODBC Data'!$B$1:$J$500,4,0))</f>
        <v/>
      </c>
      <c r="CX182" s="57" t="str">
        <f>IF(ISNA(VLOOKUP(CU182,'ODBC Data'!$B$1:$J$500,5,0)),"",VLOOKUP(CU182,'ODBC Data'!$B$1:$J$500,5,0))</f>
        <v/>
      </c>
      <c r="EI182" s="19" t="str">
        <f>IF('ODBC Data'!$I$21&gt;178,'ODBC Data'!$H$21,"")</f>
        <v/>
      </c>
      <c r="EJ182" s="19" t="str">
        <f>IF('ODBC Data'!$I$21&gt;178,179,"")</f>
        <v/>
      </c>
      <c r="EK182" s="17" t="str">
        <f t="shared" si="32"/>
        <v/>
      </c>
      <c r="EL182" s="57" t="str">
        <f>IF(ISNA(VLOOKUP(EK182,'ODBC Data'!$B$1:$J$500,3,0)),"",VLOOKUP(EK182,'ODBC Data'!$B$1:$J$500,3,0))</f>
        <v/>
      </c>
      <c r="EM182" s="57" t="str">
        <f>IF(ISNA(VLOOKUP(EK182,'ODBC Data'!$B$1:$J$500,4,0)),"",VLOOKUP(EK182,'ODBC Data'!$B$1:$J$500,4,0))</f>
        <v/>
      </c>
      <c r="EN182" s="57" t="str">
        <f>IF(ISNA(VLOOKUP(EK182,'ODBC Data'!$B$1:$J$500,5,0)),"",VLOOKUP(EK182,'ODBC Data'!$B$1:$J$500,5,0))</f>
        <v/>
      </c>
    </row>
    <row r="183" spans="97:144">
      <c r="CS183" s="19" t="str">
        <f>IF('ODBC Data'!$I$15&gt;179,'ODBC Data'!$H$15,"")</f>
        <v/>
      </c>
      <c r="CT183" s="19" t="str">
        <f>IF('ODBC Data'!$I$15&gt;179,180,"")</f>
        <v/>
      </c>
      <c r="CU183" s="17" t="str">
        <f t="shared" si="31"/>
        <v/>
      </c>
      <c r="CV183" s="57" t="str">
        <f>IF(ISNA(VLOOKUP(CU183,'ODBC Data'!$B$1:$J$500,3,0)),"",VLOOKUP(CU183,'ODBC Data'!$B$1:$J$500,3,0))</f>
        <v/>
      </c>
      <c r="CW183" s="57" t="str">
        <f>IF(ISNA(VLOOKUP(CU183,'ODBC Data'!$B$1:$J$500,4,0)),"",VLOOKUP(CU183,'ODBC Data'!$B$1:$J$500,4,0))</f>
        <v/>
      </c>
      <c r="CX183" s="57" t="str">
        <f>IF(ISNA(VLOOKUP(CU183,'ODBC Data'!$B$1:$J$500,5,0)),"",VLOOKUP(CU183,'ODBC Data'!$B$1:$J$500,5,0))</f>
        <v/>
      </c>
      <c r="EI183" s="19" t="str">
        <f>IF('ODBC Data'!$I$21&gt;179,'ODBC Data'!$H$21,"")</f>
        <v/>
      </c>
      <c r="EJ183" s="19" t="str">
        <f>IF('ODBC Data'!$I$21&gt;179,180,"")</f>
        <v/>
      </c>
      <c r="EK183" s="17" t="str">
        <f t="shared" si="32"/>
        <v/>
      </c>
      <c r="EL183" s="57" t="str">
        <f>IF(ISNA(VLOOKUP(EK183,'ODBC Data'!$B$1:$J$500,3,0)),"",VLOOKUP(EK183,'ODBC Data'!$B$1:$J$500,3,0))</f>
        <v/>
      </c>
      <c r="EM183" s="57" t="str">
        <f>IF(ISNA(VLOOKUP(EK183,'ODBC Data'!$B$1:$J$500,4,0)),"",VLOOKUP(EK183,'ODBC Data'!$B$1:$J$500,4,0))</f>
        <v/>
      </c>
      <c r="EN183" s="57" t="str">
        <f>IF(ISNA(VLOOKUP(EK183,'ODBC Data'!$B$1:$J$500,5,0)),"",VLOOKUP(EK183,'ODBC Data'!$B$1:$J$500,5,0))</f>
        <v/>
      </c>
    </row>
    <row r="184" spans="97:144">
      <c r="CS184" s="19" t="str">
        <f>IF('ODBC Data'!$I$15&gt;180,'ODBC Data'!$H$15,"")</f>
        <v/>
      </c>
      <c r="CT184" s="19" t="str">
        <f>IF('ODBC Data'!$I$15&gt;180,181,"")</f>
        <v/>
      </c>
      <c r="CU184" s="17" t="str">
        <f t="shared" si="31"/>
        <v/>
      </c>
      <c r="CV184" s="57" t="str">
        <f>IF(ISNA(VLOOKUP(CU184,'ODBC Data'!$B$1:$J$500,3,0)),"",VLOOKUP(CU184,'ODBC Data'!$B$1:$J$500,3,0))</f>
        <v/>
      </c>
      <c r="CW184" s="57" t="str">
        <f>IF(ISNA(VLOOKUP(CU184,'ODBC Data'!$B$1:$J$500,4,0)),"",VLOOKUP(CU184,'ODBC Data'!$B$1:$J$500,4,0))</f>
        <v/>
      </c>
      <c r="CX184" s="57" t="str">
        <f>IF(ISNA(VLOOKUP(CU184,'ODBC Data'!$B$1:$J$500,5,0)),"",VLOOKUP(CU184,'ODBC Data'!$B$1:$J$500,5,0))</f>
        <v/>
      </c>
      <c r="EI184" s="19" t="str">
        <f>IF('ODBC Data'!$I$21&gt;180,'ODBC Data'!$H$21,"")</f>
        <v/>
      </c>
      <c r="EJ184" s="19" t="str">
        <f>IF('ODBC Data'!$I$21&gt;180,181,"")</f>
        <v/>
      </c>
      <c r="EK184" s="17" t="str">
        <f t="shared" si="32"/>
        <v/>
      </c>
      <c r="EL184" s="57" t="str">
        <f>IF(ISNA(VLOOKUP(EK184,'ODBC Data'!$B$1:$J$500,3,0)),"",VLOOKUP(EK184,'ODBC Data'!$B$1:$J$500,3,0))</f>
        <v/>
      </c>
      <c r="EM184" s="57" t="str">
        <f>IF(ISNA(VLOOKUP(EK184,'ODBC Data'!$B$1:$J$500,4,0)),"",VLOOKUP(EK184,'ODBC Data'!$B$1:$J$500,4,0))</f>
        <v/>
      </c>
      <c r="EN184" s="57" t="str">
        <f>IF(ISNA(VLOOKUP(EK184,'ODBC Data'!$B$1:$J$500,5,0)),"",VLOOKUP(EK184,'ODBC Data'!$B$1:$J$500,5,0))</f>
        <v/>
      </c>
    </row>
    <row r="185" spans="97:144">
      <c r="CS185" s="19" t="str">
        <f>IF('ODBC Data'!$I$15&gt;181,'ODBC Data'!$H$15,"")</f>
        <v/>
      </c>
      <c r="CT185" s="19" t="str">
        <f>IF('ODBC Data'!$I$15&gt;181,182,"")</f>
        <v/>
      </c>
      <c r="CU185" s="17" t="str">
        <f t="shared" si="31"/>
        <v/>
      </c>
      <c r="CV185" s="57" t="str">
        <f>IF(ISNA(VLOOKUP(CU185,'ODBC Data'!$B$1:$J$500,3,0)),"",VLOOKUP(CU185,'ODBC Data'!$B$1:$J$500,3,0))</f>
        <v/>
      </c>
      <c r="CW185" s="57" t="str">
        <f>IF(ISNA(VLOOKUP(CU185,'ODBC Data'!$B$1:$J$500,4,0)),"",VLOOKUP(CU185,'ODBC Data'!$B$1:$J$500,4,0))</f>
        <v/>
      </c>
      <c r="CX185" s="57" t="str">
        <f>IF(ISNA(VLOOKUP(CU185,'ODBC Data'!$B$1:$J$500,5,0)),"",VLOOKUP(CU185,'ODBC Data'!$B$1:$J$500,5,0))</f>
        <v/>
      </c>
      <c r="EI185" s="19" t="str">
        <f>IF('ODBC Data'!$I$21&gt;181,'ODBC Data'!$H$21,"")</f>
        <v/>
      </c>
      <c r="EJ185" s="19" t="str">
        <f>IF('ODBC Data'!$I$21&gt;181,182,"")</f>
        <v/>
      </c>
      <c r="EK185" s="17" t="str">
        <f t="shared" si="32"/>
        <v/>
      </c>
      <c r="EL185" s="57" t="str">
        <f>IF(ISNA(VLOOKUP(EK185,'ODBC Data'!$B$1:$J$500,3,0)),"",VLOOKUP(EK185,'ODBC Data'!$B$1:$J$500,3,0))</f>
        <v/>
      </c>
      <c r="EM185" s="57" t="str">
        <f>IF(ISNA(VLOOKUP(EK185,'ODBC Data'!$B$1:$J$500,4,0)),"",VLOOKUP(EK185,'ODBC Data'!$B$1:$J$500,4,0))</f>
        <v/>
      </c>
      <c r="EN185" s="57" t="str">
        <f>IF(ISNA(VLOOKUP(EK185,'ODBC Data'!$B$1:$J$500,5,0)),"",VLOOKUP(EK185,'ODBC Data'!$B$1:$J$500,5,0))</f>
        <v/>
      </c>
    </row>
    <row r="186" spans="97:144">
      <c r="CS186" s="19" t="str">
        <f>IF('ODBC Data'!$I$15&gt;182,'ODBC Data'!$H$15,"")</f>
        <v/>
      </c>
      <c r="CT186" s="19" t="str">
        <f>IF('ODBC Data'!$I$15&gt;182,183,"")</f>
        <v/>
      </c>
      <c r="CU186" s="17" t="str">
        <f t="shared" si="31"/>
        <v/>
      </c>
      <c r="CV186" s="57" t="str">
        <f>IF(ISNA(VLOOKUP(CU186,'ODBC Data'!$B$1:$J$500,3,0)),"",VLOOKUP(CU186,'ODBC Data'!$B$1:$J$500,3,0))</f>
        <v/>
      </c>
      <c r="CW186" s="57" t="str">
        <f>IF(ISNA(VLOOKUP(CU186,'ODBC Data'!$B$1:$J$500,4,0)),"",VLOOKUP(CU186,'ODBC Data'!$B$1:$J$500,4,0))</f>
        <v/>
      </c>
      <c r="CX186" s="57" t="str">
        <f>IF(ISNA(VLOOKUP(CU186,'ODBC Data'!$B$1:$J$500,5,0)),"",VLOOKUP(CU186,'ODBC Data'!$B$1:$J$500,5,0))</f>
        <v/>
      </c>
      <c r="EI186" s="19" t="str">
        <f>IF('ODBC Data'!$I$21&gt;182,'ODBC Data'!$H$21,"")</f>
        <v/>
      </c>
      <c r="EJ186" s="19" t="str">
        <f>IF('ODBC Data'!$I$21&gt;182,183,"")</f>
        <v/>
      </c>
      <c r="EK186" s="17" t="str">
        <f t="shared" si="32"/>
        <v/>
      </c>
      <c r="EL186" s="57" t="str">
        <f>IF(ISNA(VLOOKUP(EK186,'ODBC Data'!$B$1:$J$500,3,0)),"",VLOOKUP(EK186,'ODBC Data'!$B$1:$J$500,3,0))</f>
        <v/>
      </c>
      <c r="EM186" s="57" t="str">
        <f>IF(ISNA(VLOOKUP(EK186,'ODBC Data'!$B$1:$J$500,4,0)),"",VLOOKUP(EK186,'ODBC Data'!$B$1:$J$500,4,0))</f>
        <v/>
      </c>
      <c r="EN186" s="57" t="str">
        <f>IF(ISNA(VLOOKUP(EK186,'ODBC Data'!$B$1:$J$500,5,0)),"",VLOOKUP(EK186,'ODBC Data'!$B$1:$J$500,5,0))</f>
        <v/>
      </c>
    </row>
    <row r="187" spans="97:144">
      <c r="CS187" s="19" t="str">
        <f>IF('ODBC Data'!$I$15&gt;183,'ODBC Data'!$H$15,"")</f>
        <v/>
      </c>
      <c r="CT187" s="19" t="str">
        <f>IF('ODBC Data'!$I$15&gt;183,184,"")</f>
        <v/>
      </c>
      <c r="CU187" s="17" t="str">
        <f t="shared" si="31"/>
        <v/>
      </c>
      <c r="CV187" s="57" t="str">
        <f>IF(ISNA(VLOOKUP(CU187,'ODBC Data'!$B$1:$J$500,3,0)),"",VLOOKUP(CU187,'ODBC Data'!$B$1:$J$500,3,0))</f>
        <v/>
      </c>
      <c r="CW187" s="57" t="str">
        <f>IF(ISNA(VLOOKUP(CU187,'ODBC Data'!$B$1:$J$500,4,0)),"",VLOOKUP(CU187,'ODBC Data'!$B$1:$J$500,4,0))</f>
        <v/>
      </c>
      <c r="CX187" s="57" t="str">
        <f>IF(ISNA(VLOOKUP(CU187,'ODBC Data'!$B$1:$J$500,5,0)),"",VLOOKUP(CU187,'ODBC Data'!$B$1:$J$500,5,0))</f>
        <v/>
      </c>
      <c r="EI187" s="19" t="str">
        <f>IF('ODBC Data'!$I$21&gt;183,'ODBC Data'!$H$21,"")</f>
        <v/>
      </c>
      <c r="EJ187" s="19" t="str">
        <f>IF('ODBC Data'!$I$21&gt;183,184,"")</f>
        <v/>
      </c>
      <c r="EK187" s="17" t="str">
        <f t="shared" si="32"/>
        <v/>
      </c>
      <c r="EL187" s="57" t="str">
        <f>IF(ISNA(VLOOKUP(EK187,'ODBC Data'!$B$1:$J$500,3,0)),"",VLOOKUP(EK187,'ODBC Data'!$B$1:$J$500,3,0))</f>
        <v/>
      </c>
      <c r="EM187" s="57" t="str">
        <f>IF(ISNA(VLOOKUP(EK187,'ODBC Data'!$B$1:$J$500,4,0)),"",VLOOKUP(EK187,'ODBC Data'!$B$1:$J$500,4,0))</f>
        <v/>
      </c>
      <c r="EN187" s="57" t="str">
        <f>IF(ISNA(VLOOKUP(EK187,'ODBC Data'!$B$1:$J$500,5,0)),"",VLOOKUP(EK187,'ODBC Data'!$B$1:$J$500,5,0))</f>
        <v/>
      </c>
    </row>
    <row r="188" spans="97:144">
      <c r="CS188" s="19" t="str">
        <f>IF('ODBC Data'!$I$15&gt;184,'ODBC Data'!$H$15,"")</f>
        <v/>
      </c>
      <c r="CT188" s="19" t="str">
        <f>IF('ODBC Data'!$I$15&gt;184,185,"")</f>
        <v/>
      </c>
      <c r="CU188" s="17" t="str">
        <f t="shared" si="31"/>
        <v/>
      </c>
      <c r="CV188" s="57" t="str">
        <f>IF(ISNA(VLOOKUP(CU188,'ODBC Data'!$B$1:$J$500,3,0)),"",VLOOKUP(CU188,'ODBC Data'!$B$1:$J$500,3,0))</f>
        <v/>
      </c>
      <c r="CW188" s="57" t="str">
        <f>IF(ISNA(VLOOKUP(CU188,'ODBC Data'!$B$1:$J$500,4,0)),"",VLOOKUP(CU188,'ODBC Data'!$B$1:$J$500,4,0))</f>
        <v/>
      </c>
      <c r="CX188" s="57" t="str">
        <f>IF(ISNA(VLOOKUP(CU188,'ODBC Data'!$B$1:$J$500,5,0)),"",VLOOKUP(CU188,'ODBC Data'!$B$1:$J$500,5,0))</f>
        <v/>
      </c>
      <c r="EI188" s="19" t="str">
        <f>IF('ODBC Data'!$I$21&gt;184,'ODBC Data'!$H$21,"")</f>
        <v/>
      </c>
      <c r="EJ188" s="19" t="str">
        <f>IF('ODBC Data'!$I$21&gt;184,185,"")</f>
        <v/>
      </c>
      <c r="EK188" s="17" t="str">
        <f t="shared" si="32"/>
        <v/>
      </c>
      <c r="EL188" s="57" t="str">
        <f>IF(ISNA(VLOOKUP(EK188,'ODBC Data'!$B$1:$J$500,3,0)),"",VLOOKUP(EK188,'ODBC Data'!$B$1:$J$500,3,0))</f>
        <v/>
      </c>
      <c r="EM188" s="57" t="str">
        <f>IF(ISNA(VLOOKUP(EK188,'ODBC Data'!$B$1:$J$500,4,0)),"",VLOOKUP(EK188,'ODBC Data'!$B$1:$J$500,4,0))</f>
        <v/>
      </c>
      <c r="EN188" s="57" t="str">
        <f>IF(ISNA(VLOOKUP(EK188,'ODBC Data'!$B$1:$J$500,5,0)),"",VLOOKUP(EK188,'ODBC Data'!$B$1:$J$500,5,0))</f>
        <v/>
      </c>
    </row>
    <row r="189" spans="97:144">
      <c r="CS189" s="19" t="str">
        <f>IF('ODBC Data'!$I$15&gt;185,'ODBC Data'!$H$15,"")</f>
        <v/>
      </c>
      <c r="CT189" s="19" t="str">
        <f>IF('ODBC Data'!$I$15&gt;185,186,"")</f>
        <v/>
      </c>
      <c r="CU189" s="17" t="str">
        <f t="shared" si="31"/>
        <v/>
      </c>
      <c r="CV189" s="57" t="str">
        <f>IF(ISNA(VLOOKUP(CU189,'ODBC Data'!$B$1:$J$500,3,0)),"",VLOOKUP(CU189,'ODBC Data'!$B$1:$J$500,3,0))</f>
        <v/>
      </c>
      <c r="CW189" s="57" t="str">
        <f>IF(ISNA(VLOOKUP(CU189,'ODBC Data'!$B$1:$J$500,4,0)),"",VLOOKUP(CU189,'ODBC Data'!$B$1:$J$500,4,0))</f>
        <v/>
      </c>
      <c r="CX189" s="57" t="str">
        <f>IF(ISNA(VLOOKUP(CU189,'ODBC Data'!$B$1:$J$500,5,0)),"",VLOOKUP(CU189,'ODBC Data'!$B$1:$J$500,5,0))</f>
        <v/>
      </c>
      <c r="EI189" s="19" t="str">
        <f>IF('ODBC Data'!$I$21&gt;185,'ODBC Data'!$H$21,"")</f>
        <v/>
      </c>
      <c r="EJ189" s="19" t="str">
        <f>IF('ODBC Data'!$I$21&gt;185,186,"")</f>
        <v/>
      </c>
      <c r="EK189" s="17" t="str">
        <f t="shared" si="32"/>
        <v/>
      </c>
      <c r="EL189" s="57" t="str">
        <f>IF(ISNA(VLOOKUP(EK189,'ODBC Data'!$B$1:$J$500,3,0)),"",VLOOKUP(EK189,'ODBC Data'!$B$1:$J$500,3,0))</f>
        <v/>
      </c>
      <c r="EM189" s="57" t="str">
        <f>IF(ISNA(VLOOKUP(EK189,'ODBC Data'!$B$1:$J$500,4,0)),"",VLOOKUP(EK189,'ODBC Data'!$B$1:$J$500,4,0))</f>
        <v/>
      </c>
      <c r="EN189" s="57" t="str">
        <f>IF(ISNA(VLOOKUP(EK189,'ODBC Data'!$B$1:$J$500,5,0)),"",VLOOKUP(EK189,'ODBC Data'!$B$1:$J$500,5,0))</f>
        <v/>
      </c>
    </row>
    <row r="190" spans="97:144">
      <c r="CS190" s="19" t="str">
        <f>IF('ODBC Data'!$I$15&gt;186,'ODBC Data'!$H$15,"")</f>
        <v/>
      </c>
      <c r="CT190" s="19" t="str">
        <f>IF('ODBC Data'!$I$15&gt;186,187,"")</f>
        <v/>
      </c>
      <c r="CU190" s="17" t="str">
        <f t="shared" si="31"/>
        <v/>
      </c>
      <c r="CV190" s="57" t="str">
        <f>IF(ISNA(VLOOKUP(CU190,'ODBC Data'!$B$1:$J$500,3,0)),"",VLOOKUP(CU190,'ODBC Data'!$B$1:$J$500,3,0))</f>
        <v/>
      </c>
      <c r="CW190" s="57" t="str">
        <f>IF(ISNA(VLOOKUP(CU190,'ODBC Data'!$B$1:$J$500,4,0)),"",VLOOKUP(CU190,'ODBC Data'!$B$1:$J$500,4,0))</f>
        <v/>
      </c>
      <c r="CX190" s="57" t="str">
        <f>IF(ISNA(VLOOKUP(CU190,'ODBC Data'!$B$1:$J$500,5,0)),"",VLOOKUP(CU190,'ODBC Data'!$B$1:$J$500,5,0))</f>
        <v/>
      </c>
      <c r="EI190" s="19" t="str">
        <f>IF('ODBC Data'!$I$21&gt;186,'ODBC Data'!$H$21,"")</f>
        <v/>
      </c>
      <c r="EJ190" s="19" t="str">
        <f>IF('ODBC Data'!$I$21&gt;186,187,"")</f>
        <v/>
      </c>
      <c r="EK190" s="17" t="str">
        <f t="shared" si="32"/>
        <v/>
      </c>
      <c r="EL190" s="57" t="str">
        <f>IF(ISNA(VLOOKUP(EK190,'ODBC Data'!$B$1:$J$500,3,0)),"",VLOOKUP(EK190,'ODBC Data'!$B$1:$J$500,3,0))</f>
        <v/>
      </c>
      <c r="EM190" s="57" t="str">
        <f>IF(ISNA(VLOOKUP(EK190,'ODBC Data'!$B$1:$J$500,4,0)),"",VLOOKUP(EK190,'ODBC Data'!$B$1:$J$500,4,0))</f>
        <v/>
      </c>
      <c r="EN190" s="57" t="str">
        <f>IF(ISNA(VLOOKUP(EK190,'ODBC Data'!$B$1:$J$500,5,0)),"",VLOOKUP(EK190,'ODBC Data'!$B$1:$J$500,5,0))</f>
        <v/>
      </c>
    </row>
    <row r="191" spans="97:144">
      <c r="CS191" s="19" t="str">
        <f>IF('ODBC Data'!$I$15&gt;187,'ODBC Data'!$H$15,"")</f>
        <v/>
      </c>
      <c r="CT191" s="19" t="str">
        <f>IF('ODBC Data'!$I$15&gt;187,188,"")</f>
        <v/>
      </c>
      <c r="CU191" s="17" t="str">
        <f t="shared" si="31"/>
        <v/>
      </c>
      <c r="CV191" s="57" t="str">
        <f>IF(ISNA(VLOOKUP(CU191,'ODBC Data'!$B$1:$J$500,3,0)),"",VLOOKUP(CU191,'ODBC Data'!$B$1:$J$500,3,0))</f>
        <v/>
      </c>
      <c r="CW191" s="57" t="str">
        <f>IF(ISNA(VLOOKUP(CU191,'ODBC Data'!$B$1:$J$500,4,0)),"",VLOOKUP(CU191,'ODBC Data'!$B$1:$J$500,4,0))</f>
        <v/>
      </c>
      <c r="CX191" s="57" t="str">
        <f>IF(ISNA(VLOOKUP(CU191,'ODBC Data'!$B$1:$J$500,5,0)),"",VLOOKUP(CU191,'ODBC Data'!$B$1:$J$500,5,0))</f>
        <v/>
      </c>
      <c r="EI191" s="19" t="str">
        <f>IF('ODBC Data'!$I$21&gt;187,'ODBC Data'!$H$21,"")</f>
        <v/>
      </c>
      <c r="EJ191" s="19" t="str">
        <f>IF('ODBC Data'!$I$21&gt;187,188,"")</f>
        <v/>
      </c>
      <c r="EK191" s="17" t="str">
        <f t="shared" si="32"/>
        <v/>
      </c>
      <c r="EL191" s="57" t="str">
        <f>IF(ISNA(VLOOKUP(EK191,'ODBC Data'!$B$1:$J$500,3,0)),"",VLOOKUP(EK191,'ODBC Data'!$B$1:$J$500,3,0))</f>
        <v/>
      </c>
      <c r="EM191" s="57" t="str">
        <f>IF(ISNA(VLOOKUP(EK191,'ODBC Data'!$B$1:$J$500,4,0)),"",VLOOKUP(EK191,'ODBC Data'!$B$1:$J$500,4,0))</f>
        <v/>
      </c>
      <c r="EN191" s="57" t="str">
        <f>IF(ISNA(VLOOKUP(EK191,'ODBC Data'!$B$1:$J$500,5,0)),"",VLOOKUP(EK191,'ODBC Data'!$B$1:$J$500,5,0))</f>
        <v/>
      </c>
    </row>
    <row r="192" spans="97:144">
      <c r="CS192" s="19" t="str">
        <f>IF('ODBC Data'!$I$15&gt;188,'ODBC Data'!$H$15,"")</f>
        <v/>
      </c>
      <c r="CT192" s="19" t="str">
        <f>IF('ODBC Data'!$I$15&gt;188,189,"")</f>
        <v/>
      </c>
      <c r="CU192" s="17" t="str">
        <f t="shared" si="31"/>
        <v/>
      </c>
      <c r="CV192" s="57" t="str">
        <f>IF(ISNA(VLOOKUP(CU192,'ODBC Data'!$B$1:$J$500,3,0)),"",VLOOKUP(CU192,'ODBC Data'!$B$1:$J$500,3,0))</f>
        <v/>
      </c>
      <c r="CW192" s="57" t="str">
        <f>IF(ISNA(VLOOKUP(CU192,'ODBC Data'!$B$1:$J$500,4,0)),"",VLOOKUP(CU192,'ODBC Data'!$B$1:$J$500,4,0))</f>
        <v/>
      </c>
      <c r="CX192" s="57" t="str">
        <f>IF(ISNA(VLOOKUP(CU192,'ODBC Data'!$B$1:$J$500,5,0)),"",VLOOKUP(CU192,'ODBC Data'!$B$1:$J$500,5,0))</f>
        <v/>
      </c>
      <c r="EI192" s="19" t="str">
        <f>IF('ODBC Data'!$I$21&gt;188,'ODBC Data'!$H$21,"")</f>
        <v/>
      </c>
      <c r="EJ192" s="19" t="str">
        <f>IF('ODBC Data'!$I$21&gt;188,189,"")</f>
        <v/>
      </c>
      <c r="EK192" s="17" t="str">
        <f t="shared" si="32"/>
        <v/>
      </c>
      <c r="EL192" s="57" t="str">
        <f>IF(ISNA(VLOOKUP(EK192,'ODBC Data'!$B$1:$J$500,3,0)),"",VLOOKUP(EK192,'ODBC Data'!$B$1:$J$500,3,0))</f>
        <v/>
      </c>
      <c r="EM192" s="57" t="str">
        <f>IF(ISNA(VLOOKUP(EK192,'ODBC Data'!$B$1:$J$500,4,0)),"",VLOOKUP(EK192,'ODBC Data'!$B$1:$J$500,4,0))</f>
        <v/>
      </c>
      <c r="EN192" s="57" t="str">
        <f>IF(ISNA(VLOOKUP(EK192,'ODBC Data'!$B$1:$J$500,5,0)),"",VLOOKUP(EK192,'ODBC Data'!$B$1:$J$500,5,0))</f>
        <v/>
      </c>
    </row>
    <row r="193" spans="97:144">
      <c r="CS193" s="19" t="str">
        <f>IF('ODBC Data'!$I$15&gt;189,'ODBC Data'!$H$15,"")</f>
        <v/>
      </c>
      <c r="CT193" s="19" t="str">
        <f>IF('ODBC Data'!$I$15&gt;189,190,"")</f>
        <v/>
      </c>
      <c r="CU193" s="17" t="str">
        <f t="shared" si="31"/>
        <v/>
      </c>
      <c r="CV193" s="57" t="str">
        <f>IF(ISNA(VLOOKUP(CU193,'ODBC Data'!$B$1:$J$500,3,0)),"",VLOOKUP(CU193,'ODBC Data'!$B$1:$J$500,3,0))</f>
        <v/>
      </c>
      <c r="CW193" s="57" t="str">
        <f>IF(ISNA(VLOOKUP(CU193,'ODBC Data'!$B$1:$J$500,4,0)),"",VLOOKUP(CU193,'ODBC Data'!$B$1:$J$500,4,0))</f>
        <v/>
      </c>
      <c r="CX193" s="57" t="str">
        <f>IF(ISNA(VLOOKUP(CU193,'ODBC Data'!$B$1:$J$500,5,0)),"",VLOOKUP(CU193,'ODBC Data'!$B$1:$J$500,5,0))</f>
        <v/>
      </c>
      <c r="EI193" s="19" t="str">
        <f>IF('ODBC Data'!$I$21&gt;189,'ODBC Data'!$H$21,"")</f>
        <v/>
      </c>
      <c r="EJ193" s="19" t="str">
        <f>IF('ODBC Data'!$I$21&gt;189,190,"")</f>
        <v/>
      </c>
      <c r="EK193" s="17" t="str">
        <f t="shared" si="32"/>
        <v/>
      </c>
      <c r="EL193" s="57" t="str">
        <f>IF(ISNA(VLOOKUP(EK193,'ODBC Data'!$B$1:$J$500,3,0)),"",VLOOKUP(EK193,'ODBC Data'!$B$1:$J$500,3,0))</f>
        <v/>
      </c>
      <c r="EM193" s="57" t="str">
        <f>IF(ISNA(VLOOKUP(EK193,'ODBC Data'!$B$1:$J$500,4,0)),"",VLOOKUP(EK193,'ODBC Data'!$B$1:$J$500,4,0))</f>
        <v/>
      </c>
      <c r="EN193" s="57" t="str">
        <f>IF(ISNA(VLOOKUP(EK193,'ODBC Data'!$B$1:$J$500,5,0)),"",VLOOKUP(EK193,'ODBC Data'!$B$1:$J$500,5,0))</f>
        <v/>
      </c>
    </row>
    <row r="194" spans="97:144">
      <c r="CS194" s="19" t="str">
        <f>IF('ODBC Data'!$I$15&gt;190,'ODBC Data'!$H$15,"")</f>
        <v/>
      </c>
      <c r="CT194" s="19" t="str">
        <f>IF('ODBC Data'!$I$15&gt;190,191,"")</f>
        <v/>
      </c>
      <c r="CU194" s="17" t="str">
        <f t="shared" si="31"/>
        <v/>
      </c>
      <c r="CV194" s="57" t="str">
        <f>IF(ISNA(VLOOKUP(CU194,'ODBC Data'!$B$1:$J$500,3,0)),"",VLOOKUP(CU194,'ODBC Data'!$B$1:$J$500,3,0))</f>
        <v/>
      </c>
      <c r="CW194" s="57" t="str">
        <f>IF(ISNA(VLOOKUP(CU194,'ODBC Data'!$B$1:$J$500,4,0)),"",VLOOKUP(CU194,'ODBC Data'!$B$1:$J$500,4,0))</f>
        <v/>
      </c>
      <c r="CX194" s="57" t="str">
        <f>IF(ISNA(VLOOKUP(CU194,'ODBC Data'!$B$1:$J$500,5,0)),"",VLOOKUP(CU194,'ODBC Data'!$B$1:$J$500,5,0))</f>
        <v/>
      </c>
      <c r="EI194" s="19" t="str">
        <f>IF('ODBC Data'!$I$21&gt;190,'ODBC Data'!$H$21,"")</f>
        <v/>
      </c>
      <c r="EJ194" s="19" t="str">
        <f>IF('ODBC Data'!$I$21&gt;190,191,"")</f>
        <v/>
      </c>
      <c r="EK194" s="17" t="str">
        <f t="shared" si="32"/>
        <v/>
      </c>
      <c r="EL194" s="57" t="str">
        <f>IF(ISNA(VLOOKUP(EK194,'ODBC Data'!$B$1:$J$500,3,0)),"",VLOOKUP(EK194,'ODBC Data'!$B$1:$J$500,3,0))</f>
        <v/>
      </c>
      <c r="EM194" s="57" t="str">
        <f>IF(ISNA(VLOOKUP(EK194,'ODBC Data'!$B$1:$J$500,4,0)),"",VLOOKUP(EK194,'ODBC Data'!$B$1:$J$500,4,0))</f>
        <v/>
      </c>
      <c r="EN194" s="57" t="str">
        <f>IF(ISNA(VLOOKUP(EK194,'ODBC Data'!$B$1:$J$500,5,0)),"",VLOOKUP(EK194,'ODBC Data'!$B$1:$J$500,5,0))</f>
        <v/>
      </c>
    </row>
    <row r="195" spans="97:144">
      <c r="CS195" s="19" t="str">
        <f>IF('ODBC Data'!$I$15&gt;191,'ODBC Data'!$H$15,"")</f>
        <v/>
      </c>
      <c r="CT195" s="19" t="str">
        <f>IF('ODBC Data'!$I$15&gt;191,192,"")</f>
        <v/>
      </c>
      <c r="CU195" s="17" t="str">
        <f t="shared" si="31"/>
        <v/>
      </c>
      <c r="CV195" s="57" t="str">
        <f>IF(ISNA(VLOOKUP(CU195,'ODBC Data'!$B$1:$J$500,3,0)),"",VLOOKUP(CU195,'ODBC Data'!$B$1:$J$500,3,0))</f>
        <v/>
      </c>
      <c r="CW195" s="57" t="str">
        <f>IF(ISNA(VLOOKUP(CU195,'ODBC Data'!$B$1:$J$500,4,0)),"",VLOOKUP(CU195,'ODBC Data'!$B$1:$J$500,4,0))</f>
        <v/>
      </c>
      <c r="CX195" s="57" t="str">
        <f>IF(ISNA(VLOOKUP(CU195,'ODBC Data'!$B$1:$J$500,5,0)),"",VLOOKUP(CU195,'ODBC Data'!$B$1:$J$500,5,0))</f>
        <v/>
      </c>
      <c r="EI195" s="19" t="str">
        <f>IF('ODBC Data'!$I$21&gt;191,'ODBC Data'!$H$21,"")</f>
        <v/>
      </c>
      <c r="EJ195" s="19" t="str">
        <f>IF('ODBC Data'!$I$21&gt;191,192,"")</f>
        <v/>
      </c>
      <c r="EK195" s="17" t="str">
        <f t="shared" si="32"/>
        <v/>
      </c>
      <c r="EL195" s="57" t="str">
        <f>IF(ISNA(VLOOKUP(EK195,'ODBC Data'!$B$1:$J$500,3,0)),"",VLOOKUP(EK195,'ODBC Data'!$B$1:$J$500,3,0))</f>
        <v/>
      </c>
      <c r="EM195" s="57" t="str">
        <f>IF(ISNA(VLOOKUP(EK195,'ODBC Data'!$B$1:$J$500,4,0)),"",VLOOKUP(EK195,'ODBC Data'!$B$1:$J$500,4,0))</f>
        <v/>
      </c>
      <c r="EN195" s="57" t="str">
        <f>IF(ISNA(VLOOKUP(EK195,'ODBC Data'!$B$1:$J$500,5,0)),"",VLOOKUP(EK195,'ODBC Data'!$B$1:$J$500,5,0))</f>
        <v/>
      </c>
    </row>
    <row r="196" spans="97:144">
      <c r="CS196" s="19" t="str">
        <f>IF('ODBC Data'!$I$15&gt;192,'ODBC Data'!$H$15,"")</f>
        <v/>
      </c>
      <c r="CT196" s="19" t="str">
        <f>IF('ODBC Data'!$I$15&gt;192,193,"")</f>
        <v/>
      </c>
      <c r="CU196" s="17" t="str">
        <f t="shared" ref="CU196:CU254" si="33">CONCATENATE(CS196,CT196)</f>
        <v/>
      </c>
      <c r="CV196" s="57" t="str">
        <f>IF(ISNA(VLOOKUP(CU196,'ODBC Data'!$B$1:$J$500,3,0)),"",VLOOKUP(CU196,'ODBC Data'!$B$1:$J$500,3,0))</f>
        <v/>
      </c>
      <c r="CW196" s="57" t="str">
        <f>IF(ISNA(VLOOKUP(CU196,'ODBC Data'!$B$1:$J$500,4,0)),"",VLOOKUP(CU196,'ODBC Data'!$B$1:$J$500,4,0))</f>
        <v/>
      </c>
      <c r="CX196" s="57" t="str">
        <f>IF(ISNA(VLOOKUP(CU196,'ODBC Data'!$B$1:$J$500,5,0)),"",VLOOKUP(CU196,'ODBC Data'!$B$1:$J$500,5,0))</f>
        <v/>
      </c>
      <c r="EI196" s="19" t="str">
        <f>IF('ODBC Data'!$I$21&gt;192,'ODBC Data'!$H$21,"")</f>
        <v/>
      </c>
      <c r="EJ196" s="19" t="str">
        <f>IF('ODBC Data'!$I$21&gt;192,193,"")</f>
        <v/>
      </c>
      <c r="EK196" s="17" t="str">
        <f t="shared" ref="EK196:EK254" si="34">CONCATENATE(EI196,EJ196)</f>
        <v/>
      </c>
      <c r="EL196" s="57" t="str">
        <f>IF(ISNA(VLOOKUP(EK196,'ODBC Data'!$B$1:$J$500,3,0)),"",VLOOKUP(EK196,'ODBC Data'!$B$1:$J$500,3,0))</f>
        <v/>
      </c>
      <c r="EM196" s="57" t="str">
        <f>IF(ISNA(VLOOKUP(EK196,'ODBC Data'!$B$1:$J$500,4,0)),"",VLOOKUP(EK196,'ODBC Data'!$B$1:$J$500,4,0))</f>
        <v/>
      </c>
      <c r="EN196" s="57" t="str">
        <f>IF(ISNA(VLOOKUP(EK196,'ODBC Data'!$B$1:$J$500,5,0)),"",VLOOKUP(EK196,'ODBC Data'!$B$1:$J$500,5,0))</f>
        <v/>
      </c>
    </row>
    <row r="197" spans="97:144">
      <c r="CS197" s="19" t="str">
        <f>IF('ODBC Data'!$I$15&gt;193,'ODBC Data'!$H$15,"")</f>
        <v/>
      </c>
      <c r="CT197" s="19" t="str">
        <f>IF('ODBC Data'!$I$15&gt;193,194,"")</f>
        <v/>
      </c>
      <c r="CU197" s="17" t="str">
        <f t="shared" si="33"/>
        <v/>
      </c>
      <c r="CV197" s="57" t="str">
        <f>IF(ISNA(VLOOKUP(CU197,'ODBC Data'!$B$1:$J$500,3,0)),"",VLOOKUP(CU197,'ODBC Data'!$B$1:$J$500,3,0))</f>
        <v/>
      </c>
      <c r="CW197" s="57" t="str">
        <f>IF(ISNA(VLOOKUP(CU197,'ODBC Data'!$B$1:$J$500,4,0)),"",VLOOKUP(CU197,'ODBC Data'!$B$1:$J$500,4,0))</f>
        <v/>
      </c>
      <c r="CX197" s="57" t="str">
        <f>IF(ISNA(VLOOKUP(CU197,'ODBC Data'!$B$1:$J$500,5,0)),"",VLOOKUP(CU197,'ODBC Data'!$B$1:$J$500,5,0))</f>
        <v/>
      </c>
      <c r="EI197" s="19" t="str">
        <f>IF('ODBC Data'!$I$21&gt;193,'ODBC Data'!$H$21,"")</f>
        <v/>
      </c>
      <c r="EJ197" s="19" t="str">
        <f>IF('ODBC Data'!$I$21&gt;193,194,"")</f>
        <v/>
      </c>
      <c r="EK197" s="17" t="str">
        <f t="shared" si="34"/>
        <v/>
      </c>
      <c r="EL197" s="57" t="str">
        <f>IF(ISNA(VLOOKUP(EK197,'ODBC Data'!$B$1:$J$500,3,0)),"",VLOOKUP(EK197,'ODBC Data'!$B$1:$J$500,3,0))</f>
        <v/>
      </c>
      <c r="EM197" s="57" t="str">
        <f>IF(ISNA(VLOOKUP(EK197,'ODBC Data'!$B$1:$J$500,4,0)),"",VLOOKUP(EK197,'ODBC Data'!$B$1:$J$500,4,0))</f>
        <v/>
      </c>
      <c r="EN197" s="57" t="str">
        <f>IF(ISNA(VLOOKUP(EK197,'ODBC Data'!$B$1:$J$500,5,0)),"",VLOOKUP(EK197,'ODBC Data'!$B$1:$J$500,5,0))</f>
        <v/>
      </c>
    </row>
    <row r="198" spans="97:144">
      <c r="CS198" s="19" t="str">
        <f>IF('ODBC Data'!$I$15&gt;194,'ODBC Data'!$H$15,"")</f>
        <v/>
      </c>
      <c r="CT198" s="19" t="str">
        <f>IF('ODBC Data'!$I$15&gt;194,195,"")</f>
        <v/>
      </c>
      <c r="CU198" s="17" t="str">
        <f t="shared" si="33"/>
        <v/>
      </c>
      <c r="CV198" s="57" t="str">
        <f>IF(ISNA(VLOOKUP(CU198,'ODBC Data'!$B$1:$J$500,3,0)),"",VLOOKUP(CU198,'ODBC Data'!$B$1:$J$500,3,0))</f>
        <v/>
      </c>
      <c r="CW198" s="57" t="str">
        <f>IF(ISNA(VLOOKUP(CU198,'ODBC Data'!$B$1:$J$500,4,0)),"",VLOOKUP(CU198,'ODBC Data'!$B$1:$J$500,4,0))</f>
        <v/>
      </c>
      <c r="CX198" s="57" t="str">
        <f>IF(ISNA(VLOOKUP(CU198,'ODBC Data'!$B$1:$J$500,5,0)),"",VLOOKUP(CU198,'ODBC Data'!$B$1:$J$500,5,0))</f>
        <v/>
      </c>
      <c r="EI198" s="19" t="str">
        <f>IF('ODBC Data'!$I$21&gt;194,'ODBC Data'!$H$21,"")</f>
        <v/>
      </c>
      <c r="EJ198" s="19" t="str">
        <f>IF('ODBC Data'!$I$21&gt;194,195,"")</f>
        <v/>
      </c>
      <c r="EK198" s="17" t="str">
        <f t="shared" si="34"/>
        <v/>
      </c>
      <c r="EL198" s="57" t="str">
        <f>IF(ISNA(VLOOKUP(EK198,'ODBC Data'!$B$1:$J$500,3,0)),"",VLOOKUP(EK198,'ODBC Data'!$B$1:$J$500,3,0))</f>
        <v/>
      </c>
      <c r="EM198" s="57" t="str">
        <f>IF(ISNA(VLOOKUP(EK198,'ODBC Data'!$B$1:$J$500,4,0)),"",VLOOKUP(EK198,'ODBC Data'!$B$1:$J$500,4,0))</f>
        <v/>
      </c>
      <c r="EN198" s="57" t="str">
        <f>IF(ISNA(VLOOKUP(EK198,'ODBC Data'!$B$1:$J$500,5,0)),"",VLOOKUP(EK198,'ODBC Data'!$B$1:$J$500,5,0))</f>
        <v/>
      </c>
    </row>
    <row r="199" spans="97:144">
      <c r="CS199" s="19" t="str">
        <f>IF('ODBC Data'!$I$15&gt;195,'ODBC Data'!$H$15,"")</f>
        <v/>
      </c>
      <c r="CT199" s="19" t="str">
        <f>IF('ODBC Data'!$I$15&gt;195,196,"")</f>
        <v/>
      </c>
      <c r="CU199" s="17" t="str">
        <f t="shared" si="33"/>
        <v/>
      </c>
      <c r="CV199" s="57" t="str">
        <f>IF(ISNA(VLOOKUP(CU199,'ODBC Data'!$B$1:$J$500,3,0)),"",VLOOKUP(CU199,'ODBC Data'!$B$1:$J$500,3,0))</f>
        <v/>
      </c>
      <c r="CW199" s="57" t="str">
        <f>IF(ISNA(VLOOKUP(CU199,'ODBC Data'!$B$1:$J$500,4,0)),"",VLOOKUP(CU199,'ODBC Data'!$B$1:$J$500,4,0))</f>
        <v/>
      </c>
      <c r="CX199" s="57" t="str">
        <f>IF(ISNA(VLOOKUP(CU199,'ODBC Data'!$B$1:$J$500,5,0)),"",VLOOKUP(CU199,'ODBC Data'!$B$1:$J$500,5,0))</f>
        <v/>
      </c>
      <c r="EI199" s="19" t="str">
        <f>IF('ODBC Data'!$I$21&gt;195,'ODBC Data'!$H$21,"")</f>
        <v/>
      </c>
      <c r="EJ199" s="19" t="str">
        <f>IF('ODBC Data'!$I$21&gt;195,196,"")</f>
        <v/>
      </c>
      <c r="EK199" s="17" t="str">
        <f t="shared" si="34"/>
        <v/>
      </c>
      <c r="EL199" s="57" t="str">
        <f>IF(ISNA(VLOOKUP(EK199,'ODBC Data'!$B$1:$J$500,3,0)),"",VLOOKUP(EK199,'ODBC Data'!$B$1:$J$500,3,0))</f>
        <v/>
      </c>
      <c r="EM199" s="57" t="str">
        <f>IF(ISNA(VLOOKUP(EK199,'ODBC Data'!$B$1:$J$500,4,0)),"",VLOOKUP(EK199,'ODBC Data'!$B$1:$J$500,4,0))</f>
        <v/>
      </c>
      <c r="EN199" s="57" t="str">
        <f>IF(ISNA(VLOOKUP(EK199,'ODBC Data'!$B$1:$J$500,5,0)),"",VLOOKUP(EK199,'ODBC Data'!$B$1:$J$500,5,0))</f>
        <v/>
      </c>
    </row>
    <row r="200" spans="97:144">
      <c r="CS200" s="19" t="str">
        <f>IF('ODBC Data'!$I$15&gt;196,'ODBC Data'!$H$15,"")</f>
        <v/>
      </c>
      <c r="CT200" s="19" t="str">
        <f>IF('ODBC Data'!$I$15&gt;196,197,"")</f>
        <v/>
      </c>
      <c r="CU200" s="17" t="str">
        <f t="shared" si="33"/>
        <v/>
      </c>
      <c r="CV200" s="57" t="str">
        <f>IF(ISNA(VLOOKUP(CU200,'ODBC Data'!$B$1:$J$500,3,0)),"",VLOOKUP(CU200,'ODBC Data'!$B$1:$J$500,3,0))</f>
        <v/>
      </c>
      <c r="CW200" s="57" t="str">
        <f>IF(ISNA(VLOOKUP(CU200,'ODBC Data'!$B$1:$J$500,4,0)),"",VLOOKUP(CU200,'ODBC Data'!$B$1:$J$500,4,0))</f>
        <v/>
      </c>
      <c r="CX200" s="57" t="str">
        <f>IF(ISNA(VLOOKUP(CU200,'ODBC Data'!$B$1:$J$500,5,0)),"",VLOOKUP(CU200,'ODBC Data'!$B$1:$J$500,5,0))</f>
        <v/>
      </c>
      <c r="EI200" s="19" t="str">
        <f>IF('ODBC Data'!$I$21&gt;196,'ODBC Data'!$H$21,"")</f>
        <v/>
      </c>
      <c r="EJ200" s="19" t="str">
        <f>IF('ODBC Data'!$I$21&gt;196,197,"")</f>
        <v/>
      </c>
      <c r="EK200" s="17" t="str">
        <f t="shared" si="34"/>
        <v/>
      </c>
      <c r="EL200" s="57" t="str">
        <f>IF(ISNA(VLOOKUP(EK200,'ODBC Data'!$B$1:$J$500,3,0)),"",VLOOKUP(EK200,'ODBC Data'!$B$1:$J$500,3,0))</f>
        <v/>
      </c>
      <c r="EM200" s="57" t="str">
        <f>IF(ISNA(VLOOKUP(EK200,'ODBC Data'!$B$1:$J$500,4,0)),"",VLOOKUP(EK200,'ODBC Data'!$B$1:$J$500,4,0))</f>
        <v/>
      </c>
      <c r="EN200" s="57" t="str">
        <f>IF(ISNA(VLOOKUP(EK200,'ODBC Data'!$B$1:$J$500,5,0)),"",VLOOKUP(EK200,'ODBC Data'!$B$1:$J$500,5,0))</f>
        <v/>
      </c>
    </row>
    <row r="201" spans="97:144">
      <c r="CS201" s="19" t="str">
        <f>IF('ODBC Data'!$I$15&gt;197,'ODBC Data'!$H$15,"")</f>
        <v/>
      </c>
      <c r="CT201" s="19" t="str">
        <f>IF('ODBC Data'!$I$15&gt;197,198,"")</f>
        <v/>
      </c>
      <c r="CU201" s="17" t="str">
        <f t="shared" si="33"/>
        <v/>
      </c>
      <c r="CV201" s="57" t="str">
        <f>IF(ISNA(VLOOKUP(CU201,'ODBC Data'!$B$1:$J$500,3,0)),"",VLOOKUP(CU201,'ODBC Data'!$B$1:$J$500,3,0))</f>
        <v/>
      </c>
      <c r="CW201" s="57" t="str">
        <f>IF(ISNA(VLOOKUP(CU201,'ODBC Data'!$B$1:$J$500,4,0)),"",VLOOKUP(CU201,'ODBC Data'!$B$1:$J$500,4,0))</f>
        <v/>
      </c>
      <c r="CX201" s="57" t="str">
        <f>IF(ISNA(VLOOKUP(CU201,'ODBC Data'!$B$1:$J$500,5,0)),"",VLOOKUP(CU201,'ODBC Data'!$B$1:$J$500,5,0))</f>
        <v/>
      </c>
      <c r="EI201" s="19" t="str">
        <f>IF('ODBC Data'!$I$21&gt;197,'ODBC Data'!$H$21,"")</f>
        <v/>
      </c>
      <c r="EJ201" s="19" t="str">
        <f>IF('ODBC Data'!$I$21&gt;197,198,"")</f>
        <v/>
      </c>
      <c r="EK201" s="17" t="str">
        <f t="shared" si="34"/>
        <v/>
      </c>
      <c r="EL201" s="57" t="str">
        <f>IF(ISNA(VLOOKUP(EK201,'ODBC Data'!$B$1:$J$500,3,0)),"",VLOOKUP(EK201,'ODBC Data'!$B$1:$J$500,3,0))</f>
        <v/>
      </c>
      <c r="EM201" s="57" t="str">
        <f>IF(ISNA(VLOOKUP(EK201,'ODBC Data'!$B$1:$J$500,4,0)),"",VLOOKUP(EK201,'ODBC Data'!$B$1:$J$500,4,0))</f>
        <v/>
      </c>
      <c r="EN201" s="57" t="str">
        <f>IF(ISNA(VLOOKUP(EK201,'ODBC Data'!$B$1:$J$500,5,0)),"",VLOOKUP(EK201,'ODBC Data'!$B$1:$J$500,5,0))</f>
        <v/>
      </c>
    </row>
    <row r="202" spans="97:144">
      <c r="CS202" s="19" t="str">
        <f>IF('ODBC Data'!$I$15&gt;198,'ODBC Data'!$H$15,"")</f>
        <v/>
      </c>
      <c r="CT202" s="19" t="str">
        <f>IF('ODBC Data'!$I$15&gt;198,199,"")</f>
        <v/>
      </c>
      <c r="CU202" s="17" t="str">
        <f t="shared" si="33"/>
        <v/>
      </c>
      <c r="CV202" s="57" t="str">
        <f>IF(ISNA(VLOOKUP(CU202,'ODBC Data'!$B$1:$J$500,3,0)),"",VLOOKUP(CU202,'ODBC Data'!$B$1:$J$500,3,0))</f>
        <v/>
      </c>
      <c r="CW202" s="57" t="str">
        <f>IF(ISNA(VLOOKUP(CU202,'ODBC Data'!$B$1:$J$500,4,0)),"",VLOOKUP(CU202,'ODBC Data'!$B$1:$J$500,4,0))</f>
        <v/>
      </c>
      <c r="CX202" s="57" t="str">
        <f>IF(ISNA(VLOOKUP(CU202,'ODBC Data'!$B$1:$J$500,5,0)),"",VLOOKUP(CU202,'ODBC Data'!$B$1:$J$500,5,0))</f>
        <v/>
      </c>
      <c r="EI202" s="19" t="str">
        <f>IF('ODBC Data'!$I$21&gt;198,'ODBC Data'!$H$21,"")</f>
        <v/>
      </c>
      <c r="EJ202" s="19" t="str">
        <f>IF('ODBC Data'!$I$21&gt;198,199,"")</f>
        <v/>
      </c>
      <c r="EK202" s="17" t="str">
        <f t="shared" si="34"/>
        <v/>
      </c>
      <c r="EL202" s="57" t="str">
        <f>IF(ISNA(VLOOKUP(EK202,'ODBC Data'!$B$1:$J$500,3,0)),"",VLOOKUP(EK202,'ODBC Data'!$B$1:$J$500,3,0))</f>
        <v/>
      </c>
      <c r="EM202" s="57" t="str">
        <f>IF(ISNA(VLOOKUP(EK202,'ODBC Data'!$B$1:$J$500,4,0)),"",VLOOKUP(EK202,'ODBC Data'!$B$1:$J$500,4,0))</f>
        <v/>
      </c>
      <c r="EN202" s="57" t="str">
        <f>IF(ISNA(VLOOKUP(EK202,'ODBC Data'!$B$1:$J$500,5,0)),"",VLOOKUP(EK202,'ODBC Data'!$B$1:$J$500,5,0))</f>
        <v/>
      </c>
    </row>
    <row r="203" spans="97:144">
      <c r="CS203" s="19" t="str">
        <f>IF('ODBC Data'!$I$15&gt;199,'ODBC Data'!$H$15,"")</f>
        <v/>
      </c>
      <c r="CT203" s="19" t="str">
        <f>IF('ODBC Data'!$I$15&gt;199,200,"")</f>
        <v/>
      </c>
      <c r="CU203" s="17" t="str">
        <f t="shared" si="33"/>
        <v/>
      </c>
      <c r="CV203" s="57" t="str">
        <f>IF(ISNA(VLOOKUP(CU203,'ODBC Data'!$B$1:$J$500,3,0)),"",VLOOKUP(CU203,'ODBC Data'!$B$1:$J$500,3,0))</f>
        <v/>
      </c>
      <c r="CW203" s="57" t="str">
        <f>IF(ISNA(VLOOKUP(CU203,'ODBC Data'!$B$1:$J$500,4,0)),"",VLOOKUP(CU203,'ODBC Data'!$B$1:$J$500,4,0))</f>
        <v/>
      </c>
      <c r="CX203" s="57" t="str">
        <f>IF(ISNA(VLOOKUP(CU203,'ODBC Data'!$B$1:$J$500,5,0)),"",VLOOKUP(CU203,'ODBC Data'!$B$1:$J$500,5,0))</f>
        <v/>
      </c>
      <c r="EI203" s="19" t="str">
        <f>IF('ODBC Data'!$I$21&gt;199,'ODBC Data'!$H$21,"")</f>
        <v/>
      </c>
      <c r="EJ203" s="19" t="str">
        <f>IF('ODBC Data'!$I$21&gt;199,200,"")</f>
        <v/>
      </c>
      <c r="EK203" s="17" t="str">
        <f t="shared" si="34"/>
        <v/>
      </c>
      <c r="EL203" s="57" t="str">
        <f>IF(ISNA(VLOOKUP(EK203,'ODBC Data'!$B$1:$J$500,3,0)),"",VLOOKUP(EK203,'ODBC Data'!$B$1:$J$500,3,0))</f>
        <v/>
      </c>
      <c r="EM203" s="57" t="str">
        <f>IF(ISNA(VLOOKUP(EK203,'ODBC Data'!$B$1:$J$500,4,0)),"",VLOOKUP(EK203,'ODBC Data'!$B$1:$J$500,4,0))</f>
        <v/>
      </c>
      <c r="EN203" s="57" t="str">
        <f>IF(ISNA(VLOOKUP(EK203,'ODBC Data'!$B$1:$J$500,5,0)),"",VLOOKUP(EK203,'ODBC Data'!$B$1:$J$500,5,0))</f>
        <v/>
      </c>
    </row>
    <row r="204" spans="97:144">
      <c r="CS204" s="19" t="str">
        <f>IF('ODBC Data'!$I$15&gt;200,'ODBC Data'!$H$15,"")</f>
        <v/>
      </c>
      <c r="CT204" s="19" t="str">
        <f>IF('ODBC Data'!$I$15&gt;200,201,"")</f>
        <v/>
      </c>
      <c r="CU204" s="17" t="str">
        <f t="shared" si="33"/>
        <v/>
      </c>
      <c r="CV204" s="57" t="str">
        <f>IF(ISNA(VLOOKUP(CU204,'ODBC Data'!$B$1:$J$500,3,0)),"",VLOOKUP(CU204,'ODBC Data'!$B$1:$J$500,3,0))</f>
        <v/>
      </c>
      <c r="CW204" s="57" t="str">
        <f>IF(ISNA(VLOOKUP(CU204,'ODBC Data'!$B$1:$J$500,4,0)),"",VLOOKUP(CU204,'ODBC Data'!$B$1:$J$500,4,0))</f>
        <v/>
      </c>
      <c r="CX204" s="57" t="str">
        <f>IF(ISNA(VLOOKUP(CU204,'ODBC Data'!$B$1:$J$500,5,0)),"",VLOOKUP(CU204,'ODBC Data'!$B$1:$J$500,5,0))</f>
        <v/>
      </c>
      <c r="EI204" s="19" t="str">
        <f>IF('ODBC Data'!$I$21&gt;200,'ODBC Data'!$H$21,"")</f>
        <v/>
      </c>
      <c r="EJ204" s="19" t="str">
        <f>IF('ODBC Data'!$I$21&gt;200,201,"")</f>
        <v/>
      </c>
      <c r="EK204" s="17" t="str">
        <f t="shared" si="34"/>
        <v/>
      </c>
      <c r="EL204" s="57" t="str">
        <f>IF(ISNA(VLOOKUP(EK204,'ODBC Data'!$B$1:$J$500,3,0)),"",VLOOKUP(EK204,'ODBC Data'!$B$1:$J$500,3,0))</f>
        <v/>
      </c>
      <c r="EM204" s="57" t="str">
        <f>IF(ISNA(VLOOKUP(EK204,'ODBC Data'!$B$1:$J$500,4,0)),"",VLOOKUP(EK204,'ODBC Data'!$B$1:$J$500,4,0))</f>
        <v/>
      </c>
      <c r="EN204" s="57" t="str">
        <f>IF(ISNA(VLOOKUP(EK204,'ODBC Data'!$B$1:$J$500,5,0)),"",VLOOKUP(EK204,'ODBC Data'!$B$1:$J$500,5,0))</f>
        <v/>
      </c>
    </row>
    <row r="205" spans="97:144">
      <c r="CS205" s="19" t="str">
        <f>IF('ODBC Data'!$I$15&gt;201,'ODBC Data'!$H$15,"")</f>
        <v/>
      </c>
      <c r="CT205" s="19" t="str">
        <f>IF('ODBC Data'!$I$15&gt;201,202,"")</f>
        <v/>
      </c>
      <c r="CU205" s="17" t="str">
        <f t="shared" si="33"/>
        <v/>
      </c>
      <c r="CV205" s="57" t="str">
        <f>IF(ISNA(VLOOKUP(CU205,'ODBC Data'!$B$1:$J$500,3,0)),"",VLOOKUP(CU205,'ODBC Data'!$B$1:$J$500,3,0))</f>
        <v/>
      </c>
      <c r="CW205" s="57" t="str">
        <f>IF(ISNA(VLOOKUP(CU205,'ODBC Data'!$B$1:$J$500,4,0)),"",VLOOKUP(CU205,'ODBC Data'!$B$1:$J$500,4,0))</f>
        <v/>
      </c>
      <c r="CX205" s="57" t="str">
        <f>IF(ISNA(VLOOKUP(CU205,'ODBC Data'!$B$1:$J$500,5,0)),"",VLOOKUP(CU205,'ODBC Data'!$B$1:$J$500,5,0))</f>
        <v/>
      </c>
      <c r="EI205" s="19" t="str">
        <f>IF('ODBC Data'!$I$21&gt;201,'ODBC Data'!$H$21,"")</f>
        <v/>
      </c>
      <c r="EJ205" s="19" t="str">
        <f>IF('ODBC Data'!$I$21&gt;201,202,"")</f>
        <v/>
      </c>
      <c r="EK205" s="17" t="str">
        <f t="shared" si="34"/>
        <v/>
      </c>
      <c r="EL205" s="57" t="str">
        <f>IF(ISNA(VLOOKUP(EK205,'ODBC Data'!$B$1:$J$500,3,0)),"",VLOOKUP(EK205,'ODBC Data'!$B$1:$J$500,3,0))</f>
        <v/>
      </c>
      <c r="EM205" s="57" t="str">
        <f>IF(ISNA(VLOOKUP(EK205,'ODBC Data'!$B$1:$J$500,4,0)),"",VLOOKUP(EK205,'ODBC Data'!$B$1:$J$500,4,0))</f>
        <v/>
      </c>
      <c r="EN205" s="57" t="str">
        <f>IF(ISNA(VLOOKUP(EK205,'ODBC Data'!$B$1:$J$500,5,0)),"",VLOOKUP(EK205,'ODBC Data'!$B$1:$J$500,5,0))</f>
        <v/>
      </c>
    </row>
    <row r="206" spans="97:144">
      <c r="CS206" s="19" t="str">
        <f>IF('ODBC Data'!$I$15&gt;202,'ODBC Data'!$H$15,"")</f>
        <v/>
      </c>
      <c r="CT206" s="19" t="str">
        <f>IF('ODBC Data'!$I$15&gt;202,203,"")</f>
        <v/>
      </c>
      <c r="CU206" s="17" t="str">
        <f t="shared" si="33"/>
        <v/>
      </c>
      <c r="CV206" s="57" t="str">
        <f>IF(ISNA(VLOOKUP(CU206,'ODBC Data'!$B$1:$J$500,3,0)),"",VLOOKUP(CU206,'ODBC Data'!$B$1:$J$500,3,0))</f>
        <v/>
      </c>
      <c r="CW206" s="57" t="str">
        <f>IF(ISNA(VLOOKUP(CU206,'ODBC Data'!$B$1:$J$500,4,0)),"",VLOOKUP(CU206,'ODBC Data'!$B$1:$J$500,4,0))</f>
        <v/>
      </c>
      <c r="CX206" s="57" t="str">
        <f>IF(ISNA(VLOOKUP(CU206,'ODBC Data'!$B$1:$J$500,5,0)),"",VLOOKUP(CU206,'ODBC Data'!$B$1:$J$500,5,0))</f>
        <v/>
      </c>
      <c r="EI206" s="19" t="str">
        <f>IF('ODBC Data'!$I$21&gt;202,'ODBC Data'!$H$21,"")</f>
        <v/>
      </c>
      <c r="EJ206" s="19" t="str">
        <f>IF('ODBC Data'!$I$21&gt;202,203,"")</f>
        <v/>
      </c>
      <c r="EK206" s="17" t="str">
        <f t="shared" si="34"/>
        <v/>
      </c>
      <c r="EL206" s="57" t="str">
        <f>IF(ISNA(VLOOKUP(EK206,'ODBC Data'!$B$1:$J$500,3,0)),"",VLOOKUP(EK206,'ODBC Data'!$B$1:$J$500,3,0))</f>
        <v/>
      </c>
      <c r="EM206" s="57" t="str">
        <f>IF(ISNA(VLOOKUP(EK206,'ODBC Data'!$B$1:$J$500,4,0)),"",VLOOKUP(EK206,'ODBC Data'!$B$1:$J$500,4,0))</f>
        <v/>
      </c>
      <c r="EN206" s="57" t="str">
        <f>IF(ISNA(VLOOKUP(EK206,'ODBC Data'!$B$1:$J$500,5,0)),"",VLOOKUP(EK206,'ODBC Data'!$B$1:$J$500,5,0))</f>
        <v/>
      </c>
    </row>
    <row r="207" spans="97:144">
      <c r="CS207" s="19" t="str">
        <f>IF('ODBC Data'!$I$15&gt;203,'ODBC Data'!$H$15,"")</f>
        <v/>
      </c>
      <c r="CT207" s="19" t="str">
        <f>IF('ODBC Data'!$I$15&gt;203,204,"")</f>
        <v/>
      </c>
      <c r="CU207" s="17" t="str">
        <f t="shared" si="33"/>
        <v/>
      </c>
      <c r="CV207" s="57" t="str">
        <f>IF(ISNA(VLOOKUP(CU207,'ODBC Data'!$B$1:$J$500,3,0)),"",VLOOKUP(CU207,'ODBC Data'!$B$1:$J$500,3,0))</f>
        <v/>
      </c>
      <c r="CW207" s="57" t="str">
        <f>IF(ISNA(VLOOKUP(CU207,'ODBC Data'!$B$1:$J$500,4,0)),"",VLOOKUP(CU207,'ODBC Data'!$B$1:$J$500,4,0))</f>
        <v/>
      </c>
      <c r="CX207" s="57" t="str">
        <f>IF(ISNA(VLOOKUP(CU207,'ODBC Data'!$B$1:$J$500,5,0)),"",VLOOKUP(CU207,'ODBC Data'!$B$1:$J$500,5,0))</f>
        <v/>
      </c>
      <c r="EI207" s="19" t="str">
        <f>IF('ODBC Data'!$I$21&gt;203,'ODBC Data'!$H$21,"")</f>
        <v/>
      </c>
      <c r="EJ207" s="19" t="str">
        <f>IF('ODBC Data'!$I$21&gt;203,204,"")</f>
        <v/>
      </c>
      <c r="EK207" s="17" t="str">
        <f t="shared" si="34"/>
        <v/>
      </c>
      <c r="EL207" s="57" t="str">
        <f>IF(ISNA(VLOOKUP(EK207,'ODBC Data'!$B$1:$J$500,3,0)),"",VLOOKUP(EK207,'ODBC Data'!$B$1:$J$500,3,0))</f>
        <v/>
      </c>
      <c r="EM207" s="57" t="str">
        <f>IF(ISNA(VLOOKUP(EK207,'ODBC Data'!$B$1:$J$500,4,0)),"",VLOOKUP(EK207,'ODBC Data'!$B$1:$J$500,4,0))</f>
        <v/>
      </c>
      <c r="EN207" s="57" t="str">
        <f>IF(ISNA(VLOOKUP(EK207,'ODBC Data'!$B$1:$J$500,5,0)),"",VLOOKUP(EK207,'ODBC Data'!$B$1:$J$500,5,0))</f>
        <v/>
      </c>
    </row>
    <row r="208" spans="97:144">
      <c r="CS208" s="19" t="str">
        <f>IF('ODBC Data'!$I$15&gt;204,'ODBC Data'!$H$15,"")</f>
        <v/>
      </c>
      <c r="CT208" s="19" t="str">
        <f>IF('ODBC Data'!$I$15&gt;204,205,"")</f>
        <v/>
      </c>
      <c r="CU208" s="17" t="str">
        <f t="shared" si="33"/>
        <v/>
      </c>
      <c r="CV208" s="57" t="str">
        <f>IF(ISNA(VLOOKUP(CU208,'ODBC Data'!$B$1:$J$500,3,0)),"",VLOOKUP(CU208,'ODBC Data'!$B$1:$J$500,3,0))</f>
        <v/>
      </c>
      <c r="CW208" s="57" t="str">
        <f>IF(ISNA(VLOOKUP(CU208,'ODBC Data'!$B$1:$J$500,4,0)),"",VLOOKUP(CU208,'ODBC Data'!$B$1:$J$500,4,0))</f>
        <v/>
      </c>
      <c r="CX208" s="57" t="str">
        <f>IF(ISNA(VLOOKUP(CU208,'ODBC Data'!$B$1:$J$500,5,0)),"",VLOOKUP(CU208,'ODBC Data'!$B$1:$J$500,5,0))</f>
        <v/>
      </c>
      <c r="EI208" s="19" t="str">
        <f>IF('ODBC Data'!$I$21&gt;204,'ODBC Data'!$H$21,"")</f>
        <v/>
      </c>
      <c r="EJ208" s="19" t="str">
        <f>IF('ODBC Data'!$I$21&gt;204,205,"")</f>
        <v/>
      </c>
      <c r="EK208" s="17" t="str">
        <f t="shared" si="34"/>
        <v/>
      </c>
      <c r="EL208" s="57" t="str">
        <f>IF(ISNA(VLOOKUP(EK208,'ODBC Data'!$B$1:$J$500,3,0)),"",VLOOKUP(EK208,'ODBC Data'!$B$1:$J$500,3,0))</f>
        <v/>
      </c>
      <c r="EM208" s="57" t="str">
        <f>IF(ISNA(VLOOKUP(EK208,'ODBC Data'!$B$1:$J$500,4,0)),"",VLOOKUP(EK208,'ODBC Data'!$B$1:$J$500,4,0))</f>
        <v/>
      </c>
      <c r="EN208" s="57" t="str">
        <f>IF(ISNA(VLOOKUP(EK208,'ODBC Data'!$B$1:$J$500,5,0)),"",VLOOKUP(EK208,'ODBC Data'!$B$1:$J$500,5,0))</f>
        <v/>
      </c>
    </row>
    <row r="209" spans="97:144">
      <c r="CS209" s="19" t="str">
        <f>IF('ODBC Data'!$I$15&gt;205,'ODBC Data'!$H$15,"")</f>
        <v/>
      </c>
      <c r="CT209" s="19" t="str">
        <f>IF('ODBC Data'!$I$15&gt;205,206,"")</f>
        <v/>
      </c>
      <c r="CU209" s="17" t="str">
        <f t="shared" si="33"/>
        <v/>
      </c>
      <c r="CV209" s="57" t="str">
        <f>IF(ISNA(VLOOKUP(CU209,'ODBC Data'!$B$1:$J$500,3,0)),"",VLOOKUP(CU209,'ODBC Data'!$B$1:$J$500,3,0))</f>
        <v/>
      </c>
      <c r="CW209" s="57" t="str">
        <f>IF(ISNA(VLOOKUP(CU209,'ODBC Data'!$B$1:$J$500,4,0)),"",VLOOKUP(CU209,'ODBC Data'!$B$1:$J$500,4,0))</f>
        <v/>
      </c>
      <c r="CX209" s="57" t="str">
        <f>IF(ISNA(VLOOKUP(CU209,'ODBC Data'!$B$1:$J$500,5,0)),"",VLOOKUP(CU209,'ODBC Data'!$B$1:$J$500,5,0))</f>
        <v/>
      </c>
      <c r="EI209" s="19" t="str">
        <f>IF('ODBC Data'!$I$21&gt;205,'ODBC Data'!$H$21,"")</f>
        <v/>
      </c>
      <c r="EJ209" s="19" t="str">
        <f>IF('ODBC Data'!$I$21&gt;205,206,"")</f>
        <v/>
      </c>
      <c r="EK209" s="17" t="str">
        <f t="shared" si="34"/>
        <v/>
      </c>
      <c r="EL209" s="57" t="str">
        <f>IF(ISNA(VLOOKUP(EK209,'ODBC Data'!$B$1:$J$500,3,0)),"",VLOOKUP(EK209,'ODBC Data'!$B$1:$J$500,3,0))</f>
        <v/>
      </c>
      <c r="EM209" s="57" t="str">
        <f>IF(ISNA(VLOOKUP(EK209,'ODBC Data'!$B$1:$J$500,4,0)),"",VLOOKUP(EK209,'ODBC Data'!$B$1:$J$500,4,0))</f>
        <v/>
      </c>
      <c r="EN209" s="57" t="str">
        <f>IF(ISNA(VLOOKUP(EK209,'ODBC Data'!$B$1:$J$500,5,0)),"",VLOOKUP(EK209,'ODBC Data'!$B$1:$J$500,5,0))</f>
        <v/>
      </c>
    </row>
    <row r="210" spans="97:144">
      <c r="CS210" s="19" t="str">
        <f>IF('ODBC Data'!$I$15&gt;206,'ODBC Data'!$H$15,"")</f>
        <v/>
      </c>
      <c r="CT210" s="19" t="str">
        <f>IF('ODBC Data'!$I$15&gt;206,207,"")</f>
        <v/>
      </c>
      <c r="CU210" s="17" t="str">
        <f t="shared" si="33"/>
        <v/>
      </c>
      <c r="CV210" s="57" t="str">
        <f>IF(ISNA(VLOOKUP(CU210,'ODBC Data'!$B$1:$J$500,3,0)),"",VLOOKUP(CU210,'ODBC Data'!$B$1:$J$500,3,0))</f>
        <v/>
      </c>
      <c r="CW210" s="57" t="str">
        <f>IF(ISNA(VLOOKUP(CU210,'ODBC Data'!$B$1:$J$500,4,0)),"",VLOOKUP(CU210,'ODBC Data'!$B$1:$J$500,4,0))</f>
        <v/>
      </c>
      <c r="CX210" s="57" t="str">
        <f>IF(ISNA(VLOOKUP(CU210,'ODBC Data'!$B$1:$J$500,5,0)),"",VLOOKUP(CU210,'ODBC Data'!$B$1:$J$500,5,0))</f>
        <v/>
      </c>
      <c r="EI210" s="19" t="str">
        <f>IF('ODBC Data'!$I$21&gt;206,'ODBC Data'!$H$21,"")</f>
        <v/>
      </c>
      <c r="EJ210" s="19" t="str">
        <f>IF('ODBC Data'!$I$21&gt;206,207,"")</f>
        <v/>
      </c>
      <c r="EK210" s="17" t="str">
        <f t="shared" si="34"/>
        <v/>
      </c>
      <c r="EL210" s="57" t="str">
        <f>IF(ISNA(VLOOKUP(EK210,'ODBC Data'!$B$1:$J$500,3,0)),"",VLOOKUP(EK210,'ODBC Data'!$B$1:$J$500,3,0))</f>
        <v/>
      </c>
      <c r="EM210" s="57" t="str">
        <f>IF(ISNA(VLOOKUP(EK210,'ODBC Data'!$B$1:$J$500,4,0)),"",VLOOKUP(EK210,'ODBC Data'!$B$1:$J$500,4,0))</f>
        <v/>
      </c>
      <c r="EN210" s="57" t="str">
        <f>IF(ISNA(VLOOKUP(EK210,'ODBC Data'!$B$1:$J$500,5,0)),"",VLOOKUP(EK210,'ODBC Data'!$B$1:$J$500,5,0))</f>
        <v/>
      </c>
    </row>
    <row r="211" spans="97:144">
      <c r="CS211" s="19" t="str">
        <f>IF('ODBC Data'!$I$15&gt;207,'ODBC Data'!$H$15,"")</f>
        <v/>
      </c>
      <c r="CT211" s="19" t="str">
        <f>IF('ODBC Data'!$I$15&gt;207,208,"")</f>
        <v/>
      </c>
      <c r="CU211" s="17" t="str">
        <f t="shared" si="33"/>
        <v/>
      </c>
      <c r="CV211" s="57" t="str">
        <f>IF(ISNA(VLOOKUP(CU211,'ODBC Data'!$B$1:$J$500,3,0)),"",VLOOKUP(CU211,'ODBC Data'!$B$1:$J$500,3,0))</f>
        <v/>
      </c>
      <c r="CW211" s="57" t="str">
        <f>IF(ISNA(VLOOKUP(CU211,'ODBC Data'!$B$1:$J$500,4,0)),"",VLOOKUP(CU211,'ODBC Data'!$B$1:$J$500,4,0))</f>
        <v/>
      </c>
      <c r="CX211" s="57" t="str">
        <f>IF(ISNA(VLOOKUP(CU211,'ODBC Data'!$B$1:$J$500,5,0)),"",VLOOKUP(CU211,'ODBC Data'!$B$1:$J$500,5,0))</f>
        <v/>
      </c>
      <c r="EI211" s="19" t="str">
        <f>IF('ODBC Data'!$I$21&gt;207,'ODBC Data'!$H$21,"")</f>
        <v/>
      </c>
      <c r="EJ211" s="19" t="str">
        <f>IF('ODBC Data'!$I$21&gt;207,208,"")</f>
        <v/>
      </c>
      <c r="EK211" s="17" t="str">
        <f t="shared" si="34"/>
        <v/>
      </c>
      <c r="EL211" s="57" t="str">
        <f>IF(ISNA(VLOOKUP(EK211,'ODBC Data'!$B$1:$J$500,3,0)),"",VLOOKUP(EK211,'ODBC Data'!$B$1:$J$500,3,0))</f>
        <v/>
      </c>
      <c r="EM211" s="57" t="str">
        <f>IF(ISNA(VLOOKUP(EK211,'ODBC Data'!$B$1:$J$500,4,0)),"",VLOOKUP(EK211,'ODBC Data'!$B$1:$J$500,4,0))</f>
        <v/>
      </c>
      <c r="EN211" s="57" t="str">
        <f>IF(ISNA(VLOOKUP(EK211,'ODBC Data'!$B$1:$J$500,5,0)),"",VLOOKUP(EK211,'ODBC Data'!$B$1:$J$500,5,0))</f>
        <v/>
      </c>
    </row>
    <row r="212" spans="97:144">
      <c r="CS212" s="19" t="str">
        <f>IF('ODBC Data'!$I$15&gt;208,'ODBC Data'!$H$15,"")</f>
        <v/>
      </c>
      <c r="CT212" s="19" t="str">
        <f>IF('ODBC Data'!$I$15&gt;208,209,"")</f>
        <v/>
      </c>
      <c r="CU212" s="17" t="str">
        <f t="shared" si="33"/>
        <v/>
      </c>
      <c r="CV212" s="57" t="str">
        <f>IF(ISNA(VLOOKUP(CU212,'ODBC Data'!$B$1:$J$500,3,0)),"",VLOOKUP(CU212,'ODBC Data'!$B$1:$J$500,3,0))</f>
        <v/>
      </c>
      <c r="CW212" s="57" t="str">
        <f>IF(ISNA(VLOOKUP(CU212,'ODBC Data'!$B$1:$J$500,4,0)),"",VLOOKUP(CU212,'ODBC Data'!$B$1:$J$500,4,0))</f>
        <v/>
      </c>
      <c r="CX212" s="57" t="str">
        <f>IF(ISNA(VLOOKUP(CU212,'ODBC Data'!$B$1:$J$500,5,0)),"",VLOOKUP(CU212,'ODBC Data'!$B$1:$J$500,5,0))</f>
        <v/>
      </c>
      <c r="EI212" s="19" t="str">
        <f>IF('ODBC Data'!$I$21&gt;208,'ODBC Data'!$H$21,"")</f>
        <v/>
      </c>
      <c r="EJ212" s="19" t="str">
        <f>IF('ODBC Data'!$I$21&gt;208,209,"")</f>
        <v/>
      </c>
      <c r="EK212" s="17" t="str">
        <f t="shared" si="34"/>
        <v/>
      </c>
      <c r="EL212" s="57" t="str">
        <f>IF(ISNA(VLOOKUP(EK212,'ODBC Data'!$B$1:$J$500,3,0)),"",VLOOKUP(EK212,'ODBC Data'!$B$1:$J$500,3,0))</f>
        <v/>
      </c>
      <c r="EM212" s="57" t="str">
        <f>IF(ISNA(VLOOKUP(EK212,'ODBC Data'!$B$1:$J$500,4,0)),"",VLOOKUP(EK212,'ODBC Data'!$B$1:$J$500,4,0))</f>
        <v/>
      </c>
      <c r="EN212" s="57" t="str">
        <f>IF(ISNA(VLOOKUP(EK212,'ODBC Data'!$B$1:$J$500,5,0)),"",VLOOKUP(EK212,'ODBC Data'!$B$1:$J$500,5,0))</f>
        <v/>
      </c>
    </row>
    <row r="213" spans="97:144">
      <c r="CS213" s="19" t="str">
        <f>IF('ODBC Data'!$I$15&gt;209,'ODBC Data'!$H$15,"")</f>
        <v/>
      </c>
      <c r="CT213" s="19" t="str">
        <f>IF('ODBC Data'!$I$15&gt;209,210,"")</f>
        <v/>
      </c>
      <c r="CU213" s="17" t="str">
        <f t="shared" si="33"/>
        <v/>
      </c>
      <c r="CV213" s="57" t="str">
        <f>IF(ISNA(VLOOKUP(CU213,'ODBC Data'!$B$1:$J$500,3,0)),"",VLOOKUP(CU213,'ODBC Data'!$B$1:$J$500,3,0))</f>
        <v/>
      </c>
      <c r="CW213" s="57" t="str">
        <f>IF(ISNA(VLOOKUP(CU213,'ODBC Data'!$B$1:$J$500,4,0)),"",VLOOKUP(CU213,'ODBC Data'!$B$1:$J$500,4,0))</f>
        <v/>
      </c>
      <c r="CX213" s="57" t="str">
        <f>IF(ISNA(VLOOKUP(CU213,'ODBC Data'!$B$1:$J$500,5,0)),"",VLOOKUP(CU213,'ODBC Data'!$B$1:$J$500,5,0))</f>
        <v/>
      </c>
      <c r="EI213" s="19" t="str">
        <f>IF('ODBC Data'!$I$21&gt;209,'ODBC Data'!$H$21,"")</f>
        <v/>
      </c>
      <c r="EJ213" s="19" t="str">
        <f>IF('ODBC Data'!$I$21&gt;209,210,"")</f>
        <v/>
      </c>
      <c r="EK213" s="17" t="str">
        <f t="shared" si="34"/>
        <v/>
      </c>
      <c r="EL213" s="57" t="str">
        <f>IF(ISNA(VLOOKUP(EK213,'ODBC Data'!$B$1:$J$500,3,0)),"",VLOOKUP(EK213,'ODBC Data'!$B$1:$J$500,3,0))</f>
        <v/>
      </c>
      <c r="EM213" s="57" t="str">
        <f>IF(ISNA(VLOOKUP(EK213,'ODBC Data'!$B$1:$J$500,4,0)),"",VLOOKUP(EK213,'ODBC Data'!$B$1:$J$500,4,0))</f>
        <v/>
      </c>
      <c r="EN213" s="57" t="str">
        <f>IF(ISNA(VLOOKUP(EK213,'ODBC Data'!$B$1:$J$500,5,0)),"",VLOOKUP(EK213,'ODBC Data'!$B$1:$J$500,5,0))</f>
        <v/>
      </c>
    </row>
    <row r="214" spans="97:144">
      <c r="CS214" s="19" t="str">
        <f>IF('ODBC Data'!$I$15&gt;210,'ODBC Data'!$H$15,"")</f>
        <v/>
      </c>
      <c r="CT214" s="19" t="str">
        <f>IF('ODBC Data'!$I$15&gt;210,211,"")</f>
        <v/>
      </c>
      <c r="CU214" s="17" t="str">
        <f t="shared" si="33"/>
        <v/>
      </c>
      <c r="CV214" s="57" t="str">
        <f>IF(ISNA(VLOOKUP(CU214,'ODBC Data'!$B$1:$J$500,3,0)),"",VLOOKUP(CU214,'ODBC Data'!$B$1:$J$500,3,0))</f>
        <v/>
      </c>
      <c r="CW214" s="57" t="str">
        <f>IF(ISNA(VLOOKUP(CU214,'ODBC Data'!$B$1:$J$500,4,0)),"",VLOOKUP(CU214,'ODBC Data'!$B$1:$J$500,4,0))</f>
        <v/>
      </c>
      <c r="CX214" s="57" t="str">
        <f>IF(ISNA(VLOOKUP(CU214,'ODBC Data'!$B$1:$J$500,5,0)),"",VLOOKUP(CU214,'ODBC Data'!$B$1:$J$500,5,0))</f>
        <v/>
      </c>
      <c r="EI214" s="19" t="str">
        <f>IF('ODBC Data'!$I$21&gt;210,'ODBC Data'!$H$21,"")</f>
        <v/>
      </c>
      <c r="EJ214" s="19" t="str">
        <f>IF('ODBC Data'!$I$21&gt;210,211,"")</f>
        <v/>
      </c>
      <c r="EK214" s="17" t="str">
        <f t="shared" si="34"/>
        <v/>
      </c>
      <c r="EL214" s="57" t="str">
        <f>IF(ISNA(VLOOKUP(EK214,'ODBC Data'!$B$1:$J$500,3,0)),"",VLOOKUP(EK214,'ODBC Data'!$B$1:$J$500,3,0))</f>
        <v/>
      </c>
      <c r="EM214" s="57" t="str">
        <f>IF(ISNA(VLOOKUP(EK214,'ODBC Data'!$B$1:$J$500,4,0)),"",VLOOKUP(EK214,'ODBC Data'!$B$1:$J$500,4,0))</f>
        <v/>
      </c>
      <c r="EN214" s="57" t="str">
        <f>IF(ISNA(VLOOKUP(EK214,'ODBC Data'!$B$1:$J$500,5,0)),"",VLOOKUP(EK214,'ODBC Data'!$B$1:$J$500,5,0))</f>
        <v/>
      </c>
    </row>
    <row r="215" spans="97:144">
      <c r="CS215" s="19" t="str">
        <f>IF('ODBC Data'!$I$15&gt;211,'ODBC Data'!$H$15,"")</f>
        <v/>
      </c>
      <c r="CT215" s="19" t="str">
        <f>IF('ODBC Data'!$I$15&gt;211,212,"")</f>
        <v/>
      </c>
      <c r="CU215" s="17" t="str">
        <f t="shared" si="33"/>
        <v/>
      </c>
      <c r="CV215" s="57" t="str">
        <f>IF(ISNA(VLOOKUP(CU215,'ODBC Data'!$B$1:$J$500,3,0)),"",VLOOKUP(CU215,'ODBC Data'!$B$1:$J$500,3,0))</f>
        <v/>
      </c>
      <c r="CW215" s="57" t="str">
        <f>IF(ISNA(VLOOKUP(CU215,'ODBC Data'!$B$1:$J$500,4,0)),"",VLOOKUP(CU215,'ODBC Data'!$B$1:$J$500,4,0))</f>
        <v/>
      </c>
      <c r="CX215" s="57" t="str">
        <f>IF(ISNA(VLOOKUP(CU215,'ODBC Data'!$B$1:$J$500,5,0)),"",VLOOKUP(CU215,'ODBC Data'!$B$1:$J$500,5,0))</f>
        <v/>
      </c>
      <c r="EI215" s="19" t="str">
        <f>IF('ODBC Data'!$I$21&gt;211,'ODBC Data'!$H$21,"")</f>
        <v/>
      </c>
      <c r="EJ215" s="19" t="str">
        <f>IF('ODBC Data'!$I$21&gt;211,212,"")</f>
        <v/>
      </c>
      <c r="EK215" s="17" t="str">
        <f t="shared" si="34"/>
        <v/>
      </c>
      <c r="EL215" s="57" t="str">
        <f>IF(ISNA(VLOOKUP(EK215,'ODBC Data'!$B$1:$J$500,3,0)),"",VLOOKUP(EK215,'ODBC Data'!$B$1:$J$500,3,0))</f>
        <v/>
      </c>
      <c r="EM215" s="57" t="str">
        <f>IF(ISNA(VLOOKUP(EK215,'ODBC Data'!$B$1:$J$500,4,0)),"",VLOOKUP(EK215,'ODBC Data'!$B$1:$J$500,4,0))</f>
        <v/>
      </c>
      <c r="EN215" s="57" t="str">
        <f>IF(ISNA(VLOOKUP(EK215,'ODBC Data'!$B$1:$J$500,5,0)),"",VLOOKUP(EK215,'ODBC Data'!$B$1:$J$500,5,0))</f>
        <v/>
      </c>
    </row>
    <row r="216" spans="97:144">
      <c r="CS216" s="19" t="str">
        <f>IF('ODBC Data'!$I$15&gt;212,'ODBC Data'!$H$15,"")</f>
        <v/>
      </c>
      <c r="CT216" s="19" t="str">
        <f>IF('ODBC Data'!$I$15&gt;212,213,"")</f>
        <v/>
      </c>
      <c r="CU216" s="17" t="str">
        <f t="shared" si="33"/>
        <v/>
      </c>
      <c r="CV216" s="57" t="str">
        <f>IF(ISNA(VLOOKUP(CU216,'ODBC Data'!$B$1:$J$500,3,0)),"",VLOOKUP(CU216,'ODBC Data'!$B$1:$J$500,3,0))</f>
        <v/>
      </c>
      <c r="CW216" s="57" t="str">
        <f>IF(ISNA(VLOOKUP(CU216,'ODBC Data'!$B$1:$J$500,4,0)),"",VLOOKUP(CU216,'ODBC Data'!$B$1:$J$500,4,0))</f>
        <v/>
      </c>
      <c r="CX216" s="57" t="str">
        <f>IF(ISNA(VLOOKUP(CU216,'ODBC Data'!$B$1:$J$500,5,0)),"",VLOOKUP(CU216,'ODBC Data'!$B$1:$J$500,5,0))</f>
        <v/>
      </c>
      <c r="EI216" s="19" t="str">
        <f>IF('ODBC Data'!$I$21&gt;212,'ODBC Data'!$H$21,"")</f>
        <v/>
      </c>
      <c r="EJ216" s="19" t="str">
        <f>IF('ODBC Data'!$I$21&gt;212,213,"")</f>
        <v/>
      </c>
      <c r="EK216" s="17" t="str">
        <f t="shared" si="34"/>
        <v/>
      </c>
      <c r="EL216" s="57" t="str">
        <f>IF(ISNA(VLOOKUP(EK216,'ODBC Data'!$B$1:$J$500,3,0)),"",VLOOKUP(EK216,'ODBC Data'!$B$1:$J$500,3,0))</f>
        <v/>
      </c>
      <c r="EM216" s="57" t="str">
        <f>IF(ISNA(VLOOKUP(EK216,'ODBC Data'!$B$1:$J$500,4,0)),"",VLOOKUP(EK216,'ODBC Data'!$B$1:$J$500,4,0))</f>
        <v/>
      </c>
      <c r="EN216" s="57" t="str">
        <f>IF(ISNA(VLOOKUP(EK216,'ODBC Data'!$B$1:$J$500,5,0)),"",VLOOKUP(EK216,'ODBC Data'!$B$1:$J$500,5,0))</f>
        <v/>
      </c>
    </row>
    <row r="217" spans="97:144">
      <c r="CS217" s="19" t="str">
        <f>IF('ODBC Data'!$I$15&gt;213,'ODBC Data'!$H$15,"")</f>
        <v/>
      </c>
      <c r="CT217" s="19" t="str">
        <f>IF('ODBC Data'!$I$15&gt;213,214,"")</f>
        <v/>
      </c>
      <c r="CU217" s="17" t="str">
        <f t="shared" si="33"/>
        <v/>
      </c>
      <c r="CV217" s="57" t="str">
        <f>IF(ISNA(VLOOKUP(CU217,'ODBC Data'!$B$1:$J$500,3,0)),"",VLOOKUP(CU217,'ODBC Data'!$B$1:$J$500,3,0))</f>
        <v/>
      </c>
      <c r="CW217" s="57" t="str">
        <f>IF(ISNA(VLOOKUP(CU217,'ODBC Data'!$B$1:$J$500,4,0)),"",VLOOKUP(CU217,'ODBC Data'!$B$1:$J$500,4,0))</f>
        <v/>
      </c>
      <c r="CX217" s="57" t="str">
        <f>IF(ISNA(VLOOKUP(CU217,'ODBC Data'!$B$1:$J$500,5,0)),"",VLOOKUP(CU217,'ODBC Data'!$B$1:$J$500,5,0))</f>
        <v/>
      </c>
      <c r="EI217" s="19" t="str">
        <f>IF('ODBC Data'!$I$21&gt;213,'ODBC Data'!$H$21,"")</f>
        <v/>
      </c>
      <c r="EJ217" s="19" t="str">
        <f>IF('ODBC Data'!$I$21&gt;213,214,"")</f>
        <v/>
      </c>
      <c r="EK217" s="17" t="str">
        <f t="shared" si="34"/>
        <v/>
      </c>
      <c r="EL217" s="57" t="str">
        <f>IF(ISNA(VLOOKUP(EK217,'ODBC Data'!$B$1:$J$500,3,0)),"",VLOOKUP(EK217,'ODBC Data'!$B$1:$J$500,3,0))</f>
        <v/>
      </c>
      <c r="EM217" s="57" t="str">
        <f>IF(ISNA(VLOOKUP(EK217,'ODBC Data'!$B$1:$J$500,4,0)),"",VLOOKUP(EK217,'ODBC Data'!$B$1:$J$500,4,0))</f>
        <v/>
      </c>
      <c r="EN217" s="57" t="str">
        <f>IF(ISNA(VLOOKUP(EK217,'ODBC Data'!$B$1:$J$500,5,0)),"",VLOOKUP(EK217,'ODBC Data'!$B$1:$J$500,5,0))</f>
        <v/>
      </c>
    </row>
    <row r="218" spans="97:144">
      <c r="CS218" s="19" t="str">
        <f>IF('ODBC Data'!$I$15&gt;214,'ODBC Data'!$H$15,"")</f>
        <v/>
      </c>
      <c r="CT218" s="19" t="str">
        <f>IF('ODBC Data'!$I$15&gt;214,215,"")</f>
        <v/>
      </c>
      <c r="CU218" s="17" t="str">
        <f t="shared" si="33"/>
        <v/>
      </c>
      <c r="CV218" s="57" t="str">
        <f>IF(ISNA(VLOOKUP(CU218,'ODBC Data'!$B$1:$J$500,3,0)),"",VLOOKUP(CU218,'ODBC Data'!$B$1:$J$500,3,0))</f>
        <v/>
      </c>
      <c r="CW218" s="57" t="str">
        <f>IF(ISNA(VLOOKUP(CU218,'ODBC Data'!$B$1:$J$500,4,0)),"",VLOOKUP(CU218,'ODBC Data'!$B$1:$J$500,4,0))</f>
        <v/>
      </c>
      <c r="CX218" s="57" t="str">
        <f>IF(ISNA(VLOOKUP(CU218,'ODBC Data'!$B$1:$J$500,5,0)),"",VLOOKUP(CU218,'ODBC Data'!$B$1:$J$500,5,0))</f>
        <v/>
      </c>
      <c r="EI218" s="19" t="str">
        <f>IF('ODBC Data'!$I$21&gt;214,'ODBC Data'!$H$21,"")</f>
        <v/>
      </c>
      <c r="EJ218" s="19" t="str">
        <f>IF('ODBC Data'!$I$21&gt;214,215,"")</f>
        <v/>
      </c>
      <c r="EK218" s="17" t="str">
        <f t="shared" si="34"/>
        <v/>
      </c>
      <c r="EL218" s="57" t="str">
        <f>IF(ISNA(VLOOKUP(EK218,'ODBC Data'!$B$1:$J$500,3,0)),"",VLOOKUP(EK218,'ODBC Data'!$B$1:$J$500,3,0))</f>
        <v/>
      </c>
      <c r="EM218" s="57" t="str">
        <f>IF(ISNA(VLOOKUP(EK218,'ODBC Data'!$B$1:$J$500,4,0)),"",VLOOKUP(EK218,'ODBC Data'!$B$1:$J$500,4,0))</f>
        <v/>
      </c>
      <c r="EN218" s="57" t="str">
        <f>IF(ISNA(VLOOKUP(EK218,'ODBC Data'!$B$1:$J$500,5,0)),"",VLOOKUP(EK218,'ODBC Data'!$B$1:$J$500,5,0))</f>
        <v/>
      </c>
    </row>
    <row r="219" spans="97:144">
      <c r="CS219" s="19" t="str">
        <f>IF('ODBC Data'!$I$15&gt;215,'ODBC Data'!$H$15,"")</f>
        <v/>
      </c>
      <c r="CT219" s="19" t="str">
        <f>IF('ODBC Data'!$I$15&gt;215,216,"")</f>
        <v/>
      </c>
      <c r="CU219" s="17" t="str">
        <f t="shared" si="33"/>
        <v/>
      </c>
      <c r="CV219" s="57" t="str">
        <f>IF(ISNA(VLOOKUP(CU219,'ODBC Data'!$B$1:$J$500,3,0)),"",VLOOKUP(CU219,'ODBC Data'!$B$1:$J$500,3,0))</f>
        <v/>
      </c>
      <c r="CW219" s="57" t="str">
        <f>IF(ISNA(VLOOKUP(CU219,'ODBC Data'!$B$1:$J$500,4,0)),"",VLOOKUP(CU219,'ODBC Data'!$B$1:$J$500,4,0))</f>
        <v/>
      </c>
      <c r="CX219" s="57" t="str">
        <f>IF(ISNA(VLOOKUP(CU219,'ODBC Data'!$B$1:$J$500,5,0)),"",VLOOKUP(CU219,'ODBC Data'!$B$1:$J$500,5,0))</f>
        <v/>
      </c>
      <c r="EI219" s="19" t="str">
        <f>IF('ODBC Data'!$I$21&gt;215,'ODBC Data'!$H$21,"")</f>
        <v/>
      </c>
      <c r="EJ219" s="19" t="str">
        <f>IF('ODBC Data'!$I$21&gt;215,216,"")</f>
        <v/>
      </c>
      <c r="EK219" s="17" t="str">
        <f t="shared" si="34"/>
        <v/>
      </c>
      <c r="EL219" s="57" t="str">
        <f>IF(ISNA(VLOOKUP(EK219,'ODBC Data'!$B$1:$J$500,3,0)),"",VLOOKUP(EK219,'ODBC Data'!$B$1:$J$500,3,0))</f>
        <v/>
      </c>
      <c r="EM219" s="57" t="str">
        <f>IF(ISNA(VLOOKUP(EK219,'ODBC Data'!$B$1:$J$500,4,0)),"",VLOOKUP(EK219,'ODBC Data'!$B$1:$J$500,4,0))</f>
        <v/>
      </c>
      <c r="EN219" s="57" t="str">
        <f>IF(ISNA(VLOOKUP(EK219,'ODBC Data'!$B$1:$J$500,5,0)),"",VLOOKUP(EK219,'ODBC Data'!$B$1:$J$500,5,0))</f>
        <v/>
      </c>
    </row>
    <row r="220" spans="97:144">
      <c r="CS220" s="19" t="str">
        <f>IF('ODBC Data'!$I$15&gt;216,'ODBC Data'!$H$15,"")</f>
        <v/>
      </c>
      <c r="CT220" s="19" t="str">
        <f>IF('ODBC Data'!$I$15&gt;216,217,"")</f>
        <v/>
      </c>
      <c r="CU220" s="17" t="str">
        <f t="shared" si="33"/>
        <v/>
      </c>
      <c r="CV220" s="57" t="str">
        <f>IF(ISNA(VLOOKUP(CU220,'ODBC Data'!$B$1:$J$500,3,0)),"",VLOOKUP(CU220,'ODBC Data'!$B$1:$J$500,3,0))</f>
        <v/>
      </c>
      <c r="CW220" s="57" t="str">
        <f>IF(ISNA(VLOOKUP(CU220,'ODBC Data'!$B$1:$J$500,4,0)),"",VLOOKUP(CU220,'ODBC Data'!$B$1:$J$500,4,0))</f>
        <v/>
      </c>
      <c r="CX220" s="57" t="str">
        <f>IF(ISNA(VLOOKUP(CU220,'ODBC Data'!$B$1:$J$500,5,0)),"",VLOOKUP(CU220,'ODBC Data'!$B$1:$J$500,5,0))</f>
        <v/>
      </c>
      <c r="EI220" s="19" t="str">
        <f>IF('ODBC Data'!$I$21&gt;216,'ODBC Data'!$H$21,"")</f>
        <v/>
      </c>
      <c r="EJ220" s="19" t="str">
        <f>IF('ODBC Data'!$I$21&gt;216,217,"")</f>
        <v/>
      </c>
      <c r="EK220" s="17" t="str">
        <f t="shared" si="34"/>
        <v/>
      </c>
      <c r="EL220" s="57" t="str">
        <f>IF(ISNA(VLOOKUP(EK220,'ODBC Data'!$B$1:$J$500,3,0)),"",VLOOKUP(EK220,'ODBC Data'!$B$1:$J$500,3,0))</f>
        <v/>
      </c>
      <c r="EM220" s="57" t="str">
        <f>IF(ISNA(VLOOKUP(EK220,'ODBC Data'!$B$1:$J$500,4,0)),"",VLOOKUP(EK220,'ODBC Data'!$B$1:$J$500,4,0))</f>
        <v/>
      </c>
      <c r="EN220" s="57" t="str">
        <f>IF(ISNA(VLOOKUP(EK220,'ODBC Data'!$B$1:$J$500,5,0)),"",VLOOKUP(EK220,'ODBC Data'!$B$1:$J$500,5,0))</f>
        <v/>
      </c>
    </row>
    <row r="221" spans="97:144">
      <c r="CS221" s="19" t="str">
        <f>IF('ODBC Data'!$I$15&gt;217,'ODBC Data'!$H$15,"")</f>
        <v/>
      </c>
      <c r="CT221" s="19" t="str">
        <f>IF('ODBC Data'!$I$15&gt;217,218,"")</f>
        <v/>
      </c>
      <c r="CU221" s="17" t="str">
        <f t="shared" si="33"/>
        <v/>
      </c>
      <c r="CV221" s="57" t="str">
        <f>IF(ISNA(VLOOKUP(CU221,'ODBC Data'!$B$1:$J$500,3,0)),"",VLOOKUP(CU221,'ODBC Data'!$B$1:$J$500,3,0))</f>
        <v/>
      </c>
      <c r="CW221" s="57" t="str">
        <f>IF(ISNA(VLOOKUP(CU221,'ODBC Data'!$B$1:$J$500,4,0)),"",VLOOKUP(CU221,'ODBC Data'!$B$1:$J$500,4,0))</f>
        <v/>
      </c>
      <c r="CX221" s="57" t="str">
        <f>IF(ISNA(VLOOKUP(CU221,'ODBC Data'!$B$1:$J$500,5,0)),"",VLOOKUP(CU221,'ODBC Data'!$B$1:$J$500,5,0))</f>
        <v/>
      </c>
      <c r="EI221" s="19" t="str">
        <f>IF('ODBC Data'!$I$21&gt;217,'ODBC Data'!$H$21,"")</f>
        <v/>
      </c>
      <c r="EJ221" s="19" t="str">
        <f>IF('ODBC Data'!$I$21&gt;217,218,"")</f>
        <v/>
      </c>
      <c r="EK221" s="17" t="str">
        <f t="shared" si="34"/>
        <v/>
      </c>
      <c r="EL221" s="57" t="str">
        <f>IF(ISNA(VLOOKUP(EK221,'ODBC Data'!$B$1:$J$500,3,0)),"",VLOOKUP(EK221,'ODBC Data'!$B$1:$J$500,3,0))</f>
        <v/>
      </c>
      <c r="EM221" s="57" t="str">
        <f>IF(ISNA(VLOOKUP(EK221,'ODBC Data'!$B$1:$J$500,4,0)),"",VLOOKUP(EK221,'ODBC Data'!$B$1:$J$500,4,0))</f>
        <v/>
      </c>
      <c r="EN221" s="57" t="str">
        <f>IF(ISNA(VLOOKUP(EK221,'ODBC Data'!$B$1:$J$500,5,0)),"",VLOOKUP(EK221,'ODBC Data'!$B$1:$J$500,5,0))</f>
        <v/>
      </c>
    </row>
    <row r="222" spans="97:144">
      <c r="CS222" s="19" t="str">
        <f>IF('ODBC Data'!$I$15&gt;218,'ODBC Data'!$H$15,"")</f>
        <v/>
      </c>
      <c r="CT222" s="19" t="str">
        <f>IF('ODBC Data'!$I$15&gt;218,219,"")</f>
        <v/>
      </c>
      <c r="CU222" s="17" t="str">
        <f t="shared" si="33"/>
        <v/>
      </c>
      <c r="CV222" s="57" t="str">
        <f>IF(ISNA(VLOOKUP(CU222,'ODBC Data'!$B$1:$J$500,3,0)),"",VLOOKUP(CU222,'ODBC Data'!$B$1:$J$500,3,0))</f>
        <v/>
      </c>
      <c r="CW222" s="57" t="str">
        <f>IF(ISNA(VLOOKUP(CU222,'ODBC Data'!$B$1:$J$500,4,0)),"",VLOOKUP(CU222,'ODBC Data'!$B$1:$J$500,4,0))</f>
        <v/>
      </c>
      <c r="CX222" s="57" t="str">
        <f>IF(ISNA(VLOOKUP(CU222,'ODBC Data'!$B$1:$J$500,5,0)),"",VLOOKUP(CU222,'ODBC Data'!$B$1:$J$500,5,0))</f>
        <v/>
      </c>
      <c r="EI222" s="19" t="str">
        <f>IF('ODBC Data'!$I$21&gt;218,'ODBC Data'!$H$21,"")</f>
        <v/>
      </c>
      <c r="EJ222" s="19" t="str">
        <f>IF('ODBC Data'!$I$21&gt;218,219,"")</f>
        <v/>
      </c>
      <c r="EK222" s="17" t="str">
        <f t="shared" si="34"/>
        <v/>
      </c>
      <c r="EL222" s="57" t="str">
        <f>IF(ISNA(VLOOKUP(EK222,'ODBC Data'!$B$1:$J$500,3,0)),"",VLOOKUP(EK222,'ODBC Data'!$B$1:$J$500,3,0))</f>
        <v/>
      </c>
      <c r="EM222" s="57" t="str">
        <f>IF(ISNA(VLOOKUP(EK222,'ODBC Data'!$B$1:$J$500,4,0)),"",VLOOKUP(EK222,'ODBC Data'!$B$1:$J$500,4,0))</f>
        <v/>
      </c>
      <c r="EN222" s="57" t="str">
        <f>IF(ISNA(VLOOKUP(EK222,'ODBC Data'!$B$1:$J$500,5,0)),"",VLOOKUP(EK222,'ODBC Data'!$B$1:$J$500,5,0))</f>
        <v/>
      </c>
    </row>
    <row r="223" spans="97:144">
      <c r="CS223" s="19" t="str">
        <f>IF('ODBC Data'!$I$15&gt;219,'ODBC Data'!$H$15,"")</f>
        <v/>
      </c>
      <c r="CT223" s="19" t="str">
        <f>IF('ODBC Data'!$I$15&gt;219,220,"")</f>
        <v/>
      </c>
      <c r="CU223" s="17" t="str">
        <f t="shared" si="33"/>
        <v/>
      </c>
      <c r="CV223" s="57" t="str">
        <f>IF(ISNA(VLOOKUP(CU223,'ODBC Data'!$B$1:$J$500,3,0)),"",VLOOKUP(CU223,'ODBC Data'!$B$1:$J$500,3,0))</f>
        <v/>
      </c>
      <c r="CW223" s="57" t="str">
        <f>IF(ISNA(VLOOKUP(CU223,'ODBC Data'!$B$1:$J$500,4,0)),"",VLOOKUP(CU223,'ODBC Data'!$B$1:$J$500,4,0))</f>
        <v/>
      </c>
      <c r="CX223" s="57" t="str">
        <f>IF(ISNA(VLOOKUP(CU223,'ODBC Data'!$B$1:$J$500,5,0)),"",VLOOKUP(CU223,'ODBC Data'!$B$1:$J$500,5,0))</f>
        <v/>
      </c>
      <c r="EI223" s="19" t="str">
        <f>IF('ODBC Data'!$I$21&gt;219,'ODBC Data'!$H$21,"")</f>
        <v/>
      </c>
      <c r="EJ223" s="19" t="str">
        <f>IF('ODBC Data'!$I$21&gt;219,220,"")</f>
        <v/>
      </c>
      <c r="EK223" s="17" t="str">
        <f t="shared" si="34"/>
        <v/>
      </c>
      <c r="EL223" s="57" t="str">
        <f>IF(ISNA(VLOOKUP(EK223,'ODBC Data'!$B$1:$J$500,3,0)),"",VLOOKUP(EK223,'ODBC Data'!$B$1:$J$500,3,0))</f>
        <v/>
      </c>
      <c r="EM223" s="57" t="str">
        <f>IF(ISNA(VLOOKUP(EK223,'ODBC Data'!$B$1:$J$500,4,0)),"",VLOOKUP(EK223,'ODBC Data'!$B$1:$J$500,4,0))</f>
        <v/>
      </c>
      <c r="EN223" s="57" t="str">
        <f>IF(ISNA(VLOOKUP(EK223,'ODBC Data'!$B$1:$J$500,5,0)),"",VLOOKUP(EK223,'ODBC Data'!$B$1:$J$500,5,0))</f>
        <v/>
      </c>
    </row>
    <row r="224" spans="97:144">
      <c r="CS224" s="19" t="str">
        <f>IF('ODBC Data'!$I$15&gt;220,'ODBC Data'!$H$15,"")</f>
        <v/>
      </c>
      <c r="CT224" s="19" t="str">
        <f>IF('ODBC Data'!$I$15&gt;220,221,"")</f>
        <v/>
      </c>
      <c r="CU224" s="17" t="str">
        <f t="shared" si="33"/>
        <v/>
      </c>
      <c r="CV224" s="57" t="str">
        <f>IF(ISNA(VLOOKUP(CU224,'ODBC Data'!$B$1:$J$500,3,0)),"",VLOOKUP(CU224,'ODBC Data'!$B$1:$J$500,3,0))</f>
        <v/>
      </c>
      <c r="CW224" s="57" t="str">
        <f>IF(ISNA(VLOOKUP(CU224,'ODBC Data'!$B$1:$J$500,4,0)),"",VLOOKUP(CU224,'ODBC Data'!$B$1:$J$500,4,0))</f>
        <v/>
      </c>
      <c r="CX224" s="57" t="str">
        <f>IF(ISNA(VLOOKUP(CU224,'ODBC Data'!$B$1:$J$500,5,0)),"",VLOOKUP(CU224,'ODBC Data'!$B$1:$J$500,5,0))</f>
        <v/>
      </c>
      <c r="EI224" s="19" t="str">
        <f>IF('ODBC Data'!$I$21&gt;220,'ODBC Data'!$H$21,"")</f>
        <v/>
      </c>
      <c r="EJ224" s="19" t="str">
        <f>IF('ODBC Data'!$I$21&gt;220,221,"")</f>
        <v/>
      </c>
      <c r="EK224" s="17" t="str">
        <f t="shared" si="34"/>
        <v/>
      </c>
      <c r="EL224" s="57" t="str">
        <f>IF(ISNA(VLOOKUP(EK224,'ODBC Data'!$B$1:$J$500,3,0)),"",VLOOKUP(EK224,'ODBC Data'!$B$1:$J$500,3,0))</f>
        <v/>
      </c>
      <c r="EM224" s="57" t="str">
        <f>IF(ISNA(VLOOKUP(EK224,'ODBC Data'!$B$1:$J$500,4,0)),"",VLOOKUP(EK224,'ODBC Data'!$B$1:$J$500,4,0))</f>
        <v/>
      </c>
      <c r="EN224" s="57" t="str">
        <f>IF(ISNA(VLOOKUP(EK224,'ODBC Data'!$B$1:$J$500,5,0)),"",VLOOKUP(EK224,'ODBC Data'!$B$1:$J$500,5,0))</f>
        <v/>
      </c>
    </row>
    <row r="225" spans="97:144">
      <c r="CS225" s="19" t="str">
        <f>IF('ODBC Data'!$I$15&gt;221,'ODBC Data'!$H$15,"")</f>
        <v/>
      </c>
      <c r="CT225" s="19" t="str">
        <f>IF('ODBC Data'!$I$15&gt;221,222,"")</f>
        <v/>
      </c>
      <c r="CU225" s="17" t="str">
        <f t="shared" si="33"/>
        <v/>
      </c>
      <c r="CV225" s="57" t="str">
        <f>IF(ISNA(VLOOKUP(CU225,'ODBC Data'!$B$1:$J$500,3,0)),"",VLOOKUP(CU225,'ODBC Data'!$B$1:$J$500,3,0))</f>
        <v/>
      </c>
      <c r="CW225" s="57" t="str">
        <f>IF(ISNA(VLOOKUP(CU225,'ODBC Data'!$B$1:$J$500,4,0)),"",VLOOKUP(CU225,'ODBC Data'!$B$1:$J$500,4,0))</f>
        <v/>
      </c>
      <c r="CX225" s="57" t="str">
        <f>IF(ISNA(VLOOKUP(CU225,'ODBC Data'!$B$1:$J$500,5,0)),"",VLOOKUP(CU225,'ODBC Data'!$B$1:$J$500,5,0))</f>
        <v/>
      </c>
      <c r="EI225" s="19" t="str">
        <f>IF('ODBC Data'!$I$21&gt;221,'ODBC Data'!$H$21,"")</f>
        <v/>
      </c>
      <c r="EJ225" s="19" t="str">
        <f>IF('ODBC Data'!$I$21&gt;221,222,"")</f>
        <v/>
      </c>
      <c r="EK225" s="17" t="str">
        <f t="shared" si="34"/>
        <v/>
      </c>
      <c r="EL225" s="57" t="str">
        <f>IF(ISNA(VLOOKUP(EK225,'ODBC Data'!$B$1:$J$500,3,0)),"",VLOOKUP(EK225,'ODBC Data'!$B$1:$J$500,3,0))</f>
        <v/>
      </c>
      <c r="EM225" s="57" t="str">
        <f>IF(ISNA(VLOOKUP(EK225,'ODBC Data'!$B$1:$J$500,4,0)),"",VLOOKUP(EK225,'ODBC Data'!$B$1:$J$500,4,0))</f>
        <v/>
      </c>
      <c r="EN225" s="57" t="str">
        <f>IF(ISNA(VLOOKUP(EK225,'ODBC Data'!$B$1:$J$500,5,0)),"",VLOOKUP(EK225,'ODBC Data'!$B$1:$J$500,5,0))</f>
        <v/>
      </c>
    </row>
    <row r="226" spans="97:144">
      <c r="CS226" s="19" t="str">
        <f>IF('ODBC Data'!$I$15&gt;222,'ODBC Data'!$H$15,"")</f>
        <v/>
      </c>
      <c r="CT226" s="19" t="str">
        <f>IF('ODBC Data'!$I$15&gt;222,223,"")</f>
        <v/>
      </c>
      <c r="CU226" s="17" t="str">
        <f t="shared" si="33"/>
        <v/>
      </c>
      <c r="CV226" s="57" t="str">
        <f>IF(ISNA(VLOOKUP(CU226,'ODBC Data'!$B$1:$J$500,3,0)),"",VLOOKUP(CU226,'ODBC Data'!$B$1:$J$500,3,0))</f>
        <v/>
      </c>
      <c r="CW226" s="57" t="str">
        <f>IF(ISNA(VLOOKUP(CU226,'ODBC Data'!$B$1:$J$500,4,0)),"",VLOOKUP(CU226,'ODBC Data'!$B$1:$J$500,4,0))</f>
        <v/>
      </c>
      <c r="CX226" s="57" t="str">
        <f>IF(ISNA(VLOOKUP(CU226,'ODBC Data'!$B$1:$J$500,5,0)),"",VLOOKUP(CU226,'ODBC Data'!$B$1:$J$500,5,0))</f>
        <v/>
      </c>
      <c r="EI226" s="19" t="str">
        <f>IF('ODBC Data'!$I$21&gt;222,'ODBC Data'!$H$21,"")</f>
        <v/>
      </c>
      <c r="EJ226" s="19" t="str">
        <f>IF('ODBC Data'!$I$21&gt;222,223,"")</f>
        <v/>
      </c>
      <c r="EK226" s="17" t="str">
        <f t="shared" si="34"/>
        <v/>
      </c>
      <c r="EL226" s="57" t="str">
        <f>IF(ISNA(VLOOKUP(EK226,'ODBC Data'!$B$1:$J$500,3,0)),"",VLOOKUP(EK226,'ODBC Data'!$B$1:$J$500,3,0))</f>
        <v/>
      </c>
      <c r="EM226" s="57" t="str">
        <f>IF(ISNA(VLOOKUP(EK226,'ODBC Data'!$B$1:$J$500,4,0)),"",VLOOKUP(EK226,'ODBC Data'!$B$1:$J$500,4,0))</f>
        <v/>
      </c>
      <c r="EN226" s="57" t="str">
        <f>IF(ISNA(VLOOKUP(EK226,'ODBC Data'!$B$1:$J$500,5,0)),"",VLOOKUP(EK226,'ODBC Data'!$B$1:$J$500,5,0))</f>
        <v/>
      </c>
    </row>
    <row r="227" spans="97:144">
      <c r="CS227" s="19" t="str">
        <f>IF('ODBC Data'!$I$15&gt;223,'ODBC Data'!$H$15,"")</f>
        <v/>
      </c>
      <c r="CT227" s="19" t="str">
        <f>IF('ODBC Data'!$I$15&gt;223,224,"")</f>
        <v/>
      </c>
      <c r="CU227" s="17" t="str">
        <f t="shared" si="33"/>
        <v/>
      </c>
      <c r="CV227" s="57" t="str">
        <f>IF(ISNA(VLOOKUP(CU227,'ODBC Data'!$B$1:$J$500,3,0)),"",VLOOKUP(CU227,'ODBC Data'!$B$1:$J$500,3,0))</f>
        <v/>
      </c>
      <c r="CW227" s="57" t="str">
        <f>IF(ISNA(VLOOKUP(CU227,'ODBC Data'!$B$1:$J$500,4,0)),"",VLOOKUP(CU227,'ODBC Data'!$B$1:$J$500,4,0))</f>
        <v/>
      </c>
      <c r="CX227" s="57" t="str">
        <f>IF(ISNA(VLOOKUP(CU227,'ODBC Data'!$B$1:$J$500,5,0)),"",VLOOKUP(CU227,'ODBC Data'!$B$1:$J$500,5,0))</f>
        <v/>
      </c>
      <c r="EI227" s="19" t="str">
        <f>IF('ODBC Data'!$I$21&gt;223,'ODBC Data'!$H$21,"")</f>
        <v/>
      </c>
      <c r="EJ227" s="19" t="str">
        <f>IF('ODBC Data'!$I$21&gt;223,224,"")</f>
        <v/>
      </c>
      <c r="EK227" s="17" t="str">
        <f t="shared" si="34"/>
        <v/>
      </c>
      <c r="EL227" s="57" t="str">
        <f>IF(ISNA(VLOOKUP(EK227,'ODBC Data'!$B$1:$J$500,3,0)),"",VLOOKUP(EK227,'ODBC Data'!$B$1:$J$500,3,0))</f>
        <v/>
      </c>
      <c r="EM227" s="57" t="str">
        <f>IF(ISNA(VLOOKUP(EK227,'ODBC Data'!$B$1:$J$500,4,0)),"",VLOOKUP(EK227,'ODBC Data'!$B$1:$J$500,4,0))</f>
        <v/>
      </c>
      <c r="EN227" s="57" t="str">
        <f>IF(ISNA(VLOOKUP(EK227,'ODBC Data'!$B$1:$J$500,5,0)),"",VLOOKUP(EK227,'ODBC Data'!$B$1:$J$500,5,0))</f>
        <v/>
      </c>
    </row>
    <row r="228" spans="97:144">
      <c r="CS228" s="19" t="str">
        <f>IF('ODBC Data'!$I$15&gt;224,'ODBC Data'!$H$15,"")</f>
        <v/>
      </c>
      <c r="CT228" s="19" t="str">
        <f>IF('ODBC Data'!$I$15&gt;224,225,"")</f>
        <v/>
      </c>
      <c r="CU228" s="17" t="str">
        <f t="shared" si="33"/>
        <v/>
      </c>
      <c r="CV228" s="57" t="str">
        <f>IF(ISNA(VLOOKUP(CU228,'ODBC Data'!$B$1:$J$500,3,0)),"",VLOOKUP(CU228,'ODBC Data'!$B$1:$J$500,3,0))</f>
        <v/>
      </c>
      <c r="CW228" s="57" t="str">
        <f>IF(ISNA(VLOOKUP(CU228,'ODBC Data'!$B$1:$J$500,4,0)),"",VLOOKUP(CU228,'ODBC Data'!$B$1:$J$500,4,0))</f>
        <v/>
      </c>
      <c r="CX228" s="57" t="str">
        <f>IF(ISNA(VLOOKUP(CU228,'ODBC Data'!$B$1:$J$500,5,0)),"",VLOOKUP(CU228,'ODBC Data'!$B$1:$J$500,5,0))</f>
        <v/>
      </c>
      <c r="EI228" s="19" t="str">
        <f>IF('ODBC Data'!$I$21&gt;224,'ODBC Data'!$H$21,"")</f>
        <v/>
      </c>
      <c r="EJ228" s="19" t="str">
        <f>IF('ODBC Data'!$I$21&gt;224,225,"")</f>
        <v/>
      </c>
      <c r="EK228" s="17" t="str">
        <f t="shared" si="34"/>
        <v/>
      </c>
      <c r="EL228" s="57" t="str">
        <f>IF(ISNA(VLOOKUP(EK228,'ODBC Data'!$B$1:$J$500,3,0)),"",VLOOKUP(EK228,'ODBC Data'!$B$1:$J$500,3,0))</f>
        <v/>
      </c>
      <c r="EM228" s="57" t="str">
        <f>IF(ISNA(VLOOKUP(EK228,'ODBC Data'!$B$1:$J$500,4,0)),"",VLOOKUP(EK228,'ODBC Data'!$B$1:$J$500,4,0))</f>
        <v/>
      </c>
      <c r="EN228" s="57" t="str">
        <f>IF(ISNA(VLOOKUP(EK228,'ODBC Data'!$B$1:$J$500,5,0)),"",VLOOKUP(EK228,'ODBC Data'!$B$1:$J$500,5,0))</f>
        <v/>
      </c>
    </row>
    <row r="229" spans="97:144">
      <c r="CS229" s="19" t="str">
        <f>IF('ODBC Data'!$I$15&gt;225,'ODBC Data'!$H$15,"")</f>
        <v/>
      </c>
      <c r="CT229" s="19" t="str">
        <f>IF('ODBC Data'!$I$15&gt;225,226,"")</f>
        <v/>
      </c>
      <c r="CU229" s="17" t="str">
        <f t="shared" si="33"/>
        <v/>
      </c>
      <c r="CV229" s="57" t="str">
        <f>IF(ISNA(VLOOKUP(CU229,'ODBC Data'!$B$1:$J$500,3,0)),"",VLOOKUP(CU229,'ODBC Data'!$B$1:$J$500,3,0))</f>
        <v/>
      </c>
      <c r="CW229" s="57" t="str">
        <f>IF(ISNA(VLOOKUP(CU229,'ODBC Data'!$B$1:$J$500,4,0)),"",VLOOKUP(CU229,'ODBC Data'!$B$1:$J$500,4,0))</f>
        <v/>
      </c>
      <c r="CX229" s="57" t="str">
        <f>IF(ISNA(VLOOKUP(CU229,'ODBC Data'!$B$1:$J$500,5,0)),"",VLOOKUP(CU229,'ODBC Data'!$B$1:$J$500,5,0))</f>
        <v/>
      </c>
      <c r="EI229" s="19" t="str">
        <f>IF('ODBC Data'!$I$21&gt;225,'ODBC Data'!$H$21,"")</f>
        <v/>
      </c>
      <c r="EJ229" s="19" t="str">
        <f>IF('ODBC Data'!$I$21&gt;225,226,"")</f>
        <v/>
      </c>
      <c r="EK229" s="17" t="str">
        <f t="shared" si="34"/>
        <v/>
      </c>
      <c r="EL229" s="57" t="str">
        <f>IF(ISNA(VLOOKUP(EK229,'ODBC Data'!$B$1:$J$500,3,0)),"",VLOOKUP(EK229,'ODBC Data'!$B$1:$J$500,3,0))</f>
        <v/>
      </c>
      <c r="EM229" s="57" t="str">
        <f>IF(ISNA(VLOOKUP(EK229,'ODBC Data'!$B$1:$J$500,4,0)),"",VLOOKUP(EK229,'ODBC Data'!$B$1:$J$500,4,0))</f>
        <v/>
      </c>
      <c r="EN229" s="57" t="str">
        <f>IF(ISNA(VLOOKUP(EK229,'ODBC Data'!$B$1:$J$500,5,0)),"",VLOOKUP(EK229,'ODBC Data'!$B$1:$J$500,5,0))</f>
        <v/>
      </c>
    </row>
    <row r="230" spans="97:144">
      <c r="CS230" s="19" t="str">
        <f>IF('ODBC Data'!$I$15&gt;226,'ODBC Data'!$H$15,"")</f>
        <v/>
      </c>
      <c r="CT230" s="19" t="str">
        <f>IF('ODBC Data'!$I$15&gt;226,227,"")</f>
        <v/>
      </c>
      <c r="CU230" s="17" t="str">
        <f t="shared" si="33"/>
        <v/>
      </c>
      <c r="CV230" s="57" t="str">
        <f>IF(ISNA(VLOOKUP(CU230,'ODBC Data'!$B$1:$J$500,3,0)),"",VLOOKUP(CU230,'ODBC Data'!$B$1:$J$500,3,0))</f>
        <v/>
      </c>
      <c r="CW230" s="57" t="str">
        <f>IF(ISNA(VLOOKUP(CU230,'ODBC Data'!$B$1:$J$500,4,0)),"",VLOOKUP(CU230,'ODBC Data'!$B$1:$J$500,4,0))</f>
        <v/>
      </c>
      <c r="CX230" s="57" t="str">
        <f>IF(ISNA(VLOOKUP(CU230,'ODBC Data'!$B$1:$J$500,5,0)),"",VLOOKUP(CU230,'ODBC Data'!$B$1:$J$500,5,0))</f>
        <v/>
      </c>
      <c r="EI230" s="19" t="str">
        <f>IF('ODBC Data'!$I$21&gt;226,'ODBC Data'!$H$21,"")</f>
        <v/>
      </c>
      <c r="EJ230" s="19" t="str">
        <f>IF('ODBC Data'!$I$21&gt;226,227,"")</f>
        <v/>
      </c>
      <c r="EK230" s="17" t="str">
        <f t="shared" si="34"/>
        <v/>
      </c>
      <c r="EL230" s="57" t="str">
        <f>IF(ISNA(VLOOKUP(EK230,'ODBC Data'!$B$1:$J$500,3,0)),"",VLOOKUP(EK230,'ODBC Data'!$B$1:$J$500,3,0))</f>
        <v/>
      </c>
      <c r="EM230" s="57" t="str">
        <f>IF(ISNA(VLOOKUP(EK230,'ODBC Data'!$B$1:$J$500,4,0)),"",VLOOKUP(EK230,'ODBC Data'!$B$1:$J$500,4,0))</f>
        <v/>
      </c>
      <c r="EN230" s="57" t="str">
        <f>IF(ISNA(VLOOKUP(EK230,'ODBC Data'!$B$1:$J$500,5,0)),"",VLOOKUP(EK230,'ODBC Data'!$B$1:$J$500,5,0))</f>
        <v/>
      </c>
    </row>
    <row r="231" spans="97:144">
      <c r="CS231" s="19" t="str">
        <f>IF('ODBC Data'!$I$15&gt;227,'ODBC Data'!$H$15,"")</f>
        <v/>
      </c>
      <c r="CT231" s="19" t="str">
        <f>IF('ODBC Data'!$I$15&gt;227,228,"")</f>
        <v/>
      </c>
      <c r="CU231" s="17" t="str">
        <f t="shared" si="33"/>
        <v/>
      </c>
      <c r="CV231" s="57" t="str">
        <f>IF(ISNA(VLOOKUP(CU231,'ODBC Data'!$B$1:$J$500,3,0)),"",VLOOKUP(CU231,'ODBC Data'!$B$1:$J$500,3,0))</f>
        <v/>
      </c>
      <c r="CW231" s="57" t="str">
        <f>IF(ISNA(VLOOKUP(CU231,'ODBC Data'!$B$1:$J$500,4,0)),"",VLOOKUP(CU231,'ODBC Data'!$B$1:$J$500,4,0))</f>
        <v/>
      </c>
      <c r="CX231" s="57" t="str">
        <f>IF(ISNA(VLOOKUP(CU231,'ODBC Data'!$B$1:$J$500,5,0)),"",VLOOKUP(CU231,'ODBC Data'!$B$1:$J$500,5,0))</f>
        <v/>
      </c>
      <c r="EI231" s="19" t="str">
        <f>IF('ODBC Data'!$I$21&gt;227,'ODBC Data'!$H$21,"")</f>
        <v/>
      </c>
      <c r="EJ231" s="19" t="str">
        <f>IF('ODBC Data'!$I$21&gt;227,228,"")</f>
        <v/>
      </c>
      <c r="EK231" s="17" t="str">
        <f t="shared" si="34"/>
        <v/>
      </c>
      <c r="EL231" s="57" t="str">
        <f>IF(ISNA(VLOOKUP(EK231,'ODBC Data'!$B$1:$J$500,3,0)),"",VLOOKUP(EK231,'ODBC Data'!$B$1:$J$500,3,0))</f>
        <v/>
      </c>
      <c r="EM231" s="57" t="str">
        <f>IF(ISNA(VLOOKUP(EK231,'ODBC Data'!$B$1:$J$500,4,0)),"",VLOOKUP(EK231,'ODBC Data'!$B$1:$J$500,4,0))</f>
        <v/>
      </c>
      <c r="EN231" s="57" t="str">
        <f>IF(ISNA(VLOOKUP(EK231,'ODBC Data'!$B$1:$J$500,5,0)),"",VLOOKUP(EK231,'ODBC Data'!$B$1:$J$500,5,0))</f>
        <v/>
      </c>
    </row>
    <row r="232" spans="97:144">
      <c r="CS232" s="19" t="str">
        <f>IF('ODBC Data'!$I$15&gt;228,'ODBC Data'!$H$15,"")</f>
        <v/>
      </c>
      <c r="CT232" s="19" t="str">
        <f>IF('ODBC Data'!$I$15&gt;228,229,"")</f>
        <v/>
      </c>
      <c r="CU232" s="17" t="str">
        <f t="shared" si="33"/>
        <v/>
      </c>
      <c r="CV232" s="57" t="str">
        <f>IF(ISNA(VLOOKUP(CU232,'ODBC Data'!$B$1:$J$500,3,0)),"",VLOOKUP(CU232,'ODBC Data'!$B$1:$J$500,3,0))</f>
        <v/>
      </c>
      <c r="CW232" s="57" t="str">
        <f>IF(ISNA(VLOOKUP(CU232,'ODBC Data'!$B$1:$J$500,4,0)),"",VLOOKUP(CU232,'ODBC Data'!$B$1:$J$500,4,0))</f>
        <v/>
      </c>
      <c r="CX232" s="57" t="str">
        <f>IF(ISNA(VLOOKUP(CU232,'ODBC Data'!$B$1:$J$500,5,0)),"",VLOOKUP(CU232,'ODBC Data'!$B$1:$J$500,5,0))</f>
        <v/>
      </c>
      <c r="EI232" s="19" t="str">
        <f>IF('ODBC Data'!$I$21&gt;228,'ODBC Data'!$H$21,"")</f>
        <v/>
      </c>
      <c r="EJ232" s="19" t="str">
        <f>IF('ODBC Data'!$I$21&gt;228,229,"")</f>
        <v/>
      </c>
      <c r="EK232" s="17" t="str">
        <f t="shared" si="34"/>
        <v/>
      </c>
      <c r="EL232" s="57" t="str">
        <f>IF(ISNA(VLOOKUP(EK232,'ODBC Data'!$B$1:$J$500,3,0)),"",VLOOKUP(EK232,'ODBC Data'!$B$1:$J$500,3,0))</f>
        <v/>
      </c>
      <c r="EM232" s="57" t="str">
        <f>IF(ISNA(VLOOKUP(EK232,'ODBC Data'!$B$1:$J$500,4,0)),"",VLOOKUP(EK232,'ODBC Data'!$B$1:$J$500,4,0))</f>
        <v/>
      </c>
      <c r="EN232" s="57" t="str">
        <f>IF(ISNA(VLOOKUP(EK232,'ODBC Data'!$B$1:$J$500,5,0)),"",VLOOKUP(EK232,'ODBC Data'!$B$1:$J$500,5,0))</f>
        <v/>
      </c>
    </row>
    <row r="233" spans="97:144">
      <c r="CS233" s="19" t="str">
        <f>IF('ODBC Data'!$I$15&gt;229,'ODBC Data'!$H$15,"")</f>
        <v/>
      </c>
      <c r="CT233" s="19" t="str">
        <f>IF('ODBC Data'!$I$15&gt;229,230,"")</f>
        <v/>
      </c>
      <c r="CU233" s="17" t="str">
        <f t="shared" si="33"/>
        <v/>
      </c>
      <c r="CV233" s="57" t="str">
        <f>IF(ISNA(VLOOKUP(CU233,'ODBC Data'!$B$1:$J$500,3,0)),"",VLOOKUP(CU233,'ODBC Data'!$B$1:$J$500,3,0))</f>
        <v/>
      </c>
      <c r="CW233" s="57" t="str">
        <f>IF(ISNA(VLOOKUP(CU233,'ODBC Data'!$B$1:$J$500,4,0)),"",VLOOKUP(CU233,'ODBC Data'!$B$1:$J$500,4,0))</f>
        <v/>
      </c>
      <c r="CX233" s="57" t="str">
        <f>IF(ISNA(VLOOKUP(CU233,'ODBC Data'!$B$1:$J$500,5,0)),"",VLOOKUP(CU233,'ODBC Data'!$B$1:$J$500,5,0))</f>
        <v/>
      </c>
      <c r="EI233" s="19" t="str">
        <f>IF('ODBC Data'!$I$21&gt;229,'ODBC Data'!$H$21,"")</f>
        <v/>
      </c>
      <c r="EJ233" s="19" t="str">
        <f>IF('ODBC Data'!$I$21&gt;229,230,"")</f>
        <v/>
      </c>
      <c r="EK233" s="17" t="str">
        <f t="shared" si="34"/>
        <v/>
      </c>
      <c r="EL233" s="57" t="str">
        <f>IF(ISNA(VLOOKUP(EK233,'ODBC Data'!$B$1:$J$500,3,0)),"",VLOOKUP(EK233,'ODBC Data'!$B$1:$J$500,3,0))</f>
        <v/>
      </c>
      <c r="EM233" s="57" t="str">
        <f>IF(ISNA(VLOOKUP(EK233,'ODBC Data'!$B$1:$J$500,4,0)),"",VLOOKUP(EK233,'ODBC Data'!$B$1:$J$500,4,0))</f>
        <v/>
      </c>
      <c r="EN233" s="57" t="str">
        <f>IF(ISNA(VLOOKUP(EK233,'ODBC Data'!$B$1:$J$500,5,0)),"",VLOOKUP(EK233,'ODBC Data'!$B$1:$J$500,5,0))</f>
        <v/>
      </c>
    </row>
    <row r="234" spans="97:144">
      <c r="CS234" s="19" t="str">
        <f>IF('ODBC Data'!$I$15&gt;230,'ODBC Data'!$H$15,"")</f>
        <v/>
      </c>
      <c r="CT234" s="19" t="str">
        <f>IF('ODBC Data'!$I$15&gt;230,231,"")</f>
        <v/>
      </c>
      <c r="CU234" s="17" t="str">
        <f t="shared" si="33"/>
        <v/>
      </c>
      <c r="CV234" s="57" t="str">
        <f>IF(ISNA(VLOOKUP(CU234,'ODBC Data'!$B$1:$J$500,3,0)),"",VLOOKUP(CU234,'ODBC Data'!$B$1:$J$500,3,0))</f>
        <v/>
      </c>
      <c r="CW234" s="57" t="str">
        <f>IF(ISNA(VLOOKUP(CU234,'ODBC Data'!$B$1:$J$500,4,0)),"",VLOOKUP(CU234,'ODBC Data'!$B$1:$J$500,4,0))</f>
        <v/>
      </c>
      <c r="CX234" s="57" t="str">
        <f>IF(ISNA(VLOOKUP(CU234,'ODBC Data'!$B$1:$J$500,5,0)),"",VLOOKUP(CU234,'ODBC Data'!$B$1:$J$500,5,0))</f>
        <v/>
      </c>
      <c r="EI234" s="19" t="str">
        <f>IF('ODBC Data'!$I$21&gt;230,'ODBC Data'!$H$21,"")</f>
        <v/>
      </c>
      <c r="EJ234" s="19" t="str">
        <f>IF('ODBC Data'!$I$21&gt;230,231,"")</f>
        <v/>
      </c>
      <c r="EK234" s="17" t="str">
        <f t="shared" si="34"/>
        <v/>
      </c>
      <c r="EL234" s="57" t="str">
        <f>IF(ISNA(VLOOKUP(EK234,'ODBC Data'!$B$1:$J$500,3,0)),"",VLOOKUP(EK234,'ODBC Data'!$B$1:$J$500,3,0))</f>
        <v/>
      </c>
      <c r="EM234" s="57" t="str">
        <f>IF(ISNA(VLOOKUP(EK234,'ODBC Data'!$B$1:$J$500,4,0)),"",VLOOKUP(EK234,'ODBC Data'!$B$1:$J$500,4,0))</f>
        <v/>
      </c>
      <c r="EN234" s="57" t="str">
        <f>IF(ISNA(VLOOKUP(EK234,'ODBC Data'!$B$1:$J$500,5,0)),"",VLOOKUP(EK234,'ODBC Data'!$B$1:$J$500,5,0))</f>
        <v/>
      </c>
    </row>
    <row r="235" spans="97:144">
      <c r="CS235" s="19" t="str">
        <f>IF('ODBC Data'!$I$15&gt;231,'ODBC Data'!$H$15,"")</f>
        <v/>
      </c>
      <c r="CT235" s="19" t="str">
        <f>IF('ODBC Data'!$I$15&gt;231,232,"")</f>
        <v/>
      </c>
      <c r="CU235" s="17" t="str">
        <f t="shared" si="33"/>
        <v/>
      </c>
      <c r="CV235" s="57" t="str">
        <f>IF(ISNA(VLOOKUP(CU235,'ODBC Data'!$B$1:$J$500,3,0)),"",VLOOKUP(CU235,'ODBC Data'!$B$1:$J$500,3,0))</f>
        <v/>
      </c>
      <c r="CW235" s="57" t="str">
        <f>IF(ISNA(VLOOKUP(CU235,'ODBC Data'!$B$1:$J$500,4,0)),"",VLOOKUP(CU235,'ODBC Data'!$B$1:$J$500,4,0))</f>
        <v/>
      </c>
      <c r="CX235" s="57" t="str">
        <f>IF(ISNA(VLOOKUP(CU235,'ODBC Data'!$B$1:$J$500,5,0)),"",VLOOKUP(CU235,'ODBC Data'!$B$1:$J$500,5,0))</f>
        <v/>
      </c>
      <c r="EI235" s="19" t="str">
        <f>IF('ODBC Data'!$I$21&gt;231,'ODBC Data'!$H$21,"")</f>
        <v/>
      </c>
      <c r="EJ235" s="19" t="str">
        <f>IF('ODBC Data'!$I$21&gt;231,232,"")</f>
        <v/>
      </c>
      <c r="EK235" s="17" t="str">
        <f t="shared" si="34"/>
        <v/>
      </c>
      <c r="EL235" s="57" t="str">
        <f>IF(ISNA(VLOOKUP(EK235,'ODBC Data'!$B$1:$J$500,3,0)),"",VLOOKUP(EK235,'ODBC Data'!$B$1:$J$500,3,0))</f>
        <v/>
      </c>
      <c r="EM235" s="57" t="str">
        <f>IF(ISNA(VLOOKUP(EK235,'ODBC Data'!$B$1:$J$500,4,0)),"",VLOOKUP(EK235,'ODBC Data'!$B$1:$J$500,4,0))</f>
        <v/>
      </c>
      <c r="EN235" s="57" t="str">
        <f>IF(ISNA(VLOOKUP(EK235,'ODBC Data'!$B$1:$J$500,5,0)),"",VLOOKUP(EK235,'ODBC Data'!$B$1:$J$500,5,0))</f>
        <v/>
      </c>
    </row>
    <row r="236" spans="97:144">
      <c r="CS236" s="19" t="str">
        <f>IF('ODBC Data'!$I$15&gt;232,'ODBC Data'!$H$15,"")</f>
        <v/>
      </c>
      <c r="CT236" s="19" t="str">
        <f>IF('ODBC Data'!$I$15&gt;232,233,"")</f>
        <v/>
      </c>
      <c r="CU236" s="17" t="str">
        <f t="shared" si="33"/>
        <v/>
      </c>
      <c r="CV236" s="57" t="str">
        <f>IF(ISNA(VLOOKUP(CU236,'ODBC Data'!$B$1:$J$500,3,0)),"",VLOOKUP(CU236,'ODBC Data'!$B$1:$J$500,3,0))</f>
        <v/>
      </c>
      <c r="CW236" s="57" t="str">
        <f>IF(ISNA(VLOOKUP(CU236,'ODBC Data'!$B$1:$J$500,4,0)),"",VLOOKUP(CU236,'ODBC Data'!$B$1:$J$500,4,0))</f>
        <v/>
      </c>
      <c r="CX236" s="57" t="str">
        <f>IF(ISNA(VLOOKUP(CU236,'ODBC Data'!$B$1:$J$500,5,0)),"",VLOOKUP(CU236,'ODBC Data'!$B$1:$J$500,5,0))</f>
        <v/>
      </c>
      <c r="EI236" s="19" t="str">
        <f>IF('ODBC Data'!$I$21&gt;232,'ODBC Data'!$H$21,"")</f>
        <v/>
      </c>
      <c r="EJ236" s="19" t="str">
        <f>IF('ODBC Data'!$I$21&gt;232,233,"")</f>
        <v/>
      </c>
      <c r="EK236" s="17" t="str">
        <f t="shared" si="34"/>
        <v/>
      </c>
      <c r="EL236" s="57" t="str">
        <f>IF(ISNA(VLOOKUP(EK236,'ODBC Data'!$B$1:$J$500,3,0)),"",VLOOKUP(EK236,'ODBC Data'!$B$1:$J$500,3,0))</f>
        <v/>
      </c>
      <c r="EM236" s="57" t="str">
        <f>IF(ISNA(VLOOKUP(EK236,'ODBC Data'!$B$1:$J$500,4,0)),"",VLOOKUP(EK236,'ODBC Data'!$B$1:$J$500,4,0))</f>
        <v/>
      </c>
      <c r="EN236" s="57" t="str">
        <f>IF(ISNA(VLOOKUP(EK236,'ODBC Data'!$B$1:$J$500,5,0)),"",VLOOKUP(EK236,'ODBC Data'!$B$1:$J$500,5,0))</f>
        <v/>
      </c>
    </row>
    <row r="237" spans="97:144">
      <c r="CS237" s="19" t="str">
        <f>IF('ODBC Data'!$I$15&gt;233,'ODBC Data'!$H$15,"")</f>
        <v/>
      </c>
      <c r="CT237" s="19" t="str">
        <f>IF('ODBC Data'!$I$15&gt;233,234,"")</f>
        <v/>
      </c>
      <c r="CU237" s="17" t="str">
        <f t="shared" si="33"/>
        <v/>
      </c>
      <c r="CV237" s="57" t="str">
        <f>IF(ISNA(VLOOKUP(CU237,'ODBC Data'!$B$1:$J$500,3,0)),"",VLOOKUP(CU237,'ODBC Data'!$B$1:$J$500,3,0))</f>
        <v/>
      </c>
      <c r="CW237" s="57" t="str">
        <f>IF(ISNA(VLOOKUP(CU237,'ODBC Data'!$B$1:$J$500,4,0)),"",VLOOKUP(CU237,'ODBC Data'!$B$1:$J$500,4,0))</f>
        <v/>
      </c>
      <c r="CX237" s="57" t="str">
        <f>IF(ISNA(VLOOKUP(CU237,'ODBC Data'!$B$1:$J$500,5,0)),"",VLOOKUP(CU237,'ODBC Data'!$B$1:$J$500,5,0))</f>
        <v/>
      </c>
      <c r="EI237" s="19" t="str">
        <f>IF('ODBC Data'!$I$21&gt;233,'ODBC Data'!$H$21,"")</f>
        <v/>
      </c>
      <c r="EJ237" s="19" t="str">
        <f>IF('ODBC Data'!$I$21&gt;233,234,"")</f>
        <v/>
      </c>
      <c r="EK237" s="17" t="str">
        <f t="shared" si="34"/>
        <v/>
      </c>
      <c r="EL237" s="57" t="str">
        <f>IF(ISNA(VLOOKUP(EK237,'ODBC Data'!$B$1:$J$500,3,0)),"",VLOOKUP(EK237,'ODBC Data'!$B$1:$J$500,3,0))</f>
        <v/>
      </c>
      <c r="EM237" s="57" t="str">
        <f>IF(ISNA(VLOOKUP(EK237,'ODBC Data'!$B$1:$J$500,4,0)),"",VLOOKUP(EK237,'ODBC Data'!$B$1:$J$500,4,0))</f>
        <v/>
      </c>
      <c r="EN237" s="57" t="str">
        <f>IF(ISNA(VLOOKUP(EK237,'ODBC Data'!$B$1:$J$500,5,0)),"",VLOOKUP(EK237,'ODBC Data'!$B$1:$J$500,5,0))</f>
        <v/>
      </c>
    </row>
    <row r="238" spans="97:144">
      <c r="CS238" s="19" t="str">
        <f>IF('ODBC Data'!$I$15&gt;234,'ODBC Data'!$H$15,"")</f>
        <v/>
      </c>
      <c r="CT238" s="19" t="str">
        <f>IF('ODBC Data'!$I$15&gt;234,235,"")</f>
        <v/>
      </c>
      <c r="CU238" s="17" t="str">
        <f t="shared" si="33"/>
        <v/>
      </c>
      <c r="CV238" s="57" t="str">
        <f>IF(ISNA(VLOOKUP(CU238,'ODBC Data'!$B$1:$J$500,3,0)),"",VLOOKUP(CU238,'ODBC Data'!$B$1:$J$500,3,0))</f>
        <v/>
      </c>
      <c r="CW238" s="57" t="str">
        <f>IF(ISNA(VLOOKUP(CU238,'ODBC Data'!$B$1:$J$500,4,0)),"",VLOOKUP(CU238,'ODBC Data'!$B$1:$J$500,4,0))</f>
        <v/>
      </c>
      <c r="CX238" s="57" t="str">
        <f>IF(ISNA(VLOOKUP(CU238,'ODBC Data'!$B$1:$J$500,5,0)),"",VLOOKUP(CU238,'ODBC Data'!$B$1:$J$500,5,0))</f>
        <v/>
      </c>
      <c r="EI238" s="19" t="str">
        <f>IF('ODBC Data'!$I$21&gt;234,'ODBC Data'!$H$21,"")</f>
        <v/>
      </c>
      <c r="EJ238" s="19" t="str">
        <f>IF('ODBC Data'!$I$21&gt;234,235,"")</f>
        <v/>
      </c>
      <c r="EK238" s="17" t="str">
        <f t="shared" si="34"/>
        <v/>
      </c>
      <c r="EL238" s="57" t="str">
        <f>IF(ISNA(VLOOKUP(EK238,'ODBC Data'!$B$1:$J$500,3,0)),"",VLOOKUP(EK238,'ODBC Data'!$B$1:$J$500,3,0))</f>
        <v/>
      </c>
      <c r="EM238" s="57" t="str">
        <f>IF(ISNA(VLOOKUP(EK238,'ODBC Data'!$B$1:$J$500,4,0)),"",VLOOKUP(EK238,'ODBC Data'!$B$1:$J$500,4,0))</f>
        <v/>
      </c>
      <c r="EN238" s="57" t="str">
        <f>IF(ISNA(VLOOKUP(EK238,'ODBC Data'!$B$1:$J$500,5,0)),"",VLOOKUP(EK238,'ODBC Data'!$B$1:$J$500,5,0))</f>
        <v/>
      </c>
    </row>
    <row r="239" spans="97:144">
      <c r="CS239" s="19" t="str">
        <f>IF('ODBC Data'!$I$15&gt;235,'ODBC Data'!$H$15,"")</f>
        <v/>
      </c>
      <c r="CT239" s="19" t="str">
        <f>IF('ODBC Data'!$I$15&gt;235,236,"")</f>
        <v/>
      </c>
      <c r="CU239" s="17" t="str">
        <f t="shared" si="33"/>
        <v/>
      </c>
      <c r="CV239" s="57" t="str">
        <f>IF(ISNA(VLOOKUP(CU239,'ODBC Data'!$B$1:$J$500,3,0)),"",VLOOKUP(CU239,'ODBC Data'!$B$1:$J$500,3,0))</f>
        <v/>
      </c>
      <c r="CW239" s="57" t="str">
        <f>IF(ISNA(VLOOKUP(CU239,'ODBC Data'!$B$1:$J$500,4,0)),"",VLOOKUP(CU239,'ODBC Data'!$B$1:$J$500,4,0))</f>
        <v/>
      </c>
      <c r="CX239" s="57" t="str">
        <f>IF(ISNA(VLOOKUP(CU239,'ODBC Data'!$B$1:$J$500,5,0)),"",VLOOKUP(CU239,'ODBC Data'!$B$1:$J$500,5,0))</f>
        <v/>
      </c>
      <c r="EI239" s="19" t="str">
        <f>IF('ODBC Data'!$I$21&gt;235,'ODBC Data'!$H$21,"")</f>
        <v/>
      </c>
      <c r="EJ239" s="19" t="str">
        <f>IF('ODBC Data'!$I$21&gt;235,236,"")</f>
        <v/>
      </c>
      <c r="EK239" s="17" t="str">
        <f t="shared" si="34"/>
        <v/>
      </c>
      <c r="EL239" s="57" t="str">
        <f>IF(ISNA(VLOOKUP(EK239,'ODBC Data'!$B$1:$J$500,3,0)),"",VLOOKUP(EK239,'ODBC Data'!$B$1:$J$500,3,0))</f>
        <v/>
      </c>
      <c r="EM239" s="57" t="str">
        <f>IF(ISNA(VLOOKUP(EK239,'ODBC Data'!$B$1:$J$500,4,0)),"",VLOOKUP(EK239,'ODBC Data'!$B$1:$J$500,4,0))</f>
        <v/>
      </c>
      <c r="EN239" s="57" t="str">
        <f>IF(ISNA(VLOOKUP(EK239,'ODBC Data'!$B$1:$J$500,5,0)),"",VLOOKUP(EK239,'ODBC Data'!$B$1:$J$500,5,0))</f>
        <v/>
      </c>
    </row>
    <row r="240" spans="97:144">
      <c r="CS240" s="19" t="str">
        <f>IF('ODBC Data'!$I$15&gt;236,'ODBC Data'!$H$15,"")</f>
        <v/>
      </c>
      <c r="CT240" s="19" t="str">
        <f>IF('ODBC Data'!$I$15&gt;236,237,"")</f>
        <v/>
      </c>
      <c r="CU240" s="17" t="str">
        <f t="shared" si="33"/>
        <v/>
      </c>
      <c r="CV240" s="57" t="str">
        <f>IF(ISNA(VLOOKUP(CU240,'ODBC Data'!$B$1:$J$500,3,0)),"",VLOOKUP(CU240,'ODBC Data'!$B$1:$J$500,3,0))</f>
        <v/>
      </c>
      <c r="CW240" s="57" t="str">
        <f>IF(ISNA(VLOOKUP(CU240,'ODBC Data'!$B$1:$J$500,4,0)),"",VLOOKUP(CU240,'ODBC Data'!$B$1:$J$500,4,0))</f>
        <v/>
      </c>
      <c r="CX240" s="57" t="str">
        <f>IF(ISNA(VLOOKUP(CU240,'ODBC Data'!$B$1:$J$500,5,0)),"",VLOOKUP(CU240,'ODBC Data'!$B$1:$J$500,5,0))</f>
        <v/>
      </c>
      <c r="EI240" s="19" t="str">
        <f>IF('ODBC Data'!$I$21&gt;236,'ODBC Data'!$H$21,"")</f>
        <v/>
      </c>
      <c r="EJ240" s="19" t="str">
        <f>IF('ODBC Data'!$I$21&gt;236,237,"")</f>
        <v/>
      </c>
      <c r="EK240" s="17" t="str">
        <f t="shared" si="34"/>
        <v/>
      </c>
      <c r="EL240" s="57" t="str">
        <f>IF(ISNA(VLOOKUP(EK240,'ODBC Data'!$B$1:$J$500,3,0)),"",VLOOKUP(EK240,'ODBC Data'!$B$1:$J$500,3,0))</f>
        <v/>
      </c>
      <c r="EM240" s="57" t="str">
        <f>IF(ISNA(VLOOKUP(EK240,'ODBC Data'!$B$1:$J$500,4,0)),"",VLOOKUP(EK240,'ODBC Data'!$B$1:$J$500,4,0))</f>
        <v/>
      </c>
      <c r="EN240" s="57" t="str">
        <f>IF(ISNA(VLOOKUP(EK240,'ODBC Data'!$B$1:$J$500,5,0)),"",VLOOKUP(EK240,'ODBC Data'!$B$1:$J$500,5,0))</f>
        <v/>
      </c>
    </row>
    <row r="241" spans="97:144">
      <c r="CS241" s="19" t="str">
        <f>IF('ODBC Data'!$I$15&gt;237,'ODBC Data'!$H$15,"")</f>
        <v/>
      </c>
      <c r="CT241" s="19" t="str">
        <f>IF('ODBC Data'!$I$15&gt;237,238,"")</f>
        <v/>
      </c>
      <c r="CU241" s="17" t="str">
        <f t="shared" si="33"/>
        <v/>
      </c>
      <c r="CV241" s="57" t="str">
        <f>IF(ISNA(VLOOKUP(CU241,'ODBC Data'!$B$1:$J$500,3,0)),"",VLOOKUP(CU241,'ODBC Data'!$B$1:$J$500,3,0))</f>
        <v/>
      </c>
      <c r="CW241" s="57" t="str">
        <f>IF(ISNA(VLOOKUP(CU241,'ODBC Data'!$B$1:$J$500,4,0)),"",VLOOKUP(CU241,'ODBC Data'!$B$1:$J$500,4,0))</f>
        <v/>
      </c>
      <c r="CX241" s="57" t="str">
        <f>IF(ISNA(VLOOKUP(CU241,'ODBC Data'!$B$1:$J$500,5,0)),"",VLOOKUP(CU241,'ODBC Data'!$B$1:$J$500,5,0))</f>
        <v/>
      </c>
      <c r="EI241" s="19" t="str">
        <f>IF('ODBC Data'!$I$21&gt;237,'ODBC Data'!$H$21,"")</f>
        <v/>
      </c>
      <c r="EJ241" s="19" t="str">
        <f>IF('ODBC Data'!$I$21&gt;237,238,"")</f>
        <v/>
      </c>
      <c r="EK241" s="17" t="str">
        <f t="shared" si="34"/>
        <v/>
      </c>
      <c r="EL241" s="57" t="str">
        <f>IF(ISNA(VLOOKUP(EK241,'ODBC Data'!$B$1:$J$500,3,0)),"",VLOOKUP(EK241,'ODBC Data'!$B$1:$J$500,3,0))</f>
        <v/>
      </c>
      <c r="EM241" s="57" t="str">
        <f>IF(ISNA(VLOOKUP(EK241,'ODBC Data'!$B$1:$J$500,4,0)),"",VLOOKUP(EK241,'ODBC Data'!$B$1:$J$500,4,0))</f>
        <v/>
      </c>
      <c r="EN241" s="57" t="str">
        <f>IF(ISNA(VLOOKUP(EK241,'ODBC Data'!$B$1:$J$500,5,0)),"",VLOOKUP(EK241,'ODBC Data'!$B$1:$J$500,5,0))</f>
        <v/>
      </c>
    </row>
    <row r="242" spans="97:144">
      <c r="CS242" s="19" t="str">
        <f>IF('ODBC Data'!$I$15&gt;238,'ODBC Data'!$H$15,"")</f>
        <v/>
      </c>
      <c r="CT242" s="19" t="str">
        <f>IF('ODBC Data'!$I$15&gt;238,239,"")</f>
        <v/>
      </c>
      <c r="CU242" s="17" t="str">
        <f t="shared" si="33"/>
        <v/>
      </c>
      <c r="CV242" s="57" t="str">
        <f>IF(ISNA(VLOOKUP(CU242,'ODBC Data'!$B$1:$J$500,3,0)),"",VLOOKUP(CU242,'ODBC Data'!$B$1:$J$500,3,0))</f>
        <v/>
      </c>
      <c r="CW242" s="57" t="str">
        <f>IF(ISNA(VLOOKUP(CU242,'ODBC Data'!$B$1:$J$500,4,0)),"",VLOOKUP(CU242,'ODBC Data'!$B$1:$J$500,4,0))</f>
        <v/>
      </c>
      <c r="CX242" s="57" t="str">
        <f>IF(ISNA(VLOOKUP(CU242,'ODBC Data'!$B$1:$J$500,5,0)),"",VLOOKUP(CU242,'ODBC Data'!$B$1:$J$500,5,0))</f>
        <v/>
      </c>
      <c r="EI242" s="19" t="str">
        <f>IF('ODBC Data'!$I$21&gt;238,'ODBC Data'!$H$21,"")</f>
        <v/>
      </c>
      <c r="EJ242" s="19" t="str">
        <f>IF('ODBC Data'!$I$21&gt;238,239,"")</f>
        <v/>
      </c>
      <c r="EK242" s="17" t="str">
        <f t="shared" si="34"/>
        <v/>
      </c>
      <c r="EL242" s="57" t="str">
        <f>IF(ISNA(VLOOKUP(EK242,'ODBC Data'!$B$1:$J$500,3,0)),"",VLOOKUP(EK242,'ODBC Data'!$B$1:$J$500,3,0))</f>
        <v/>
      </c>
      <c r="EM242" s="57" t="str">
        <f>IF(ISNA(VLOOKUP(EK242,'ODBC Data'!$B$1:$J$500,4,0)),"",VLOOKUP(EK242,'ODBC Data'!$B$1:$J$500,4,0))</f>
        <v/>
      </c>
      <c r="EN242" s="57" t="str">
        <f>IF(ISNA(VLOOKUP(EK242,'ODBC Data'!$B$1:$J$500,5,0)),"",VLOOKUP(EK242,'ODBC Data'!$B$1:$J$500,5,0))</f>
        <v/>
      </c>
    </row>
    <row r="243" spans="97:144">
      <c r="CS243" s="19" t="str">
        <f>IF('ODBC Data'!$I$15&gt;239,'ODBC Data'!$H$15,"")</f>
        <v/>
      </c>
      <c r="CT243" s="19" t="str">
        <f>IF('ODBC Data'!$I$15&gt;239,240,"")</f>
        <v/>
      </c>
      <c r="CU243" s="17" t="str">
        <f t="shared" si="33"/>
        <v/>
      </c>
      <c r="CV243" s="57" t="str">
        <f>IF(ISNA(VLOOKUP(CU243,'ODBC Data'!$B$1:$J$500,3,0)),"",VLOOKUP(CU243,'ODBC Data'!$B$1:$J$500,3,0))</f>
        <v/>
      </c>
      <c r="CW243" s="57" t="str">
        <f>IF(ISNA(VLOOKUP(CU243,'ODBC Data'!$B$1:$J$500,4,0)),"",VLOOKUP(CU243,'ODBC Data'!$B$1:$J$500,4,0))</f>
        <v/>
      </c>
      <c r="CX243" s="57" t="str">
        <f>IF(ISNA(VLOOKUP(CU243,'ODBC Data'!$B$1:$J$500,5,0)),"",VLOOKUP(CU243,'ODBC Data'!$B$1:$J$500,5,0))</f>
        <v/>
      </c>
      <c r="EI243" s="19" t="str">
        <f>IF('ODBC Data'!$I$21&gt;239,'ODBC Data'!$H$21,"")</f>
        <v/>
      </c>
      <c r="EJ243" s="19" t="str">
        <f>IF('ODBC Data'!$I$21&gt;239,240,"")</f>
        <v/>
      </c>
      <c r="EK243" s="17" t="str">
        <f t="shared" si="34"/>
        <v/>
      </c>
      <c r="EL243" s="57" t="str">
        <f>IF(ISNA(VLOOKUP(EK243,'ODBC Data'!$B$1:$J$500,3,0)),"",VLOOKUP(EK243,'ODBC Data'!$B$1:$J$500,3,0))</f>
        <v/>
      </c>
      <c r="EM243" s="57" t="str">
        <f>IF(ISNA(VLOOKUP(EK243,'ODBC Data'!$B$1:$J$500,4,0)),"",VLOOKUP(EK243,'ODBC Data'!$B$1:$J$500,4,0))</f>
        <v/>
      </c>
      <c r="EN243" s="57" t="str">
        <f>IF(ISNA(VLOOKUP(EK243,'ODBC Data'!$B$1:$J$500,5,0)),"",VLOOKUP(EK243,'ODBC Data'!$B$1:$J$500,5,0))</f>
        <v/>
      </c>
    </row>
    <row r="244" spans="97:144">
      <c r="CS244" s="19" t="str">
        <f>IF('ODBC Data'!$I$15&gt;240,'ODBC Data'!$H$15,"")</f>
        <v/>
      </c>
      <c r="CT244" s="19" t="str">
        <f>IF('ODBC Data'!$I$15&gt;240,241,"")</f>
        <v/>
      </c>
      <c r="CU244" s="17" t="str">
        <f t="shared" si="33"/>
        <v/>
      </c>
      <c r="CV244" s="57" t="str">
        <f>IF(ISNA(VLOOKUP(CU244,'ODBC Data'!$B$1:$J$500,3,0)),"",VLOOKUP(CU244,'ODBC Data'!$B$1:$J$500,3,0))</f>
        <v/>
      </c>
      <c r="CW244" s="57" t="str">
        <f>IF(ISNA(VLOOKUP(CU244,'ODBC Data'!$B$1:$J$500,4,0)),"",VLOOKUP(CU244,'ODBC Data'!$B$1:$J$500,4,0))</f>
        <v/>
      </c>
      <c r="CX244" s="57" t="str">
        <f>IF(ISNA(VLOOKUP(CU244,'ODBC Data'!$B$1:$J$500,5,0)),"",VLOOKUP(CU244,'ODBC Data'!$B$1:$J$500,5,0))</f>
        <v/>
      </c>
      <c r="EI244" s="19" t="str">
        <f>IF('ODBC Data'!$I$21&gt;240,'ODBC Data'!$H$21,"")</f>
        <v/>
      </c>
      <c r="EJ244" s="19" t="str">
        <f>IF('ODBC Data'!$I$21&gt;240,241,"")</f>
        <v/>
      </c>
      <c r="EK244" s="17" t="str">
        <f t="shared" si="34"/>
        <v/>
      </c>
      <c r="EL244" s="57" t="str">
        <f>IF(ISNA(VLOOKUP(EK244,'ODBC Data'!$B$1:$J$500,3,0)),"",VLOOKUP(EK244,'ODBC Data'!$B$1:$J$500,3,0))</f>
        <v/>
      </c>
      <c r="EM244" s="57" t="str">
        <f>IF(ISNA(VLOOKUP(EK244,'ODBC Data'!$B$1:$J$500,4,0)),"",VLOOKUP(EK244,'ODBC Data'!$B$1:$J$500,4,0))</f>
        <v/>
      </c>
      <c r="EN244" s="57" t="str">
        <f>IF(ISNA(VLOOKUP(EK244,'ODBC Data'!$B$1:$J$500,5,0)),"",VLOOKUP(EK244,'ODBC Data'!$B$1:$J$500,5,0))</f>
        <v/>
      </c>
    </row>
    <row r="245" spans="97:144">
      <c r="CS245" s="19" t="str">
        <f>IF('ODBC Data'!$I$15&gt;241,'ODBC Data'!$H$15,"")</f>
        <v/>
      </c>
      <c r="CT245" s="19" t="str">
        <f>IF('ODBC Data'!$I$15&gt;241,242,"")</f>
        <v/>
      </c>
      <c r="CU245" s="17" t="str">
        <f t="shared" si="33"/>
        <v/>
      </c>
      <c r="CV245" s="57" t="str">
        <f>IF(ISNA(VLOOKUP(CU245,'ODBC Data'!$B$1:$J$500,3,0)),"",VLOOKUP(CU245,'ODBC Data'!$B$1:$J$500,3,0))</f>
        <v/>
      </c>
      <c r="CW245" s="57" t="str">
        <f>IF(ISNA(VLOOKUP(CU245,'ODBC Data'!$B$1:$J$500,4,0)),"",VLOOKUP(CU245,'ODBC Data'!$B$1:$J$500,4,0))</f>
        <v/>
      </c>
      <c r="CX245" s="57" t="str">
        <f>IF(ISNA(VLOOKUP(CU245,'ODBC Data'!$B$1:$J$500,5,0)),"",VLOOKUP(CU245,'ODBC Data'!$B$1:$J$500,5,0))</f>
        <v/>
      </c>
      <c r="EI245" s="19" t="str">
        <f>IF('ODBC Data'!$I$21&gt;241,'ODBC Data'!$H$21,"")</f>
        <v/>
      </c>
      <c r="EJ245" s="19" t="str">
        <f>IF('ODBC Data'!$I$21&gt;241,242,"")</f>
        <v/>
      </c>
      <c r="EK245" s="17" t="str">
        <f t="shared" si="34"/>
        <v/>
      </c>
      <c r="EL245" s="57" t="str">
        <f>IF(ISNA(VLOOKUP(EK245,'ODBC Data'!$B$1:$J$500,3,0)),"",VLOOKUP(EK245,'ODBC Data'!$B$1:$J$500,3,0))</f>
        <v/>
      </c>
      <c r="EM245" s="57" t="str">
        <f>IF(ISNA(VLOOKUP(EK245,'ODBC Data'!$B$1:$J$500,4,0)),"",VLOOKUP(EK245,'ODBC Data'!$B$1:$J$500,4,0))</f>
        <v/>
      </c>
      <c r="EN245" s="57" t="str">
        <f>IF(ISNA(VLOOKUP(EK245,'ODBC Data'!$B$1:$J$500,5,0)),"",VLOOKUP(EK245,'ODBC Data'!$B$1:$J$500,5,0))</f>
        <v/>
      </c>
    </row>
    <row r="246" spans="97:144">
      <c r="CS246" s="19" t="str">
        <f>IF('ODBC Data'!$I$15&gt;242,'ODBC Data'!$H$15,"")</f>
        <v/>
      </c>
      <c r="CT246" s="19" t="str">
        <f>IF('ODBC Data'!$I$15&gt;242,243,"")</f>
        <v/>
      </c>
      <c r="CU246" s="17" t="str">
        <f t="shared" si="33"/>
        <v/>
      </c>
      <c r="CV246" s="57" t="str">
        <f>IF(ISNA(VLOOKUP(CU246,'ODBC Data'!$B$1:$J$500,3,0)),"",VLOOKUP(CU246,'ODBC Data'!$B$1:$J$500,3,0))</f>
        <v/>
      </c>
      <c r="CW246" s="57" t="str">
        <f>IF(ISNA(VLOOKUP(CU246,'ODBC Data'!$B$1:$J$500,4,0)),"",VLOOKUP(CU246,'ODBC Data'!$B$1:$J$500,4,0))</f>
        <v/>
      </c>
      <c r="CX246" s="57" t="str">
        <f>IF(ISNA(VLOOKUP(CU246,'ODBC Data'!$B$1:$J$500,5,0)),"",VLOOKUP(CU246,'ODBC Data'!$B$1:$J$500,5,0))</f>
        <v/>
      </c>
      <c r="EI246" s="19" t="str">
        <f>IF('ODBC Data'!$I$21&gt;242,'ODBC Data'!$H$21,"")</f>
        <v/>
      </c>
      <c r="EJ246" s="19" t="str">
        <f>IF('ODBC Data'!$I$21&gt;242,243,"")</f>
        <v/>
      </c>
      <c r="EK246" s="17" t="str">
        <f t="shared" si="34"/>
        <v/>
      </c>
      <c r="EL246" s="57" t="str">
        <f>IF(ISNA(VLOOKUP(EK246,'ODBC Data'!$B$1:$J$500,3,0)),"",VLOOKUP(EK246,'ODBC Data'!$B$1:$J$500,3,0))</f>
        <v/>
      </c>
      <c r="EM246" s="57" t="str">
        <f>IF(ISNA(VLOOKUP(EK246,'ODBC Data'!$B$1:$J$500,4,0)),"",VLOOKUP(EK246,'ODBC Data'!$B$1:$J$500,4,0))</f>
        <v/>
      </c>
      <c r="EN246" s="57" t="str">
        <f>IF(ISNA(VLOOKUP(EK246,'ODBC Data'!$B$1:$J$500,5,0)),"",VLOOKUP(EK246,'ODBC Data'!$B$1:$J$500,5,0))</f>
        <v/>
      </c>
    </row>
    <row r="247" spans="97:144">
      <c r="CS247" s="19" t="str">
        <f>IF('ODBC Data'!$I$15&gt;243,'ODBC Data'!$H$15,"")</f>
        <v/>
      </c>
      <c r="CT247" s="19" t="str">
        <f>IF('ODBC Data'!$I$15&gt;243,244,"")</f>
        <v/>
      </c>
      <c r="CU247" s="17" t="str">
        <f t="shared" si="33"/>
        <v/>
      </c>
      <c r="CV247" s="57" t="str">
        <f>IF(ISNA(VLOOKUP(CU247,'ODBC Data'!$B$1:$J$500,3,0)),"",VLOOKUP(CU247,'ODBC Data'!$B$1:$J$500,3,0))</f>
        <v/>
      </c>
      <c r="CW247" s="57" t="str">
        <f>IF(ISNA(VLOOKUP(CU247,'ODBC Data'!$B$1:$J$500,4,0)),"",VLOOKUP(CU247,'ODBC Data'!$B$1:$J$500,4,0))</f>
        <v/>
      </c>
      <c r="CX247" s="57" t="str">
        <f>IF(ISNA(VLOOKUP(CU247,'ODBC Data'!$B$1:$J$500,5,0)),"",VLOOKUP(CU247,'ODBC Data'!$B$1:$J$500,5,0))</f>
        <v/>
      </c>
      <c r="EI247" s="19" t="str">
        <f>IF('ODBC Data'!$I$21&gt;243,'ODBC Data'!$H$21,"")</f>
        <v/>
      </c>
      <c r="EJ247" s="19" t="str">
        <f>IF('ODBC Data'!$I$21&gt;243,244,"")</f>
        <v/>
      </c>
      <c r="EK247" s="17" t="str">
        <f t="shared" si="34"/>
        <v/>
      </c>
      <c r="EL247" s="57" t="str">
        <f>IF(ISNA(VLOOKUP(EK247,'ODBC Data'!$B$1:$J$500,3,0)),"",VLOOKUP(EK247,'ODBC Data'!$B$1:$J$500,3,0))</f>
        <v/>
      </c>
      <c r="EM247" s="57" t="str">
        <f>IF(ISNA(VLOOKUP(EK247,'ODBC Data'!$B$1:$J$500,4,0)),"",VLOOKUP(EK247,'ODBC Data'!$B$1:$J$500,4,0))</f>
        <v/>
      </c>
      <c r="EN247" s="57" t="str">
        <f>IF(ISNA(VLOOKUP(EK247,'ODBC Data'!$B$1:$J$500,5,0)),"",VLOOKUP(EK247,'ODBC Data'!$B$1:$J$500,5,0))</f>
        <v/>
      </c>
    </row>
    <row r="248" spans="97:144">
      <c r="CS248" s="19" t="str">
        <f>IF('ODBC Data'!$I$15&gt;244,'ODBC Data'!$H$15,"")</f>
        <v/>
      </c>
      <c r="CT248" s="19" t="str">
        <f>IF('ODBC Data'!$I$15&gt;244,245,"")</f>
        <v/>
      </c>
      <c r="CU248" s="17" t="str">
        <f t="shared" si="33"/>
        <v/>
      </c>
      <c r="CV248" s="57" t="str">
        <f>IF(ISNA(VLOOKUP(CU248,'ODBC Data'!$B$1:$J$500,3,0)),"",VLOOKUP(CU248,'ODBC Data'!$B$1:$J$500,3,0))</f>
        <v/>
      </c>
      <c r="CW248" s="57" t="str">
        <f>IF(ISNA(VLOOKUP(CU248,'ODBC Data'!$B$1:$J$500,4,0)),"",VLOOKUP(CU248,'ODBC Data'!$B$1:$J$500,4,0))</f>
        <v/>
      </c>
      <c r="CX248" s="57" t="str">
        <f>IF(ISNA(VLOOKUP(CU248,'ODBC Data'!$B$1:$J$500,5,0)),"",VLOOKUP(CU248,'ODBC Data'!$B$1:$J$500,5,0))</f>
        <v/>
      </c>
      <c r="EI248" s="19" t="str">
        <f>IF('ODBC Data'!$I$21&gt;244,'ODBC Data'!$H$21,"")</f>
        <v/>
      </c>
      <c r="EJ248" s="19" t="str">
        <f>IF('ODBC Data'!$I$21&gt;244,245,"")</f>
        <v/>
      </c>
      <c r="EK248" s="17" t="str">
        <f t="shared" si="34"/>
        <v/>
      </c>
      <c r="EL248" s="57" t="str">
        <f>IF(ISNA(VLOOKUP(EK248,'ODBC Data'!$B$1:$J$500,3,0)),"",VLOOKUP(EK248,'ODBC Data'!$B$1:$J$500,3,0))</f>
        <v/>
      </c>
      <c r="EM248" s="57" t="str">
        <f>IF(ISNA(VLOOKUP(EK248,'ODBC Data'!$B$1:$J$500,4,0)),"",VLOOKUP(EK248,'ODBC Data'!$B$1:$J$500,4,0))</f>
        <v/>
      </c>
      <c r="EN248" s="57" t="str">
        <f>IF(ISNA(VLOOKUP(EK248,'ODBC Data'!$B$1:$J$500,5,0)),"",VLOOKUP(EK248,'ODBC Data'!$B$1:$J$500,5,0))</f>
        <v/>
      </c>
    </row>
    <row r="249" spans="97:144">
      <c r="CS249" s="19" t="str">
        <f>IF('ODBC Data'!$I$15&gt;245,'ODBC Data'!$H$15,"")</f>
        <v/>
      </c>
      <c r="CT249" s="19" t="str">
        <f>IF('ODBC Data'!$I$15&gt;245,246,"")</f>
        <v/>
      </c>
      <c r="CU249" s="17" t="str">
        <f t="shared" si="33"/>
        <v/>
      </c>
      <c r="CV249" s="57" t="str">
        <f>IF(ISNA(VLOOKUP(CU249,'ODBC Data'!$B$1:$J$500,3,0)),"",VLOOKUP(CU249,'ODBC Data'!$B$1:$J$500,3,0))</f>
        <v/>
      </c>
      <c r="CW249" s="57" t="str">
        <f>IF(ISNA(VLOOKUP(CU249,'ODBC Data'!$B$1:$J$500,4,0)),"",VLOOKUP(CU249,'ODBC Data'!$B$1:$J$500,4,0))</f>
        <v/>
      </c>
      <c r="CX249" s="57" t="str">
        <f>IF(ISNA(VLOOKUP(CU249,'ODBC Data'!$B$1:$J$500,5,0)),"",VLOOKUP(CU249,'ODBC Data'!$B$1:$J$500,5,0))</f>
        <v/>
      </c>
      <c r="EI249" s="19" t="str">
        <f>IF('ODBC Data'!$I$21&gt;245,'ODBC Data'!$H$21,"")</f>
        <v/>
      </c>
      <c r="EJ249" s="19" t="str">
        <f>IF('ODBC Data'!$I$21&gt;245,246,"")</f>
        <v/>
      </c>
      <c r="EK249" s="17" t="str">
        <f t="shared" si="34"/>
        <v/>
      </c>
      <c r="EL249" s="57" t="str">
        <f>IF(ISNA(VLOOKUP(EK249,'ODBC Data'!$B$1:$J$500,3,0)),"",VLOOKUP(EK249,'ODBC Data'!$B$1:$J$500,3,0))</f>
        <v/>
      </c>
      <c r="EM249" s="57" t="str">
        <f>IF(ISNA(VLOOKUP(EK249,'ODBC Data'!$B$1:$J$500,4,0)),"",VLOOKUP(EK249,'ODBC Data'!$B$1:$J$500,4,0))</f>
        <v/>
      </c>
      <c r="EN249" s="57" t="str">
        <f>IF(ISNA(VLOOKUP(EK249,'ODBC Data'!$B$1:$J$500,5,0)),"",VLOOKUP(EK249,'ODBC Data'!$B$1:$J$500,5,0))</f>
        <v/>
      </c>
    </row>
    <row r="250" spans="97:144">
      <c r="CS250" s="19" t="str">
        <f>IF('ODBC Data'!$I$15&gt;246,'ODBC Data'!$H$15,"")</f>
        <v/>
      </c>
      <c r="CT250" s="19" t="str">
        <f>IF('ODBC Data'!$I$15&gt;246,247,"")</f>
        <v/>
      </c>
      <c r="CU250" s="17" t="str">
        <f t="shared" si="33"/>
        <v/>
      </c>
      <c r="CV250" s="57" t="str">
        <f>IF(ISNA(VLOOKUP(CU250,'ODBC Data'!$B$1:$J$500,3,0)),"",VLOOKUP(CU250,'ODBC Data'!$B$1:$J$500,3,0))</f>
        <v/>
      </c>
      <c r="CW250" s="57" t="str">
        <f>IF(ISNA(VLOOKUP(CU250,'ODBC Data'!$B$1:$J$500,4,0)),"",VLOOKUP(CU250,'ODBC Data'!$B$1:$J$500,4,0))</f>
        <v/>
      </c>
      <c r="CX250" s="57" t="str">
        <f>IF(ISNA(VLOOKUP(CU250,'ODBC Data'!$B$1:$J$500,5,0)),"",VLOOKUP(CU250,'ODBC Data'!$B$1:$J$500,5,0))</f>
        <v/>
      </c>
      <c r="EI250" s="19" t="str">
        <f>IF('ODBC Data'!$I$21&gt;246,'ODBC Data'!$H$21,"")</f>
        <v/>
      </c>
      <c r="EJ250" s="19" t="str">
        <f>IF('ODBC Data'!$I$21&gt;246,247,"")</f>
        <v/>
      </c>
      <c r="EK250" s="17" t="str">
        <f t="shared" si="34"/>
        <v/>
      </c>
      <c r="EL250" s="57" t="str">
        <f>IF(ISNA(VLOOKUP(EK250,'ODBC Data'!$B$1:$J$500,3,0)),"",VLOOKUP(EK250,'ODBC Data'!$B$1:$J$500,3,0))</f>
        <v/>
      </c>
      <c r="EM250" s="57" t="str">
        <f>IF(ISNA(VLOOKUP(EK250,'ODBC Data'!$B$1:$J$500,4,0)),"",VLOOKUP(EK250,'ODBC Data'!$B$1:$J$500,4,0))</f>
        <v/>
      </c>
      <c r="EN250" s="57" t="str">
        <f>IF(ISNA(VLOOKUP(EK250,'ODBC Data'!$B$1:$J$500,5,0)),"",VLOOKUP(EK250,'ODBC Data'!$B$1:$J$500,5,0))</f>
        <v/>
      </c>
    </row>
    <row r="251" spans="97:144">
      <c r="CS251" s="19" t="str">
        <f>IF('ODBC Data'!$I$15&gt;247,'ODBC Data'!$H$15,"")</f>
        <v/>
      </c>
      <c r="CT251" s="19" t="str">
        <f>IF('ODBC Data'!$I$15&gt;247,248,"")</f>
        <v/>
      </c>
      <c r="CU251" s="17" t="str">
        <f t="shared" si="33"/>
        <v/>
      </c>
      <c r="CV251" s="57" t="str">
        <f>IF(ISNA(VLOOKUP(CU251,'ODBC Data'!$B$1:$J$500,3,0)),"",VLOOKUP(CU251,'ODBC Data'!$B$1:$J$500,3,0))</f>
        <v/>
      </c>
      <c r="CW251" s="57" t="str">
        <f>IF(ISNA(VLOOKUP(CU251,'ODBC Data'!$B$1:$J$500,4,0)),"",VLOOKUP(CU251,'ODBC Data'!$B$1:$J$500,4,0))</f>
        <v/>
      </c>
      <c r="CX251" s="57" t="str">
        <f>IF(ISNA(VLOOKUP(CU251,'ODBC Data'!$B$1:$J$500,5,0)),"",VLOOKUP(CU251,'ODBC Data'!$B$1:$J$500,5,0))</f>
        <v/>
      </c>
      <c r="EI251" s="19" t="str">
        <f>IF('ODBC Data'!$I$21&gt;247,'ODBC Data'!$H$21,"")</f>
        <v/>
      </c>
      <c r="EJ251" s="19" t="str">
        <f>IF('ODBC Data'!$I$21&gt;247,248,"")</f>
        <v/>
      </c>
      <c r="EK251" s="17" t="str">
        <f t="shared" si="34"/>
        <v/>
      </c>
      <c r="EL251" s="57" t="str">
        <f>IF(ISNA(VLOOKUP(EK251,'ODBC Data'!$B$1:$J$500,3,0)),"",VLOOKUP(EK251,'ODBC Data'!$B$1:$J$500,3,0))</f>
        <v/>
      </c>
      <c r="EM251" s="57" t="str">
        <f>IF(ISNA(VLOOKUP(EK251,'ODBC Data'!$B$1:$J$500,4,0)),"",VLOOKUP(EK251,'ODBC Data'!$B$1:$J$500,4,0))</f>
        <v/>
      </c>
      <c r="EN251" s="57" t="str">
        <f>IF(ISNA(VLOOKUP(EK251,'ODBC Data'!$B$1:$J$500,5,0)),"",VLOOKUP(EK251,'ODBC Data'!$B$1:$J$500,5,0))</f>
        <v/>
      </c>
    </row>
    <row r="252" spans="97:144">
      <c r="CS252" s="19" t="str">
        <f>IF('ODBC Data'!$I$15&gt;248,'ODBC Data'!$H$15,"")</f>
        <v/>
      </c>
      <c r="CT252" s="19" t="str">
        <f>IF('ODBC Data'!$I$15&gt;248,249,"")</f>
        <v/>
      </c>
      <c r="CU252" s="17" t="str">
        <f t="shared" si="33"/>
        <v/>
      </c>
      <c r="CV252" s="57" t="str">
        <f>IF(ISNA(VLOOKUP(CU252,'ODBC Data'!$B$1:$J$500,3,0)),"",VLOOKUP(CU252,'ODBC Data'!$B$1:$J$500,3,0))</f>
        <v/>
      </c>
      <c r="CW252" s="57" t="str">
        <f>IF(ISNA(VLOOKUP(CU252,'ODBC Data'!$B$1:$J$500,4,0)),"",VLOOKUP(CU252,'ODBC Data'!$B$1:$J$500,4,0))</f>
        <v/>
      </c>
      <c r="CX252" s="57" t="str">
        <f>IF(ISNA(VLOOKUP(CU252,'ODBC Data'!$B$1:$J$500,5,0)),"",VLOOKUP(CU252,'ODBC Data'!$B$1:$J$500,5,0))</f>
        <v/>
      </c>
      <c r="EI252" s="19" t="str">
        <f>IF('ODBC Data'!$I$21&gt;248,'ODBC Data'!$H$21,"")</f>
        <v/>
      </c>
      <c r="EJ252" s="19" t="str">
        <f>IF('ODBC Data'!$I$21&gt;248,249,"")</f>
        <v/>
      </c>
      <c r="EK252" s="17" t="str">
        <f t="shared" si="34"/>
        <v/>
      </c>
      <c r="EL252" s="57" t="str">
        <f>IF(ISNA(VLOOKUP(EK252,'ODBC Data'!$B$1:$J$500,3,0)),"",VLOOKUP(EK252,'ODBC Data'!$B$1:$J$500,3,0))</f>
        <v/>
      </c>
      <c r="EM252" s="57" t="str">
        <f>IF(ISNA(VLOOKUP(EK252,'ODBC Data'!$B$1:$J$500,4,0)),"",VLOOKUP(EK252,'ODBC Data'!$B$1:$J$500,4,0))</f>
        <v/>
      </c>
      <c r="EN252" s="57" t="str">
        <f>IF(ISNA(VLOOKUP(EK252,'ODBC Data'!$B$1:$J$500,5,0)),"",VLOOKUP(EK252,'ODBC Data'!$B$1:$J$500,5,0))</f>
        <v/>
      </c>
    </row>
    <row r="253" spans="97:144">
      <c r="CS253" s="19" t="str">
        <f>IF('ODBC Data'!$I$15&gt;249,'ODBC Data'!$H$15,"")</f>
        <v/>
      </c>
      <c r="CT253" s="19" t="str">
        <f>IF('ODBC Data'!$I$15&gt;249,250,"")</f>
        <v/>
      </c>
      <c r="CU253" s="17" t="str">
        <f t="shared" si="33"/>
        <v/>
      </c>
      <c r="CV253" s="57" t="str">
        <f>IF(ISNA(VLOOKUP(CU253,'ODBC Data'!$B$1:$J$500,3,0)),"",VLOOKUP(CU253,'ODBC Data'!$B$1:$J$500,3,0))</f>
        <v/>
      </c>
      <c r="CW253" s="57" t="str">
        <f>IF(ISNA(VLOOKUP(CU253,'ODBC Data'!$B$1:$J$500,4,0)),"",VLOOKUP(CU253,'ODBC Data'!$B$1:$J$500,4,0))</f>
        <v/>
      </c>
      <c r="CX253" s="57" t="str">
        <f>IF(ISNA(VLOOKUP(CU253,'ODBC Data'!$B$1:$J$500,5,0)),"",VLOOKUP(CU253,'ODBC Data'!$B$1:$J$500,5,0))</f>
        <v/>
      </c>
      <c r="EI253" s="19" t="str">
        <f>IF('ODBC Data'!$I$21&gt;249,'ODBC Data'!$H$21,"")</f>
        <v/>
      </c>
      <c r="EJ253" s="19" t="str">
        <f>IF('ODBC Data'!$I$21&gt;249,250,"")</f>
        <v/>
      </c>
      <c r="EK253" s="17" t="str">
        <f t="shared" si="34"/>
        <v/>
      </c>
      <c r="EL253" s="57" t="str">
        <f>IF(ISNA(VLOOKUP(EK253,'ODBC Data'!$B$1:$J$500,3,0)),"",VLOOKUP(EK253,'ODBC Data'!$B$1:$J$500,3,0))</f>
        <v/>
      </c>
      <c r="EM253" s="57" t="str">
        <f>IF(ISNA(VLOOKUP(EK253,'ODBC Data'!$B$1:$J$500,4,0)),"",VLOOKUP(EK253,'ODBC Data'!$B$1:$J$500,4,0))</f>
        <v/>
      </c>
      <c r="EN253" s="57" t="str">
        <f>IF(ISNA(VLOOKUP(EK253,'ODBC Data'!$B$1:$J$500,5,0)),"",VLOOKUP(EK253,'ODBC Data'!$B$1:$J$500,5,0))</f>
        <v/>
      </c>
    </row>
    <row r="254" spans="97:144">
      <c r="CS254" s="19" t="str">
        <f>IF('ODBC Data'!$I$15&gt;250,'ODBC Data'!$H$15,"")</f>
        <v/>
      </c>
      <c r="CT254" s="19" t="str">
        <f>IF('ODBC Data'!$I$15&gt;250,251,"")</f>
        <v/>
      </c>
      <c r="CU254" s="17" t="str">
        <f t="shared" si="33"/>
        <v/>
      </c>
      <c r="CV254" s="57" t="str">
        <f>IF(ISNA(VLOOKUP(CU254,'ODBC Data'!$B$1:$J$500,3,0)),"",VLOOKUP(CU254,'ODBC Data'!$B$1:$J$500,3,0))</f>
        <v/>
      </c>
      <c r="CW254" s="57" t="str">
        <f>IF(ISNA(VLOOKUP(CU254,'ODBC Data'!$B$1:$J$500,4,0)),"",VLOOKUP(CU254,'ODBC Data'!$B$1:$J$500,4,0))</f>
        <v/>
      </c>
      <c r="CX254" s="57" t="str">
        <f>IF(ISNA(VLOOKUP(CU254,'ODBC Data'!$B$1:$J$500,5,0)),"",VLOOKUP(CU254,'ODBC Data'!$B$1:$J$500,5,0))</f>
        <v/>
      </c>
      <c r="EI254" s="19" t="str">
        <f>IF('ODBC Data'!$I$21&gt;250,'ODBC Data'!$H$21,"")</f>
        <v/>
      </c>
      <c r="EJ254" s="19" t="str">
        <f>IF('ODBC Data'!$I$21&gt;250,251,"")</f>
        <v/>
      </c>
      <c r="EK254" s="17" t="str">
        <f t="shared" si="34"/>
        <v/>
      </c>
      <c r="EL254" s="57" t="str">
        <f>IF(ISNA(VLOOKUP(EK254,'ODBC Data'!$B$1:$J$500,3,0)),"",VLOOKUP(EK254,'ODBC Data'!$B$1:$J$500,3,0))</f>
        <v/>
      </c>
      <c r="EM254" s="57" t="str">
        <f>IF(ISNA(VLOOKUP(EK254,'ODBC Data'!$B$1:$J$500,4,0)),"",VLOOKUP(EK254,'ODBC Data'!$B$1:$J$500,4,0))</f>
        <v/>
      </c>
      <c r="EN254" s="57" t="str">
        <f>IF(ISNA(VLOOKUP(EK254,'ODBC Data'!$B$1:$J$500,5,0)),"",VLOOKUP(EK254,'ODBC Data'!$B$1:$J$500,5,0))</f>
        <v/>
      </c>
    </row>
    <row r="255" spans="97:144">
      <c r="CS255" s="21"/>
      <c r="CT255" s="21"/>
      <c r="CV255" s="18" t="s">
        <v>42</v>
      </c>
      <c r="CW255" s="18">
        <f>SUM(CW4:CW254)</f>
        <v>114821</v>
      </c>
      <c r="CX255" s="18">
        <f>SUM(CX4:CX254)</f>
        <v>120562</v>
      </c>
      <c r="EL255" s="18" t="s">
        <v>42</v>
      </c>
      <c r="EM255" s="18">
        <f>SUM(EM4:EM254)</f>
        <v>-168854</v>
      </c>
      <c r="EN255" s="18">
        <f>SUM(EN4:EN254)</f>
        <v>-177297</v>
      </c>
    </row>
    <row r="256" spans="97:144">
      <c r="CS256" s="21"/>
      <c r="CT256" s="21"/>
    </row>
    <row r="257" spans="97:98">
      <c r="CS257" s="21"/>
      <c r="CT257" s="21"/>
    </row>
    <row r="258" spans="97:98">
      <c r="CS258" s="21"/>
      <c r="CT258" s="21"/>
    </row>
    <row r="259" spans="97:98">
      <c r="CS259" s="21"/>
      <c r="CT259" s="21"/>
    </row>
  </sheetData>
  <mergeCells count="56">
    <mergeCell ref="GB2:GD2"/>
    <mergeCell ref="FK2:FM2"/>
    <mergeCell ref="FN2:FP2"/>
    <mergeCell ref="Y2:AA2"/>
    <mergeCell ref="AB2:AC2"/>
    <mergeCell ref="ES2:EU2"/>
    <mergeCell ref="EW2:EY2"/>
    <mergeCell ref="FR2:FT2"/>
    <mergeCell ref="FU2:FW2"/>
    <mergeCell ref="FY2:GA2"/>
    <mergeCell ref="FD2:FF2"/>
    <mergeCell ref="FG2:FI2"/>
    <mergeCell ref="CZ2:DB2"/>
    <mergeCell ref="DC2:DE2"/>
    <mergeCell ref="DN2:DP2"/>
    <mergeCell ref="DQ2:DS2"/>
    <mergeCell ref="EZ2:FB2"/>
    <mergeCell ref="DG2:DI2"/>
    <mergeCell ref="DJ2:DL2"/>
    <mergeCell ref="DU2:DW2"/>
    <mergeCell ref="DX2:DZ2"/>
    <mergeCell ref="EB2:ED2"/>
    <mergeCell ref="EE2:EG2"/>
    <mergeCell ref="EI2:EK2"/>
    <mergeCell ref="EL2:EN2"/>
    <mergeCell ref="EP2:ER2"/>
    <mergeCell ref="BF2:BH2"/>
    <mergeCell ref="BX2:BZ2"/>
    <mergeCell ref="CA2:CC2"/>
    <mergeCell ref="CS2:CU2"/>
    <mergeCell ref="CV2:CX2"/>
    <mergeCell ref="BJ2:BL2"/>
    <mergeCell ref="BM2:BO2"/>
    <mergeCell ref="BQ2:BS2"/>
    <mergeCell ref="BT2:BV2"/>
    <mergeCell ref="CE2:CG2"/>
    <mergeCell ref="CH2:CJ2"/>
    <mergeCell ref="CL2:CN2"/>
    <mergeCell ref="CO2:CQ2"/>
    <mergeCell ref="AQ2:AS2"/>
    <mergeCell ref="AT2:AU2"/>
    <mergeCell ref="AW2:AY2"/>
    <mergeCell ref="AZ2:BA2"/>
    <mergeCell ref="BC2:BE2"/>
    <mergeCell ref="V2:W2"/>
    <mergeCell ref="AE2:AG2"/>
    <mergeCell ref="AH2:AI2"/>
    <mergeCell ref="AK2:AM2"/>
    <mergeCell ref="AN2:AO2"/>
    <mergeCell ref="A2:C2"/>
    <mergeCell ref="D2:E2"/>
    <mergeCell ref="G2:I2"/>
    <mergeCell ref="J2:K2"/>
    <mergeCell ref="S2:U2"/>
    <mergeCell ref="M2:O2"/>
    <mergeCell ref="P2:Q2"/>
  </mergeCells>
  <pageMargins left="0.7" right="0.7" top="0.75" bottom="0.75" header="0.3" footer="0.3"/>
  <pageSetup orientation="portrait" horizontalDpi="300" verticalDpi="0" copies="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44"/>
  <sheetViews>
    <sheetView showGridLines="0" zoomScaleNormal="100" workbookViewId="0">
      <selection activeCell="C6" sqref="C6"/>
    </sheetView>
  </sheetViews>
  <sheetFormatPr defaultRowHeight="15"/>
  <cols>
    <col min="1" max="1" width="5.85546875" bestFit="1" customWidth="1"/>
    <col min="2" max="2" width="54.140625" bestFit="1" customWidth="1"/>
    <col min="3" max="3" width="7.28515625" bestFit="1" customWidth="1"/>
    <col min="4" max="4" width="13.28515625" bestFit="1" customWidth="1"/>
    <col min="6" max="6" width="11.7109375" bestFit="1" customWidth="1"/>
  </cols>
  <sheetData>
    <row r="1" spans="1:6" ht="15.75">
      <c r="A1" s="112" t="s">
        <v>52</v>
      </c>
      <c r="B1" s="112"/>
      <c r="C1" s="112"/>
      <c r="D1" s="112"/>
      <c r="E1" s="112"/>
      <c r="F1" s="112"/>
    </row>
    <row r="2" spans="1:6">
      <c r="A2" s="113" t="s">
        <v>53</v>
      </c>
      <c r="B2" s="113"/>
      <c r="C2" s="113"/>
      <c r="D2" s="113"/>
      <c r="E2" s="113"/>
      <c r="F2" s="27" t="s">
        <v>54</v>
      </c>
    </row>
    <row r="3" spans="1:6">
      <c r="A3" s="97" t="s">
        <v>55</v>
      </c>
      <c r="B3" s="98" t="s">
        <v>8</v>
      </c>
      <c r="C3" s="114" t="s">
        <v>56</v>
      </c>
      <c r="D3" s="115"/>
      <c r="E3" s="114" t="s">
        <v>57</v>
      </c>
      <c r="F3" s="115"/>
    </row>
    <row r="4" spans="1:6">
      <c r="A4" s="99" t="s">
        <v>55</v>
      </c>
      <c r="B4" s="100" t="s">
        <v>55</v>
      </c>
      <c r="C4" s="116" t="s">
        <v>58</v>
      </c>
      <c r="D4" s="117"/>
      <c r="E4" s="116" t="s">
        <v>59</v>
      </c>
      <c r="F4" s="117"/>
    </row>
    <row r="5" spans="1:6">
      <c r="A5" s="28" t="s">
        <v>60</v>
      </c>
      <c r="B5" s="29" t="s">
        <v>61</v>
      </c>
      <c r="C5" s="30"/>
      <c r="D5" s="31">
        <f>+'Extracted Data'!E34+'Extracted Data'!AC34</f>
        <v>851025</v>
      </c>
      <c r="E5" s="91"/>
      <c r="F5" s="81">
        <v>9369</v>
      </c>
    </row>
    <row r="6" spans="1:6">
      <c r="A6" s="32" t="s">
        <v>62</v>
      </c>
      <c r="B6" s="33" t="s">
        <v>63</v>
      </c>
      <c r="C6" s="34"/>
      <c r="D6" s="35">
        <f>+'Extracted Data'!AU34</f>
        <v>1925</v>
      </c>
      <c r="E6" s="92"/>
      <c r="F6" s="82"/>
    </row>
    <row r="7" spans="1:6">
      <c r="A7" s="32" t="s">
        <v>64</v>
      </c>
      <c r="B7" s="33" t="s">
        <v>65</v>
      </c>
      <c r="C7" s="36"/>
      <c r="D7" s="37">
        <f>SUM(D5:D6)</f>
        <v>852950</v>
      </c>
      <c r="E7" s="93"/>
      <c r="F7" s="83">
        <f>SUM(F5:F6)</f>
        <v>9369</v>
      </c>
    </row>
    <row r="8" spans="1:6">
      <c r="A8" s="32" t="s">
        <v>66</v>
      </c>
      <c r="B8" s="79" t="s">
        <v>67</v>
      </c>
      <c r="C8" s="30"/>
      <c r="D8" s="38" t="s">
        <v>55</v>
      </c>
      <c r="E8" s="91"/>
      <c r="F8" s="84" t="s">
        <v>55</v>
      </c>
    </row>
    <row r="9" spans="1:6">
      <c r="A9" s="39" t="s">
        <v>55</v>
      </c>
      <c r="B9" s="80" t="s">
        <v>68</v>
      </c>
      <c r="C9" s="34"/>
      <c r="D9" s="41">
        <f>-'Extracted Data'!K34</f>
        <v>723371</v>
      </c>
      <c r="E9" s="92"/>
      <c r="F9" s="85"/>
    </row>
    <row r="10" spans="1:6">
      <c r="A10" s="39" t="s">
        <v>55</v>
      </c>
      <c r="B10" s="80" t="s">
        <v>69</v>
      </c>
      <c r="C10" s="34"/>
      <c r="D10" s="42">
        <f>+'Extracted Data'!W34-'Extracted Data'!Q34</f>
        <v>-10131</v>
      </c>
      <c r="E10" s="92"/>
      <c r="F10" s="86"/>
    </row>
    <row r="11" spans="1:6" s="57" customFormat="1">
      <c r="A11" s="39"/>
      <c r="B11" s="80" t="s">
        <v>136</v>
      </c>
      <c r="C11" s="63"/>
      <c r="D11" s="42">
        <f>+'Extracted Data'!DS34-'Extracted Data'!DR34</f>
        <v>11639</v>
      </c>
      <c r="E11" s="92"/>
      <c r="F11" s="86"/>
    </row>
    <row r="12" spans="1:6">
      <c r="A12" s="39" t="s">
        <v>55</v>
      </c>
      <c r="B12" s="80" t="s">
        <v>70</v>
      </c>
      <c r="C12" s="34"/>
      <c r="D12" s="41">
        <f>-'Extracted Data'!AI34-'Extracted Data'!AO34-D11</f>
        <v>116518</v>
      </c>
      <c r="E12" s="92"/>
      <c r="F12" s="85"/>
    </row>
    <row r="13" spans="1:6">
      <c r="A13" s="32" t="s">
        <v>55</v>
      </c>
      <c r="B13" s="33" t="s">
        <v>71</v>
      </c>
      <c r="C13" s="36"/>
      <c r="D13" s="37">
        <f>SUM(D9:D12)</f>
        <v>841397</v>
      </c>
      <c r="E13" s="93"/>
      <c r="F13" s="83">
        <f>SUM(F9:F12)</f>
        <v>0</v>
      </c>
    </row>
    <row r="14" spans="1:6">
      <c r="A14" s="32" t="s">
        <v>72</v>
      </c>
      <c r="B14" s="33" t="s">
        <v>73</v>
      </c>
      <c r="C14" s="30"/>
      <c r="D14" s="31">
        <f>D7-D13</f>
        <v>11553</v>
      </c>
      <c r="E14" s="91"/>
      <c r="F14" s="81">
        <f>F7-F13</f>
        <v>9369</v>
      </c>
    </row>
    <row r="15" spans="1:6">
      <c r="A15" s="32" t="s">
        <v>74</v>
      </c>
      <c r="B15" s="40" t="s">
        <v>75</v>
      </c>
      <c r="C15" s="34"/>
      <c r="D15" s="43"/>
      <c r="E15" s="92"/>
      <c r="F15" s="87"/>
    </row>
    <row r="16" spans="1:6">
      <c r="A16" s="32" t="s">
        <v>77</v>
      </c>
      <c r="B16" s="33" t="s">
        <v>78</v>
      </c>
      <c r="C16" s="30"/>
      <c r="D16" s="77">
        <f>+D14-D15</f>
        <v>11553</v>
      </c>
      <c r="E16" s="91"/>
      <c r="F16" s="88">
        <f>+F14-F15</f>
        <v>9369</v>
      </c>
    </row>
    <row r="17" spans="1:6">
      <c r="A17" s="32" t="s">
        <v>79</v>
      </c>
      <c r="B17" s="40" t="s">
        <v>80</v>
      </c>
      <c r="C17" s="34"/>
      <c r="D17" s="43"/>
      <c r="E17" s="92"/>
      <c r="F17" s="87"/>
    </row>
    <row r="18" spans="1:6">
      <c r="A18" s="32" t="s">
        <v>81</v>
      </c>
      <c r="B18" s="33" t="s">
        <v>82</v>
      </c>
      <c r="C18" s="30"/>
      <c r="D18" s="31">
        <f>+D16-D17</f>
        <v>11553</v>
      </c>
      <c r="E18" s="91"/>
      <c r="F18" s="81">
        <f>+F16-F17</f>
        <v>9369</v>
      </c>
    </row>
    <row r="19" spans="1:6">
      <c r="A19" s="32" t="s">
        <v>83</v>
      </c>
      <c r="B19" s="33" t="s">
        <v>84</v>
      </c>
      <c r="C19" s="34"/>
      <c r="D19" s="44"/>
      <c r="E19" s="92"/>
      <c r="F19" s="89"/>
    </row>
    <row r="20" spans="1:6">
      <c r="A20" s="32" t="s">
        <v>55</v>
      </c>
      <c r="B20" s="40" t="s">
        <v>85</v>
      </c>
      <c r="C20" s="34"/>
      <c r="D20" s="43"/>
      <c r="E20" s="92"/>
      <c r="F20" s="87"/>
    </row>
    <row r="21" spans="1:6">
      <c r="A21" s="32" t="s">
        <v>55</v>
      </c>
      <c r="B21" s="40" t="s">
        <v>86</v>
      </c>
      <c r="C21" s="34"/>
      <c r="D21" s="43"/>
      <c r="E21" s="92"/>
      <c r="F21" s="87"/>
    </row>
    <row r="22" spans="1:6">
      <c r="A22" s="32" t="s">
        <v>87</v>
      </c>
      <c r="B22" s="33" t="s">
        <v>88</v>
      </c>
      <c r="C22" s="30"/>
      <c r="D22" s="31">
        <f>+D18-D19-D20-D21</f>
        <v>11553</v>
      </c>
      <c r="E22" s="91"/>
      <c r="F22" s="81">
        <f>+F18-F19-F20-F21</f>
        <v>9369</v>
      </c>
    </row>
    <row r="23" spans="1:6">
      <c r="A23" s="32" t="s">
        <v>89</v>
      </c>
      <c r="B23" s="40" t="s">
        <v>90</v>
      </c>
      <c r="C23" s="34"/>
      <c r="D23" s="43"/>
      <c r="E23" s="92"/>
      <c r="F23" s="87"/>
    </row>
    <row r="24" spans="1:6">
      <c r="A24" s="32" t="s">
        <v>91</v>
      </c>
      <c r="B24" s="40" t="s">
        <v>92</v>
      </c>
      <c r="C24" s="34"/>
      <c r="D24" s="43"/>
      <c r="E24" s="92"/>
      <c r="F24" s="87"/>
    </row>
    <row r="25" spans="1:6">
      <c r="A25" s="32" t="s">
        <v>93</v>
      </c>
      <c r="B25" s="33" t="s">
        <v>94</v>
      </c>
      <c r="C25" s="34"/>
      <c r="D25" s="44"/>
      <c r="E25" s="92"/>
      <c r="F25" s="89"/>
    </row>
    <row r="26" spans="1:6">
      <c r="A26" s="32" t="s">
        <v>95</v>
      </c>
      <c r="B26" s="33" t="s">
        <v>96</v>
      </c>
      <c r="C26" s="36"/>
      <c r="D26" s="37">
        <f>+D22-D23-D24-D25</f>
        <v>11553</v>
      </c>
      <c r="E26" s="93"/>
      <c r="F26" s="83">
        <f>+F22-F23-F24-F25</f>
        <v>9369</v>
      </c>
    </row>
    <row r="27" spans="1:6">
      <c r="A27" s="32" t="s">
        <v>97</v>
      </c>
      <c r="B27" s="33" t="s">
        <v>98</v>
      </c>
      <c r="C27" s="30"/>
      <c r="D27" s="38" t="s">
        <v>55</v>
      </c>
      <c r="E27" s="91"/>
      <c r="F27" s="84" t="s">
        <v>55</v>
      </c>
    </row>
    <row r="28" spans="1:6">
      <c r="A28" s="32" t="s">
        <v>55</v>
      </c>
      <c r="B28" s="40" t="s">
        <v>99</v>
      </c>
      <c r="C28" s="34"/>
      <c r="D28" s="43" t="s">
        <v>76</v>
      </c>
      <c r="E28" s="92"/>
      <c r="F28" s="87" t="s">
        <v>76</v>
      </c>
    </row>
    <row r="29" spans="1:6">
      <c r="A29" s="45" t="s">
        <v>55</v>
      </c>
      <c r="B29" s="46" t="s">
        <v>100</v>
      </c>
      <c r="C29" s="47"/>
      <c r="D29" s="48" t="s">
        <v>76</v>
      </c>
      <c r="E29" s="94"/>
      <c r="F29" s="90" t="s">
        <v>76</v>
      </c>
    </row>
    <row r="30" spans="1:6">
      <c r="A30" s="118" t="s">
        <v>101</v>
      </c>
      <c r="B30" s="118"/>
      <c r="C30" s="118"/>
      <c r="D30" s="118"/>
      <c r="E30" s="118"/>
      <c r="F30" s="118"/>
    </row>
    <row r="31" spans="1:6">
      <c r="A31" s="119" t="s">
        <v>102</v>
      </c>
      <c r="B31" s="119"/>
      <c r="C31" s="120"/>
      <c r="D31" s="120"/>
      <c r="E31" s="120"/>
      <c r="F31" s="120"/>
    </row>
    <row r="32" spans="1:6" s="25" customFormat="1">
      <c r="A32" s="53"/>
      <c r="B32" s="53"/>
      <c r="C32" s="54"/>
      <c r="D32" s="54"/>
      <c r="E32" s="54"/>
      <c r="F32" s="54"/>
    </row>
    <row r="33" spans="1:6">
      <c r="A33" s="54" t="s">
        <v>103</v>
      </c>
      <c r="B33" s="52" t="s">
        <v>104</v>
      </c>
      <c r="C33" s="26"/>
      <c r="D33" s="26"/>
      <c r="E33" s="26"/>
      <c r="F33" s="26"/>
    </row>
    <row r="34" spans="1:6" s="25" customFormat="1">
      <c r="A34" s="49"/>
      <c r="B34" s="52"/>
      <c r="C34" s="26"/>
      <c r="D34" s="26"/>
      <c r="E34" s="26"/>
      <c r="F34" s="26"/>
    </row>
    <row r="35" spans="1:6" s="25" customFormat="1">
      <c r="A35" s="113" t="s">
        <v>117</v>
      </c>
      <c r="B35" s="113"/>
      <c r="C35" s="26"/>
      <c r="D35" s="56" t="s">
        <v>110</v>
      </c>
      <c r="E35" s="26"/>
      <c r="F35" s="50" t="s">
        <v>114</v>
      </c>
    </row>
    <row r="36" spans="1:6" s="25" customFormat="1">
      <c r="A36" s="121" t="s">
        <v>107</v>
      </c>
      <c r="B36" s="121"/>
      <c r="C36" s="26"/>
      <c r="D36" s="55" t="s">
        <v>108</v>
      </c>
      <c r="E36" s="26"/>
      <c r="F36" s="51" t="s">
        <v>108</v>
      </c>
    </row>
    <row r="37" spans="1:6">
      <c r="A37" s="111" t="s">
        <v>105</v>
      </c>
      <c r="B37" s="111"/>
      <c r="C37" s="26"/>
      <c r="D37" s="26"/>
      <c r="E37" s="26"/>
      <c r="F37" s="26"/>
    </row>
    <row r="38" spans="1:6">
      <c r="A38" s="111" t="s">
        <v>106</v>
      </c>
      <c r="B38" s="111"/>
      <c r="C38" s="26"/>
      <c r="D38" s="26"/>
      <c r="E38" s="26"/>
      <c r="F38" s="26"/>
    </row>
    <row r="39" spans="1:6">
      <c r="A39" s="111" t="s">
        <v>109</v>
      </c>
      <c r="B39" s="111"/>
      <c r="C39" s="26"/>
      <c r="D39" s="26"/>
      <c r="E39" s="26"/>
      <c r="F39" s="26"/>
    </row>
    <row r="40" spans="1:6">
      <c r="A40" s="111" t="s">
        <v>111</v>
      </c>
      <c r="B40" s="111"/>
      <c r="C40" s="50" t="s">
        <v>55</v>
      </c>
      <c r="E40" s="26"/>
    </row>
    <row r="41" spans="1:6">
      <c r="E41" s="26"/>
    </row>
    <row r="42" spans="1:6">
      <c r="D42" s="26"/>
      <c r="E42" s="26"/>
      <c r="F42" s="26"/>
    </row>
    <row r="43" spans="1:6">
      <c r="A43" s="49" t="s">
        <v>112</v>
      </c>
      <c r="B43" s="49" t="s">
        <v>113</v>
      </c>
      <c r="E43" s="26"/>
      <c r="F43" s="26"/>
    </row>
    <row r="44" spans="1:6">
      <c r="A44" s="49" t="s">
        <v>115</v>
      </c>
      <c r="B44" s="49" t="s">
        <v>116</v>
      </c>
      <c r="E44" s="26"/>
      <c r="F44" s="26"/>
    </row>
  </sheetData>
  <mergeCells count="15">
    <mergeCell ref="A39:B39"/>
    <mergeCell ref="A40:B40"/>
    <mergeCell ref="A1:F1"/>
    <mergeCell ref="A2:E2"/>
    <mergeCell ref="C3:D3"/>
    <mergeCell ref="E3:F3"/>
    <mergeCell ref="C4:D4"/>
    <mergeCell ref="E4:F4"/>
    <mergeCell ref="A30:F30"/>
    <mergeCell ref="A31:B31"/>
    <mergeCell ref="C31:F31"/>
    <mergeCell ref="A37:B37"/>
    <mergeCell ref="A38:B38"/>
    <mergeCell ref="A35:B35"/>
    <mergeCell ref="A36:B36"/>
  </mergeCells>
  <pageMargins left="0.7" right="0.7" top="0.75" bottom="0.75" header="0.3" footer="0.3"/>
  <pageSetup scale="91" orientation="portrait" horizontalDpi="300" verticalDpi="0" copies="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showGridLines="0" tabSelected="1" zoomScaleNormal="100" workbookViewId="0">
      <selection activeCell="C6" sqref="C6"/>
    </sheetView>
  </sheetViews>
  <sheetFormatPr defaultRowHeight="15"/>
  <cols>
    <col min="1" max="1" width="5.85546875" bestFit="1" customWidth="1"/>
    <col min="2" max="2" width="29.28515625" bestFit="1" customWidth="1"/>
    <col min="3" max="3" width="11" bestFit="1" customWidth="1"/>
    <col min="4" max="4" width="12" bestFit="1" customWidth="1"/>
    <col min="5" max="5" width="10.42578125" bestFit="1" customWidth="1"/>
    <col min="6" max="6" width="11.7109375" bestFit="1" customWidth="1"/>
  </cols>
  <sheetData>
    <row r="1" spans="1:6" ht="15.75">
      <c r="A1" s="112" t="s">
        <v>52</v>
      </c>
      <c r="B1" s="112"/>
      <c r="C1" s="112"/>
      <c r="D1" s="112"/>
      <c r="E1" s="112"/>
      <c r="F1" s="112"/>
    </row>
    <row r="2" spans="1:6">
      <c r="A2" s="113" t="s">
        <v>118</v>
      </c>
      <c r="B2" s="113"/>
      <c r="C2" s="113"/>
      <c r="D2" s="113"/>
      <c r="E2" s="113"/>
      <c r="F2" s="59" t="s">
        <v>54</v>
      </c>
    </row>
    <row r="3" spans="1:6">
      <c r="A3" s="95" t="s">
        <v>55</v>
      </c>
      <c r="B3" s="96" t="s">
        <v>8</v>
      </c>
      <c r="C3" s="124" t="s">
        <v>119</v>
      </c>
      <c r="D3" s="125"/>
      <c r="E3" s="124" t="s">
        <v>120</v>
      </c>
      <c r="F3" s="125"/>
    </row>
    <row r="4" spans="1:6">
      <c r="A4" s="60" t="s">
        <v>121</v>
      </c>
      <c r="B4" s="60" t="s">
        <v>122</v>
      </c>
      <c r="C4" s="122" t="s">
        <v>55</v>
      </c>
      <c r="D4" s="123"/>
      <c r="E4" s="122" t="s">
        <v>55</v>
      </c>
      <c r="F4" s="123"/>
    </row>
    <row r="5" spans="1:6">
      <c r="A5" s="61" t="s">
        <v>123</v>
      </c>
      <c r="B5" s="62" t="s">
        <v>124</v>
      </c>
      <c r="C5" s="63"/>
      <c r="D5" s="64">
        <f>+C6</f>
        <v>755399</v>
      </c>
      <c r="E5" s="63"/>
      <c r="F5" s="64">
        <f>+E6</f>
        <v>763166</v>
      </c>
    </row>
    <row r="6" spans="1:6">
      <c r="A6" s="61" t="s">
        <v>55</v>
      </c>
      <c r="B6" s="78" t="s">
        <v>125</v>
      </c>
      <c r="C6" s="65">
        <f>+'Extracted Data'!BH34</f>
        <v>755399</v>
      </c>
      <c r="D6" s="66"/>
      <c r="E6" s="65">
        <f>+'Extracted Data'!BG34</f>
        <v>763166</v>
      </c>
      <c r="F6" s="66"/>
    </row>
    <row r="7" spans="1:6" s="57" customFormat="1">
      <c r="A7" s="61"/>
      <c r="B7" s="78"/>
      <c r="C7" s="65"/>
      <c r="D7" s="64">
        <f>+C8</f>
        <v>20922</v>
      </c>
      <c r="E7" s="65"/>
      <c r="F7" s="64">
        <f>+E8</f>
        <v>9369</v>
      </c>
    </row>
    <row r="8" spans="1:6" s="57" customFormat="1">
      <c r="A8" s="61" t="s">
        <v>126</v>
      </c>
      <c r="B8" s="62" t="s">
        <v>159</v>
      </c>
      <c r="C8" s="65">
        <f>'P &amp;L'!D26+E8</f>
        <v>20922</v>
      </c>
      <c r="D8" s="66"/>
      <c r="E8" s="65">
        <f>+'P &amp;L'!F26</f>
        <v>9369</v>
      </c>
      <c r="F8" s="66"/>
    </row>
    <row r="9" spans="1:6" s="57" customFormat="1">
      <c r="A9" s="61"/>
      <c r="B9" s="78"/>
      <c r="C9" s="65"/>
      <c r="D9" s="66"/>
      <c r="E9" s="65"/>
      <c r="F9" s="66"/>
    </row>
    <row r="10" spans="1:6" s="57" customFormat="1">
      <c r="A10" s="61" t="s">
        <v>156</v>
      </c>
      <c r="B10" s="62" t="s">
        <v>46</v>
      </c>
      <c r="C10" s="65"/>
      <c r="D10" s="66">
        <f>+C11+C12+C13+C14</f>
        <v>23460</v>
      </c>
      <c r="E10" s="65"/>
      <c r="F10" s="66">
        <f>+E11+E12+E13+E14</f>
        <v>27600</v>
      </c>
    </row>
    <row r="11" spans="1:6" s="57" customFormat="1">
      <c r="A11" s="61"/>
      <c r="B11" s="78" t="s">
        <v>137</v>
      </c>
      <c r="C11" s="65">
        <f>+'Extracted Data'!BV34</f>
        <v>11475</v>
      </c>
      <c r="D11" s="66"/>
      <c r="E11" s="65">
        <f>+'Extracted Data'!BU34</f>
        <v>13500</v>
      </c>
      <c r="F11" s="66"/>
    </row>
    <row r="12" spans="1:6" s="57" customFormat="1">
      <c r="A12" s="61"/>
      <c r="B12" s="78" t="s">
        <v>138</v>
      </c>
      <c r="C12" s="65">
        <f>+'Extracted Data'!CC34</f>
        <v>11985</v>
      </c>
      <c r="D12" s="66"/>
      <c r="E12" s="65">
        <f>+'Extracted Data'!CB34</f>
        <v>14100</v>
      </c>
      <c r="F12" s="66"/>
    </row>
    <row r="13" spans="1:6" s="57" customFormat="1">
      <c r="A13" s="61"/>
      <c r="B13" s="78" t="s">
        <v>140</v>
      </c>
      <c r="C13" s="65">
        <f>+'Extracted Data'!CJ34</f>
        <v>0</v>
      </c>
      <c r="D13" s="66"/>
      <c r="E13" s="65">
        <f>+'Extracted Data'!CI34</f>
        <v>0</v>
      </c>
      <c r="F13" s="66"/>
    </row>
    <row r="14" spans="1:6" s="57" customFormat="1">
      <c r="A14" s="61"/>
      <c r="B14" s="78" t="s">
        <v>166</v>
      </c>
      <c r="C14" s="65">
        <f>+'Extracted Data'!BO34</f>
        <v>0</v>
      </c>
      <c r="D14" s="66"/>
      <c r="E14" s="65">
        <f>+'Extracted Data'!BN34</f>
        <v>0</v>
      </c>
      <c r="F14" s="66"/>
    </row>
    <row r="15" spans="1:6" s="57" customFormat="1">
      <c r="A15" s="61"/>
      <c r="B15" s="78"/>
      <c r="C15" s="65"/>
      <c r="D15" s="66"/>
      <c r="E15" s="65"/>
      <c r="F15" s="66"/>
    </row>
    <row r="16" spans="1:6">
      <c r="A16" s="61" t="s">
        <v>160</v>
      </c>
      <c r="B16" s="79" t="s">
        <v>127</v>
      </c>
      <c r="C16" s="63"/>
      <c r="D16" s="64">
        <f>+C17+C19+C20+C21+C22</f>
        <v>123445</v>
      </c>
      <c r="E16" s="63"/>
      <c r="F16" s="64">
        <f>+E17+E19+E20+E21+E22</f>
        <v>117493</v>
      </c>
    </row>
    <row r="17" spans="1:6">
      <c r="A17" s="61" t="s">
        <v>55</v>
      </c>
      <c r="B17" s="78" t="s">
        <v>128</v>
      </c>
      <c r="C17" s="65">
        <f>+'Extracted Data'!CX255</f>
        <v>120562</v>
      </c>
      <c r="D17" s="66"/>
      <c r="E17" s="65">
        <f>+'Extracted Data'!CW255</f>
        <v>114821</v>
      </c>
      <c r="F17" s="66"/>
    </row>
    <row r="18" spans="1:6">
      <c r="A18" s="61" t="s">
        <v>55</v>
      </c>
      <c r="B18" s="78" t="s">
        <v>129</v>
      </c>
      <c r="C18" s="65"/>
      <c r="D18" s="66"/>
      <c r="E18" s="65"/>
      <c r="F18" s="66"/>
    </row>
    <row r="19" spans="1:6" s="57" customFormat="1">
      <c r="A19" s="61"/>
      <c r="B19" s="78" t="s">
        <v>162</v>
      </c>
      <c r="C19" s="65">
        <f>+'Extracted Data'!DE34</f>
        <v>622</v>
      </c>
      <c r="D19" s="66"/>
      <c r="E19" s="65">
        <f>+'Extracted Data'!DD34</f>
        <v>411</v>
      </c>
      <c r="F19" s="66"/>
    </row>
    <row r="20" spans="1:6" s="57" customFormat="1">
      <c r="A20" s="61"/>
      <c r="B20" s="78" t="s">
        <v>161</v>
      </c>
      <c r="C20" s="65">
        <f>+'Extracted Data'!DL34</f>
        <v>2261</v>
      </c>
      <c r="D20" s="66"/>
      <c r="E20" s="65">
        <f>+'Extracted Data'!DK34</f>
        <v>2261</v>
      </c>
      <c r="F20" s="66"/>
    </row>
    <row r="21" spans="1:6" s="57" customFormat="1">
      <c r="A21" s="61"/>
      <c r="B21" s="78" t="s">
        <v>163</v>
      </c>
      <c r="C21" s="65">
        <f>+'Extracted Data'!CQ34</f>
        <v>0</v>
      </c>
      <c r="D21" s="66"/>
      <c r="E21" s="65">
        <f>+'Extracted Data'!CP34</f>
        <v>0</v>
      </c>
      <c r="F21" s="66"/>
    </row>
    <row r="22" spans="1:6" s="57" customFormat="1">
      <c r="A22" s="61"/>
      <c r="B22" s="78" t="s">
        <v>164</v>
      </c>
      <c r="C22" s="65">
        <f>'Extracted Data'!FP34</f>
        <v>0</v>
      </c>
      <c r="D22" s="66"/>
      <c r="E22" s="65">
        <f>+'Extracted Data'!FO34</f>
        <v>0</v>
      </c>
      <c r="F22" s="66"/>
    </row>
    <row r="23" spans="1:6" s="57" customFormat="1">
      <c r="A23" s="61"/>
      <c r="B23" s="78"/>
      <c r="C23" s="65"/>
      <c r="D23" s="66"/>
      <c r="E23" s="65"/>
      <c r="F23" s="66"/>
    </row>
    <row r="24" spans="1:6">
      <c r="A24" s="61" t="s">
        <v>55</v>
      </c>
      <c r="B24" s="79" t="s">
        <v>42</v>
      </c>
      <c r="C24" s="67"/>
      <c r="D24" s="68">
        <f>SUM(D5:D23)</f>
        <v>923226</v>
      </c>
      <c r="E24" s="67"/>
      <c r="F24" s="68">
        <f>SUM(F5:F23)</f>
        <v>917628</v>
      </c>
    </row>
    <row r="25" spans="1:6">
      <c r="A25" s="62" t="s">
        <v>130</v>
      </c>
      <c r="B25" s="79" t="s">
        <v>131</v>
      </c>
      <c r="C25" s="122" t="s">
        <v>55</v>
      </c>
      <c r="D25" s="123"/>
      <c r="E25" s="122" t="s">
        <v>55</v>
      </c>
      <c r="F25" s="123"/>
    </row>
    <row r="26" spans="1:6">
      <c r="A26" s="61" t="s">
        <v>123</v>
      </c>
      <c r="B26" s="79" t="s">
        <v>132</v>
      </c>
      <c r="C26" s="63"/>
      <c r="D26" s="64">
        <f>+C27-C28</f>
        <v>450101</v>
      </c>
      <c r="E26" s="63"/>
      <c r="F26" s="64">
        <f>+E27-E28</f>
        <v>461740</v>
      </c>
    </row>
    <row r="27" spans="1:6">
      <c r="A27" s="61" t="s">
        <v>55</v>
      </c>
      <c r="B27" s="78" t="s">
        <v>133</v>
      </c>
      <c r="C27" s="65">
        <f>-'Extracted Data'!DR34</f>
        <v>461740</v>
      </c>
      <c r="D27" s="66"/>
      <c r="E27" s="65">
        <f>-'Extracted Data'!DR34+E28</f>
        <v>461740</v>
      </c>
      <c r="F27" s="66"/>
    </row>
    <row r="28" spans="1:6" s="57" customFormat="1">
      <c r="A28" s="61"/>
      <c r="B28" s="78" t="s">
        <v>165</v>
      </c>
      <c r="C28" s="132">
        <f>+'P &amp;L'!D11</f>
        <v>11639</v>
      </c>
      <c r="D28" s="66"/>
      <c r="E28" s="132">
        <f>+'P &amp;L'!F11</f>
        <v>0</v>
      </c>
      <c r="F28" s="66"/>
    </row>
    <row r="29" spans="1:6" s="57" customFormat="1">
      <c r="A29" s="61"/>
      <c r="B29" s="78"/>
      <c r="C29" s="65"/>
      <c r="D29" s="66"/>
      <c r="E29" s="65"/>
      <c r="F29" s="66"/>
    </row>
    <row r="30" spans="1:6" s="57" customFormat="1">
      <c r="A30" s="61" t="s">
        <v>126</v>
      </c>
      <c r="B30" s="79" t="s">
        <v>13</v>
      </c>
      <c r="C30" s="65">
        <f>-'Extracted Data'!DZ34</f>
        <v>27500</v>
      </c>
      <c r="D30" s="66">
        <f>+C30</f>
        <v>27500</v>
      </c>
      <c r="E30" s="65">
        <f>-'Extracted Data'!DY34</f>
        <v>25000</v>
      </c>
      <c r="F30" s="66">
        <f>+E30</f>
        <v>25000</v>
      </c>
    </row>
    <row r="31" spans="1:6" s="57" customFormat="1">
      <c r="A31" s="61"/>
      <c r="B31" s="78"/>
      <c r="C31" s="65"/>
      <c r="D31" s="66"/>
      <c r="E31" s="65"/>
      <c r="F31" s="66"/>
    </row>
    <row r="32" spans="1:6">
      <c r="A32" s="61" t="s">
        <v>126</v>
      </c>
      <c r="B32" s="79" t="s">
        <v>14</v>
      </c>
      <c r="C32" s="63"/>
      <c r="D32" s="64">
        <f>+C33+C34+C36+C37+C35</f>
        <v>445625</v>
      </c>
      <c r="E32" s="63"/>
      <c r="F32" s="64">
        <f>+E33+E34+E36+E37+E35</f>
        <v>430888</v>
      </c>
    </row>
    <row r="33" spans="1:6">
      <c r="A33" s="61" t="s">
        <v>55</v>
      </c>
      <c r="B33" s="78" t="s">
        <v>134</v>
      </c>
      <c r="C33" s="65">
        <f>-'Extracted Data'!W34</f>
        <v>212756</v>
      </c>
      <c r="D33" s="66"/>
      <c r="E33" s="65">
        <f>-'Extracted Data'!Q34</f>
        <v>202625</v>
      </c>
      <c r="F33" s="66"/>
    </row>
    <row r="34" spans="1:6">
      <c r="A34" s="61" t="s">
        <v>55</v>
      </c>
      <c r="B34" s="78" t="s">
        <v>135</v>
      </c>
      <c r="C34" s="65">
        <f>-'Extracted Data'!EN255</f>
        <v>177297</v>
      </c>
      <c r="D34" s="66"/>
      <c r="E34" s="65">
        <f>-'Extracted Data'!EM255</f>
        <v>168854</v>
      </c>
      <c r="F34" s="66"/>
    </row>
    <row r="35" spans="1:6" s="57" customFormat="1">
      <c r="A35" s="61"/>
      <c r="B35" s="78" t="s">
        <v>143</v>
      </c>
      <c r="C35" s="65">
        <f>-'Extracted Data'!EG34</f>
        <v>14175</v>
      </c>
      <c r="D35" s="66"/>
      <c r="E35" s="65">
        <f>-'Extracted Data'!EF34</f>
        <v>13500</v>
      </c>
      <c r="F35" s="66"/>
    </row>
    <row r="36" spans="1:6" s="57" customFormat="1">
      <c r="A36" s="61"/>
      <c r="B36" s="78" t="s">
        <v>141</v>
      </c>
      <c r="C36" s="65">
        <f>-'Extracted Data'!FI34</f>
        <v>15750</v>
      </c>
      <c r="D36" s="66"/>
      <c r="E36" s="65">
        <f>-'Extracted Data'!FH34</f>
        <v>15000</v>
      </c>
      <c r="F36" s="66"/>
    </row>
    <row r="37" spans="1:6">
      <c r="A37" s="61" t="s">
        <v>55</v>
      </c>
      <c r="B37" s="78" t="s">
        <v>142</v>
      </c>
      <c r="C37" s="65">
        <f>-'Extracted Data'!EU34-'Extracted Data'!FB34</f>
        <v>25647</v>
      </c>
      <c r="D37" s="66"/>
      <c r="E37" s="65">
        <f>-'Extracted Data'!FA34-'Extracted Data'!ET34</f>
        <v>30909</v>
      </c>
      <c r="F37" s="66"/>
    </row>
    <row r="38" spans="1:6">
      <c r="A38" s="69" t="s">
        <v>55</v>
      </c>
      <c r="B38" s="70" t="s">
        <v>42</v>
      </c>
      <c r="C38" s="67"/>
      <c r="D38" s="68">
        <f>SUM(D26:D37)</f>
        <v>923226</v>
      </c>
      <c r="E38" s="67"/>
      <c r="F38" s="68">
        <f>SUM(F26:F37)</f>
        <v>917628</v>
      </c>
    </row>
    <row r="39" spans="1:6">
      <c r="A39" s="118" t="s">
        <v>101</v>
      </c>
      <c r="B39" s="118"/>
      <c r="C39" s="118"/>
      <c r="D39" s="118"/>
      <c r="E39" s="118"/>
      <c r="F39" s="118"/>
    </row>
    <row r="40" spans="1:6">
      <c r="A40" s="119" t="s">
        <v>102</v>
      </c>
      <c r="B40" s="119"/>
      <c r="C40" s="120"/>
      <c r="D40" s="120"/>
      <c r="E40" s="120"/>
      <c r="F40" s="120"/>
    </row>
    <row r="41" spans="1:6" s="57" customFormat="1">
      <c r="A41" s="75"/>
      <c r="B41" s="75"/>
      <c r="C41" s="76"/>
      <c r="D41" s="76"/>
      <c r="E41" s="76"/>
      <c r="F41" s="76"/>
    </row>
    <row r="42" spans="1:6">
      <c r="A42" s="76" t="s">
        <v>103</v>
      </c>
      <c r="B42" s="74" t="s">
        <v>104</v>
      </c>
      <c r="C42" s="58"/>
      <c r="D42" s="58"/>
      <c r="E42" s="58"/>
      <c r="F42" s="58"/>
    </row>
    <row r="43" spans="1:6" s="57" customFormat="1">
      <c r="A43" s="71"/>
      <c r="B43" s="74"/>
      <c r="C43" s="58"/>
      <c r="D43" s="58"/>
      <c r="E43" s="58"/>
      <c r="F43" s="58"/>
    </row>
    <row r="44" spans="1:6" s="57" customFormat="1">
      <c r="A44" s="113" t="s">
        <v>117</v>
      </c>
      <c r="B44" s="113"/>
      <c r="C44" s="56" t="s">
        <v>110</v>
      </c>
      <c r="D44" s="58"/>
      <c r="E44" s="72" t="s">
        <v>114</v>
      </c>
      <c r="F44" s="58"/>
    </row>
    <row r="45" spans="1:6">
      <c r="A45" s="121" t="s">
        <v>107</v>
      </c>
      <c r="B45" s="121"/>
      <c r="C45" s="55" t="s">
        <v>108</v>
      </c>
      <c r="D45" s="58"/>
      <c r="E45" s="73" t="s">
        <v>108</v>
      </c>
      <c r="F45" s="58"/>
    </row>
    <row r="46" spans="1:6">
      <c r="A46" s="111" t="s">
        <v>105</v>
      </c>
      <c r="B46" s="111"/>
      <c r="C46" s="58"/>
      <c r="D46" s="58"/>
      <c r="E46" s="58"/>
      <c r="F46" s="58"/>
    </row>
    <row r="47" spans="1:6">
      <c r="A47" s="111" t="s">
        <v>106</v>
      </c>
      <c r="B47" s="111"/>
      <c r="C47" s="58"/>
      <c r="D47" s="58"/>
      <c r="E47" s="58"/>
      <c r="F47" s="58"/>
    </row>
    <row r="48" spans="1:6">
      <c r="A48" s="111" t="s">
        <v>109</v>
      </c>
      <c r="B48" s="111"/>
      <c r="C48" s="58"/>
      <c r="D48" s="58"/>
      <c r="E48" s="58"/>
      <c r="F48" s="58"/>
    </row>
    <row r="49" spans="1:6">
      <c r="A49" s="111" t="s">
        <v>111</v>
      </c>
      <c r="B49" s="111"/>
      <c r="C49" s="57"/>
      <c r="D49" s="58"/>
      <c r="E49" s="57"/>
      <c r="F49" s="58"/>
    </row>
    <row r="50" spans="1:6">
      <c r="A50" s="57"/>
      <c r="B50" s="57"/>
      <c r="C50" s="58"/>
      <c r="D50" s="58"/>
      <c r="E50" s="58"/>
      <c r="F50" s="58"/>
    </row>
    <row r="51" spans="1:6">
      <c r="A51" s="71" t="s">
        <v>112</v>
      </c>
      <c r="B51" s="71" t="s">
        <v>113</v>
      </c>
      <c r="C51" s="57"/>
      <c r="D51" s="58"/>
      <c r="E51" s="58"/>
      <c r="F51" s="58"/>
    </row>
    <row r="52" spans="1:6">
      <c r="A52" s="71" t="s">
        <v>115</v>
      </c>
      <c r="B52" s="71" t="s">
        <v>116</v>
      </c>
      <c r="C52" s="57"/>
      <c r="D52" s="58"/>
      <c r="E52" s="58"/>
      <c r="F52" s="58"/>
    </row>
  </sheetData>
  <mergeCells count="17">
    <mergeCell ref="A44:B44"/>
    <mergeCell ref="A48:B48"/>
    <mergeCell ref="A49:B49"/>
    <mergeCell ref="A45:B45"/>
    <mergeCell ref="A46:B46"/>
    <mergeCell ref="A47:B47"/>
    <mergeCell ref="A1:F1"/>
    <mergeCell ref="A2:E2"/>
    <mergeCell ref="C3:D3"/>
    <mergeCell ref="E3:F3"/>
    <mergeCell ref="C4:D4"/>
    <mergeCell ref="E4:F4"/>
    <mergeCell ref="C25:D25"/>
    <mergeCell ref="E25:F25"/>
    <mergeCell ref="A39:F39"/>
    <mergeCell ref="A40:B40"/>
    <mergeCell ref="C40:F40"/>
  </mergeCells>
  <pageMargins left="0.7" right="0.7" top="0.75" bottom="0.75" header="0.3" footer="0.3"/>
  <pageSetup scale="96" orientation="portrait" horizontalDpi="300" verticalDpi="0" copies="0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33"/>
  <sheetViews>
    <sheetView showGridLines="0" zoomScaleNormal="100" workbookViewId="0">
      <selection activeCell="L14" sqref="L14"/>
    </sheetView>
  </sheetViews>
  <sheetFormatPr defaultRowHeight="15"/>
  <cols>
    <col min="1" max="1" width="5.85546875" style="57" bestFit="1" customWidth="1"/>
    <col min="2" max="2" width="44.42578125" style="57" customWidth="1"/>
    <col min="3" max="3" width="9.140625" style="57"/>
    <col min="4" max="4" width="11.7109375" style="57" bestFit="1" customWidth="1"/>
    <col min="5" max="5" width="9.140625" style="57"/>
    <col min="6" max="6" width="12.28515625" style="57" bestFit="1" customWidth="1"/>
    <col min="7" max="7" width="9.140625" style="57"/>
    <col min="8" max="8" width="12.28515625" style="57" bestFit="1" customWidth="1"/>
    <col min="9" max="9" width="9.140625" style="57"/>
    <col min="10" max="10" width="13.28515625" style="57" bestFit="1" customWidth="1"/>
    <col min="11" max="11" width="9.140625" style="57"/>
    <col min="12" max="12" width="13" style="57" bestFit="1" customWidth="1"/>
    <col min="13" max="16384" width="9.140625" style="57"/>
  </cols>
  <sheetData>
    <row r="1" spans="1:12" ht="15.75">
      <c r="A1" s="112" t="s">
        <v>52</v>
      </c>
      <c r="B1" s="112"/>
      <c r="C1" s="112"/>
      <c r="D1" s="112"/>
    </row>
    <row r="2" spans="1:12" ht="15.75" thickBot="1">
      <c r="A2" s="113" t="s">
        <v>53</v>
      </c>
      <c r="B2" s="113"/>
      <c r="C2" s="113"/>
      <c r="D2" s="59" t="s">
        <v>54</v>
      </c>
    </row>
    <row r="3" spans="1:12" ht="15.75" thickBot="1">
      <c r="A3" s="74"/>
      <c r="B3" s="74"/>
      <c r="C3" s="131" t="s">
        <v>157</v>
      </c>
      <c r="D3" s="127"/>
      <c r="E3" s="126" t="s">
        <v>157</v>
      </c>
      <c r="F3" s="127"/>
      <c r="G3" s="126" t="s">
        <v>158</v>
      </c>
      <c r="H3" s="127"/>
      <c r="I3" s="126" t="s">
        <v>158</v>
      </c>
      <c r="J3" s="127"/>
      <c r="K3" s="126" t="s">
        <v>158</v>
      </c>
      <c r="L3" s="128"/>
    </row>
    <row r="4" spans="1:12" ht="15" customHeight="1">
      <c r="A4" s="97" t="s">
        <v>55</v>
      </c>
      <c r="B4" s="98" t="s">
        <v>8</v>
      </c>
      <c r="C4" s="129" t="s">
        <v>57</v>
      </c>
      <c r="D4" s="130"/>
      <c r="E4" s="129" t="s">
        <v>56</v>
      </c>
      <c r="F4" s="130"/>
      <c r="G4" s="129" t="s">
        <v>147</v>
      </c>
      <c r="H4" s="130"/>
      <c r="I4" s="129" t="s">
        <v>149</v>
      </c>
      <c r="J4" s="130"/>
      <c r="K4" s="129" t="s">
        <v>151</v>
      </c>
      <c r="L4" s="130"/>
    </row>
    <row r="5" spans="1:12" ht="15" customHeight="1">
      <c r="A5" s="99" t="s">
        <v>55</v>
      </c>
      <c r="B5" s="100" t="s">
        <v>55</v>
      </c>
      <c r="C5" s="116" t="s">
        <v>59</v>
      </c>
      <c r="D5" s="117"/>
      <c r="E5" s="116" t="s">
        <v>58</v>
      </c>
      <c r="F5" s="117"/>
      <c r="G5" s="116" t="s">
        <v>148</v>
      </c>
      <c r="H5" s="117"/>
      <c r="I5" s="116" t="s">
        <v>150</v>
      </c>
      <c r="J5" s="117"/>
      <c r="K5" s="116" t="s">
        <v>152</v>
      </c>
      <c r="L5" s="117"/>
    </row>
    <row r="6" spans="1:12">
      <c r="A6" s="28" t="s">
        <v>60</v>
      </c>
      <c r="B6" s="60" t="s">
        <v>61</v>
      </c>
      <c r="C6" s="91"/>
      <c r="D6" s="81">
        <f>+'P &amp;L'!F5</f>
        <v>9369</v>
      </c>
      <c r="E6" s="30"/>
      <c r="F6" s="31">
        <f>+'P &amp;L'!D5</f>
        <v>851025</v>
      </c>
      <c r="G6" s="30"/>
      <c r="H6" s="31">
        <f>+F6*1.1</f>
        <v>936127.50000000012</v>
      </c>
      <c r="I6" s="30"/>
      <c r="J6" s="31">
        <f>+H6*1.1</f>
        <v>1029740.2500000002</v>
      </c>
      <c r="K6" s="30"/>
      <c r="L6" s="31">
        <f>+J6*1.1</f>
        <v>1132714.2750000004</v>
      </c>
    </row>
    <row r="7" spans="1:12">
      <c r="A7" s="61" t="s">
        <v>62</v>
      </c>
      <c r="B7" s="62" t="s">
        <v>63</v>
      </c>
      <c r="C7" s="92"/>
      <c r="D7" s="82">
        <f>+'P &amp;L'!F6</f>
        <v>0</v>
      </c>
      <c r="E7" s="63"/>
      <c r="F7" s="64">
        <f>+'P &amp;L'!D6</f>
        <v>1925</v>
      </c>
      <c r="G7" s="63"/>
      <c r="H7" s="64">
        <f>+F7*1.1</f>
        <v>2117.5</v>
      </c>
      <c r="I7" s="63"/>
      <c r="J7" s="64">
        <f>+H7*1.1</f>
        <v>2329.25</v>
      </c>
      <c r="K7" s="63"/>
      <c r="L7" s="64">
        <f>+J7*1.1</f>
        <v>2562.1750000000002</v>
      </c>
    </row>
    <row r="8" spans="1:12">
      <c r="A8" s="61" t="s">
        <v>64</v>
      </c>
      <c r="B8" s="62" t="s">
        <v>65</v>
      </c>
      <c r="C8" s="93"/>
      <c r="D8" s="83">
        <f>SUM(D6:D7)</f>
        <v>9369</v>
      </c>
      <c r="E8" s="67"/>
      <c r="F8" s="68">
        <f>SUM(F6:F7)</f>
        <v>852950</v>
      </c>
      <c r="G8" s="67"/>
      <c r="H8" s="68">
        <f>SUM(H6:H7)</f>
        <v>938245.00000000012</v>
      </c>
      <c r="I8" s="67"/>
      <c r="J8" s="68">
        <f>SUM(J6:J7)</f>
        <v>1032069.5000000002</v>
      </c>
      <c r="K8" s="67"/>
      <c r="L8" s="68">
        <f>SUM(L6:L7)</f>
        <v>1135276.4500000004</v>
      </c>
    </row>
    <row r="9" spans="1:12">
      <c r="A9" s="61" t="s">
        <v>66</v>
      </c>
      <c r="B9" s="79" t="s">
        <v>67</v>
      </c>
      <c r="C9" s="91"/>
      <c r="D9" s="84" t="s">
        <v>55</v>
      </c>
      <c r="E9" s="30"/>
      <c r="F9" s="38" t="s">
        <v>55</v>
      </c>
      <c r="G9" s="30"/>
      <c r="H9" s="38" t="s">
        <v>55</v>
      </c>
      <c r="I9" s="30"/>
      <c r="J9" s="38" t="s">
        <v>55</v>
      </c>
      <c r="K9" s="30"/>
      <c r="L9" s="38" t="s">
        <v>55</v>
      </c>
    </row>
    <row r="10" spans="1:12">
      <c r="A10" s="39" t="s">
        <v>55</v>
      </c>
      <c r="B10" s="80" t="s">
        <v>68</v>
      </c>
      <c r="C10" s="92"/>
      <c r="D10" s="85">
        <f>+'P &amp;L'!F9</f>
        <v>0</v>
      </c>
      <c r="E10" s="63"/>
      <c r="F10" s="41">
        <f>+'P &amp;L'!D9</f>
        <v>723371</v>
      </c>
      <c r="G10" s="63"/>
      <c r="H10" s="41">
        <f>+F10*1.1</f>
        <v>795708.10000000009</v>
      </c>
      <c r="I10" s="63"/>
      <c r="J10" s="41">
        <f>+H10*1.1</f>
        <v>875278.91000000015</v>
      </c>
      <c r="K10" s="63"/>
      <c r="L10" s="41">
        <f>+J10*1.1</f>
        <v>962806.80100000021</v>
      </c>
    </row>
    <row r="11" spans="1:12">
      <c r="A11" s="39" t="s">
        <v>55</v>
      </c>
      <c r="B11" s="80" t="s">
        <v>69</v>
      </c>
      <c r="C11" s="92"/>
      <c r="D11" s="86">
        <f>+'P &amp;L'!F10</f>
        <v>0</v>
      </c>
      <c r="E11" s="63"/>
      <c r="F11" s="41">
        <f>+'P &amp;L'!D10</f>
        <v>-10131</v>
      </c>
      <c r="G11" s="63"/>
      <c r="H11" s="41">
        <f>+F11*1.1</f>
        <v>-11144.1</v>
      </c>
      <c r="I11" s="63"/>
      <c r="J11" s="41">
        <f>+H11*1.1</f>
        <v>-12258.510000000002</v>
      </c>
      <c r="K11" s="63"/>
      <c r="L11" s="41">
        <f>+J11*1.1</f>
        <v>-13484.361000000003</v>
      </c>
    </row>
    <row r="12" spans="1:12">
      <c r="A12" s="39"/>
      <c r="B12" s="80" t="s">
        <v>136</v>
      </c>
      <c r="C12" s="92"/>
      <c r="D12" s="86">
        <f>+'P &amp;L'!F11</f>
        <v>0</v>
      </c>
      <c r="E12" s="63"/>
      <c r="F12" s="41">
        <f>+'P &amp;L'!D11</f>
        <v>11639</v>
      </c>
      <c r="G12" s="63"/>
      <c r="H12" s="42">
        <f>+F12*1.1</f>
        <v>12802.900000000001</v>
      </c>
      <c r="I12" s="63"/>
      <c r="J12" s="42">
        <f>+H12*1.1</f>
        <v>14083.190000000002</v>
      </c>
      <c r="K12" s="63"/>
      <c r="L12" s="42">
        <f>+J12*1.1</f>
        <v>15491.509000000004</v>
      </c>
    </row>
    <row r="13" spans="1:12">
      <c r="A13" s="39" t="s">
        <v>55</v>
      </c>
      <c r="B13" s="80" t="s">
        <v>70</v>
      </c>
      <c r="C13" s="92"/>
      <c r="D13" s="86">
        <f>+'P &amp;L'!F12</f>
        <v>0</v>
      </c>
      <c r="E13" s="63"/>
      <c r="F13" s="41">
        <f>+'P &amp;L'!D12</f>
        <v>116518</v>
      </c>
      <c r="G13" s="63"/>
      <c r="H13" s="41">
        <f>+F13*1.1</f>
        <v>128169.80000000002</v>
      </c>
      <c r="I13" s="63"/>
      <c r="J13" s="41">
        <f>+H13*1.1</f>
        <v>140986.78000000003</v>
      </c>
      <c r="K13" s="63"/>
      <c r="L13" s="41">
        <f>+J13*1.1</f>
        <v>155085.45800000004</v>
      </c>
    </row>
    <row r="14" spans="1:12">
      <c r="A14" s="61" t="s">
        <v>55</v>
      </c>
      <c r="B14" s="62" t="s">
        <v>71</v>
      </c>
      <c r="C14" s="93"/>
      <c r="D14" s="83">
        <f>SUM(D10:D13)</f>
        <v>0</v>
      </c>
      <c r="E14" s="67"/>
      <c r="F14" s="68">
        <f>SUM(F10:F13)</f>
        <v>841397</v>
      </c>
      <c r="G14" s="67"/>
      <c r="H14" s="68">
        <f>SUM(H10:H13)</f>
        <v>925536.70000000019</v>
      </c>
      <c r="I14" s="67"/>
      <c r="J14" s="68">
        <f>SUM(J10:J13)</f>
        <v>1018090.3700000001</v>
      </c>
      <c r="K14" s="67"/>
      <c r="L14" s="68">
        <f>SUM(L10:L13)</f>
        <v>1119899.4070000001</v>
      </c>
    </row>
    <row r="15" spans="1:12">
      <c r="A15" s="61" t="s">
        <v>72</v>
      </c>
      <c r="B15" s="62" t="s">
        <v>153</v>
      </c>
      <c r="C15" s="91"/>
      <c r="D15" s="81">
        <f>D8-D14</f>
        <v>9369</v>
      </c>
      <c r="E15" s="30"/>
      <c r="F15" s="31">
        <f>F8-F14</f>
        <v>11553</v>
      </c>
      <c r="G15" s="30"/>
      <c r="H15" s="31">
        <f>H8-H14</f>
        <v>12708.29999999993</v>
      </c>
      <c r="I15" s="30"/>
      <c r="J15" s="31">
        <f>J8-J14</f>
        <v>13979.130000000121</v>
      </c>
      <c r="K15" s="30"/>
      <c r="L15" s="31">
        <f>L8-L14</f>
        <v>15377.043000000296</v>
      </c>
    </row>
    <row r="16" spans="1:12">
      <c r="A16" s="61" t="s">
        <v>74</v>
      </c>
      <c r="B16" s="40" t="s">
        <v>75</v>
      </c>
      <c r="C16" s="92"/>
      <c r="D16" s="87"/>
      <c r="E16" s="63"/>
      <c r="F16" s="43"/>
      <c r="G16" s="63"/>
      <c r="H16" s="43"/>
      <c r="I16" s="63"/>
      <c r="J16" s="43"/>
      <c r="K16" s="63"/>
      <c r="L16" s="43"/>
    </row>
    <row r="17" spans="1:12">
      <c r="A17" s="61" t="s">
        <v>77</v>
      </c>
      <c r="B17" s="62" t="s">
        <v>78</v>
      </c>
      <c r="C17" s="91"/>
      <c r="D17" s="88">
        <f>+D15-D16</f>
        <v>9369</v>
      </c>
      <c r="E17" s="30"/>
      <c r="F17" s="77">
        <f>+F15-F16</f>
        <v>11553</v>
      </c>
      <c r="G17" s="30"/>
      <c r="H17" s="77">
        <f>+H15-H16</f>
        <v>12708.29999999993</v>
      </c>
      <c r="I17" s="30"/>
      <c r="J17" s="77">
        <f>+J15-J16</f>
        <v>13979.130000000121</v>
      </c>
      <c r="K17" s="30"/>
      <c r="L17" s="77">
        <f>+L15-L16</f>
        <v>15377.043000000296</v>
      </c>
    </row>
    <row r="18" spans="1:12">
      <c r="A18" s="61" t="s">
        <v>79</v>
      </c>
      <c r="B18" s="40" t="s">
        <v>80</v>
      </c>
      <c r="C18" s="92"/>
      <c r="D18" s="87"/>
      <c r="E18" s="63"/>
      <c r="F18" s="43"/>
      <c r="G18" s="63"/>
      <c r="H18" s="43"/>
      <c r="I18" s="63"/>
      <c r="J18" s="43"/>
      <c r="K18" s="63"/>
      <c r="L18" s="43"/>
    </row>
    <row r="19" spans="1:12">
      <c r="A19" s="61" t="s">
        <v>81</v>
      </c>
      <c r="B19" s="62" t="s">
        <v>82</v>
      </c>
      <c r="C19" s="91"/>
      <c r="D19" s="81">
        <f>+D17-D18</f>
        <v>9369</v>
      </c>
      <c r="E19" s="30"/>
      <c r="F19" s="31">
        <f>+F17-F18</f>
        <v>11553</v>
      </c>
      <c r="G19" s="30"/>
      <c r="H19" s="31">
        <f>+H17-H18</f>
        <v>12708.29999999993</v>
      </c>
      <c r="I19" s="30"/>
      <c r="J19" s="31">
        <f>+J17-J18</f>
        <v>13979.130000000121</v>
      </c>
      <c r="K19" s="30"/>
      <c r="L19" s="31">
        <f>+L17-L18</f>
        <v>15377.043000000296</v>
      </c>
    </row>
    <row r="20" spans="1:12">
      <c r="A20" s="61" t="s">
        <v>83</v>
      </c>
      <c r="B20" s="62" t="s">
        <v>84</v>
      </c>
      <c r="C20" s="92"/>
      <c r="D20" s="89"/>
      <c r="E20" s="63"/>
      <c r="F20" s="44"/>
      <c r="G20" s="63"/>
      <c r="H20" s="44"/>
      <c r="I20" s="63"/>
      <c r="J20" s="44"/>
      <c r="K20" s="63"/>
      <c r="L20" s="44"/>
    </row>
    <row r="21" spans="1:12">
      <c r="A21" s="61" t="s">
        <v>55</v>
      </c>
      <c r="B21" s="40" t="s">
        <v>85</v>
      </c>
      <c r="C21" s="92"/>
      <c r="D21" s="87"/>
      <c r="E21" s="63"/>
      <c r="F21" s="43"/>
      <c r="G21" s="63"/>
      <c r="H21" s="43"/>
      <c r="I21" s="63"/>
      <c r="J21" s="43"/>
      <c r="K21" s="63"/>
      <c r="L21" s="43"/>
    </row>
    <row r="22" spans="1:12">
      <c r="A22" s="61" t="s">
        <v>55</v>
      </c>
      <c r="B22" s="40" t="s">
        <v>86</v>
      </c>
      <c r="C22" s="92"/>
      <c r="D22" s="87"/>
      <c r="E22" s="63"/>
      <c r="F22" s="43"/>
      <c r="G22" s="63"/>
      <c r="H22" s="43"/>
      <c r="I22" s="63"/>
      <c r="J22" s="43"/>
      <c r="K22" s="63"/>
      <c r="L22" s="43"/>
    </row>
    <row r="23" spans="1:12">
      <c r="A23" s="61" t="s">
        <v>87</v>
      </c>
      <c r="B23" s="62" t="s">
        <v>154</v>
      </c>
      <c r="C23" s="91"/>
      <c r="D23" s="81"/>
      <c r="E23" s="30"/>
      <c r="F23" s="77">
        <f>+F19-F20-F21-F22</f>
        <v>11553</v>
      </c>
      <c r="G23" s="30"/>
      <c r="H23" s="77">
        <f>+H19-H20-H21-H22</f>
        <v>12708.29999999993</v>
      </c>
      <c r="I23" s="30"/>
      <c r="J23" s="77">
        <f>+J19-J20-J21-J22</f>
        <v>13979.130000000121</v>
      </c>
      <c r="K23" s="30"/>
      <c r="L23" s="77">
        <f>+L19-L20-L21-L22</f>
        <v>15377.043000000296</v>
      </c>
    </row>
    <row r="24" spans="1:12">
      <c r="A24" s="61" t="s">
        <v>89</v>
      </c>
      <c r="B24" s="40" t="s">
        <v>90</v>
      </c>
      <c r="C24" s="92"/>
      <c r="D24" s="87"/>
      <c r="E24" s="63"/>
      <c r="F24" s="43"/>
      <c r="G24" s="63"/>
      <c r="H24" s="43"/>
      <c r="I24" s="63"/>
      <c r="J24" s="43"/>
      <c r="K24" s="63"/>
      <c r="L24" s="43"/>
    </row>
    <row r="25" spans="1:12">
      <c r="A25" s="61" t="s">
        <v>91</v>
      </c>
      <c r="B25" s="40" t="s">
        <v>92</v>
      </c>
      <c r="C25" s="92"/>
      <c r="D25" s="87"/>
      <c r="E25" s="63"/>
      <c r="F25" s="43"/>
      <c r="G25" s="63"/>
      <c r="H25" s="43"/>
      <c r="I25" s="63"/>
      <c r="J25" s="43"/>
      <c r="K25" s="63"/>
      <c r="L25" s="43"/>
    </row>
    <row r="26" spans="1:12">
      <c r="A26" s="61" t="s">
        <v>93</v>
      </c>
      <c r="B26" s="62" t="s">
        <v>155</v>
      </c>
      <c r="C26" s="92"/>
      <c r="D26" s="89"/>
      <c r="E26" s="63"/>
      <c r="F26" s="44"/>
      <c r="G26" s="63"/>
      <c r="H26" s="44"/>
      <c r="I26" s="63"/>
      <c r="J26" s="44"/>
      <c r="K26" s="63"/>
      <c r="L26" s="44"/>
    </row>
    <row r="27" spans="1:12">
      <c r="A27" s="61" t="s">
        <v>95</v>
      </c>
      <c r="B27" s="62" t="s">
        <v>96</v>
      </c>
      <c r="C27" s="93"/>
      <c r="D27" s="83">
        <v>9369</v>
      </c>
      <c r="E27" s="67"/>
      <c r="F27" s="68">
        <f>+F23-F24-F25-F26</f>
        <v>11553</v>
      </c>
      <c r="G27" s="67"/>
      <c r="H27" s="68">
        <f>+H23-H24-H25-H26</f>
        <v>12708.29999999993</v>
      </c>
      <c r="I27" s="67"/>
      <c r="J27" s="68">
        <f>+J23-J24-J25-J26</f>
        <v>13979.130000000121</v>
      </c>
      <c r="K27" s="67"/>
      <c r="L27" s="68">
        <f>+L23-L24-L25-L26</f>
        <v>15377.043000000296</v>
      </c>
    </row>
    <row r="28" spans="1:12">
      <c r="A28" s="61" t="s">
        <v>97</v>
      </c>
      <c r="B28" s="62" t="s">
        <v>98</v>
      </c>
      <c r="C28" s="91"/>
      <c r="D28" s="84" t="s">
        <v>55</v>
      </c>
      <c r="E28" s="30"/>
      <c r="F28" s="38" t="s">
        <v>55</v>
      </c>
      <c r="G28" s="30"/>
      <c r="H28" s="38" t="s">
        <v>55</v>
      </c>
      <c r="I28" s="30"/>
      <c r="J28" s="38" t="s">
        <v>55</v>
      </c>
      <c r="K28" s="30"/>
      <c r="L28" s="38" t="s">
        <v>55</v>
      </c>
    </row>
    <row r="29" spans="1:12">
      <c r="A29" s="61" t="s">
        <v>55</v>
      </c>
      <c r="B29" s="40" t="s">
        <v>99</v>
      </c>
      <c r="C29" s="92"/>
      <c r="D29" s="87" t="s">
        <v>76</v>
      </c>
      <c r="E29" s="63"/>
      <c r="F29" s="43" t="s">
        <v>76</v>
      </c>
      <c r="G29" s="63"/>
      <c r="H29" s="43" t="s">
        <v>76</v>
      </c>
      <c r="I29" s="63"/>
      <c r="J29" s="43" t="s">
        <v>76</v>
      </c>
      <c r="K29" s="63"/>
      <c r="L29" s="43" t="s">
        <v>76</v>
      </c>
    </row>
    <row r="30" spans="1:12">
      <c r="A30" s="69" t="s">
        <v>55</v>
      </c>
      <c r="B30" s="46" t="s">
        <v>100</v>
      </c>
      <c r="C30" s="94"/>
      <c r="D30" s="90" t="s">
        <v>76</v>
      </c>
      <c r="E30" s="47"/>
      <c r="F30" s="48" t="s">
        <v>76</v>
      </c>
      <c r="G30" s="47"/>
      <c r="H30" s="48" t="s">
        <v>76</v>
      </c>
      <c r="I30" s="47"/>
      <c r="J30" s="48" t="s">
        <v>76</v>
      </c>
      <c r="K30" s="47"/>
      <c r="L30" s="48" t="s">
        <v>76</v>
      </c>
    </row>
    <row r="31" spans="1:12">
      <c r="C31" s="58"/>
      <c r="D31" s="58"/>
    </row>
    <row r="32" spans="1:12">
      <c r="A32" s="71" t="s">
        <v>112</v>
      </c>
      <c r="B32" s="71" t="s">
        <v>113</v>
      </c>
      <c r="C32" s="58"/>
      <c r="D32" s="58"/>
    </row>
    <row r="33" spans="1:4">
      <c r="A33" s="71" t="s">
        <v>115</v>
      </c>
      <c r="B33" s="71" t="s">
        <v>116</v>
      </c>
      <c r="C33" s="58"/>
      <c r="D33" s="58"/>
    </row>
  </sheetData>
  <mergeCells count="17">
    <mergeCell ref="I4:J4"/>
    <mergeCell ref="I5:J5"/>
    <mergeCell ref="K4:L4"/>
    <mergeCell ref="K5:L5"/>
    <mergeCell ref="G4:H4"/>
    <mergeCell ref="G5:H5"/>
    <mergeCell ref="E4:F4"/>
    <mergeCell ref="C4:D4"/>
    <mergeCell ref="E5:F5"/>
    <mergeCell ref="C5:D5"/>
    <mergeCell ref="C3:D3"/>
    <mergeCell ref="E3:F3"/>
    <mergeCell ref="G3:H3"/>
    <mergeCell ref="I3:J3"/>
    <mergeCell ref="K3:L3"/>
    <mergeCell ref="A1:D1"/>
    <mergeCell ref="A2:C2"/>
  </mergeCells>
  <pageMargins left="0.7" right="0.7" top="0.75" bottom="0.75" header="0.3" footer="0.3"/>
  <pageSetup scale="58" orientation="portrait" horizontalDpi="300" verticalDpi="0" copies="0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showGridLines="0" zoomScaleNormal="100" workbookViewId="0">
      <selection activeCell="A4" sqref="A4"/>
    </sheetView>
  </sheetViews>
  <sheetFormatPr defaultRowHeight="15"/>
  <cols>
    <col min="1" max="1" width="5.85546875" style="57" bestFit="1" customWidth="1"/>
    <col min="2" max="2" width="29.28515625" style="57" bestFit="1" customWidth="1"/>
    <col min="3" max="3" width="10.42578125" style="57" bestFit="1" customWidth="1"/>
    <col min="4" max="4" width="14.140625" style="57" bestFit="1" customWidth="1"/>
    <col min="5" max="5" width="11.42578125" style="57" customWidth="1"/>
    <col min="6" max="6" width="14.140625" style="57" customWidth="1"/>
    <col min="7" max="7" width="11.42578125" style="57" bestFit="1" customWidth="1"/>
    <col min="8" max="8" width="14.42578125" style="57" bestFit="1" customWidth="1"/>
    <col min="9" max="9" width="11" style="57" bestFit="1" customWidth="1"/>
    <col min="10" max="10" width="14.42578125" style="57" bestFit="1" customWidth="1"/>
    <col min="11" max="11" width="11" style="57" bestFit="1" customWidth="1"/>
    <col min="12" max="12" width="14.42578125" style="57" bestFit="1" customWidth="1"/>
    <col min="13" max="16384" width="9.140625" style="57"/>
  </cols>
  <sheetData>
    <row r="1" spans="1:12" ht="15.75">
      <c r="A1" s="112" t="s">
        <v>52</v>
      </c>
      <c r="B1" s="112"/>
      <c r="C1" s="112"/>
      <c r="D1" s="112"/>
    </row>
    <row r="2" spans="1:12" ht="15.75" thickBot="1">
      <c r="A2" s="113" t="s">
        <v>118</v>
      </c>
      <c r="B2" s="113"/>
      <c r="C2" s="113"/>
      <c r="D2" s="59" t="s">
        <v>54</v>
      </c>
    </row>
    <row r="3" spans="1:12" ht="15.75" thickBot="1">
      <c r="A3" s="74"/>
      <c r="B3" s="74"/>
      <c r="C3" s="131" t="s">
        <v>157</v>
      </c>
      <c r="D3" s="128"/>
      <c r="E3" s="131" t="s">
        <v>157</v>
      </c>
      <c r="F3" s="128"/>
      <c r="G3" s="131" t="s">
        <v>158</v>
      </c>
      <c r="H3" s="128"/>
      <c r="I3" s="131" t="s">
        <v>158</v>
      </c>
      <c r="J3" s="128"/>
      <c r="K3" s="131" t="s">
        <v>158</v>
      </c>
      <c r="L3" s="128"/>
    </row>
    <row r="4" spans="1:12" ht="15" customHeight="1">
      <c r="A4" s="95" t="s">
        <v>55</v>
      </c>
      <c r="B4" s="96" t="s">
        <v>8</v>
      </c>
      <c r="C4" s="116" t="s">
        <v>120</v>
      </c>
      <c r="D4" s="117"/>
      <c r="E4" s="124" t="s">
        <v>119</v>
      </c>
      <c r="F4" s="125"/>
      <c r="G4" s="124" t="s">
        <v>144</v>
      </c>
      <c r="H4" s="125"/>
      <c r="I4" s="124" t="s">
        <v>145</v>
      </c>
      <c r="J4" s="125"/>
      <c r="K4" s="124" t="s">
        <v>146</v>
      </c>
      <c r="L4" s="125"/>
    </row>
    <row r="5" spans="1:12">
      <c r="A5" s="60" t="s">
        <v>121</v>
      </c>
      <c r="B5" s="60" t="s">
        <v>122</v>
      </c>
      <c r="C5" s="122" t="s">
        <v>55</v>
      </c>
      <c r="D5" s="123"/>
      <c r="E5" s="122" t="s">
        <v>55</v>
      </c>
      <c r="F5" s="123"/>
      <c r="G5" s="122" t="s">
        <v>55</v>
      </c>
      <c r="H5" s="123"/>
      <c r="I5" s="122" t="s">
        <v>55</v>
      </c>
      <c r="J5" s="123"/>
      <c r="K5" s="122" t="s">
        <v>55</v>
      </c>
      <c r="L5" s="123"/>
    </row>
    <row r="6" spans="1:12">
      <c r="A6" s="61" t="s">
        <v>123</v>
      </c>
      <c r="B6" s="62" t="s">
        <v>124</v>
      </c>
      <c r="C6" s="63"/>
      <c r="D6" s="64">
        <f>+C7</f>
        <v>763166</v>
      </c>
      <c r="E6" s="63"/>
      <c r="F6" s="64">
        <f>+E7</f>
        <v>755399</v>
      </c>
      <c r="G6" s="63"/>
      <c r="H6" s="64">
        <f>+G7</f>
        <v>830938.9</v>
      </c>
      <c r="I6" s="63"/>
      <c r="J6" s="64">
        <f>+I7</f>
        <v>914032.79000000015</v>
      </c>
      <c r="K6" s="63"/>
      <c r="L6" s="64">
        <f>+K7</f>
        <v>1005436.0690000003</v>
      </c>
    </row>
    <row r="7" spans="1:12">
      <c r="A7" s="61" t="s">
        <v>55</v>
      </c>
      <c r="B7" s="78" t="s">
        <v>125</v>
      </c>
      <c r="C7" s="65">
        <f>+BS!E6</f>
        <v>763166</v>
      </c>
      <c r="D7" s="66"/>
      <c r="E7" s="65">
        <f>+BS!C6</f>
        <v>755399</v>
      </c>
      <c r="F7" s="66"/>
      <c r="G7" s="65">
        <f>+E7*1.1</f>
        <v>830938.9</v>
      </c>
      <c r="H7" s="66"/>
      <c r="I7" s="65">
        <f>+G7*1.1</f>
        <v>914032.79000000015</v>
      </c>
      <c r="J7" s="66"/>
      <c r="K7" s="65">
        <f>+I7*1.1</f>
        <v>1005436.0690000003</v>
      </c>
      <c r="L7" s="66"/>
    </row>
    <row r="8" spans="1:12">
      <c r="A8" s="61" t="s">
        <v>126</v>
      </c>
      <c r="B8" s="62" t="s">
        <v>46</v>
      </c>
      <c r="C8" s="65"/>
      <c r="D8" s="66">
        <f>+'Extracted Data'!BO34+C9+C10+C11</f>
        <v>27600</v>
      </c>
      <c r="E8" s="65"/>
      <c r="F8" s="66">
        <f>+'Extracted Data'!BN34+E9+E10+E11</f>
        <v>23460</v>
      </c>
      <c r="G8" s="65"/>
      <c r="H8" s="66">
        <f>+G9+G10+G11</f>
        <v>25806.000000000004</v>
      </c>
      <c r="I8" s="65"/>
      <c r="J8" s="66">
        <f>+I9+I10+I11</f>
        <v>28386.600000000006</v>
      </c>
      <c r="K8" s="65"/>
      <c r="L8" s="66">
        <f>+K9+K10+K11</f>
        <v>31225.260000000009</v>
      </c>
    </row>
    <row r="9" spans="1:12">
      <c r="A9" s="61"/>
      <c r="B9" s="78" t="s">
        <v>137</v>
      </c>
      <c r="C9" s="65">
        <f>+BS!E11</f>
        <v>13500</v>
      </c>
      <c r="D9" s="66"/>
      <c r="E9" s="65">
        <f>+BS!C11</f>
        <v>11475</v>
      </c>
      <c r="F9" s="66"/>
      <c r="G9" s="65">
        <f t="shared" ref="G9:G11" si="0">+E9*1.1</f>
        <v>12622.500000000002</v>
      </c>
      <c r="H9" s="66"/>
      <c r="I9" s="65">
        <f t="shared" ref="I9:I11" si="1">+G9*1.1</f>
        <v>13884.750000000004</v>
      </c>
      <c r="J9" s="66"/>
      <c r="K9" s="65">
        <f t="shared" ref="K9:K11" si="2">+I9*1.1</f>
        <v>15273.225000000006</v>
      </c>
      <c r="L9" s="66"/>
    </row>
    <row r="10" spans="1:12">
      <c r="A10" s="61"/>
      <c r="B10" s="78" t="s">
        <v>138</v>
      </c>
      <c r="C10" s="65">
        <f>+BS!E12</f>
        <v>14100</v>
      </c>
      <c r="D10" s="66"/>
      <c r="E10" s="65">
        <f>+BS!C12</f>
        <v>11985</v>
      </c>
      <c r="F10" s="66"/>
      <c r="G10" s="65">
        <f t="shared" si="0"/>
        <v>13183.500000000002</v>
      </c>
      <c r="H10" s="66"/>
      <c r="I10" s="65">
        <f t="shared" si="1"/>
        <v>14501.850000000004</v>
      </c>
      <c r="J10" s="66"/>
      <c r="K10" s="65">
        <f t="shared" si="2"/>
        <v>15952.035000000005</v>
      </c>
      <c r="L10" s="66"/>
    </row>
    <row r="11" spans="1:12">
      <c r="A11" s="61"/>
      <c r="B11" s="78" t="s">
        <v>140</v>
      </c>
      <c r="C11" s="65">
        <f>+BS!E13</f>
        <v>0</v>
      </c>
      <c r="D11" s="66"/>
      <c r="E11" s="65">
        <f>+BS!C13</f>
        <v>0</v>
      </c>
      <c r="F11" s="66"/>
      <c r="G11" s="65">
        <f t="shared" si="0"/>
        <v>0</v>
      </c>
      <c r="H11" s="66"/>
      <c r="I11" s="65">
        <f t="shared" si="1"/>
        <v>0</v>
      </c>
      <c r="J11" s="66"/>
      <c r="K11" s="65">
        <f t="shared" si="2"/>
        <v>0</v>
      </c>
      <c r="L11" s="66"/>
    </row>
    <row r="12" spans="1:12">
      <c r="A12" s="61"/>
      <c r="B12" s="78"/>
      <c r="C12" s="65"/>
      <c r="D12" s="66"/>
      <c r="E12" s="65"/>
      <c r="F12" s="66"/>
      <c r="G12" s="65"/>
      <c r="H12" s="66"/>
      <c r="I12" s="65"/>
      <c r="J12" s="66"/>
      <c r="K12" s="65"/>
      <c r="L12" s="66"/>
    </row>
    <row r="13" spans="1:12">
      <c r="A13" s="61" t="s">
        <v>126</v>
      </c>
      <c r="B13" s="79" t="s">
        <v>127</v>
      </c>
      <c r="C13" s="63"/>
      <c r="D13" s="64">
        <f>+C14+C16+C17+C18+'Extracted Data'!CP34</f>
        <v>117493</v>
      </c>
      <c r="E13" s="63"/>
      <c r="F13" s="64">
        <f>+E14+E16+E17+E18+'Extracted Data'!CQ34</f>
        <v>123445</v>
      </c>
      <c r="G13" s="63"/>
      <c r="H13" s="64">
        <f>+G14+G16+G17</f>
        <v>135789.50000000003</v>
      </c>
      <c r="I13" s="63"/>
      <c r="J13" s="64">
        <f>+I14+I16+I17</f>
        <v>149368.45000000001</v>
      </c>
      <c r="K13" s="63"/>
      <c r="L13" s="64">
        <f>+K14+K16+K17</f>
        <v>164305.29500000004</v>
      </c>
    </row>
    <row r="14" spans="1:12">
      <c r="A14" s="61" t="s">
        <v>55</v>
      </c>
      <c r="B14" s="78" t="s">
        <v>128</v>
      </c>
      <c r="C14" s="65">
        <f>+BS!E17</f>
        <v>114821</v>
      </c>
      <c r="D14" s="66"/>
      <c r="E14" s="65">
        <f>+BS!C17</f>
        <v>120562</v>
      </c>
      <c r="F14" s="66"/>
      <c r="G14" s="65">
        <f t="shared" ref="G14:G17" si="3">+E14*1.1</f>
        <v>132618.20000000001</v>
      </c>
      <c r="H14" s="66"/>
      <c r="I14" s="65">
        <f t="shared" ref="I14" si="4">+G14*1.1</f>
        <v>145880.02000000002</v>
      </c>
      <c r="J14" s="66"/>
      <c r="K14" s="65">
        <f t="shared" ref="K14" si="5">+I14*1.1</f>
        <v>160468.02200000003</v>
      </c>
      <c r="L14" s="66"/>
    </row>
    <row r="15" spans="1:12">
      <c r="A15" s="61" t="s">
        <v>55</v>
      </c>
      <c r="B15" s="78" t="s">
        <v>129</v>
      </c>
      <c r="C15" s="65"/>
      <c r="D15" s="66"/>
      <c r="E15" s="65"/>
      <c r="F15" s="66"/>
      <c r="G15" s="65"/>
      <c r="H15" s="66"/>
      <c r="I15" s="65"/>
      <c r="J15" s="66"/>
      <c r="K15" s="65"/>
      <c r="L15" s="66"/>
    </row>
    <row r="16" spans="1:12">
      <c r="A16" s="61"/>
      <c r="B16" s="78" t="s">
        <v>26</v>
      </c>
      <c r="C16" s="65">
        <f>+BS!E19</f>
        <v>411</v>
      </c>
      <c r="D16" s="66"/>
      <c r="E16" s="65">
        <f>+BS!C19</f>
        <v>622</v>
      </c>
      <c r="F16" s="66"/>
      <c r="G16" s="65">
        <f t="shared" si="3"/>
        <v>684.2</v>
      </c>
      <c r="H16" s="66"/>
      <c r="I16" s="65">
        <f t="shared" ref="I16:I17" si="6">+G16*1.1</f>
        <v>752.62000000000012</v>
      </c>
      <c r="J16" s="66"/>
      <c r="K16" s="65">
        <f t="shared" ref="K16:K17" si="7">+I16*1.1</f>
        <v>827.88200000000018</v>
      </c>
      <c r="L16" s="66"/>
    </row>
    <row r="17" spans="1:12">
      <c r="A17" s="61"/>
      <c r="B17" s="78" t="s">
        <v>43</v>
      </c>
      <c r="C17" s="65">
        <f>+BS!E20</f>
        <v>2261</v>
      </c>
      <c r="D17" s="66"/>
      <c r="E17" s="65">
        <f>+BS!C20</f>
        <v>2261</v>
      </c>
      <c r="F17" s="66"/>
      <c r="G17" s="65">
        <f t="shared" si="3"/>
        <v>2487.1000000000004</v>
      </c>
      <c r="H17" s="66"/>
      <c r="I17" s="65">
        <f t="shared" si="6"/>
        <v>2735.8100000000004</v>
      </c>
      <c r="J17" s="66"/>
      <c r="K17" s="65">
        <f t="shared" si="7"/>
        <v>3009.3910000000005</v>
      </c>
      <c r="L17" s="66"/>
    </row>
    <row r="18" spans="1:12">
      <c r="A18" s="61"/>
      <c r="B18" s="78" t="s">
        <v>139</v>
      </c>
      <c r="C18" s="65">
        <f>+BS!E21</f>
        <v>0</v>
      </c>
      <c r="D18" s="66"/>
      <c r="E18" s="65">
        <f>+BS!C21</f>
        <v>0</v>
      </c>
      <c r="F18" s="66"/>
      <c r="G18" s="65"/>
      <c r="H18" s="66"/>
      <c r="I18" s="65"/>
      <c r="J18" s="66"/>
      <c r="K18" s="65"/>
      <c r="L18" s="66"/>
    </row>
    <row r="19" spans="1:12">
      <c r="A19" s="61"/>
      <c r="B19" s="78"/>
      <c r="C19" s="65"/>
      <c r="D19" s="66"/>
      <c r="E19" s="65"/>
      <c r="F19" s="66"/>
      <c r="G19" s="65"/>
      <c r="H19" s="66"/>
      <c r="I19" s="65"/>
      <c r="J19" s="66"/>
      <c r="K19" s="65"/>
      <c r="L19" s="66"/>
    </row>
    <row r="20" spans="1:12">
      <c r="A20" s="61" t="s">
        <v>55</v>
      </c>
      <c r="B20" s="79" t="s">
        <v>42</v>
      </c>
      <c r="C20" s="67"/>
      <c r="D20" s="68">
        <f>SUM(D6:D19)</f>
        <v>908259</v>
      </c>
      <c r="E20" s="67"/>
      <c r="F20" s="68">
        <f>SUM(F6:F19)</f>
        <v>902304</v>
      </c>
      <c r="G20" s="67"/>
      <c r="H20" s="68">
        <f>SUM(H6:H19)</f>
        <v>992534.4</v>
      </c>
      <c r="I20" s="67"/>
      <c r="J20" s="68">
        <f>SUM(J6:J19)</f>
        <v>1091787.8400000001</v>
      </c>
      <c r="K20" s="67"/>
      <c r="L20" s="68">
        <f>SUM(L6:L19)</f>
        <v>1200966.6240000003</v>
      </c>
    </row>
    <row r="21" spans="1:12">
      <c r="A21" s="62" t="s">
        <v>130</v>
      </c>
      <c r="B21" s="79" t="s">
        <v>131</v>
      </c>
      <c r="C21" s="122" t="s">
        <v>55</v>
      </c>
      <c r="D21" s="123"/>
      <c r="E21" s="122" t="s">
        <v>55</v>
      </c>
      <c r="F21" s="123"/>
      <c r="G21" s="122" t="s">
        <v>55</v>
      </c>
      <c r="H21" s="123"/>
      <c r="I21" s="122" t="s">
        <v>55</v>
      </c>
      <c r="J21" s="123"/>
      <c r="K21" s="122" t="s">
        <v>55</v>
      </c>
      <c r="L21" s="123"/>
    </row>
    <row r="22" spans="1:12">
      <c r="A22" s="61" t="s">
        <v>123</v>
      </c>
      <c r="B22" s="79" t="s">
        <v>132</v>
      </c>
      <c r="C22" s="63"/>
      <c r="D22" s="64">
        <f>+C23</f>
        <v>461740</v>
      </c>
      <c r="E22" s="63"/>
      <c r="F22" s="64">
        <f>+E23</f>
        <v>461740</v>
      </c>
      <c r="G22" s="63"/>
      <c r="H22" s="64">
        <f>+G23</f>
        <v>507914.00000000006</v>
      </c>
      <c r="I22" s="63"/>
      <c r="J22" s="64">
        <f>+I23</f>
        <v>558705.40000000014</v>
      </c>
      <c r="K22" s="63"/>
      <c r="L22" s="64">
        <f>+K23</f>
        <v>614575.94000000018</v>
      </c>
    </row>
    <row r="23" spans="1:12">
      <c r="A23" s="61" t="s">
        <v>55</v>
      </c>
      <c r="B23" s="78" t="s">
        <v>133</v>
      </c>
      <c r="C23" s="65">
        <f>+BS!E27</f>
        <v>461740</v>
      </c>
      <c r="D23" s="66"/>
      <c r="E23" s="65">
        <f>+BS!C27</f>
        <v>461740</v>
      </c>
      <c r="F23" s="66"/>
      <c r="G23" s="65">
        <f t="shared" ref="G23:G25" si="8">+E23*1.1</f>
        <v>507914.00000000006</v>
      </c>
      <c r="H23" s="66"/>
      <c r="I23" s="65">
        <f t="shared" ref="I23" si="9">+G23*1.1</f>
        <v>558705.40000000014</v>
      </c>
      <c r="J23" s="66"/>
      <c r="K23" s="65">
        <f t="shared" ref="K23" si="10">+I23*1.1</f>
        <v>614575.94000000018</v>
      </c>
      <c r="L23" s="66"/>
    </row>
    <row r="24" spans="1:12">
      <c r="A24" s="61"/>
      <c r="B24" s="78"/>
      <c r="C24" s="65"/>
      <c r="D24" s="66"/>
      <c r="E24" s="65"/>
      <c r="F24" s="66"/>
      <c r="G24" s="65"/>
      <c r="H24" s="66"/>
      <c r="I24" s="65"/>
      <c r="J24" s="66"/>
      <c r="K24" s="65"/>
      <c r="L24" s="66"/>
    </row>
    <row r="25" spans="1:12">
      <c r="A25" s="61" t="s">
        <v>126</v>
      </c>
      <c r="B25" s="79" t="s">
        <v>13</v>
      </c>
      <c r="C25" s="65">
        <f>+BS!E30</f>
        <v>25000</v>
      </c>
      <c r="D25" s="66">
        <f>+C25</f>
        <v>25000</v>
      </c>
      <c r="E25" s="65">
        <f>+BS!C30</f>
        <v>27500</v>
      </c>
      <c r="F25" s="66">
        <f>+E25</f>
        <v>27500</v>
      </c>
      <c r="G25" s="65">
        <f t="shared" si="8"/>
        <v>30250.000000000004</v>
      </c>
      <c r="H25" s="66">
        <f>+G25</f>
        <v>30250.000000000004</v>
      </c>
      <c r="I25" s="65">
        <f t="shared" ref="I25" si="11">+G25*1.1</f>
        <v>33275.000000000007</v>
      </c>
      <c r="J25" s="66">
        <f>+I25</f>
        <v>33275.000000000007</v>
      </c>
      <c r="K25" s="65">
        <f t="shared" ref="K25" si="12">+I25*1.1</f>
        <v>36602.500000000015</v>
      </c>
      <c r="L25" s="66">
        <f>+K25</f>
        <v>36602.500000000015</v>
      </c>
    </row>
    <row r="26" spans="1:12">
      <c r="A26" s="61"/>
      <c r="B26" s="78"/>
      <c r="C26" s="65"/>
      <c r="D26" s="66"/>
      <c r="E26" s="65"/>
      <c r="F26" s="66"/>
      <c r="G26" s="65"/>
      <c r="H26" s="66"/>
      <c r="I26" s="65"/>
      <c r="J26" s="66"/>
      <c r="K26" s="65"/>
      <c r="L26" s="66"/>
    </row>
    <row r="27" spans="1:12">
      <c r="A27" s="61" t="s">
        <v>126</v>
      </c>
      <c r="B27" s="79" t="s">
        <v>14</v>
      </c>
      <c r="C27" s="63"/>
      <c r="D27" s="64">
        <f>+C28+C29+C31+C32+C30</f>
        <v>430888</v>
      </c>
      <c r="E27" s="65"/>
      <c r="F27" s="64">
        <f>+E28+E29+E31+E32+E30</f>
        <v>445625</v>
      </c>
      <c r="G27" s="63"/>
      <c r="H27" s="64">
        <f>+G28+G29+G31+G32+G30</f>
        <v>490187.50000000006</v>
      </c>
      <c r="I27" s="63"/>
      <c r="J27" s="64">
        <f>+I28+I29+I31+I32+I30</f>
        <v>539206.25000000012</v>
      </c>
      <c r="K27" s="63"/>
      <c r="L27" s="64">
        <f>+K28+K29+K31+K32+K30</f>
        <v>593126.87500000023</v>
      </c>
    </row>
    <row r="28" spans="1:12">
      <c r="A28" s="61" t="s">
        <v>55</v>
      </c>
      <c r="B28" s="78" t="s">
        <v>134</v>
      </c>
      <c r="C28" s="65">
        <f>+BS!E33</f>
        <v>202625</v>
      </c>
      <c r="D28" s="66"/>
      <c r="E28" s="65">
        <f>+BS!C33</f>
        <v>212756</v>
      </c>
      <c r="F28" s="66"/>
      <c r="G28" s="65">
        <f t="shared" ref="G28:G32" si="13">+E28*1.1</f>
        <v>234031.6</v>
      </c>
      <c r="H28" s="66"/>
      <c r="I28" s="65">
        <f t="shared" ref="I28:I32" si="14">+G28*1.1</f>
        <v>257434.76000000004</v>
      </c>
      <c r="J28" s="66"/>
      <c r="K28" s="65">
        <f t="shared" ref="K28:K32" si="15">+I28*1.1</f>
        <v>283178.23600000009</v>
      </c>
      <c r="L28" s="66"/>
    </row>
    <row r="29" spans="1:12">
      <c r="A29" s="61" t="s">
        <v>55</v>
      </c>
      <c r="B29" s="78" t="s">
        <v>135</v>
      </c>
      <c r="C29" s="65">
        <f>+BS!E34</f>
        <v>168854</v>
      </c>
      <c r="D29" s="66"/>
      <c r="E29" s="65">
        <f>+BS!C34</f>
        <v>177297</v>
      </c>
      <c r="F29" s="66"/>
      <c r="G29" s="65">
        <f t="shared" si="13"/>
        <v>195026.7</v>
      </c>
      <c r="H29" s="66"/>
      <c r="I29" s="65">
        <f t="shared" si="14"/>
        <v>214529.37000000002</v>
      </c>
      <c r="J29" s="66"/>
      <c r="K29" s="65">
        <f t="shared" si="15"/>
        <v>235982.30700000006</v>
      </c>
      <c r="L29" s="66"/>
    </row>
    <row r="30" spans="1:12">
      <c r="A30" s="61"/>
      <c r="B30" s="78" t="s">
        <v>143</v>
      </c>
      <c r="C30" s="65">
        <f>+BS!E35</f>
        <v>13500</v>
      </c>
      <c r="D30" s="66"/>
      <c r="E30" s="65">
        <f>+BS!C35</f>
        <v>14175</v>
      </c>
      <c r="F30" s="66"/>
      <c r="G30" s="65">
        <f t="shared" si="13"/>
        <v>15592.500000000002</v>
      </c>
      <c r="H30" s="66"/>
      <c r="I30" s="65">
        <f t="shared" si="14"/>
        <v>17151.750000000004</v>
      </c>
      <c r="J30" s="66"/>
      <c r="K30" s="65">
        <f t="shared" si="15"/>
        <v>18866.925000000007</v>
      </c>
      <c r="L30" s="66"/>
    </row>
    <row r="31" spans="1:12">
      <c r="A31" s="61"/>
      <c r="B31" s="78" t="s">
        <v>141</v>
      </c>
      <c r="C31" s="65">
        <f>+BS!E36</f>
        <v>15000</v>
      </c>
      <c r="D31" s="66"/>
      <c r="E31" s="65">
        <f>+BS!C36</f>
        <v>15750</v>
      </c>
      <c r="F31" s="66"/>
      <c r="G31" s="65">
        <f t="shared" si="13"/>
        <v>17325</v>
      </c>
      <c r="H31" s="66"/>
      <c r="I31" s="65">
        <f t="shared" si="14"/>
        <v>19057.5</v>
      </c>
      <c r="J31" s="66"/>
      <c r="K31" s="65">
        <f t="shared" si="15"/>
        <v>20963.25</v>
      </c>
      <c r="L31" s="66"/>
    </row>
    <row r="32" spans="1:12">
      <c r="A32" s="61" t="s">
        <v>55</v>
      </c>
      <c r="B32" s="78" t="s">
        <v>142</v>
      </c>
      <c r="C32" s="65">
        <f>+BS!E37</f>
        <v>30909</v>
      </c>
      <c r="D32" s="66"/>
      <c r="E32" s="65">
        <f>+BS!C37</f>
        <v>25647</v>
      </c>
      <c r="F32" s="66"/>
      <c r="G32" s="65">
        <f t="shared" si="13"/>
        <v>28211.7</v>
      </c>
      <c r="H32" s="66"/>
      <c r="I32" s="65">
        <f t="shared" si="14"/>
        <v>31032.870000000003</v>
      </c>
      <c r="J32" s="66"/>
      <c r="K32" s="65">
        <f t="shared" si="15"/>
        <v>34136.157000000007</v>
      </c>
      <c r="L32" s="66"/>
    </row>
    <row r="33" spans="1:12">
      <c r="A33" s="69" t="s">
        <v>55</v>
      </c>
      <c r="B33" s="70" t="s">
        <v>42</v>
      </c>
      <c r="C33" s="67"/>
      <c r="D33" s="68">
        <f>SUM(D22:D32)</f>
        <v>917628</v>
      </c>
      <c r="E33" s="67"/>
      <c r="F33" s="68">
        <f>SUM(F22:F32)</f>
        <v>934865</v>
      </c>
      <c r="G33" s="67"/>
      <c r="H33" s="68">
        <f>SUM(H22:H32)</f>
        <v>1028351.5000000002</v>
      </c>
      <c r="I33" s="67"/>
      <c r="J33" s="68">
        <f>SUM(J22:J32)</f>
        <v>1131186.6500000004</v>
      </c>
      <c r="K33" s="67"/>
      <c r="L33" s="68">
        <f>SUM(L22:L32)</f>
        <v>1244305.3150000004</v>
      </c>
    </row>
    <row r="34" spans="1:12">
      <c r="D34" s="58"/>
    </row>
    <row r="35" spans="1:12">
      <c r="C35" s="58"/>
      <c r="D35" s="58"/>
    </row>
    <row r="36" spans="1:12">
      <c r="A36" s="71" t="s">
        <v>112</v>
      </c>
      <c r="B36" s="71" t="s">
        <v>113</v>
      </c>
      <c r="C36" s="58"/>
      <c r="D36" s="58"/>
    </row>
    <row r="37" spans="1:12">
      <c r="A37" s="71" t="s">
        <v>115</v>
      </c>
      <c r="B37" s="71" t="s">
        <v>116</v>
      </c>
      <c r="C37" s="58"/>
      <c r="D37" s="58"/>
    </row>
  </sheetData>
  <mergeCells count="22">
    <mergeCell ref="I4:J4"/>
    <mergeCell ref="I5:J5"/>
    <mergeCell ref="I21:J21"/>
    <mergeCell ref="K4:L4"/>
    <mergeCell ref="K5:L5"/>
    <mergeCell ref="K21:L21"/>
    <mergeCell ref="G4:H4"/>
    <mergeCell ref="G5:H5"/>
    <mergeCell ref="G21:H21"/>
    <mergeCell ref="E21:F21"/>
    <mergeCell ref="C21:D21"/>
    <mergeCell ref="E4:F4"/>
    <mergeCell ref="C4:D4"/>
    <mergeCell ref="E5:F5"/>
    <mergeCell ref="C5:D5"/>
    <mergeCell ref="C3:D3"/>
    <mergeCell ref="E3:F3"/>
    <mergeCell ref="G3:H3"/>
    <mergeCell ref="I3:J3"/>
    <mergeCell ref="K3:L3"/>
    <mergeCell ref="A1:D1"/>
    <mergeCell ref="A2:C2"/>
  </mergeCells>
  <pageMargins left="0.7" right="0.7" top="0.75" bottom="0.75" header="0.3" footer="0.3"/>
  <pageSetup scale="58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Title Page</vt:lpstr>
      <vt:lpstr>ODBC Data</vt:lpstr>
      <vt:lpstr>Extracted Data</vt:lpstr>
      <vt:lpstr>P &amp;L</vt:lpstr>
      <vt:lpstr>BS</vt:lpstr>
      <vt:lpstr>Projectd P &amp;L</vt:lpstr>
      <vt:lpstr>Projected BS</vt:lpstr>
      <vt:lpstr>'Title Page'!Print_Area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2020-07-03T07:28:54Z</dcterms:modified>
</cp:coreProperties>
</file>