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440" windowHeight="6930" tabRatio="869" firstSheet="5" activeTab="12"/>
  </bookViews>
  <sheets>
    <sheet name="Cover Page" sheetId="19" r:id="rId1"/>
    <sheet name="Index" sheetId="12" r:id="rId2"/>
    <sheet name="Checklist" sheetId="15" r:id="rId3"/>
    <sheet name="Balance Sheet" sheetId="1" r:id="rId4"/>
    <sheet name="P&amp;L Statement" sheetId="2" r:id="rId5"/>
    <sheet name="Cash Flow Statement" sheetId="3" r:id="rId6"/>
    <sheet name="Debt Repayment Schedule" sheetId="4" r:id="rId7"/>
    <sheet name="Content Dev " sheetId="9" r:id="rId8"/>
    <sheet name="Depreciation" sheetId="28" r:id="rId9"/>
    <sheet name="Taxes" sheetId="23" r:id="rId10"/>
    <sheet name="Fund Utilization" sheetId="33" r:id="rId11"/>
    <sheet name="Revenue Schedule" sheetId="5" r:id="rId12"/>
    <sheet name="Operational Expenses" sheetId="6" r:id="rId13"/>
    <sheet name="Capex" sheetId="27" r:id="rId14"/>
    <sheet name="CA and CL" sheetId="36" r:id="rId15"/>
    <sheet name="Key Assumptions" sheetId="32" r:id="rId16"/>
    <sheet name="No. of Students Trained" sheetId="13" r:id="rId17"/>
    <sheet name="Revenue Assumptions" sheetId="14" r:id="rId18"/>
    <sheet name="Capacity Utilization " sheetId="20" r:id="rId19"/>
    <sheet name="Human Resources" sheetId="16" r:id="rId20"/>
    <sheet name="Other Opex" sheetId="17" r:id="rId21"/>
    <sheet name="Other CA and CL" sheetId="30" r:id="rId22"/>
    <sheet name="Capex per Unit" sheetId="24" r:id="rId23"/>
    <sheet name="Equipment-Lab Costs" sheetId="26" r:id="rId24"/>
    <sheet name="Content Development" sheetId="34" r:id="rId25"/>
    <sheet name="Calculation Sheet" sheetId="31" state="hidden" r:id="rId26"/>
  </sheets>
  <definedNames>
    <definedName name="_DER1" localSheetId="25">#REF!</definedName>
    <definedName name="_DER1" localSheetId="18">#REF!</definedName>
    <definedName name="_DER1">#REF!</definedName>
    <definedName name="_DER2" localSheetId="25">#REF!</definedName>
    <definedName name="_DER2" localSheetId="18">#REF!</definedName>
    <definedName name="_DER2">#REF!</definedName>
    <definedName name="Area" localSheetId="25">#REF!</definedName>
    <definedName name="Area" localSheetId="18">#REF!</definedName>
    <definedName name="Area">#REF!</definedName>
    <definedName name="Blue_Mix" localSheetId="25">#REF!</definedName>
    <definedName name="Blue_Mix" localSheetId="18">#REF!</definedName>
    <definedName name="Blue_Mix">#REF!</definedName>
    <definedName name="Building_Unit_Cost" localSheetId="25">#REF!</definedName>
    <definedName name="Building_Unit_Cost" localSheetId="18">#REF!</definedName>
    <definedName name="Building_Unit_Cost">#REF!</definedName>
    <definedName name="comp" localSheetId="25">#REF!</definedName>
    <definedName name="comp" localSheetId="18">#REF!</definedName>
    <definedName name="comp">#REF!</definedName>
    <definedName name="Consumables" localSheetId="25">#REF!</definedName>
    <definedName name="Consumables" localSheetId="18">#REF!</definedName>
    <definedName name="Consumables">#REF!</definedName>
    <definedName name="DURATION" localSheetId="25">#REF!</definedName>
    <definedName name="DURATION" localSheetId="18">#REF!</definedName>
    <definedName name="DURATION">#REF!</definedName>
    <definedName name="Fee" localSheetId="25">#REF!</definedName>
    <definedName name="Fee" localSheetId="18">#REF!</definedName>
    <definedName name="Fee">#REF!</definedName>
    <definedName name="fx" localSheetId="25">#REF!</definedName>
    <definedName name="fx" localSheetId="18">#REF!</definedName>
    <definedName name="fx">#REF!</definedName>
    <definedName name="Growth_Rate" localSheetId="25">#REF!</definedName>
    <definedName name="Growth_Rate" localSheetId="18">#REF!</definedName>
    <definedName name="Growth_Rate">#REF!</definedName>
    <definedName name="Growth_Rate_CB" localSheetId="25">#REF!</definedName>
    <definedName name="Growth_Rate_CB" localSheetId="18">#REF!</definedName>
    <definedName name="Growth_Rate_CB">#REF!</definedName>
    <definedName name="Inflation" localSheetId="25">#REF!</definedName>
    <definedName name="Inflation" localSheetId="18">#REF!</definedName>
    <definedName name="Inflation">#REF!</definedName>
    <definedName name="Interest_Rate" localSheetId="25">#REF!</definedName>
    <definedName name="Interest_Rate" localSheetId="18">#REF!</definedName>
    <definedName name="Interest_Rate">#REF!</definedName>
    <definedName name="Interest_Rate_CB" localSheetId="25">#REF!</definedName>
    <definedName name="Interest_Rate_CB" localSheetId="18">#REF!</definedName>
    <definedName name="Interest_Rate_CB">#REF!</definedName>
    <definedName name="IRR" localSheetId="25">#REF!</definedName>
    <definedName name="IRR" localSheetId="18">#REF!</definedName>
    <definedName name="IRR">#REF!</definedName>
    <definedName name="IRR_9" localSheetId="25">#REF!</definedName>
    <definedName name="IRR_9" localSheetId="18">#REF!</definedName>
    <definedName name="IRR_9">#REF!</definedName>
    <definedName name="kd" localSheetId="25">#REF!</definedName>
    <definedName name="kd" localSheetId="18">#REF!</definedName>
    <definedName name="kd">#REF!</definedName>
    <definedName name="ke" localSheetId="25">#REF!</definedName>
    <definedName name="ke" localSheetId="18">#REF!</definedName>
    <definedName name="ke">#REF!</definedName>
    <definedName name="Land_Unit_Cost" localSheetId="25">#REF!</definedName>
    <definedName name="Land_Unit_Cost" localSheetId="18">#REF!</definedName>
    <definedName name="Land_Unit_Cost">#REF!</definedName>
    <definedName name="MCDuration" localSheetId="25">#REF!</definedName>
    <definedName name="MCDuration" localSheetId="18">#REF!</definedName>
    <definedName name="MCDuration">#REF!</definedName>
    <definedName name="NPV_INR" localSheetId="25">#REF!</definedName>
    <definedName name="NPV_INR" localSheetId="18">#REF!</definedName>
    <definedName name="NPV_INR">#REF!</definedName>
    <definedName name="NPV_INR_9" localSheetId="25">#REF!</definedName>
    <definedName name="NPV_INR_9" localSheetId="18">#REF!</definedName>
    <definedName name="NPV_INR_9">#REF!</definedName>
    <definedName name="NPV_USD" localSheetId="25">#REF!</definedName>
    <definedName name="NPV_USD" localSheetId="18">#REF!</definedName>
    <definedName name="NPV_USD">#REF!</definedName>
    <definedName name="NPV_USD_9" localSheetId="25">#REF!</definedName>
    <definedName name="NPV_USD_9" localSheetId="18">#REF!</definedName>
    <definedName name="NPV_USD_9">#REF!</definedName>
    <definedName name="PE" localSheetId="25">#REF!</definedName>
    <definedName name="PE" localSheetId="18">#REF!</definedName>
    <definedName name="PE">#REF!</definedName>
    <definedName name="PE_CB" localSheetId="25">#REF!</definedName>
    <definedName name="PE_CB" localSheetId="18">#REF!</definedName>
    <definedName name="PE_CB">#REF!</definedName>
    <definedName name="Placements" localSheetId="25">#REF!</definedName>
    <definedName name="Placements" localSheetId="18">#REF!</definedName>
    <definedName name="Placements">#REF!</definedName>
    <definedName name="s" localSheetId="25">#REF!</definedName>
    <definedName name="s" localSheetId="18">#REF!</definedName>
    <definedName name="s">#REF!</definedName>
    <definedName name="Spon_Fee" localSheetId="25">#REF!</definedName>
    <definedName name="Spon_Fee" localSheetId="18">#REF!</definedName>
    <definedName name="Spon_Fee">#REF!</definedName>
    <definedName name="Sponsored_Ratio_Blue" localSheetId="25">#REF!</definedName>
    <definedName name="Sponsored_Ratio_Blue" localSheetId="18">#REF!</definedName>
    <definedName name="Sponsored_Ratio_Blue">#REF!</definedName>
    <definedName name="Sponsored_Ratio_White" localSheetId="25">#REF!</definedName>
    <definedName name="Sponsored_Ratio_White" localSheetId="18">#REF!</definedName>
    <definedName name="Sponsored_Ratio_White">#REF!</definedName>
    <definedName name="Students" localSheetId="25">#REF!</definedName>
    <definedName name="Students" localSheetId="18">#REF!</definedName>
    <definedName name="Students">#REF!</definedName>
    <definedName name="Tax_Rate" localSheetId="25">#REF!</definedName>
    <definedName name="Tax_Rate" localSheetId="18">#REF!</definedName>
    <definedName name="Tax_Rate">#REF!</definedName>
    <definedName name="TV_PE_Multiple_INR" localSheetId="25">#REF!</definedName>
    <definedName name="TV_PE_Multiple_INR" localSheetId="18">#REF!</definedName>
    <definedName name="TV_PE_Multiple_INR">#REF!</definedName>
    <definedName name="TV_Stable_Growth_INR" localSheetId="25">#REF!</definedName>
    <definedName name="TV_Stable_Growth_INR" localSheetId="18">#REF!</definedName>
    <definedName name="TV_Stable_Growth_INR">#REF!</definedName>
    <definedName name="vv" localSheetId="25">#REF!</definedName>
    <definedName name="vv" localSheetId="18">#REF!</definedName>
    <definedName name="vv">#REF!</definedName>
    <definedName name="WACC" localSheetId="25">#REF!</definedName>
    <definedName name="WACC" localSheetId="18">#REF!</definedName>
    <definedName name="WACC">#REF!</definedName>
    <definedName name="WACC_CB" localSheetId="25">#REF!</definedName>
    <definedName name="WACC_CB" localSheetId="18">#REF!</definedName>
    <definedName name="WACC_CB">#REF!</definedName>
    <definedName name="White_Duration" localSheetId="25">#REF!</definedName>
    <definedName name="White_Duration" localSheetId="18">#REF!</definedName>
    <definedName name="White_Duration">#REF!</definedName>
    <definedName name="White_Fee" localSheetId="25">#REF!</definedName>
    <definedName name="White_Fee" localSheetId="18">#REF!</definedName>
    <definedName name="White_Fee">#REF!</definedName>
    <definedName name="White_Mix" localSheetId="25">#REF!</definedName>
    <definedName name="White_Mix" localSheetId="18">#REF!</definedName>
    <definedName name="White_Mix">#REF!</definedName>
    <definedName name="White_Spon_Fee" localSheetId="25">#REF!</definedName>
    <definedName name="White_Spon_Fee" localSheetId="18">#REF!</definedName>
    <definedName name="White_Spon_Fee">#REF!</definedName>
  </definedNames>
  <calcPr calcId="124519"/>
</workbook>
</file>

<file path=xl/calcChain.xml><?xml version="1.0" encoding="utf-8"?>
<calcChain xmlns="http://schemas.openxmlformats.org/spreadsheetml/2006/main">
  <c r="D32" i="16"/>
  <c r="O116" i="20"/>
  <c r="O113"/>
  <c r="O110"/>
  <c r="N110"/>
  <c r="O107"/>
  <c r="N107"/>
  <c r="O104"/>
  <c r="P104"/>
  <c r="N104"/>
  <c r="O101"/>
  <c r="N101"/>
  <c r="M101"/>
  <c r="O98"/>
  <c r="N98"/>
  <c r="M98"/>
  <c r="O95"/>
  <c r="N95"/>
  <c r="M95"/>
  <c r="O92"/>
  <c r="N92"/>
  <c r="M92"/>
  <c r="L92"/>
  <c r="O89"/>
  <c r="N89"/>
  <c r="M89"/>
  <c r="L89"/>
  <c r="O86"/>
  <c r="N86"/>
  <c r="M86"/>
  <c r="L86"/>
  <c r="O83"/>
  <c r="N83"/>
  <c r="M83"/>
  <c r="L83"/>
  <c r="K83"/>
  <c r="O80"/>
  <c r="N80"/>
  <c r="M80"/>
  <c r="L80"/>
  <c r="K80"/>
  <c r="O77"/>
  <c r="N77"/>
  <c r="M77"/>
  <c r="L77"/>
  <c r="K77"/>
  <c r="F27" i="15"/>
  <c r="P6" l="1"/>
  <c r="G34" i="16"/>
  <c r="F34"/>
  <c r="E34"/>
  <c r="D34"/>
  <c r="F32"/>
  <c r="E32"/>
  <c r="G32"/>
  <c r="N35" i="32"/>
  <c r="M35"/>
  <c r="L35"/>
  <c r="K35"/>
  <c r="J35"/>
  <c r="H35"/>
  <c r="G35"/>
  <c r="F35"/>
  <c r="D35"/>
  <c r="O29" i="26"/>
  <c r="O28"/>
  <c r="O27"/>
  <c r="L29"/>
  <c r="L28"/>
  <c r="L27"/>
  <c r="K29"/>
  <c r="K28"/>
  <c r="K27"/>
  <c r="I29"/>
  <c r="I28"/>
  <c r="I27"/>
  <c r="G29"/>
  <c r="G28"/>
  <c r="G27"/>
  <c r="E29"/>
  <c r="E28"/>
  <c r="E27"/>
  <c r="E63" i="20"/>
  <c r="E64" s="1"/>
  <c r="E62"/>
  <c r="F62"/>
  <c r="G62"/>
  <c r="G66"/>
  <c r="G65"/>
  <c r="H69"/>
  <c r="H70" s="1"/>
  <c r="H68"/>
  <c r="I68"/>
  <c r="J68"/>
  <c r="K68"/>
  <c r="I72"/>
  <c r="I71"/>
  <c r="J71"/>
  <c r="K71"/>
  <c r="I75"/>
  <c r="I74"/>
  <c r="J74"/>
  <c r="K74"/>
  <c r="K78"/>
  <c r="K79" s="1"/>
  <c r="K81"/>
  <c r="K84"/>
  <c r="L87"/>
  <c r="L90"/>
  <c r="P89"/>
  <c r="L93"/>
  <c r="L94" s="1"/>
  <c r="M93"/>
  <c r="P92"/>
  <c r="M96"/>
  <c r="P95"/>
  <c r="M99"/>
  <c r="M100" s="1"/>
  <c r="P98"/>
  <c r="M102"/>
  <c r="P101"/>
  <c r="Q101"/>
  <c r="N105"/>
  <c r="Q104"/>
  <c r="N108"/>
  <c r="P107"/>
  <c r="Q107"/>
  <c r="N111"/>
  <c r="P110"/>
  <c r="Q110"/>
  <c r="R110"/>
  <c r="O114"/>
  <c r="P113"/>
  <c r="Q113"/>
  <c r="R113"/>
  <c r="O117"/>
  <c r="O118" s="1"/>
  <c r="P116"/>
  <c r="Q116"/>
  <c r="R116"/>
  <c r="P98" i="13"/>
  <c r="Q98" s="1"/>
  <c r="R98" s="1"/>
  <c r="S98" s="1"/>
  <c r="R97"/>
  <c r="S97" s="1"/>
  <c r="Q97"/>
  <c r="P97"/>
  <c r="Q96"/>
  <c r="R96" s="1"/>
  <c r="S96" s="1"/>
  <c r="P96"/>
  <c r="P95"/>
  <c r="P117" i="20" s="1"/>
  <c r="P94" i="13"/>
  <c r="Q94" s="1"/>
  <c r="R94" s="1"/>
  <c r="S94" s="1"/>
  <c r="R93"/>
  <c r="S93" s="1"/>
  <c r="Q93"/>
  <c r="P93"/>
  <c r="Q92"/>
  <c r="R92" s="1"/>
  <c r="S92" s="1"/>
  <c r="P92"/>
  <c r="P91"/>
  <c r="P114" i="20" s="1"/>
  <c r="O90" i="13"/>
  <c r="P90" s="1"/>
  <c r="Q90" s="1"/>
  <c r="R90" s="1"/>
  <c r="S90" s="1"/>
  <c r="O89"/>
  <c r="P89" s="1"/>
  <c r="Q89" s="1"/>
  <c r="R89" s="1"/>
  <c r="S89" s="1"/>
  <c r="Q88"/>
  <c r="R88" s="1"/>
  <c r="S88" s="1"/>
  <c r="P88"/>
  <c r="O88"/>
  <c r="Q87"/>
  <c r="Q111" i="20" s="1"/>
  <c r="P87" i="13"/>
  <c r="P111" i="20" s="1"/>
  <c r="O87" i="13"/>
  <c r="O86"/>
  <c r="P86" s="1"/>
  <c r="Q86" s="1"/>
  <c r="R86" s="1"/>
  <c r="S86" s="1"/>
  <c r="P85"/>
  <c r="Q85" s="1"/>
  <c r="R85" s="1"/>
  <c r="S85" s="1"/>
  <c r="O85"/>
  <c r="O84"/>
  <c r="P84" s="1"/>
  <c r="Q84" s="1"/>
  <c r="R84" s="1"/>
  <c r="S84" s="1"/>
  <c r="O83"/>
  <c r="P83" s="1"/>
  <c r="O82"/>
  <c r="P82" s="1"/>
  <c r="Q82" s="1"/>
  <c r="R82" s="1"/>
  <c r="S82" s="1"/>
  <c r="O81"/>
  <c r="P81" s="1"/>
  <c r="Q81" s="1"/>
  <c r="R81" s="1"/>
  <c r="S81" s="1"/>
  <c r="Q80"/>
  <c r="R80" s="1"/>
  <c r="S80" s="1"/>
  <c r="P80"/>
  <c r="O80"/>
  <c r="Q79"/>
  <c r="Q105" i="20" s="1"/>
  <c r="P79" i="13"/>
  <c r="P105" i="20" s="1"/>
  <c r="P106" s="1"/>
  <c r="O79" i="13"/>
  <c r="N78"/>
  <c r="O78" s="1"/>
  <c r="P78" s="1"/>
  <c r="Q78" s="1"/>
  <c r="R78" s="1"/>
  <c r="S78" s="1"/>
  <c r="N77"/>
  <c r="O77" s="1"/>
  <c r="P77" s="1"/>
  <c r="Q77" s="1"/>
  <c r="R77" s="1"/>
  <c r="S77" s="1"/>
  <c r="N76"/>
  <c r="O76" s="1"/>
  <c r="P76" s="1"/>
  <c r="Q76" s="1"/>
  <c r="R76" s="1"/>
  <c r="S76" s="1"/>
  <c r="N75"/>
  <c r="O75" s="1"/>
  <c r="P75" s="1"/>
  <c r="Q75" s="1"/>
  <c r="R75" s="1"/>
  <c r="S75" s="1"/>
  <c r="O74"/>
  <c r="P74" s="1"/>
  <c r="Q74" s="1"/>
  <c r="R74" s="1"/>
  <c r="S74" s="1"/>
  <c r="N74"/>
  <c r="N73"/>
  <c r="O73" s="1"/>
  <c r="P73" s="1"/>
  <c r="Q73" s="1"/>
  <c r="R73" s="1"/>
  <c r="S73" s="1"/>
  <c r="O72"/>
  <c r="P72" s="1"/>
  <c r="Q72" s="1"/>
  <c r="R72" s="1"/>
  <c r="S72" s="1"/>
  <c r="N72"/>
  <c r="N71"/>
  <c r="O71" s="1"/>
  <c r="P71" s="1"/>
  <c r="Q71" s="1"/>
  <c r="R71" s="1"/>
  <c r="S71" s="1"/>
  <c r="N70"/>
  <c r="O70" s="1"/>
  <c r="P70" s="1"/>
  <c r="Q70" s="1"/>
  <c r="R70" s="1"/>
  <c r="S70" s="1"/>
  <c r="N69"/>
  <c r="O69" s="1"/>
  <c r="P69" s="1"/>
  <c r="Q69" s="1"/>
  <c r="R69" s="1"/>
  <c r="S69" s="1"/>
  <c r="N68"/>
  <c r="O68" s="1"/>
  <c r="P68" s="1"/>
  <c r="Q68" s="1"/>
  <c r="R68" s="1"/>
  <c r="S68" s="1"/>
  <c r="N67"/>
  <c r="O67" s="1"/>
  <c r="P67" s="1"/>
  <c r="Q67" s="1"/>
  <c r="R67" s="1"/>
  <c r="S67" s="1"/>
  <c r="N66"/>
  <c r="O66" s="1"/>
  <c r="P66" s="1"/>
  <c r="Q66" s="1"/>
  <c r="R66" s="1"/>
  <c r="S66" s="1"/>
  <c r="M66"/>
  <c r="M65"/>
  <c r="N65" s="1"/>
  <c r="O65" s="1"/>
  <c r="P65" s="1"/>
  <c r="Q65" s="1"/>
  <c r="R65" s="1"/>
  <c r="S65" s="1"/>
  <c r="M64"/>
  <c r="N64" s="1"/>
  <c r="O64" s="1"/>
  <c r="P64" s="1"/>
  <c r="Q64" s="1"/>
  <c r="R64" s="1"/>
  <c r="S64" s="1"/>
  <c r="O63"/>
  <c r="P63" s="1"/>
  <c r="Q63" s="1"/>
  <c r="R63" s="1"/>
  <c r="S63" s="1"/>
  <c r="N63"/>
  <c r="N93" i="20" s="1"/>
  <c r="N94" s="1"/>
  <c r="M63" i="13"/>
  <c r="M62"/>
  <c r="N62" s="1"/>
  <c r="O62" s="1"/>
  <c r="P62" s="1"/>
  <c r="Q62" s="1"/>
  <c r="R62" s="1"/>
  <c r="S62" s="1"/>
  <c r="M61"/>
  <c r="N61" s="1"/>
  <c r="O61" s="1"/>
  <c r="P61" s="1"/>
  <c r="Q61" s="1"/>
  <c r="R61" s="1"/>
  <c r="S61" s="1"/>
  <c r="N60"/>
  <c r="O60" s="1"/>
  <c r="P60" s="1"/>
  <c r="Q60" s="1"/>
  <c r="R60" s="1"/>
  <c r="S60" s="1"/>
  <c r="M60"/>
  <c r="M59"/>
  <c r="M90" i="20" s="1"/>
  <c r="M91" s="1"/>
  <c r="N58" i="13"/>
  <c r="O58" s="1"/>
  <c r="P58" s="1"/>
  <c r="Q58" s="1"/>
  <c r="R58" s="1"/>
  <c r="S58" s="1"/>
  <c r="M58"/>
  <c r="M57"/>
  <c r="N57" s="1"/>
  <c r="O57" s="1"/>
  <c r="P57" s="1"/>
  <c r="Q57" s="1"/>
  <c r="R57" s="1"/>
  <c r="S57" s="1"/>
  <c r="M56"/>
  <c r="N56" s="1"/>
  <c r="O55"/>
  <c r="P55" s="1"/>
  <c r="Q55" s="1"/>
  <c r="R55" s="1"/>
  <c r="S55" s="1"/>
  <c r="N55"/>
  <c r="M55"/>
  <c r="M87" i="20" s="1"/>
  <c r="L54" i="13"/>
  <c r="M54"/>
  <c r="N54" s="1"/>
  <c r="O54" s="1"/>
  <c r="P54" s="1"/>
  <c r="Q54" s="1"/>
  <c r="R54" s="1"/>
  <c r="S54" s="1"/>
  <c r="L53"/>
  <c r="M53" s="1"/>
  <c r="N53" s="1"/>
  <c r="O53" s="1"/>
  <c r="P53" s="1"/>
  <c r="Q53" s="1"/>
  <c r="R53" s="1"/>
  <c r="S53" s="1"/>
  <c r="L52"/>
  <c r="M52"/>
  <c r="N52" s="1"/>
  <c r="O52" s="1"/>
  <c r="P52" s="1"/>
  <c r="Q52" s="1"/>
  <c r="R52" s="1"/>
  <c r="S52" s="1"/>
  <c r="L51"/>
  <c r="L84" i="20" s="1"/>
  <c r="L50" i="13"/>
  <c r="M50" s="1"/>
  <c r="N50" s="1"/>
  <c r="O50" s="1"/>
  <c r="P50" s="1"/>
  <c r="Q50" s="1"/>
  <c r="R50" s="1"/>
  <c r="S50" s="1"/>
  <c r="L49"/>
  <c r="M49" s="1"/>
  <c r="N49" s="1"/>
  <c r="O49" s="1"/>
  <c r="P49" s="1"/>
  <c r="Q49" s="1"/>
  <c r="R49" s="1"/>
  <c r="S49" s="1"/>
  <c r="N48"/>
  <c r="O48" s="1"/>
  <c r="P48" s="1"/>
  <c r="Q48" s="1"/>
  <c r="R48" s="1"/>
  <c r="S48" s="1"/>
  <c r="M48"/>
  <c r="L48"/>
  <c r="M47"/>
  <c r="L47"/>
  <c r="L81" i="20" s="1"/>
  <c r="L46" i="13"/>
  <c r="M46" s="1"/>
  <c r="N46" s="1"/>
  <c r="O46" s="1"/>
  <c r="P46" s="1"/>
  <c r="Q46" s="1"/>
  <c r="R46" s="1"/>
  <c r="S46" s="1"/>
  <c r="L45"/>
  <c r="M45" s="1"/>
  <c r="N45" s="1"/>
  <c r="O45" s="1"/>
  <c r="P45" s="1"/>
  <c r="Q45" s="1"/>
  <c r="R45" s="1"/>
  <c r="S45" s="1"/>
  <c r="N44"/>
  <c r="O44" s="1"/>
  <c r="P44" s="1"/>
  <c r="Q44" s="1"/>
  <c r="R44" s="1"/>
  <c r="S44" s="1"/>
  <c r="M44"/>
  <c r="L44"/>
  <c r="L43"/>
  <c r="M43" s="1"/>
  <c r="N43" s="1"/>
  <c r="O43" s="1"/>
  <c r="P43" s="1"/>
  <c r="Q43" s="1"/>
  <c r="R43" s="1"/>
  <c r="S43" s="1"/>
  <c r="J42"/>
  <c r="K42" s="1"/>
  <c r="L42" s="1"/>
  <c r="M42" s="1"/>
  <c r="N42" s="1"/>
  <c r="O42" s="1"/>
  <c r="P42" s="1"/>
  <c r="Q42" s="1"/>
  <c r="R42" s="1"/>
  <c r="S42" s="1"/>
  <c r="J41"/>
  <c r="K41" s="1"/>
  <c r="L41" s="1"/>
  <c r="M41" s="1"/>
  <c r="N41" s="1"/>
  <c r="O41" s="1"/>
  <c r="P41" s="1"/>
  <c r="Q41" s="1"/>
  <c r="R41" s="1"/>
  <c r="S41" s="1"/>
  <c r="J40"/>
  <c r="K40" s="1"/>
  <c r="L40" s="1"/>
  <c r="M40" s="1"/>
  <c r="N40" s="1"/>
  <c r="O40" s="1"/>
  <c r="P40" s="1"/>
  <c r="Q40" s="1"/>
  <c r="R40" s="1"/>
  <c r="S40" s="1"/>
  <c r="J39"/>
  <c r="K39" s="1"/>
  <c r="J38"/>
  <c r="K38" s="1"/>
  <c r="L38" s="1"/>
  <c r="M38" s="1"/>
  <c r="N38" s="1"/>
  <c r="O38" s="1"/>
  <c r="P38" s="1"/>
  <c r="Q38" s="1"/>
  <c r="R38" s="1"/>
  <c r="S38" s="1"/>
  <c r="J37"/>
  <c r="K37" s="1"/>
  <c r="L37" s="1"/>
  <c r="M37" s="1"/>
  <c r="N37" s="1"/>
  <c r="O37" s="1"/>
  <c r="P37" s="1"/>
  <c r="Q37" s="1"/>
  <c r="R37" s="1"/>
  <c r="S37" s="1"/>
  <c r="J36"/>
  <c r="K36" s="1"/>
  <c r="L36" s="1"/>
  <c r="M36" s="1"/>
  <c r="N36" s="1"/>
  <c r="O36" s="1"/>
  <c r="P36" s="1"/>
  <c r="Q36" s="1"/>
  <c r="R36" s="1"/>
  <c r="S36" s="1"/>
  <c r="J35"/>
  <c r="J72" i="20" s="1"/>
  <c r="J73" s="1"/>
  <c r="K34" i="13"/>
  <c r="L34" s="1"/>
  <c r="M34" s="1"/>
  <c r="N34" s="1"/>
  <c r="O34" s="1"/>
  <c r="P34" s="1"/>
  <c r="Q34" s="1"/>
  <c r="R34" s="1"/>
  <c r="S34" s="1"/>
  <c r="J34"/>
  <c r="I34"/>
  <c r="I33"/>
  <c r="J33" s="1"/>
  <c r="I32"/>
  <c r="J32" s="1"/>
  <c r="K32" s="1"/>
  <c r="L32" s="1"/>
  <c r="M32" s="1"/>
  <c r="N32" s="1"/>
  <c r="O32" s="1"/>
  <c r="P32" s="1"/>
  <c r="Q32" s="1"/>
  <c r="R32" s="1"/>
  <c r="S32" s="1"/>
  <c r="I31"/>
  <c r="J31" s="1"/>
  <c r="K31" s="1"/>
  <c r="L31" s="1"/>
  <c r="M31" s="1"/>
  <c r="N31" s="1"/>
  <c r="O31" s="1"/>
  <c r="P31" s="1"/>
  <c r="Q31" s="1"/>
  <c r="R31" s="1"/>
  <c r="S31" s="1"/>
  <c r="P29"/>
  <c r="Q29" s="1"/>
  <c r="R29" s="1"/>
  <c r="S29" s="1"/>
  <c r="I30"/>
  <c r="J30" s="1"/>
  <c r="K30" s="1"/>
  <c r="L30" s="1"/>
  <c r="M30" s="1"/>
  <c r="N30" s="1"/>
  <c r="O30" s="1"/>
  <c r="P30" s="1"/>
  <c r="Q30" s="1"/>
  <c r="R30" s="1"/>
  <c r="S30" s="1"/>
  <c r="I29"/>
  <c r="J29" s="1"/>
  <c r="K29" s="1"/>
  <c r="L29" s="1"/>
  <c r="M29" s="1"/>
  <c r="N29" s="1"/>
  <c r="O29" s="1"/>
  <c r="J28"/>
  <c r="K28" s="1"/>
  <c r="L28" s="1"/>
  <c r="M28" s="1"/>
  <c r="N28" s="1"/>
  <c r="O28" s="1"/>
  <c r="P28" s="1"/>
  <c r="Q28" s="1"/>
  <c r="R28" s="1"/>
  <c r="S28" s="1"/>
  <c r="I28"/>
  <c r="H30"/>
  <c r="H29"/>
  <c r="H28"/>
  <c r="H27"/>
  <c r="I27" s="1"/>
  <c r="J27" s="1"/>
  <c r="K27" s="1"/>
  <c r="L27" s="1"/>
  <c r="M27" s="1"/>
  <c r="N27" s="1"/>
  <c r="O27" s="1"/>
  <c r="P27" s="1"/>
  <c r="Q27" s="1"/>
  <c r="R27" s="1"/>
  <c r="S27" s="1"/>
  <c r="G24"/>
  <c r="H24" s="1"/>
  <c r="I24" s="1"/>
  <c r="J24" s="1"/>
  <c r="K24" s="1"/>
  <c r="L24" s="1"/>
  <c r="M24" s="1"/>
  <c r="N24" s="1"/>
  <c r="O24" s="1"/>
  <c r="P24" s="1"/>
  <c r="Q24" s="1"/>
  <c r="R24" s="1"/>
  <c r="S24" s="1"/>
  <c r="F26"/>
  <c r="G26" s="1"/>
  <c r="H26" s="1"/>
  <c r="I26" s="1"/>
  <c r="J26" s="1"/>
  <c r="K26" s="1"/>
  <c r="L26" s="1"/>
  <c r="M26" s="1"/>
  <c r="N26" s="1"/>
  <c r="O26" s="1"/>
  <c r="P26" s="1"/>
  <c r="Q26" s="1"/>
  <c r="R26" s="1"/>
  <c r="S26" s="1"/>
  <c r="F25"/>
  <c r="G25" s="1"/>
  <c r="H25" s="1"/>
  <c r="I25" s="1"/>
  <c r="J25" s="1"/>
  <c r="K25" s="1"/>
  <c r="L25" s="1"/>
  <c r="M25" s="1"/>
  <c r="N25" s="1"/>
  <c r="O25" s="1"/>
  <c r="P25" s="1"/>
  <c r="Q25" s="1"/>
  <c r="R25" s="1"/>
  <c r="S25" s="1"/>
  <c r="F24"/>
  <c r="F23"/>
  <c r="F63" i="20" s="1"/>
  <c r="E16" i="13"/>
  <c r="E22"/>
  <c r="F22" s="1"/>
  <c r="G22" s="1"/>
  <c r="H22" s="1"/>
  <c r="I22" s="1"/>
  <c r="J22" s="1"/>
  <c r="K22" s="1"/>
  <c r="L22" s="1"/>
  <c r="M22" s="1"/>
  <c r="N22" s="1"/>
  <c r="O22" s="1"/>
  <c r="P22" s="1"/>
  <c r="Q22" s="1"/>
  <c r="R22" s="1"/>
  <c r="S22" s="1"/>
  <c r="E21"/>
  <c r="F21" s="1"/>
  <c r="G21" s="1"/>
  <c r="H21" s="1"/>
  <c r="I21" s="1"/>
  <c r="J21" s="1"/>
  <c r="K21" s="1"/>
  <c r="L21" s="1"/>
  <c r="M21" s="1"/>
  <c r="N21" s="1"/>
  <c r="O21" s="1"/>
  <c r="P21" s="1"/>
  <c r="Q21" s="1"/>
  <c r="R21" s="1"/>
  <c r="S21" s="1"/>
  <c r="E20"/>
  <c r="F20" s="1"/>
  <c r="G20" s="1"/>
  <c r="H20" s="1"/>
  <c r="I20" s="1"/>
  <c r="J20" s="1"/>
  <c r="K20" s="1"/>
  <c r="L20" s="1"/>
  <c r="M20" s="1"/>
  <c r="N20" s="1"/>
  <c r="O20" s="1"/>
  <c r="P20" s="1"/>
  <c r="Q20" s="1"/>
  <c r="R20" s="1"/>
  <c r="S20" s="1"/>
  <c r="E19"/>
  <c r="F19" s="1"/>
  <c r="G19" s="1"/>
  <c r="H19" s="1"/>
  <c r="I19" s="1"/>
  <c r="J19" s="1"/>
  <c r="K19" s="1"/>
  <c r="L19" s="1"/>
  <c r="M19" s="1"/>
  <c r="N19" s="1"/>
  <c r="O19" s="1"/>
  <c r="P19" s="1"/>
  <c r="Q19" s="1"/>
  <c r="R19" s="1"/>
  <c r="S19" s="1"/>
  <c r="P118" i="20" l="1"/>
  <c r="L82"/>
  <c r="F64"/>
  <c r="M88"/>
  <c r="I76"/>
  <c r="K33" i="13"/>
  <c r="L33" s="1"/>
  <c r="M33" s="1"/>
  <c r="N33" s="1"/>
  <c r="O33" s="1"/>
  <c r="P33" s="1"/>
  <c r="Q33" s="1"/>
  <c r="R33" s="1"/>
  <c r="S33" s="1"/>
  <c r="J69" i="20"/>
  <c r="J70" s="1"/>
  <c r="O56" i="13"/>
  <c r="P56" s="1"/>
  <c r="Q56" s="1"/>
  <c r="R56" s="1"/>
  <c r="S56" s="1"/>
  <c r="N87" i="20"/>
  <c r="N88" s="1"/>
  <c r="M78"/>
  <c r="M79" s="1"/>
  <c r="K75"/>
  <c r="K76" s="1"/>
  <c r="L39" i="13"/>
  <c r="M39" s="1"/>
  <c r="N39" s="1"/>
  <c r="O39" s="1"/>
  <c r="P39" s="1"/>
  <c r="Q39" s="1"/>
  <c r="R39" s="1"/>
  <c r="S39" s="1"/>
  <c r="Q83"/>
  <c r="P108" i="20"/>
  <c r="P109" s="1"/>
  <c r="M81"/>
  <c r="M82" s="1"/>
  <c r="M51" i="13"/>
  <c r="O111" i="20"/>
  <c r="O112" s="1"/>
  <c r="O108"/>
  <c r="O109" s="1"/>
  <c r="O105"/>
  <c r="O106" s="1"/>
  <c r="Q102"/>
  <c r="Q103" s="1"/>
  <c r="O102"/>
  <c r="O103" s="1"/>
  <c r="O99"/>
  <c r="O100" s="1"/>
  <c r="J75"/>
  <c r="J76" s="1"/>
  <c r="I73"/>
  <c r="G23" i="13"/>
  <c r="N47"/>
  <c r="N59"/>
  <c r="R79"/>
  <c r="S79" s="1"/>
  <c r="R87"/>
  <c r="Q91"/>
  <c r="Q95"/>
  <c r="N106" i="20"/>
  <c r="P102"/>
  <c r="P103" s="1"/>
  <c r="N102"/>
  <c r="N103" s="1"/>
  <c r="P99"/>
  <c r="P100" s="1"/>
  <c r="N99"/>
  <c r="N100" s="1"/>
  <c r="P96"/>
  <c r="P97" s="1"/>
  <c r="N96"/>
  <c r="N97" s="1"/>
  <c r="P93"/>
  <c r="P94" s="1"/>
  <c r="N78"/>
  <c r="L78"/>
  <c r="L79" s="1"/>
  <c r="O93"/>
  <c r="O94" s="1"/>
  <c r="O96"/>
  <c r="O97" s="1"/>
  <c r="K35" i="13"/>
  <c r="O78" i="20"/>
  <c r="O79" s="1"/>
  <c r="K69"/>
  <c r="K70" s="1"/>
  <c r="I69"/>
  <c r="I70" s="1"/>
  <c r="G67"/>
  <c r="K85"/>
  <c r="L91"/>
  <c r="L88"/>
  <c r="L85"/>
  <c r="N79"/>
  <c r="M97"/>
  <c r="P115"/>
  <c r="P112"/>
  <c r="N112"/>
  <c r="Q106"/>
  <c r="M94"/>
  <c r="K82"/>
  <c r="N109"/>
  <c r="M103"/>
  <c r="O115"/>
  <c r="Q112"/>
  <c r="L35" i="13" l="1"/>
  <c r="M35" s="1"/>
  <c r="N35" s="1"/>
  <c r="O35" s="1"/>
  <c r="P35" s="1"/>
  <c r="Q35" s="1"/>
  <c r="R35" s="1"/>
  <c r="S35" s="1"/>
  <c r="K72" i="20"/>
  <c r="K73" s="1"/>
  <c r="N51" i="13"/>
  <c r="M84" i="20"/>
  <c r="M85" s="1"/>
  <c r="R91" i="13"/>
  <c r="Q114" i="20"/>
  <c r="Q115" s="1"/>
  <c r="O47" i="13"/>
  <c r="N81" i="20"/>
  <c r="N82" s="1"/>
  <c r="O87"/>
  <c r="O88" s="1"/>
  <c r="R95" i="13"/>
  <c r="Q117" i="20"/>
  <c r="Q118" s="1"/>
  <c r="O59" i="13"/>
  <c r="N90" i="20"/>
  <c r="N91" s="1"/>
  <c r="S87" i="13"/>
  <c r="R111" i="20"/>
  <c r="R112" s="1"/>
  <c r="H23" i="13"/>
  <c r="I23" s="1"/>
  <c r="J23" s="1"/>
  <c r="K23" s="1"/>
  <c r="L23" s="1"/>
  <c r="M23" s="1"/>
  <c r="N23" s="1"/>
  <c r="O23" s="1"/>
  <c r="P23" s="1"/>
  <c r="Q23" s="1"/>
  <c r="R23" s="1"/>
  <c r="S23" s="1"/>
  <c r="G63" i="20"/>
  <c r="G64" s="1"/>
  <c r="Q108"/>
  <c r="Q109" s="1"/>
  <c r="R83" i="13"/>
  <c r="S83" s="1"/>
  <c r="S91" l="1"/>
  <c r="R114" i="20"/>
  <c r="R115" s="1"/>
  <c r="S95" i="13"/>
  <c r="R117" i="20"/>
  <c r="R118" s="1"/>
  <c r="P47" i="13"/>
  <c r="Q47" s="1"/>
  <c r="R47" s="1"/>
  <c r="S47" s="1"/>
  <c r="O81" i="20"/>
  <c r="O82" s="1"/>
  <c r="O51" i="13"/>
  <c r="N84" i="20"/>
  <c r="N85" s="1"/>
  <c r="P59" i="13"/>
  <c r="O90" i="20"/>
  <c r="O91" s="1"/>
  <c r="Q59" i="13" l="1"/>
  <c r="R59" s="1"/>
  <c r="S59" s="1"/>
  <c r="P90" i="20"/>
  <c r="P91" s="1"/>
  <c r="P51" i="13"/>
  <c r="Q51" s="1"/>
  <c r="R51" s="1"/>
  <c r="S51" s="1"/>
  <c r="O84" i="20"/>
  <c r="O85" s="1"/>
  <c r="N27" i="26" l="1"/>
  <c r="M29"/>
  <c r="N29" s="1"/>
  <c r="M28"/>
  <c r="N28" s="1"/>
  <c r="M27"/>
  <c r="H29"/>
  <c r="H28"/>
  <c r="H27"/>
  <c r="D29"/>
  <c r="D28"/>
  <c r="D27"/>
  <c r="F19"/>
  <c r="F21" s="1"/>
  <c r="S117" i="20" l="1"/>
  <c r="S116"/>
  <c r="S114"/>
  <c r="S113"/>
  <c r="S111"/>
  <c r="S110"/>
  <c r="S108"/>
  <c r="R108"/>
  <c r="S107"/>
  <c r="R107"/>
  <c r="S105"/>
  <c r="R105"/>
  <c r="R104"/>
  <c r="S104"/>
  <c r="S102"/>
  <c r="R102"/>
  <c r="S101"/>
  <c r="R101"/>
  <c r="S99"/>
  <c r="R99"/>
  <c r="Q99"/>
  <c r="S98"/>
  <c r="R98"/>
  <c r="Q98"/>
  <c r="S96"/>
  <c r="R96"/>
  <c r="Q96"/>
  <c r="S95"/>
  <c r="R95"/>
  <c r="Q95"/>
  <c r="S93"/>
  <c r="R93"/>
  <c r="Q93"/>
  <c r="S92"/>
  <c r="R92"/>
  <c r="Q92"/>
  <c r="S90"/>
  <c r="R90"/>
  <c r="Q90"/>
  <c r="S89"/>
  <c r="R89"/>
  <c r="Q89"/>
  <c r="S87"/>
  <c r="R87"/>
  <c r="Q87"/>
  <c r="P87"/>
  <c r="S86"/>
  <c r="R86"/>
  <c r="Q86"/>
  <c r="P86"/>
  <c r="S84"/>
  <c r="R84"/>
  <c r="Q84"/>
  <c r="P84"/>
  <c r="S83"/>
  <c r="R83"/>
  <c r="Q83"/>
  <c r="P83"/>
  <c r="S81"/>
  <c r="R81"/>
  <c r="Q81"/>
  <c r="P81"/>
  <c r="S80"/>
  <c r="R80"/>
  <c r="Q80"/>
  <c r="P80"/>
  <c r="S77"/>
  <c r="R77"/>
  <c r="Q77"/>
  <c r="P77"/>
  <c r="S78"/>
  <c r="R78"/>
  <c r="Q78"/>
  <c r="P78"/>
  <c r="S74"/>
  <c r="R74"/>
  <c r="Q74"/>
  <c r="P74"/>
  <c r="O74"/>
  <c r="N74"/>
  <c r="M74"/>
  <c r="L74"/>
  <c r="S71"/>
  <c r="R71"/>
  <c r="Q71"/>
  <c r="P71"/>
  <c r="O71"/>
  <c r="N71"/>
  <c r="M71"/>
  <c r="L71"/>
  <c r="S75"/>
  <c r="R75"/>
  <c r="Q75"/>
  <c r="P75"/>
  <c r="O75"/>
  <c r="N75"/>
  <c r="M75"/>
  <c r="L75"/>
  <c r="S72"/>
  <c r="R72"/>
  <c r="Q72"/>
  <c r="P72"/>
  <c r="O72"/>
  <c r="N72"/>
  <c r="M72"/>
  <c r="L72"/>
  <c r="S68"/>
  <c r="R68"/>
  <c r="Q68"/>
  <c r="P68"/>
  <c r="O68"/>
  <c r="N68"/>
  <c r="M68"/>
  <c r="L68"/>
  <c r="S69"/>
  <c r="R69"/>
  <c r="Q69"/>
  <c r="P69"/>
  <c r="O69"/>
  <c r="N69"/>
  <c r="M69"/>
  <c r="L69"/>
  <c r="S66"/>
  <c r="R66"/>
  <c r="Q66"/>
  <c r="P66"/>
  <c r="O66"/>
  <c r="N66"/>
  <c r="M66"/>
  <c r="L66"/>
  <c r="K66"/>
  <c r="J66"/>
  <c r="I66"/>
  <c r="H66"/>
  <c r="S65"/>
  <c r="R65"/>
  <c r="Q65"/>
  <c r="P65"/>
  <c r="O65"/>
  <c r="N65"/>
  <c r="M65"/>
  <c r="L65"/>
  <c r="K65"/>
  <c r="J65"/>
  <c r="I65"/>
  <c r="H65"/>
  <c r="S63"/>
  <c r="R63"/>
  <c r="Q63"/>
  <c r="P63"/>
  <c r="O63"/>
  <c r="N63"/>
  <c r="M63"/>
  <c r="L63"/>
  <c r="K63"/>
  <c r="J63"/>
  <c r="I63"/>
  <c r="H63"/>
  <c r="S62"/>
  <c r="R62"/>
  <c r="Q62"/>
  <c r="P62"/>
  <c r="O62"/>
  <c r="N62"/>
  <c r="M62"/>
  <c r="L62"/>
  <c r="I62"/>
  <c r="J62"/>
  <c r="K62"/>
  <c r="H62"/>
  <c r="H59"/>
  <c r="G60"/>
  <c r="F60"/>
  <c r="E60"/>
  <c r="G59"/>
  <c r="F59"/>
  <c r="E59"/>
  <c r="S59"/>
  <c r="R59"/>
  <c r="Q59"/>
  <c r="P59"/>
  <c r="O59"/>
  <c r="N59"/>
  <c r="M59"/>
  <c r="L59"/>
  <c r="K59"/>
  <c r="J59"/>
  <c r="I59"/>
  <c r="D59"/>
  <c r="S109" l="1"/>
  <c r="D60"/>
  <c r="B116" l="1"/>
  <c r="B113"/>
  <c r="B110"/>
  <c r="B107"/>
  <c r="B104"/>
  <c r="B101"/>
  <c r="B98"/>
  <c r="B95"/>
  <c r="B92"/>
  <c r="B89"/>
  <c r="B86"/>
  <c r="B83"/>
  <c r="B80"/>
  <c r="B77"/>
  <c r="B74"/>
  <c r="B71"/>
  <c r="B68"/>
  <c r="B65"/>
  <c r="B62"/>
  <c r="B59"/>
  <c r="D30"/>
  <c r="D29"/>
  <c r="D28"/>
  <c r="D27"/>
  <c r="D26"/>
  <c r="D25"/>
  <c r="D24"/>
  <c r="D23"/>
  <c r="R181" i="13"/>
  <c r="R180"/>
  <c r="R179"/>
  <c r="R178"/>
  <c r="R177"/>
  <c r="R176"/>
  <c r="R175"/>
  <c r="R174"/>
  <c r="R173"/>
  <c r="R172"/>
  <c r="R171"/>
  <c r="R170"/>
  <c r="R169"/>
  <c r="R168"/>
  <c r="R167"/>
  <c r="R158"/>
  <c r="S178"/>
  <c r="S177"/>
  <c r="S175"/>
  <c r="S174"/>
  <c r="S173"/>
  <c r="S172"/>
  <c r="S171"/>
  <c r="S170"/>
  <c r="S169"/>
  <c r="S168"/>
  <c r="S167"/>
  <c r="S166"/>
  <c r="S165"/>
  <c r="S164"/>
  <c r="S163"/>
  <c r="S162"/>
  <c r="S161"/>
  <c r="R160"/>
  <c r="S159"/>
  <c r="S158"/>
  <c r="S157"/>
  <c r="R156"/>
  <c r="S155"/>
  <c r="R154"/>
  <c r="S153"/>
  <c r="R152"/>
  <c r="S151"/>
  <c r="S190"/>
  <c r="R190"/>
  <c r="Q190"/>
  <c r="P190"/>
  <c r="O190"/>
  <c r="N190"/>
  <c r="M190"/>
  <c r="L190"/>
  <c r="K190"/>
  <c r="J190"/>
  <c r="I190"/>
  <c r="H190"/>
  <c r="G190"/>
  <c r="F190"/>
  <c r="E190"/>
  <c r="D190"/>
  <c r="S189"/>
  <c r="R189"/>
  <c r="Q189"/>
  <c r="P189"/>
  <c r="O189"/>
  <c r="N189"/>
  <c r="M189"/>
  <c r="L189"/>
  <c r="K189"/>
  <c r="J189"/>
  <c r="I189"/>
  <c r="H189"/>
  <c r="G189"/>
  <c r="F189"/>
  <c r="E189"/>
  <c r="D189"/>
  <c r="S188"/>
  <c r="R188"/>
  <c r="Q188"/>
  <c r="P188"/>
  <c r="O188"/>
  <c r="N188"/>
  <c r="M188"/>
  <c r="L188"/>
  <c r="K188"/>
  <c r="J188"/>
  <c r="I188"/>
  <c r="H188"/>
  <c r="G188"/>
  <c r="F188"/>
  <c r="E188"/>
  <c r="D188"/>
  <c r="S187"/>
  <c r="R187"/>
  <c r="Q187"/>
  <c r="P187"/>
  <c r="O187"/>
  <c r="N187"/>
  <c r="M187"/>
  <c r="L187"/>
  <c r="K187"/>
  <c r="J187"/>
  <c r="I187"/>
  <c r="H187"/>
  <c r="G187"/>
  <c r="F187"/>
  <c r="E187"/>
  <c r="D187"/>
  <c r="S186"/>
  <c r="R186"/>
  <c r="Q186"/>
  <c r="P186"/>
  <c r="O186"/>
  <c r="N186"/>
  <c r="M186"/>
  <c r="L186"/>
  <c r="K186"/>
  <c r="J186"/>
  <c r="I186"/>
  <c r="H186"/>
  <c r="G186"/>
  <c r="F186"/>
  <c r="E186"/>
  <c r="D186"/>
  <c r="S185"/>
  <c r="R185"/>
  <c r="Q185"/>
  <c r="P185"/>
  <c r="O185"/>
  <c r="N185"/>
  <c r="M185"/>
  <c r="L185"/>
  <c r="K185"/>
  <c r="J185"/>
  <c r="I185"/>
  <c r="H185"/>
  <c r="G185"/>
  <c r="F185"/>
  <c r="E185"/>
  <c r="D185"/>
  <c r="S184"/>
  <c r="R184"/>
  <c r="Q184"/>
  <c r="P184"/>
  <c r="O184"/>
  <c r="N184"/>
  <c r="M184"/>
  <c r="L184"/>
  <c r="K184"/>
  <c r="J184"/>
  <c r="I184"/>
  <c r="H184"/>
  <c r="G184"/>
  <c r="F184"/>
  <c r="E184"/>
  <c r="D184"/>
  <c r="S183"/>
  <c r="R183"/>
  <c r="Q183"/>
  <c r="P183"/>
  <c r="O183"/>
  <c r="N183"/>
  <c r="M183"/>
  <c r="L183"/>
  <c r="K183"/>
  <c r="J183"/>
  <c r="I183"/>
  <c r="H183"/>
  <c r="G183"/>
  <c r="F183"/>
  <c r="E183"/>
  <c r="D183"/>
  <c r="S182"/>
  <c r="R182"/>
  <c r="Q182"/>
  <c r="P182"/>
  <c r="O182"/>
  <c r="N182"/>
  <c r="M182"/>
  <c r="L182"/>
  <c r="K182"/>
  <c r="J182"/>
  <c r="I182"/>
  <c r="H182"/>
  <c r="G182"/>
  <c r="F182"/>
  <c r="E182"/>
  <c r="D182"/>
  <c r="S181"/>
  <c r="Q181"/>
  <c r="P181"/>
  <c r="O181"/>
  <c r="N181"/>
  <c r="M181"/>
  <c r="L181"/>
  <c r="K181"/>
  <c r="J181"/>
  <c r="I181"/>
  <c r="H181"/>
  <c r="G181"/>
  <c r="F181"/>
  <c r="E181"/>
  <c r="D181"/>
  <c r="S180"/>
  <c r="Q180"/>
  <c r="P180"/>
  <c r="O180"/>
  <c r="N180"/>
  <c r="M180"/>
  <c r="L180"/>
  <c r="K180"/>
  <c r="J180"/>
  <c r="I180"/>
  <c r="H180"/>
  <c r="G180"/>
  <c r="F180"/>
  <c r="E180"/>
  <c r="D180"/>
  <c r="S179"/>
  <c r="Q179"/>
  <c r="P179"/>
  <c r="O179"/>
  <c r="N179"/>
  <c r="M179"/>
  <c r="L179"/>
  <c r="K179"/>
  <c r="J179"/>
  <c r="I179"/>
  <c r="H179"/>
  <c r="G179"/>
  <c r="F179"/>
  <c r="E179"/>
  <c r="D179"/>
  <c r="Q178"/>
  <c r="P178"/>
  <c r="O178"/>
  <c r="N178"/>
  <c r="M178"/>
  <c r="L178"/>
  <c r="K178"/>
  <c r="J178"/>
  <c r="I178"/>
  <c r="H178"/>
  <c r="G178"/>
  <c r="F178"/>
  <c r="E178"/>
  <c r="D178"/>
  <c r="Q177"/>
  <c r="P177"/>
  <c r="O177"/>
  <c r="N177"/>
  <c r="M177"/>
  <c r="L177"/>
  <c r="K177"/>
  <c r="J177"/>
  <c r="I177"/>
  <c r="H177"/>
  <c r="G177"/>
  <c r="F177"/>
  <c r="E177"/>
  <c r="D177"/>
  <c r="S176"/>
  <c r="Q176"/>
  <c r="P176"/>
  <c r="O176"/>
  <c r="N176"/>
  <c r="M176"/>
  <c r="L176"/>
  <c r="K176"/>
  <c r="J176"/>
  <c r="I176"/>
  <c r="H176"/>
  <c r="G176"/>
  <c r="F176"/>
  <c r="E176"/>
  <c r="D176"/>
  <c r="Q175"/>
  <c r="P175"/>
  <c r="O175"/>
  <c r="N175"/>
  <c r="M175"/>
  <c r="L175"/>
  <c r="K175"/>
  <c r="J175"/>
  <c r="I175"/>
  <c r="H175"/>
  <c r="G175"/>
  <c r="F175"/>
  <c r="E175"/>
  <c r="D175"/>
  <c r="Q174"/>
  <c r="P174"/>
  <c r="O174"/>
  <c r="N174"/>
  <c r="M174"/>
  <c r="L174"/>
  <c r="K174"/>
  <c r="J174"/>
  <c r="I174"/>
  <c r="H174"/>
  <c r="G174"/>
  <c r="F174"/>
  <c r="E174"/>
  <c r="D174"/>
  <c r="Q173"/>
  <c r="P173"/>
  <c r="O173"/>
  <c r="N173"/>
  <c r="M173"/>
  <c r="L173"/>
  <c r="K173"/>
  <c r="J173"/>
  <c r="I173"/>
  <c r="H173"/>
  <c r="G173"/>
  <c r="F173"/>
  <c r="E173"/>
  <c r="D173"/>
  <c r="Q172"/>
  <c r="P172"/>
  <c r="O172"/>
  <c r="N172"/>
  <c r="M172"/>
  <c r="L172"/>
  <c r="K172"/>
  <c r="J172"/>
  <c r="I172"/>
  <c r="H172"/>
  <c r="G172"/>
  <c r="F172"/>
  <c r="E172"/>
  <c r="D172"/>
  <c r="Q171"/>
  <c r="P171"/>
  <c r="O171"/>
  <c r="N171"/>
  <c r="M171"/>
  <c r="L171"/>
  <c r="K171"/>
  <c r="J171"/>
  <c r="I171"/>
  <c r="H171"/>
  <c r="G171"/>
  <c r="F171"/>
  <c r="E171"/>
  <c r="D171"/>
  <c r="Q170"/>
  <c r="P170"/>
  <c r="O170"/>
  <c r="N170"/>
  <c r="M170"/>
  <c r="L170"/>
  <c r="K170"/>
  <c r="J170"/>
  <c r="I170"/>
  <c r="H170"/>
  <c r="G170"/>
  <c r="F170"/>
  <c r="E170"/>
  <c r="D170"/>
  <c r="Q169"/>
  <c r="P169"/>
  <c r="O169"/>
  <c r="N169"/>
  <c r="M169"/>
  <c r="L169"/>
  <c r="K169"/>
  <c r="J169"/>
  <c r="I169"/>
  <c r="H169"/>
  <c r="G169"/>
  <c r="F169"/>
  <c r="E169"/>
  <c r="D169"/>
  <c r="Q168"/>
  <c r="P168"/>
  <c r="O168"/>
  <c r="N168"/>
  <c r="M168"/>
  <c r="L168"/>
  <c r="K168"/>
  <c r="J168"/>
  <c r="I168"/>
  <c r="H168"/>
  <c r="G168"/>
  <c r="F168"/>
  <c r="E168"/>
  <c r="D168"/>
  <c r="Q167"/>
  <c r="P167"/>
  <c r="O167"/>
  <c r="N167"/>
  <c r="M167"/>
  <c r="L167"/>
  <c r="K167"/>
  <c r="J167"/>
  <c r="I167"/>
  <c r="H167"/>
  <c r="G167"/>
  <c r="F167"/>
  <c r="E167"/>
  <c r="D167"/>
  <c r="Q166"/>
  <c r="P166"/>
  <c r="O166"/>
  <c r="N166"/>
  <c r="M166"/>
  <c r="L166"/>
  <c r="K166"/>
  <c r="J166"/>
  <c r="I166"/>
  <c r="H166"/>
  <c r="G166"/>
  <c r="F166"/>
  <c r="E166"/>
  <c r="D166"/>
  <c r="Q165"/>
  <c r="P165"/>
  <c r="O165"/>
  <c r="N165"/>
  <c r="M165"/>
  <c r="L165"/>
  <c r="K165"/>
  <c r="J165"/>
  <c r="I165"/>
  <c r="H165"/>
  <c r="G165"/>
  <c r="F165"/>
  <c r="E165"/>
  <c r="D165"/>
  <c r="Q164"/>
  <c r="P164"/>
  <c r="O164"/>
  <c r="N164"/>
  <c r="M164"/>
  <c r="L164"/>
  <c r="K164"/>
  <c r="J164"/>
  <c r="I164"/>
  <c r="H164"/>
  <c r="G164"/>
  <c r="F164"/>
  <c r="E164"/>
  <c r="D164"/>
  <c r="Q163"/>
  <c r="P163"/>
  <c r="O163"/>
  <c r="N163"/>
  <c r="M163"/>
  <c r="L163"/>
  <c r="K163"/>
  <c r="J163"/>
  <c r="I163"/>
  <c r="H163"/>
  <c r="G163"/>
  <c r="F163"/>
  <c r="E163"/>
  <c r="D163"/>
  <c r="Q162"/>
  <c r="P162"/>
  <c r="O162"/>
  <c r="N162"/>
  <c r="M162"/>
  <c r="L162"/>
  <c r="K162"/>
  <c r="J162"/>
  <c r="I162"/>
  <c r="H162"/>
  <c r="G162"/>
  <c r="F162"/>
  <c r="E162"/>
  <c r="D162"/>
  <c r="Q161"/>
  <c r="P161"/>
  <c r="O161"/>
  <c r="N161"/>
  <c r="M161"/>
  <c r="L161"/>
  <c r="K161"/>
  <c r="J161"/>
  <c r="I161"/>
  <c r="H161"/>
  <c r="G161"/>
  <c r="F161"/>
  <c r="E161"/>
  <c r="D161"/>
  <c r="Q160"/>
  <c r="P160"/>
  <c r="O160"/>
  <c r="N160"/>
  <c r="M160"/>
  <c r="L160"/>
  <c r="K160"/>
  <c r="J160"/>
  <c r="I160"/>
  <c r="H160"/>
  <c r="G160"/>
  <c r="F160"/>
  <c r="E160"/>
  <c r="D160"/>
  <c r="Q159"/>
  <c r="P159"/>
  <c r="O159"/>
  <c r="N159"/>
  <c r="M159"/>
  <c r="L159"/>
  <c r="K159"/>
  <c r="J159"/>
  <c r="I159"/>
  <c r="H159"/>
  <c r="G159"/>
  <c r="F159"/>
  <c r="E159"/>
  <c r="D159"/>
  <c r="Q158"/>
  <c r="P158"/>
  <c r="O158"/>
  <c r="N158"/>
  <c r="M158"/>
  <c r="L158"/>
  <c r="K158"/>
  <c r="J158"/>
  <c r="I158"/>
  <c r="H158"/>
  <c r="G158"/>
  <c r="F158"/>
  <c r="E158"/>
  <c r="D158"/>
  <c r="Q157"/>
  <c r="P157"/>
  <c r="O157"/>
  <c r="N157"/>
  <c r="M157"/>
  <c r="L157"/>
  <c r="K157"/>
  <c r="J157"/>
  <c r="I157"/>
  <c r="H157"/>
  <c r="G157"/>
  <c r="F157"/>
  <c r="E157"/>
  <c r="D157"/>
  <c r="Q156"/>
  <c r="P156"/>
  <c r="O156"/>
  <c r="N156"/>
  <c r="M156"/>
  <c r="L156"/>
  <c r="K156"/>
  <c r="J156"/>
  <c r="I156"/>
  <c r="H156"/>
  <c r="G156"/>
  <c r="F156"/>
  <c r="E156"/>
  <c r="D156"/>
  <c r="Q155"/>
  <c r="P155"/>
  <c r="O155"/>
  <c r="N155"/>
  <c r="M155"/>
  <c r="L155"/>
  <c r="K155"/>
  <c r="J155"/>
  <c r="I155"/>
  <c r="H155"/>
  <c r="G155"/>
  <c r="F155"/>
  <c r="E155"/>
  <c r="D155"/>
  <c r="Q154"/>
  <c r="P154"/>
  <c r="O154"/>
  <c r="N154"/>
  <c r="M154"/>
  <c r="L154"/>
  <c r="K154"/>
  <c r="J154"/>
  <c r="I154"/>
  <c r="H154"/>
  <c r="G154"/>
  <c r="F154"/>
  <c r="E154"/>
  <c r="D154"/>
  <c r="Q153"/>
  <c r="P153"/>
  <c r="O153"/>
  <c r="N153"/>
  <c r="M153"/>
  <c r="L153"/>
  <c r="K153"/>
  <c r="J153"/>
  <c r="I153"/>
  <c r="H153"/>
  <c r="G153"/>
  <c r="F153"/>
  <c r="E153"/>
  <c r="D153"/>
  <c r="Q152"/>
  <c r="P152"/>
  <c r="O152"/>
  <c r="N152"/>
  <c r="M152"/>
  <c r="L152"/>
  <c r="K152"/>
  <c r="J152"/>
  <c r="I152"/>
  <c r="H152"/>
  <c r="G152"/>
  <c r="F152"/>
  <c r="E152"/>
  <c r="D152"/>
  <c r="Q151"/>
  <c r="P151"/>
  <c r="O151"/>
  <c r="N151"/>
  <c r="M151"/>
  <c r="L151"/>
  <c r="K151"/>
  <c r="J151"/>
  <c r="I151"/>
  <c r="H151"/>
  <c r="G151"/>
  <c r="F151"/>
  <c r="E151"/>
  <c r="D151"/>
  <c r="P150"/>
  <c r="O150"/>
  <c r="N150"/>
  <c r="M150"/>
  <c r="L150"/>
  <c r="K150"/>
  <c r="J150"/>
  <c r="I150"/>
  <c r="H150"/>
  <c r="G150"/>
  <c r="F150"/>
  <c r="E150"/>
  <c r="D150"/>
  <c r="P149"/>
  <c r="O149"/>
  <c r="N149"/>
  <c r="M149"/>
  <c r="L149"/>
  <c r="K149"/>
  <c r="J149"/>
  <c r="I149"/>
  <c r="H149"/>
  <c r="G149"/>
  <c r="F149"/>
  <c r="E149"/>
  <c r="D149"/>
  <c r="P148"/>
  <c r="O148"/>
  <c r="N148"/>
  <c r="M148"/>
  <c r="L148"/>
  <c r="K148"/>
  <c r="J148"/>
  <c r="I148"/>
  <c r="H148"/>
  <c r="G148"/>
  <c r="F148"/>
  <c r="E148"/>
  <c r="D148"/>
  <c r="P147"/>
  <c r="O147"/>
  <c r="N147"/>
  <c r="M147"/>
  <c r="L147"/>
  <c r="K147"/>
  <c r="J147"/>
  <c r="I147"/>
  <c r="H147"/>
  <c r="G147"/>
  <c r="F147"/>
  <c r="E147"/>
  <c r="D147"/>
  <c r="P146"/>
  <c r="O146"/>
  <c r="N146"/>
  <c r="M146"/>
  <c r="L146"/>
  <c r="K146"/>
  <c r="J146"/>
  <c r="I146"/>
  <c r="H146"/>
  <c r="G146"/>
  <c r="F146"/>
  <c r="E146"/>
  <c r="D146"/>
  <c r="P145"/>
  <c r="O145"/>
  <c r="N145"/>
  <c r="M145"/>
  <c r="L145"/>
  <c r="K145"/>
  <c r="J145"/>
  <c r="I145"/>
  <c r="H145"/>
  <c r="G145"/>
  <c r="F145"/>
  <c r="E145"/>
  <c r="D145"/>
  <c r="P144"/>
  <c r="O144"/>
  <c r="N144"/>
  <c r="M144"/>
  <c r="L144"/>
  <c r="K144"/>
  <c r="J144"/>
  <c r="I144"/>
  <c r="H144"/>
  <c r="G144"/>
  <c r="F144"/>
  <c r="E144"/>
  <c r="D144"/>
  <c r="S143"/>
  <c r="P143"/>
  <c r="O143"/>
  <c r="N143"/>
  <c r="M143"/>
  <c r="L143"/>
  <c r="K143"/>
  <c r="J143"/>
  <c r="I143"/>
  <c r="H143"/>
  <c r="G143"/>
  <c r="F143"/>
  <c r="E143"/>
  <c r="D143"/>
  <c r="S150"/>
  <c r="S149"/>
  <c r="S148"/>
  <c r="S147"/>
  <c r="S146"/>
  <c r="S145"/>
  <c r="S144"/>
  <c r="Q138"/>
  <c r="O118"/>
  <c r="N118"/>
  <c r="L118"/>
  <c r="K129"/>
  <c r="K128"/>
  <c r="K127"/>
  <c r="P138"/>
  <c r="O138"/>
  <c r="N138"/>
  <c r="M138"/>
  <c r="L138"/>
  <c r="K138"/>
  <c r="J138"/>
  <c r="I138"/>
  <c r="H138"/>
  <c r="G138"/>
  <c r="F138"/>
  <c r="E138"/>
  <c r="D138"/>
  <c r="O134"/>
  <c r="N134"/>
  <c r="M134"/>
  <c r="L134"/>
  <c r="K134"/>
  <c r="J134"/>
  <c r="I134"/>
  <c r="H134"/>
  <c r="G134"/>
  <c r="F134"/>
  <c r="E134"/>
  <c r="D134"/>
  <c r="O130"/>
  <c r="N130"/>
  <c r="M130"/>
  <c r="L130"/>
  <c r="K130"/>
  <c r="J130"/>
  <c r="I130"/>
  <c r="H130"/>
  <c r="G130"/>
  <c r="F130"/>
  <c r="E130"/>
  <c r="D130"/>
  <c r="O126"/>
  <c r="N126"/>
  <c r="M126"/>
  <c r="L126"/>
  <c r="K126"/>
  <c r="J126"/>
  <c r="I126"/>
  <c r="H126"/>
  <c r="G126"/>
  <c r="F126"/>
  <c r="E126"/>
  <c r="D126"/>
  <c r="K118"/>
  <c r="J118"/>
  <c r="I118"/>
  <c r="H118"/>
  <c r="G118"/>
  <c r="F118"/>
  <c r="E118"/>
  <c r="D118"/>
  <c r="K60" i="20" l="1"/>
  <c r="H60"/>
  <c r="I60"/>
  <c r="Q149" i="13"/>
  <c r="R123"/>
  <c r="N60" i="20"/>
  <c r="J60"/>
  <c r="R166" i="13"/>
  <c r="Q94" i="20"/>
  <c r="Q97"/>
  <c r="S97"/>
  <c r="R97"/>
  <c r="S106"/>
  <c r="S94"/>
  <c r="R106"/>
  <c r="S100"/>
  <c r="Q100"/>
  <c r="S103"/>
  <c r="R103"/>
  <c r="S112"/>
  <c r="S118"/>
  <c r="R100"/>
  <c r="S115"/>
  <c r="R94"/>
  <c r="R109"/>
  <c r="S160" i="13"/>
  <c r="R151"/>
  <c r="R165"/>
  <c r="R164"/>
  <c r="R163"/>
  <c r="R162"/>
  <c r="R161"/>
  <c r="R159"/>
  <c r="R157"/>
  <c r="S156"/>
  <c r="R155"/>
  <c r="R153"/>
  <c r="Q145"/>
  <c r="R149"/>
  <c r="Q143"/>
  <c r="R143"/>
  <c r="R135"/>
  <c r="R136"/>
  <c r="R137"/>
  <c r="R139"/>
  <c r="R140"/>
  <c r="R141"/>
  <c r="R142"/>
  <c r="Q144"/>
  <c r="R144"/>
  <c r="R145"/>
  <c r="Q148"/>
  <c r="R148"/>
  <c r="Q146"/>
  <c r="R146"/>
  <c r="Q147"/>
  <c r="R147"/>
  <c r="R150"/>
  <c r="Q150"/>
  <c r="R133"/>
  <c r="R128"/>
  <c r="R124"/>
  <c r="R125"/>
  <c r="R127"/>
  <c r="R129"/>
  <c r="R132"/>
  <c r="R131"/>
  <c r="S154"/>
  <c r="S152"/>
  <c r="P130"/>
  <c r="P126"/>
  <c r="I114"/>
  <c r="M118"/>
  <c r="R138"/>
  <c r="J114"/>
  <c r="P134"/>
  <c r="R126"/>
  <c r="Q126"/>
  <c r="Q130"/>
  <c r="R130"/>
  <c r="R134"/>
  <c r="Q134"/>
  <c r="H114"/>
  <c r="K114"/>
  <c r="G114"/>
  <c r="F114"/>
  <c r="E114"/>
  <c r="D114"/>
  <c r="C35" i="32"/>
  <c r="F13" i="26"/>
  <c r="F15" s="1"/>
  <c r="F6"/>
  <c r="F9" s="1"/>
  <c r="R113" i="13" l="1"/>
  <c r="L60" i="20"/>
  <c r="L114" i="13"/>
  <c r="N114"/>
  <c r="M114"/>
  <c r="M60" i="20"/>
  <c r="O114" i="13"/>
  <c r="O60" i="20"/>
  <c r="O61" s="1"/>
  <c r="E37" i="31" s="1"/>
  <c r="S116" i="13"/>
  <c r="R116"/>
  <c r="S122"/>
  <c r="R122"/>
  <c r="R117"/>
  <c r="S121"/>
  <c r="R121"/>
  <c r="S115"/>
  <c r="R115"/>
  <c r="S119"/>
  <c r="R119"/>
  <c r="R120"/>
  <c r="S138"/>
  <c r="P118"/>
  <c r="S130"/>
  <c r="S134"/>
  <c r="S126"/>
  <c r="P114"/>
  <c r="I18" i="27"/>
  <c r="D17"/>
  <c r="D18"/>
  <c r="C49" i="32"/>
  <c r="C50"/>
  <c r="C51"/>
  <c r="E115" i="13"/>
  <c r="E116"/>
  <c r="E117"/>
  <c r="F119"/>
  <c r="F120"/>
  <c r="F121"/>
  <c r="F122"/>
  <c r="E16" i="27"/>
  <c r="E17"/>
  <c r="E18"/>
  <c r="G119" i="13"/>
  <c r="G120"/>
  <c r="G123"/>
  <c r="G124"/>
  <c r="G125"/>
  <c r="G121"/>
  <c r="G122"/>
  <c r="F16" i="27"/>
  <c r="F17"/>
  <c r="F18"/>
  <c r="D49" i="32"/>
  <c r="D50"/>
  <c r="D51"/>
  <c r="H123" i="13"/>
  <c r="H127"/>
  <c r="H124"/>
  <c r="H128"/>
  <c r="H125"/>
  <c r="H129"/>
  <c r="H32" i="16"/>
  <c r="H34"/>
  <c r="G16" i="27"/>
  <c r="G17"/>
  <c r="G18"/>
  <c r="I131" i="13"/>
  <c r="I132"/>
  <c r="I127"/>
  <c r="I128"/>
  <c r="I129"/>
  <c r="I133"/>
  <c r="H16" i="27"/>
  <c r="H17"/>
  <c r="H18"/>
  <c r="J131" i="13"/>
  <c r="J139"/>
  <c r="J135"/>
  <c r="J136"/>
  <c r="J132"/>
  <c r="J127"/>
  <c r="J128"/>
  <c r="J129"/>
  <c r="J133"/>
  <c r="J137"/>
  <c r="I16" i="27"/>
  <c r="I17"/>
  <c r="K131" i="13"/>
  <c r="K139"/>
  <c r="K135"/>
  <c r="K140"/>
  <c r="K136"/>
  <c r="K132"/>
  <c r="K141"/>
  <c r="K142"/>
  <c r="K133"/>
  <c r="K137"/>
  <c r="J16" i="27"/>
  <c r="J17"/>
  <c r="J18"/>
  <c r="C48" i="32"/>
  <c r="C52"/>
  <c r="E6" i="9"/>
  <c r="E16" i="3" s="1"/>
  <c r="F6" i="9"/>
  <c r="D52" i="32"/>
  <c r="G6" i="9"/>
  <c r="G16" i="3" s="1"/>
  <c r="H6" i="9"/>
  <c r="H16" i="3" s="1"/>
  <c r="I6" i="9"/>
  <c r="J6"/>
  <c r="J16" i="3" s="1"/>
  <c r="K17" i="27"/>
  <c r="K18"/>
  <c r="K16"/>
  <c r="L17"/>
  <c r="L18"/>
  <c r="L16"/>
  <c r="M17"/>
  <c r="M18"/>
  <c r="M16"/>
  <c r="N17"/>
  <c r="N18"/>
  <c r="O17"/>
  <c r="O18"/>
  <c r="P17"/>
  <c r="P18"/>
  <c r="E52" i="32"/>
  <c r="K6" i="9" s="1"/>
  <c r="K16" i="3" s="1"/>
  <c r="L6" i="9"/>
  <c r="L16" i="3" s="1"/>
  <c r="M6" i="9"/>
  <c r="M16" i="3" s="1"/>
  <c r="N6" i="9"/>
  <c r="E49" i="32"/>
  <c r="E50"/>
  <c r="E51"/>
  <c r="L139" i="13"/>
  <c r="L135"/>
  <c r="L140"/>
  <c r="L136"/>
  <c r="L141"/>
  <c r="L142"/>
  <c r="L137"/>
  <c r="M139"/>
  <c r="M135"/>
  <c r="M140"/>
  <c r="M136"/>
  <c r="M141"/>
  <c r="M142"/>
  <c r="M137"/>
  <c r="N139"/>
  <c r="N140"/>
  <c r="N141"/>
  <c r="N142"/>
  <c r="F49" i="32"/>
  <c r="F50"/>
  <c r="F51"/>
  <c r="G49"/>
  <c r="H49" s="1"/>
  <c r="G50"/>
  <c r="H50" s="1"/>
  <c r="G51"/>
  <c r="H51"/>
  <c r="I49"/>
  <c r="I50"/>
  <c r="I51"/>
  <c r="D48"/>
  <c r="E48" s="1"/>
  <c r="D7" i="13"/>
  <c r="D5" i="15" s="1"/>
  <c r="D115" i="13"/>
  <c r="D131"/>
  <c r="D139"/>
  <c r="D119"/>
  <c r="D135"/>
  <c r="D140"/>
  <c r="D136"/>
  <c r="D116"/>
  <c r="D120"/>
  <c r="D132"/>
  <c r="D141"/>
  <c r="D123"/>
  <c r="D127"/>
  <c r="D124"/>
  <c r="D128"/>
  <c r="D142"/>
  <c r="D111"/>
  <c r="D112"/>
  <c r="D113"/>
  <c r="D117"/>
  <c r="D121"/>
  <c r="D122"/>
  <c r="D125"/>
  <c r="D129"/>
  <c r="D133"/>
  <c r="D137"/>
  <c r="E131"/>
  <c r="E139"/>
  <c r="E119"/>
  <c r="E135"/>
  <c r="E140"/>
  <c r="E136"/>
  <c r="E120"/>
  <c r="E132"/>
  <c r="E141"/>
  <c r="E123"/>
  <c r="E127"/>
  <c r="E124"/>
  <c r="E128"/>
  <c r="E142"/>
  <c r="E111"/>
  <c r="E112"/>
  <c r="E113"/>
  <c r="E121"/>
  <c r="E122"/>
  <c r="E125"/>
  <c r="E129"/>
  <c r="E133"/>
  <c r="E137"/>
  <c r="F115"/>
  <c r="F131"/>
  <c r="F139"/>
  <c r="F135"/>
  <c r="F140"/>
  <c r="F136"/>
  <c r="F116"/>
  <c r="F132"/>
  <c r="F141"/>
  <c r="F123"/>
  <c r="F127"/>
  <c r="F124"/>
  <c r="F128"/>
  <c r="F142"/>
  <c r="F111"/>
  <c r="F112"/>
  <c r="F113"/>
  <c r="F117"/>
  <c r="F125"/>
  <c r="F129"/>
  <c r="F133"/>
  <c r="F137"/>
  <c r="G115"/>
  <c r="G131"/>
  <c r="G139"/>
  <c r="G135"/>
  <c r="G140"/>
  <c r="G136"/>
  <c r="G116"/>
  <c r="G132"/>
  <c r="G141"/>
  <c r="G127"/>
  <c r="G128"/>
  <c r="G142"/>
  <c r="G111"/>
  <c r="G112"/>
  <c r="G113"/>
  <c r="G117"/>
  <c r="G129"/>
  <c r="G133"/>
  <c r="G137"/>
  <c r="H115"/>
  <c r="H131"/>
  <c r="H139"/>
  <c r="H119"/>
  <c r="H135"/>
  <c r="H140"/>
  <c r="H136"/>
  <c r="H116"/>
  <c r="H120"/>
  <c r="H132"/>
  <c r="H141"/>
  <c r="H142"/>
  <c r="H111"/>
  <c r="H112"/>
  <c r="H113"/>
  <c r="H117"/>
  <c r="H121"/>
  <c r="H122"/>
  <c r="H133"/>
  <c r="H137"/>
  <c r="I115"/>
  <c r="I139"/>
  <c r="I119"/>
  <c r="I135"/>
  <c r="I140"/>
  <c r="I136"/>
  <c r="I116"/>
  <c r="I120"/>
  <c r="I141"/>
  <c r="I123"/>
  <c r="I124"/>
  <c r="I142"/>
  <c r="I111"/>
  <c r="I112"/>
  <c r="I113"/>
  <c r="I117"/>
  <c r="I121"/>
  <c r="I122"/>
  <c r="I125"/>
  <c r="I137"/>
  <c r="J115"/>
  <c r="J119"/>
  <c r="J140"/>
  <c r="J116"/>
  <c r="J120"/>
  <c r="J141"/>
  <c r="J123"/>
  <c r="J124"/>
  <c r="J142"/>
  <c r="J111"/>
  <c r="J112"/>
  <c r="J113"/>
  <c r="J117"/>
  <c r="J121"/>
  <c r="J122"/>
  <c r="J125"/>
  <c r="K115"/>
  <c r="K119"/>
  <c r="K116"/>
  <c r="K120"/>
  <c r="K123"/>
  <c r="K124"/>
  <c r="K111"/>
  <c r="K112"/>
  <c r="K113"/>
  <c r="K117"/>
  <c r="K121"/>
  <c r="K122"/>
  <c r="K125"/>
  <c r="L115"/>
  <c r="L131"/>
  <c r="L119"/>
  <c r="L116"/>
  <c r="L120"/>
  <c r="L132"/>
  <c r="L123"/>
  <c r="L127"/>
  <c r="L124"/>
  <c r="L128"/>
  <c r="L111"/>
  <c r="L112"/>
  <c r="L113"/>
  <c r="L117"/>
  <c r="L121"/>
  <c r="L122"/>
  <c r="L125"/>
  <c r="L129"/>
  <c r="L133"/>
  <c r="M115"/>
  <c r="M131"/>
  <c r="M119"/>
  <c r="M116"/>
  <c r="M120"/>
  <c r="M132"/>
  <c r="M123"/>
  <c r="M127"/>
  <c r="M124"/>
  <c r="M128"/>
  <c r="M111"/>
  <c r="M112"/>
  <c r="M113"/>
  <c r="M117"/>
  <c r="M121"/>
  <c r="M122"/>
  <c r="M125"/>
  <c r="M129"/>
  <c r="M133"/>
  <c r="N115"/>
  <c r="N131"/>
  <c r="N119"/>
  <c r="N135"/>
  <c r="N136"/>
  <c r="N116"/>
  <c r="N120"/>
  <c r="N132"/>
  <c r="N123"/>
  <c r="N127"/>
  <c r="N124"/>
  <c r="N128"/>
  <c r="N111"/>
  <c r="N112"/>
  <c r="N113"/>
  <c r="N117"/>
  <c r="N121"/>
  <c r="N122"/>
  <c r="N125"/>
  <c r="N129"/>
  <c r="N133"/>
  <c r="N137"/>
  <c r="O115"/>
  <c r="O131"/>
  <c r="O139"/>
  <c r="O119"/>
  <c r="O135"/>
  <c r="O140"/>
  <c r="O136"/>
  <c r="O116"/>
  <c r="O120"/>
  <c r="O132"/>
  <c r="O141"/>
  <c r="O123"/>
  <c r="O127"/>
  <c r="O124"/>
  <c r="O128"/>
  <c r="O142"/>
  <c r="O111"/>
  <c r="O112"/>
  <c r="O113"/>
  <c r="O117"/>
  <c r="O121"/>
  <c r="O122"/>
  <c r="O125"/>
  <c r="O129"/>
  <c r="O133"/>
  <c r="O137"/>
  <c r="P115"/>
  <c r="P131"/>
  <c r="P139"/>
  <c r="P119"/>
  <c r="P135"/>
  <c r="P140"/>
  <c r="P136"/>
  <c r="P116"/>
  <c r="P120"/>
  <c r="P132"/>
  <c r="P141"/>
  <c r="P123"/>
  <c r="P127"/>
  <c r="P124"/>
  <c r="P128"/>
  <c r="P142"/>
  <c r="P113"/>
  <c r="P117"/>
  <c r="P121"/>
  <c r="P122"/>
  <c r="P125"/>
  <c r="P129"/>
  <c r="P133"/>
  <c r="P137"/>
  <c r="Q115"/>
  <c r="Q131"/>
  <c r="Q139"/>
  <c r="Q119"/>
  <c r="Q135"/>
  <c r="Q140"/>
  <c r="Q136"/>
  <c r="Q116"/>
  <c r="Q120"/>
  <c r="Q132"/>
  <c r="Q141"/>
  <c r="Q123"/>
  <c r="Q127"/>
  <c r="Q124"/>
  <c r="Q128"/>
  <c r="Q142"/>
  <c r="Q113"/>
  <c r="Q117"/>
  <c r="Q121"/>
  <c r="Q122"/>
  <c r="Q125"/>
  <c r="Q129"/>
  <c r="Q133"/>
  <c r="Q137"/>
  <c r="S131"/>
  <c r="S139"/>
  <c r="S135"/>
  <c r="S140"/>
  <c r="S136"/>
  <c r="S132"/>
  <c r="S141"/>
  <c r="S123"/>
  <c r="S127"/>
  <c r="S124"/>
  <c r="S128"/>
  <c r="S142"/>
  <c r="S113"/>
  <c r="S117"/>
  <c r="S125"/>
  <c r="S129"/>
  <c r="S133"/>
  <c r="S137"/>
  <c r="E31" i="24"/>
  <c r="K24"/>
  <c r="C6" i="27"/>
  <c r="E32" i="24"/>
  <c r="K25"/>
  <c r="E33"/>
  <c r="G8" i="27" s="1"/>
  <c r="K26" i="24"/>
  <c r="E34"/>
  <c r="K27"/>
  <c r="E35"/>
  <c r="E10" i="27" s="1"/>
  <c r="K28" i="24"/>
  <c r="E36"/>
  <c r="H11" i="27" s="1"/>
  <c r="K29" i="24"/>
  <c r="C11" i="27"/>
  <c r="K30" i="24"/>
  <c r="C12" i="27"/>
  <c r="K31" i="24"/>
  <c r="C13" i="27"/>
  <c r="E6"/>
  <c r="E7"/>
  <c r="E11"/>
  <c r="G6"/>
  <c r="G9"/>
  <c r="H6"/>
  <c r="H7"/>
  <c r="J6"/>
  <c r="J8"/>
  <c r="J11"/>
  <c r="L6"/>
  <c r="L7"/>
  <c r="L8"/>
  <c r="O6"/>
  <c r="O8"/>
  <c r="P6"/>
  <c r="P7"/>
  <c r="P9"/>
  <c r="P10"/>
  <c r="P11"/>
  <c r="Q6"/>
  <c r="Q7"/>
  <c r="Q10"/>
  <c r="R6"/>
  <c r="R7"/>
  <c r="R9"/>
  <c r="R10"/>
  <c r="R11"/>
  <c r="G11" i="4"/>
  <c r="D44" s="1"/>
  <c r="D24" i="3" s="1"/>
  <c r="G12" i="4"/>
  <c r="G13"/>
  <c r="F44" s="1"/>
  <c r="F24" i="3" s="1"/>
  <c r="G14" i="4"/>
  <c r="G44" s="1"/>
  <c r="G24" i="3" s="1"/>
  <c r="G15" i="4"/>
  <c r="H44" s="1"/>
  <c r="G16"/>
  <c r="I44" s="1"/>
  <c r="I24" i="3" s="1"/>
  <c r="G17" i="4"/>
  <c r="J44" s="1"/>
  <c r="J24" i="3" s="1"/>
  <c r="G18" i="4"/>
  <c r="K44" s="1"/>
  <c r="K24" i="3" s="1"/>
  <c r="G19" i="4"/>
  <c r="L44" s="1"/>
  <c r="L24" i="3" s="1"/>
  <c r="G20" i="4"/>
  <c r="M44" s="1"/>
  <c r="M24" i="3" s="1"/>
  <c r="G21" i="4"/>
  <c r="N44" s="1"/>
  <c r="G10"/>
  <c r="C44" s="1"/>
  <c r="L73" i="20"/>
  <c r="S73"/>
  <c r="N64"/>
  <c r="Q64"/>
  <c r="H35" i="31"/>
  <c r="D36"/>
  <c r="E35"/>
  <c r="F35"/>
  <c r="G35"/>
  <c r="I35"/>
  <c r="M7" i="15"/>
  <c r="M8"/>
  <c r="N7"/>
  <c r="N8"/>
  <c r="L8"/>
  <c r="L9" s="1"/>
  <c r="L7"/>
  <c r="O8"/>
  <c r="D8"/>
  <c r="O7"/>
  <c r="D7"/>
  <c r="D9" s="1"/>
  <c r="I32" i="16"/>
  <c r="J32"/>
  <c r="K32"/>
  <c r="I34"/>
  <c r="J34"/>
  <c r="K34"/>
  <c r="D53" i="32"/>
  <c r="E53"/>
  <c r="F53" s="1"/>
  <c r="G53" s="1"/>
  <c r="H53" s="1"/>
  <c r="I53" s="1"/>
  <c r="E5" i="17"/>
  <c r="E6"/>
  <c r="G36" i="16"/>
  <c r="G37"/>
  <c r="G35"/>
  <c r="G33"/>
  <c r="G28"/>
  <c r="G29"/>
  <c r="G30"/>
  <c r="G31"/>
  <c r="G27"/>
  <c r="K22" i="3"/>
  <c r="L22"/>
  <c r="M22"/>
  <c r="N22"/>
  <c r="O22"/>
  <c r="P22"/>
  <c r="Q22"/>
  <c r="R22"/>
  <c r="C22"/>
  <c r="K21"/>
  <c r="L21"/>
  <c r="M21"/>
  <c r="N21"/>
  <c r="O21"/>
  <c r="P21"/>
  <c r="Q21"/>
  <c r="R21"/>
  <c r="C21"/>
  <c r="N16"/>
  <c r="D16" i="27"/>
  <c r="N16"/>
  <c r="O16"/>
  <c r="P16"/>
  <c r="Q16"/>
  <c r="Q17"/>
  <c r="Q18"/>
  <c r="R16"/>
  <c r="R17"/>
  <c r="R18"/>
  <c r="C17"/>
  <c r="C16"/>
  <c r="C18"/>
  <c r="K18" i="24"/>
  <c r="C41" i="27" s="1"/>
  <c r="E22" i="24"/>
  <c r="E36" i="27" s="1"/>
  <c r="G36"/>
  <c r="J36"/>
  <c r="L36"/>
  <c r="O36"/>
  <c r="Q36"/>
  <c r="R36"/>
  <c r="E23" i="24"/>
  <c r="J37" i="27"/>
  <c r="Q37"/>
  <c r="E24" i="24"/>
  <c r="E38" i="27" s="1"/>
  <c r="G38"/>
  <c r="J38"/>
  <c r="L38"/>
  <c r="O38"/>
  <c r="Q38"/>
  <c r="R38"/>
  <c r="E25" i="24"/>
  <c r="J39" i="27"/>
  <c r="Q39"/>
  <c r="E26" i="24"/>
  <c r="E40" i="27" s="1"/>
  <c r="G40"/>
  <c r="J40"/>
  <c r="L40"/>
  <c r="O40"/>
  <c r="Q40"/>
  <c r="R40"/>
  <c r="C40"/>
  <c r="K16" i="24"/>
  <c r="C37" i="27" s="1"/>
  <c r="K17" i="24"/>
  <c r="C38" i="27" s="1"/>
  <c r="K15" i="24"/>
  <c r="C36" i="27" s="1"/>
  <c r="D28" i="16"/>
  <c r="K10" i="24"/>
  <c r="C33" i="27"/>
  <c r="K8" i="24"/>
  <c r="K9"/>
  <c r="C24" i="27" s="1"/>
  <c r="K6" i="24"/>
  <c r="I7"/>
  <c r="K7" s="1"/>
  <c r="E8"/>
  <c r="E10"/>
  <c r="E11"/>
  <c r="E12"/>
  <c r="E9"/>
  <c r="E13"/>
  <c r="E14"/>
  <c r="E15"/>
  <c r="E16"/>
  <c r="E17"/>
  <c r="E6"/>
  <c r="Q21" i="27" s="1"/>
  <c r="C7" i="24"/>
  <c r="E7"/>
  <c r="J31" i="27"/>
  <c r="R31"/>
  <c r="O31"/>
  <c r="E31"/>
  <c r="Q31"/>
  <c r="P31"/>
  <c r="H31"/>
  <c r="L31"/>
  <c r="G23"/>
  <c r="L23"/>
  <c r="O23"/>
  <c r="Q23"/>
  <c r="H23"/>
  <c r="E23"/>
  <c r="C23"/>
  <c r="E30"/>
  <c r="Q30"/>
  <c r="J30"/>
  <c r="R30"/>
  <c r="H30"/>
  <c r="L30"/>
  <c r="P30"/>
  <c r="C30"/>
  <c r="G30"/>
  <c r="O30"/>
  <c r="H21"/>
  <c r="L29"/>
  <c r="G29"/>
  <c r="R29"/>
  <c r="H26"/>
  <c r="O26"/>
  <c r="Q24"/>
  <c r="E24"/>
  <c r="R24"/>
  <c r="J24"/>
  <c r="P24"/>
  <c r="H24"/>
  <c r="L24"/>
  <c r="G24"/>
  <c r="O24"/>
  <c r="O22"/>
  <c r="E22"/>
  <c r="P22"/>
  <c r="R22"/>
  <c r="H22"/>
  <c r="L22"/>
  <c r="J22"/>
  <c r="Q22"/>
  <c r="G22"/>
  <c r="J27"/>
  <c r="R27"/>
  <c r="G27"/>
  <c r="O27"/>
  <c r="E27"/>
  <c r="Q27"/>
  <c r="C27"/>
  <c r="L27"/>
  <c r="P27"/>
  <c r="H27"/>
  <c r="C32"/>
  <c r="G32"/>
  <c r="O32"/>
  <c r="L32"/>
  <c r="J32"/>
  <c r="R32"/>
  <c r="H32"/>
  <c r="P32"/>
  <c r="Q32"/>
  <c r="E32"/>
  <c r="C28"/>
  <c r="G28"/>
  <c r="O28"/>
  <c r="H28"/>
  <c r="P28"/>
  <c r="J28"/>
  <c r="R28"/>
  <c r="L28"/>
  <c r="Q28"/>
  <c r="E28"/>
  <c r="E25"/>
  <c r="Q25"/>
  <c r="J25"/>
  <c r="R25"/>
  <c r="H25"/>
  <c r="L25"/>
  <c r="P25"/>
  <c r="C25"/>
  <c r="O25"/>
  <c r="G25"/>
  <c r="K32" i="24"/>
  <c r="E28" i="16"/>
  <c r="F28"/>
  <c r="D29"/>
  <c r="E29"/>
  <c r="F29"/>
  <c r="D30"/>
  <c r="E30"/>
  <c r="F30"/>
  <c r="D31"/>
  <c r="E31"/>
  <c r="F31"/>
  <c r="D33"/>
  <c r="E33"/>
  <c r="F33"/>
  <c r="D35"/>
  <c r="E35"/>
  <c r="F35"/>
  <c r="D36"/>
  <c r="E36"/>
  <c r="F36"/>
  <c r="D37"/>
  <c r="E37"/>
  <c r="F37"/>
  <c r="E27"/>
  <c r="F27"/>
  <c r="D27"/>
  <c r="C7" i="6" s="1"/>
  <c r="D13" i="20"/>
  <c r="D14"/>
  <c r="D15"/>
  <c r="D16"/>
  <c r="D17"/>
  <c r="D18"/>
  <c r="D19"/>
  <c r="D20"/>
  <c r="D21"/>
  <c r="D22"/>
  <c r="D31"/>
  <c r="D12"/>
  <c r="F6"/>
  <c r="F7"/>
  <c r="F8"/>
  <c r="F5"/>
  <c r="F7" i="6"/>
  <c r="K6" i="33"/>
  <c r="L6"/>
  <c r="M6"/>
  <c r="N6"/>
  <c r="K5"/>
  <c r="L5"/>
  <c r="M5"/>
  <c r="M7" s="1"/>
  <c r="M11" s="1"/>
  <c r="N5"/>
  <c r="N7" s="1"/>
  <c r="N11" s="1"/>
  <c r="E10" i="4"/>
  <c r="F10" s="1"/>
  <c r="I10" s="1"/>
  <c r="C6" i="33"/>
  <c r="K7"/>
  <c r="K11" s="1"/>
  <c r="C5"/>
  <c r="F16" i="3"/>
  <c r="I16"/>
  <c r="D35" i="31"/>
  <c r="C35"/>
  <c r="E21" i="4"/>
  <c r="E20"/>
  <c r="E19"/>
  <c r="E18"/>
  <c r="D14" i="15"/>
  <c r="D13"/>
  <c r="E44" i="4"/>
  <c r="E24" i="3" s="1"/>
  <c r="C35" i="1"/>
  <c r="D35" s="1"/>
  <c r="J10" i="4"/>
  <c r="E11"/>
  <c r="D21" i="3"/>
  <c r="D22"/>
  <c r="D5" i="33"/>
  <c r="D6"/>
  <c r="D7"/>
  <c r="D11" s="1"/>
  <c r="E8" i="15"/>
  <c r="E9" s="1"/>
  <c r="E7"/>
  <c r="E12" i="4"/>
  <c r="E5" i="33"/>
  <c r="E6"/>
  <c r="E21" i="3"/>
  <c r="E22"/>
  <c r="F8" i="15"/>
  <c r="F7"/>
  <c r="E13" i="4"/>
  <c r="F21" i="3"/>
  <c r="F22"/>
  <c r="F5" i="33"/>
  <c r="F6"/>
  <c r="G8" i="15"/>
  <c r="G9" s="1"/>
  <c r="G7"/>
  <c r="E14" i="4"/>
  <c r="G21" i="3"/>
  <c r="G22"/>
  <c r="G5" i="33"/>
  <c r="G6"/>
  <c r="H8" i="15"/>
  <c r="H9" s="1"/>
  <c r="H7"/>
  <c r="E15" i="4"/>
  <c r="H21" i="3"/>
  <c r="H22"/>
  <c r="H5" i="33"/>
  <c r="H6"/>
  <c r="I8" i="15"/>
  <c r="I7"/>
  <c r="E16" i="4"/>
  <c r="I5" i="33"/>
  <c r="I6"/>
  <c r="I21" i="3"/>
  <c r="I22"/>
  <c r="J8" i="15"/>
  <c r="J7"/>
  <c r="E17" i="4"/>
  <c r="C4"/>
  <c r="G22" s="1"/>
  <c r="J21" i="3"/>
  <c r="J22"/>
  <c r="J5" i="33"/>
  <c r="J6"/>
  <c r="J7" s="1"/>
  <c r="J11" s="1"/>
  <c r="C5" i="4"/>
  <c r="K8" i="15"/>
  <c r="K7"/>
  <c r="O9" l="1"/>
  <c r="I7" i="33"/>
  <c r="I11" s="1"/>
  <c r="I9" i="15"/>
  <c r="F9"/>
  <c r="G34" i="4"/>
  <c r="G37"/>
  <c r="G26"/>
  <c r="D20" i="31"/>
  <c r="D23" s="1"/>
  <c r="G29" i="4"/>
  <c r="O19" i="27"/>
  <c r="S112" i="13"/>
  <c r="R112"/>
  <c r="R197" s="1"/>
  <c r="Q60" i="20"/>
  <c r="Q61" s="1"/>
  <c r="G37" i="31" s="1"/>
  <c r="P60" i="20"/>
  <c r="F36" i="31" s="1"/>
  <c r="P111" i="13"/>
  <c r="P196" s="1"/>
  <c r="I67" i="20"/>
  <c r="M67"/>
  <c r="M70"/>
  <c r="Q73"/>
  <c r="O73"/>
  <c r="Q76"/>
  <c r="M76"/>
  <c r="S79"/>
  <c r="S85"/>
  <c r="S88"/>
  <c r="Q91"/>
  <c r="N24" i="3"/>
  <c r="E20" i="31"/>
  <c r="E23" s="1"/>
  <c r="L7" i="33"/>
  <c r="L11" s="1"/>
  <c r="K9" i="15"/>
  <c r="G36" i="4"/>
  <c r="G28"/>
  <c r="E7" i="33"/>
  <c r="E11" s="1"/>
  <c r="H24" i="3"/>
  <c r="N9" i="15"/>
  <c r="C20" i="31"/>
  <c r="C23" s="1"/>
  <c r="G31" i="4"/>
  <c r="G23"/>
  <c r="H7" i="33"/>
  <c r="H11" s="1"/>
  <c r="G7"/>
  <c r="G11" s="1"/>
  <c r="F7"/>
  <c r="F11" s="1"/>
  <c r="C24" i="3"/>
  <c r="C7" i="33"/>
  <c r="C11" s="1"/>
  <c r="M9" i="15"/>
  <c r="I19" i="27"/>
  <c r="F19"/>
  <c r="N61" i="20"/>
  <c r="J61"/>
  <c r="J64"/>
  <c r="O67"/>
  <c r="J67"/>
  <c r="N73"/>
  <c r="R76"/>
  <c r="N76"/>
  <c r="L76"/>
  <c r="R79"/>
  <c r="S82"/>
  <c r="Q82"/>
  <c r="R88"/>
  <c r="R91"/>
  <c r="H67"/>
  <c r="E61"/>
  <c r="M64"/>
  <c r="R64"/>
  <c r="O64"/>
  <c r="L64"/>
  <c r="I64"/>
  <c r="S64"/>
  <c r="S67"/>
  <c r="S120" i="13"/>
  <c r="P112"/>
  <c r="Q111"/>
  <c r="Q196" s="1"/>
  <c r="Q112"/>
  <c r="Q197" s="1"/>
  <c r="Q118"/>
  <c r="R118"/>
  <c r="R114"/>
  <c r="Q114"/>
  <c r="J196"/>
  <c r="O10" i="27"/>
  <c r="J10"/>
  <c r="L10"/>
  <c r="C10"/>
  <c r="E37" i="24"/>
  <c r="G10" i="27"/>
  <c r="H10"/>
  <c r="K67" i="20"/>
  <c r="K64"/>
  <c r="H64"/>
  <c r="S70"/>
  <c r="Q70"/>
  <c r="M73"/>
  <c r="Q85"/>
  <c r="O70"/>
  <c r="Q67"/>
  <c r="L67"/>
  <c r="D61"/>
  <c r="M61"/>
  <c r="I61"/>
  <c r="G61"/>
  <c r="C37" i="31" s="1"/>
  <c r="L198" i="13"/>
  <c r="J198"/>
  <c r="P198"/>
  <c r="O196"/>
  <c r="F198"/>
  <c r="K198"/>
  <c r="I198"/>
  <c r="E198"/>
  <c r="R198"/>
  <c r="K196"/>
  <c r="D198"/>
  <c r="S198"/>
  <c r="Q198"/>
  <c r="O198"/>
  <c r="N198"/>
  <c r="H198"/>
  <c r="G198"/>
  <c r="M198"/>
  <c r="R82" i="20"/>
  <c r="C36" i="31"/>
  <c r="P67" i="20"/>
  <c r="P64"/>
  <c r="N70"/>
  <c r="P79"/>
  <c r="L70"/>
  <c r="Q79"/>
  <c r="P70"/>
  <c r="P73"/>
  <c r="S91"/>
  <c r="F61"/>
  <c r="S76"/>
  <c r="P88"/>
  <c r="L61"/>
  <c r="H61"/>
  <c r="R85"/>
  <c r="Q88"/>
  <c r="E36" i="31"/>
  <c r="K61" i="20"/>
  <c r="D37" i="31" s="1"/>
  <c r="R70" i="20"/>
  <c r="R73"/>
  <c r="O76"/>
  <c r="P82"/>
  <c r="P85"/>
  <c r="R67"/>
  <c r="N67"/>
  <c r="P76"/>
  <c r="M196" i="13"/>
  <c r="L197"/>
  <c r="D196"/>
  <c r="N196"/>
  <c r="M197"/>
  <c r="K197"/>
  <c r="J197"/>
  <c r="F199"/>
  <c r="K191"/>
  <c r="G191"/>
  <c r="F191"/>
  <c r="D191"/>
  <c r="N197"/>
  <c r="M191"/>
  <c r="D199"/>
  <c r="J191"/>
  <c r="O191"/>
  <c r="D197"/>
  <c r="L191"/>
  <c r="I191"/>
  <c r="H191"/>
  <c r="E191"/>
  <c r="N191"/>
  <c r="P199"/>
  <c r="M199"/>
  <c r="I199"/>
  <c r="I197"/>
  <c r="E197"/>
  <c r="O197"/>
  <c r="L199"/>
  <c r="H199"/>
  <c r="H197"/>
  <c r="Q42" i="27"/>
  <c r="J42"/>
  <c r="J9" i="15"/>
  <c r="D19" i="27"/>
  <c r="L19"/>
  <c r="J19"/>
  <c r="E19"/>
  <c r="M19"/>
  <c r="N19"/>
  <c r="K19"/>
  <c r="G19"/>
  <c r="C19"/>
  <c r="C11" i="28" s="1"/>
  <c r="C12" s="1"/>
  <c r="C13" s="1"/>
  <c r="Q19" i="27"/>
  <c r="R19"/>
  <c r="P19"/>
  <c r="C43" i="4"/>
  <c r="K10"/>
  <c r="G35"/>
  <c r="G33"/>
  <c r="G32"/>
  <c r="G30"/>
  <c r="G27"/>
  <c r="G25"/>
  <c r="G24"/>
  <c r="D7" i="6"/>
  <c r="E7"/>
  <c r="H10" i="4"/>
  <c r="K11" i="24"/>
  <c r="C22" i="27"/>
  <c r="F21"/>
  <c r="D21"/>
  <c r="N21"/>
  <c r="I21"/>
  <c r="K21"/>
  <c r="M21"/>
  <c r="F29"/>
  <c r="D29"/>
  <c r="I29"/>
  <c r="N29"/>
  <c r="K29"/>
  <c r="M29"/>
  <c r="D26"/>
  <c r="I26"/>
  <c r="F26"/>
  <c r="M26"/>
  <c r="N26"/>
  <c r="K26"/>
  <c r="D39"/>
  <c r="I39"/>
  <c r="M39"/>
  <c r="N39"/>
  <c r="F39"/>
  <c r="K39"/>
  <c r="D37"/>
  <c r="F37"/>
  <c r="I37"/>
  <c r="K37"/>
  <c r="M37"/>
  <c r="N37"/>
  <c r="H27" i="16"/>
  <c r="K27"/>
  <c r="I27"/>
  <c r="J27"/>
  <c r="H28"/>
  <c r="K28"/>
  <c r="J28"/>
  <c r="I28"/>
  <c r="K36"/>
  <c r="H36"/>
  <c r="I36"/>
  <c r="J36"/>
  <c r="O34"/>
  <c r="P34" s="1"/>
  <c r="Q34" s="1"/>
  <c r="R34" s="1"/>
  <c r="S34" s="1"/>
  <c r="N34"/>
  <c r="L34"/>
  <c r="M34"/>
  <c r="D9" i="27"/>
  <c r="N9"/>
  <c r="I9"/>
  <c r="K9"/>
  <c r="F9"/>
  <c r="J9"/>
  <c r="Q9"/>
  <c r="M9"/>
  <c r="E18" i="24"/>
  <c r="J26" i="27"/>
  <c r="R26"/>
  <c r="J29"/>
  <c r="C29"/>
  <c r="H29"/>
  <c r="H34" s="1"/>
  <c r="L21"/>
  <c r="C21"/>
  <c r="D32"/>
  <c r="F32"/>
  <c r="I32"/>
  <c r="K32"/>
  <c r="M32"/>
  <c r="N32"/>
  <c r="D28"/>
  <c r="I28"/>
  <c r="F28"/>
  <c r="K28"/>
  <c r="M28"/>
  <c r="N28"/>
  <c r="F25"/>
  <c r="D25"/>
  <c r="N25"/>
  <c r="K25"/>
  <c r="I25"/>
  <c r="M25"/>
  <c r="P39"/>
  <c r="H39"/>
  <c r="P37"/>
  <c r="H37"/>
  <c r="H31" i="16"/>
  <c r="K31"/>
  <c r="I31"/>
  <c r="J31"/>
  <c r="H33"/>
  <c r="K33"/>
  <c r="I33"/>
  <c r="J33"/>
  <c r="C11" i="17"/>
  <c r="C8" i="6" s="1"/>
  <c r="R8" i="27"/>
  <c r="R14" s="1"/>
  <c r="Q11"/>
  <c r="O9"/>
  <c r="L11"/>
  <c r="D7"/>
  <c r="F7"/>
  <c r="I7"/>
  <c r="M7"/>
  <c r="N7"/>
  <c r="K7"/>
  <c r="G7"/>
  <c r="O7"/>
  <c r="O199" i="13"/>
  <c r="E7"/>
  <c r="D7" i="16"/>
  <c r="D11"/>
  <c r="D8"/>
  <c r="D12"/>
  <c r="C12" i="17"/>
  <c r="C9" i="6" s="1"/>
  <c r="C14" i="17"/>
  <c r="C11" i="6" s="1"/>
  <c r="C16" i="17"/>
  <c r="C13" i="6" s="1"/>
  <c r="C18" i="17"/>
  <c r="C15" i="6" s="1"/>
  <c r="C20" i="17"/>
  <c r="C17" i="6" s="1"/>
  <c r="C22" i="17"/>
  <c r="C19" i="6" s="1"/>
  <c r="D9" i="16"/>
  <c r="D10"/>
  <c r="C17" i="17"/>
  <c r="C14" i="6" s="1"/>
  <c r="C19" i="17"/>
  <c r="C16" i="6" s="1"/>
  <c r="C13" i="17"/>
  <c r="C10" i="6" s="1"/>
  <c r="C21" i="17"/>
  <c r="C18" i="6" s="1"/>
  <c r="C15" i="17"/>
  <c r="C12" i="6" s="1"/>
  <c r="C23" i="17"/>
  <c r="C20" i="6" s="1"/>
  <c r="F48" i="32"/>
  <c r="E27" i="24"/>
  <c r="G26" i="27"/>
  <c r="P26"/>
  <c r="Q26"/>
  <c r="Q29"/>
  <c r="E29"/>
  <c r="P21"/>
  <c r="R21"/>
  <c r="O21"/>
  <c r="D22"/>
  <c r="I22"/>
  <c r="F22"/>
  <c r="M22"/>
  <c r="N22"/>
  <c r="K22"/>
  <c r="D31"/>
  <c r="F31"/>
  <c r="I31"/>
  <c r="M31"/>
  <c r="N31"/>
  <c r="K31"/>
  <c r="D24"/>
  <c r="F24"/>
  <c r="I24"/>
  <c r="K24"/>
  <c r="M24"/>
  <c r="N24"/>
  <c r="D23"/>
  <c r="I23"/>
  <c r="F23"/>
  <c r="M23"/>
  <c r="N23"/>
  <c r="K23"/>
  <c r="D40"/>
  <c r="F40"/>
  <c r="I40"/>
  <c r="M40"/>
  <c r="N40"/>
  <c r="K40"/>
  <c r="O39"/>
  <c r="G39"/>
  <c r="F38"/>
  <c r="D38"/>
  <c r="I38"/>
  <c r="N38"/>
  <c r="K38"/>
  <c r="M38"/>
  <c r="O37"/>
  <c r="G37"/>
  <c r="G42" s="1"/>
  <c r="D36"/>
  <c r="F36"/>
  <c r="I36"/>
  <c r="M36"/>
  <c r="N36"/>
  <c r="K36"/>
  <c r="K30" i="16"/>
  <c r="I30"/>
  <c r="J30"/>
  <c r="H30"/>
  <c r="H35"/>
  <c r="I35"/>
  <c r="J35"/>
  <c r="K35"/>
  <c r="E9" i="27"/>
  <c r="D11"/>
  <c r="F11"/>
  <c r="I11"/>
  <c r="M11"/>
  <c r="N11"/>
  <c r="G11"/>
  <c r="O11"/>
  <c r="K11"/>
  <c r="C9"/>
  <c r="D8"/>
  <c r="F8"/>
  <c r="I8"/>
  <c r="K8"/>
  <c r="M8"/>
  <c r="C8"/>
  <c r="H8"/>
  <c r="P8"/>
  <c r="P14" s="1"/>
  <c r="N8"/>
  <c r="N199" i="13"/>
  <c r="C26" i="27"/>
  <c r="L26"/>
  <c r="E26"/>
  <c r="O29"/>
  <c r="P29"/>
  <c r="E21"/>
  <c r="J21"/>
  <c r="G21"/>
  <c r="R23"/>
  <c r="J23"/>
  <c r="P23"/>
  <c r="C31"/>
  <c r="G31"/>
  <c r="D30"/>
  <c r="F30"/>
  <c r="I30"/>
  <c r="M30"/>
  <c r="N30"/>
  <c r="K30"/>
  <c r="D27"/>
  <c r="I27"/>
  <c r="F27"/>
  <c r="M27"/>
  <c r="N27"/>
  <c r="K27"/>
  <c r="K19" i="24"/>
  <c r="C39" i="27"/>
  <c r="C42" s="1"/>
  <c r="P40"/>
  <c r="H40"/>
  <c r="R39"/>
  <c r="L39"/>
  <c r="E39"/>
  <c r="P38"/>
  <c r="H38"/>
  <c r="R37"/>
  <c r="L37"/>
  <c r="E37"/>
  <c r="P36"/>
  <c r="H36"/>
  <c r="I29" i="16"/>
  <c r="J29"/>
  <c r="H29"/>
  <c r="K29"/>
  <c r="K37"/>
  <c r="H37"/>
  <c r="I37"/>
  <c r="J37"/>
  <c r="L32"/>
  <c r="M32"/>
  <c r="O32"/>
  <c r="P32" s="1"/>
  <c r="Q32" s="1"/>
  <c r="R32" s="1"/>
  <c r="S32" s="1"/>
  <c r="N32"/>
  <c r="Q8" i="27"/>
  <c r="L9"/>
  <c r="J7"/>
  <c r="H9"/>
  <c r="E8"/>
  <c r="C7"/>
  <c r="G199" i="13"/>
  <c r="K199"/>
  <c r="J199"/>
  <c r="I196"/>
  <c r="F196"/>
  <c r="D10" i="27"/>
  <c r="F10"/>
  <c r="I10"/>
  <c r="M10"/>
  <c r="N10"/>
  <c r="K10"/>
  <c r="D6"/>
  <c r="F6"/>
  <c r="I6"/>
  <c r="M6"/>
  <c r="N6"/>
  <c r="K6"/>
  <c r="L196" i="13"/>
  <c r="H196"/>
  <c r="G196"/>
  <c r="F52" i="32"/>
  <c r="C6" i="9"/>
  <c r="D6"/>
  <c r="D16" i="3" s="1"/>
  <c r="H19" i="27"/>
  <c r="G197" i="13"/>
  <c r="E199"/>
  <c r="E196"/>
  <c r="F197"/>
  <c r="E35" i="1"/>
  <c r="F35" s="1"/>
  <c r="G35" s="1"/>
  <c r="R44" i="4" l="1"/>
  <c r="R24" i="3" s="1"/>
  <c r="P44" i="4"/>
  <c r="P24" i="3" s="1"/>
  <c r="P191" i="13"/>
  <c r="S197"/>
  <c r="R60" i="20"/>
  <c r="R61" s="1"/>
  <c r="H37" i="31" s="1"/>
  <c r="R111" i="13"/>
  <c r="R196" s="1"/>
  <c r="Q44" i="4"/>
  <c r="Q24" i="3" s="1"/>
  <c r="P197" i="13"/>
  <c r="P200" s="1"/>
  <c r="G36" i="31"/>
  <c r="Q199" i="13"/>
  <c r="P22" i="14" s="1"/>
  <c r="S118" i="13"/>
  <c r="P61" i="20"/>
  <c r="F37" i="31" s="1"/>
  <c r="S114" i="13"/>
  <c r="Q191"/>
  <c r="O42" i="27"/>
  <c r="H200" i="13"/>
  <c r="G24" i="17" s="1"/>
  <c r="G21" i="6" s="1"/>
  <c r="L200" i="13"/>
  <c r="K24" i="17" s="1"/>
  <c r="K21" i="6" s="1"/>
  <c r="J200" i="13"/>
  <c r="I24" i="17" s="1"/>
  <c r="I21" i="6" s="1"/>
  <c r="D200" i="13"/>
  <c r="C24" i="17" s="1"/>
  <c r="C21" i="6" s="1"/>
  <c r="E200" i="13"/>
  <c r="D24" i="17" s="1"/>
  <c r="D21" i="6" s="1"/>
  <c r="I200" i="13"/>
  <c r="H24" i="17" s="1"/>
  <c r="H21" i="6" s="1"/>
  <c r="F200" i="13"/>
  <c r="E24" i="17" s="1"/>
  <c r="E21" i="6" s="1"/>
  <c r="O200" i="13"/>
  <c r="N24" i="17" s="1"/>
  <c r="N21" i="6" s="1"/>
  <c r="K200" i="13"/>
  <c r="J24" i="17" s="1"/>
  <c r="J21" i="6" s="1"/>
  <c r="G200" i="13"/>
  <c r="F24" i="17" s="1"/>
  <c r="F21" i="6" s="1"/>
  <c r="N200" i="13"/>
  <c r="M24" i="17" s="1"/>
  <c r="M21" i="6" s="1"/>
  <c r="M200" i="13"/>
  <c r="L24" i="17" s="1"/>
  <c r="L21" i="6" s="1"/>
  <c r="K42" i="27"/>
  <c r="D14"/>
  <c r="C14"/>
  <c r="C6" i="28" s="1"/>
  <c r="C7" s="1"/>
  <c r="C8" s="1"/>
  <c r="E42" i="27"/>
  <c r="L42"/>
  <c r="R42"/>
  <c r="M14"/>
  <c r="E14"/>
  <c r="Q14"/>
  <c r="G34"/>
  <c r="F42"/>
  <c r="C5" i="5"/>
  <c r="L5"/>
  <c r="N5"/>
  <c r="L7"/>
  <c r="C7"/>
  <c r="C22" i="14"/>
  <c r="K5" i="5"/>
  <c r="C21" i="14"/>
  <c r="M7" i="5"/>
  <c r="N42" i="27"/>
  <c r="N14"/>
  <c r="L14"/>
  <c r="I42"/>
  <c r="H42"/>
  <c r="H14"/>
  <c r="J14"/>
  <c r="J34"/>
  <c r="C21" i="28"/>
  <c r="C22" s="1"/>
  <c r="C7" i="9"/>
  <c r="C16" i="3"/>
  <c r="K14" i="27"/>
  <c r="F14"/>
  <c r="L30" i="16"/>
  <c r="O30"/>
  <c r="P30" s="1"/>
  <c r="Q30" s="1"/>
  <c r="R30" s="1"/>
  <c r="S30" s="1"/>
  <c r="N30"/>
  <c r="M30"/>
  <c r="R34" i="27"/>
  <c r="Q34"/>
  <c r="E7" i="16"/>
  <c r="E11"/>
  <c r="F7" i="13"/>
  <c r="E8" i="16"/>
  <c r="E12"/>
  <c r="D13" i="17"/>
  <c r="D10" i="6" s="1"/>
  <c r="D15" i="17"/>
  <c r="D12" i="6" s="1"/>
  <c r="D17" i="17"/>
  <c r="D14" i="6" s="1"/>
  <c r="D19" i="17"/>
  <c r="D16" i="6" s="1"/>
  <c r="D21" i="17"/>
  <c r="D18" i="6" s="1"/>
  <c r="D23" i="17"/>
  <c r="D20" i="6" s="1"/>
  <c r="E9" i="16"/>
  <c r="E10"/>
  <c r="D12" i="17"/>
  <c r="D9" i="6" s="1"/>
  <c r="D14" i="17"/>
  <c r="D11" i="6" s="1"/>
  <c r="D16" i="17"/>
  <c r="D13" i="6" s="1"/>
  <c r="D18" i="17"/>
  <c r="D15" i="6" s="1"/>
  <c r="D20" i="17"/>
  <c r="D17" i="6" s="1"/>
  <c r="D22" i="17"/>
  <c r="D19" i="6" s="1"/>
  <c r="E5" i="15"/>
  <c r="H7" i="6"/>
  <c r="K34" i="27"/>
  <c r="F34"/>
  <c r="C14" i="28"/>
  <c r="D11" s="1"/>
  <c r="D12" s="1"/>
  <c r="O44" i="4"/>
  <c r="O6" i="9"/>
  <c r="O16" i="3" s="1"/>
  <c r="G52" i="32"/>
  <c r="F21" i="14"/>
  <c r="F7" i="5"/>
  <c r="F5"/>
  <c r="F22" i="14"/>
  <c r="E7" i="5"/>
  <c r="E22" i="14"/>
  <c r="E21"/>
  <c r="E5" i="5"/>
  <c r="I21" i="14"/>
  <c r="I7" i="5"/>
  <c r="I22" i="14"/>
  <c r="I5" i="5"/>
  <c r="M5"/>
  <c r="C8" i="36"/>
  <c r="C9" i="1" s="1"/>
  <c r="C10" i="30"/>
  <c r="L37" i="16"/>
  <c r="M37"/>
  <c r="N37"/>
  <c r="O37"/>
  <c r="P37" s="1"/>
  <c r="Q37" s="1"/>
  <c r="R37" s="1"/>
  <c r="S37" s="1"/>
  <c r="O35"/>
  <c r="P35" s="1"/>
  <c r="Q35" s="1"/>
  <c r="R35" s="1"/>
  <c r="S35" s="1"/>
  <c r="N35"/>
  <c r="L35"/>
  <c r="M35"/>
  <c r="P34" i="27"/>
  <c r="G48" i="32"/>
  <c r="N7" i="5"/>
  <c r="N22" i="14"/>
  <c r="N21"/>
  <c r="N33" i="16"/>
  <c r="L33"/>
  <c r="M33"/>
  <c r="O33"/>
  <c r="P33" s="1"/>
  <c r="Q33" s="1"/>
  <c r="R33" s="1"/>
  <c r="S33" s="1"/>
  <c r="L31"/>
  <c r="M31"/>
  <c r="O31"/>
  <c r="P31" s="1"/>
  <c r="Q31" s="1"/>
  <c r="R31" s="1"/>
  <c r="S31" s="1"/>
  <c r="N31"/>
  <c r="C34" i="27"/>
  <c r="C16" i="28" s="1"/>
  <c r="C17" s="1"/>
  <c r="L28" i="16"/>
  <c r="M28"/>
  <c r="O28"/>
  <c r="P28" s="1"/>
  <c r="Q28" s="1"/>
  <c r="R28" s="1"/>
  <c r="S28" s="1"/>
  <c r="N28"/>
  <c r="J7" i="6"/>
  <c r="L27" i="16"/>
  <c r="M27"/>
  <c r="O27"/>
  <c r="N27"/>
  <c r="I34" i="27"/>
  <c r="C23" i="3"/>
  <c r="C26" s="1"/>
  <c r="C16" i="2"/>
  <c r="C9" i="3" s="1"/>
  <c r="L22" i="14"/>
  <c r="L21"/>
  <c r="N29" i="16"/>
  <c r="M29"/>
  <c r="L29"/>
  <c r="O29"/>
  <c r="P29" s="1"/>
  <c r="Q29" s="1"/>
  <c r="R29" s="1"/>
  <c r="S29" s="1"/>
  <c r="D42" i="27"/>
  <c r="O14"/>
  <c r="D11" i="17"/>
  <c r="D8" i="6" s="1"/>
  <c r="L34" i="27"/>
  <c r="L36" i="16"/>
  <c r="M36"/>
  <c r="O36"/>
  <c r="P36" s="1"/>
  <c r="Q36" s="1"/>
  <c r="R36" s="1"/>
  <c r="S36" s="1"/>
  <c r="N36"/>
  <c r="G7" i="6"/>
  <c r="N34" i="27"/>
  <c r="C42" i="4"/>
  <c r="C31" i="1" s="1"/>
  <c r="D11" i="4"/>
  <c r="D7" i="5"/>
  <c r="D22" i="14"/>
  <c r="D21"/>
  <c r="D5" i="5"/>
  <c r="G21" i="14"/>
  <c r="G7" i="5"/>
  <c r="G22" i="14"/>
  <c r="G5" i="5"/>
  <c r="K22" i="14"/>
  <c r="K21"/>
  <c r="K7" i="5"/>
  <c r="I14" i="27"/>
  <c r="H21" i="14"/>
  <c r="H7" i="5"/>
  <c r="H22" i="14"/>
  <c r="H5" i="5"/>
  <c r="J22" i="14"/>
  <c r="J21"/>
  <c r="J7" i="5"/>
  <c r="J5"/>
  <c r="P42" i="27"/>
  <c r="E34"/>
  <c r="M22" i="14"/>
  <c r="M21"/>
  <c r="M42" i="27"/>
  <c r="O34"/>
  <c r="C6" i="6"/>
  <c r="G14" i="27"/>
  <c r="I7" i="6"/>
  <c r="M34" i="27"/>
  <c r="D34"/>
  <c r="H35" i="1"/>
  <c r="G20" i="31" l="1"/>
  <c r="I20"/>
  <c r="H20"/>
  <c r="H36"/>
  <c r="S60" i="20"/>
  <c r="S111" i="13"/>
  <c r="S196" s="1"/>
  <c r="L12" i="5"/>
  <c r="L5" i="2" s="1"/>
  <c r="L7" i="36" s="1"/>
  <c r="L8" i="1" s="1"/>
  <c r="O22" i="14"/>
  <c r="O5" i="5"/>
  <c r="O7"/>
  <c r="O21" i="14"/>
  <c r="P5" i="5"/>
  <c r="P7"/>
  <c r="Q200" i="13"/>
  <c r="S199"/>
  <c r="R191"/>
  <c r="R199"/>
  <c r="M12" i="5"/>
  <c r="M5" i="2" s="1"/>
  <c r="M7" i="36" s="1"/>
  <c r="C12" i="5"/>
  <c r="C5" i="2" s="1"/>
  <c r="C7" i="36" s="1"/>
  <c r="C10" s="1"/>
  <c r="N12" i="5"/>
  <c r="N5" i="2" s="1"/>
  <c r="N7" i="36" s="1"/>
  <c r="J43" i="27"/>
  <c r="J15" i="3" s="1"/>
  <c r="J18" s="1"/>
  <c r="J8" i="33" s="1"/>
  <c r="K10" i="15" s="1"/>
  <c r="G43" i="27"/>
  <c r="G15" i="3" s="1"/>
  <c r="I43" i="27"/>
  <c r="I15" i="3" s="1"/>
  <c r="I18" s="1"/>
  <c r="I8" i="33" s="1"/>
  <c r="J10" i="15" s="1"/>
  <c r="R43" i="27"/>
  <c r="R15" i="3" s="1"/>
  <c r="I10" i="31" s="1"/>
  <c r="F43" i="27"/>
  <c r="F15" i="3" s="1"/>
  <c r="F18" s="1"/>
  <c r="F8" i="33" s="1"/>
  <c r="G10" i="15" s="1"/>
  <c r="L43" i="27"/>
  <c r="L15" i="3" s="1"/>
  <c r="L18" s="1"/>
  <c r="L8" i="33" s="1"/>
  <c r="Q43" i="27"/>
  <c r="Q15" i="3" s="1"/>
  <c r="H10" i="31" s="1"/>
  <c r="K43" i="27"/>
  <c r="K15" i="3" s="1"/>
  <c r="N43" i="27"/>
  <c r="N15" i="3" s="1"/>
  <c r="N18" s="1"/>
  <c r="N8" i="33" s="1"/>
  <c r="O43" i="27"/>
  <c r="O15" i="3" s="1"/>
  <c r="F10" i="31" s="1"/>
  <c r="E43" i="27"/>
  <c r="E15" i="3" s="1"/>
  <c r="E18" s="1"/>
  <c r="E8" i="33" s="1"/>
  <c r="F10" i="15" s="1"/>
  <c r="H43" i="27"/>
  <c r="H15" i="3" s="1"/>
  <c r="H18" s="1"/>
  <c r="H8" i="33" s="1"/>
  <c r="I10" i="15" s="1"/>
  <c r="P43" i="27"/>
  <c r="P15" i="3" s="1"/>
  <c r="G10" i="31" s="1"/>
  <c r="C24" i="6"/>
  <c r="C7" i="2" s="1"/>
  <c r="C16" i="36" s="1"/>
  <c r="J12" i="5"/>
  <c r="J5" i="2" s="1"/>
  <c r="J7" i="36" s="1"/>
  <c r="H12" i="5"/>
  <c r="H5" i="2" s="1"/>
  <c r="H29" i="31" s="1"/>
  <c r="D12" i="5"/>
  <c r="D5" i="2" s="1"/>
  <c r="D29" i="31" s="1"/>
  <c r="I12" i="5"/>
  <c r="I5" i="2" s="1"/>
  <c r="I7" i="36" s="1"/>
  <c r="E12" i="5"/>
  <c r="E5" i="2" s="1"/>
  <c r="E29" i="31" s="1"/>
  <c r="K12" i="5"/>
  <c r="K5" i="2" s="1"/>
  <c r="K7" i="36" s="1"/>
  <c r="D201" i="13"/>
  <c r="D6" i="15" s="1"/>
  <c r="O24" i="17"/>
  <c r="O21" i="6" s="1"/>
  <c r="M43" i="27"/>
  <c r="G12" i="5"/>
  <c r="G5" i="2" s="1"/>
  <c r="N7" i="6"/>
  <c r="P27" i="16"/>
  <c r="C18" i="28"/>
  <c r="P21" i="14"/>
  <c r="H48" i="32"/>
  <c r="F12" i="5"/>
  <c r="F5" i="2" s="1"/>
  <c r="P6" i="9"/>
  <c r="P16" i="3" s="1"/>
  <c r="H52" i="32"/>
  <c r="F20" i="31"/>
  <c r="O24" i="3"/>
  <c r="D6" i="6"/>
  <c r="D24" s="1"/>
  <c r="D7" i="2" s="1"/>
  <c r="C8" i="9"/>
  <c r="C18" i="1"/>
  <c r="C43" i="27"/>
  <c r="L7" i="6"/>
  <c r="D13" i="28"/>
  <c r="K7" i="6"/>
  <c r="F10" i="16"/>
  <c r="E13" i="17"/>
  <c r="E10" i="6" s="1"/>
  <c r="E15" i="17"/>
  <c r="E12" i="6" s="1"/>
  <c r="E17" i="17"/>
  <c r="E14" i="6" s="1"/>
  <c r="E19" i="17"/>
  <c r="E16" i="6" s="1"/>
  <c r="E21" i="17"/>
  <c r="E18" i="6" s="1"/>
  <c r="E23" i="17"/>
  <c r="E20" i="6" s="1"/>
  <c r="G7" i="13"/>
  <c r="F7" i="16"/>
  <c r="F11"/>
  <c r="F9"/>
  <c r="F12"/>
  <c r="E18" i="17"/>
  <c r="E15" i="6" s="1"/>
  <c r="E12" i="17"/>
  <c r="E9" i="6" s="1"/>
  <c r="E20" i="17"/>
  <c r="E17" i="6" s="1"/>
  <c r="E14" i="17"/>
  <c r="E11" i="6" s="1"/>
  <c r="E22" i="17"/>
  <c r="E19" i="6" s="1"/>
  <c r="F8" i="16"/>
  <c r="E16" i="17"/>
  <c r="E13" i="6" s="1"/>
  <c r="F5" i="15"/>
  <c r="E11" i="17"/>
  <c r="E8" i="6" s="1"/>
  <c r="C9" i="28"/>
  <c r="D6" s="1"/>
  <c r="F11" i="4"/>
  <c r="I11" s="1"/>
  <c r="J11" s="1"/>
  <c r="H11"/>
  <c r="D43" i="27"/>
  <c r="M7" i="6"/>
  <c r="D10" i="30"/>
  <c r="D8" i="36"/>
  <c r="D9" i="1" s="1"/>
  <c r="C24" i="28"/>
  <c r="D21" s="1"/>
  <c r="D22" s="1"/>
  <c r="I35" i="1"/>
  <c r="S61" i="20" l="1"/>
  <c r="I37" i="31" s="1"/>
  <c r="I36"/>
  <c r="S191" i="13"/>
  <c r="P12" i="5"/>
  <c r="P5" i="2" s="1"/>
  <c r="J29" i="31" s="1"/>
  <c r="O12" i="5"/>
  <c r="O5" i="2" s="1"/>
  <c r="O7" i="36" s="1"/>
  <c r="O8" i="1" s="1"/>
  <c r="P24" i="17"/>
  <c r="P21" i="6" s="1"/>
  <c r="S200" i="13"/>
  <c r="R7" i="5"/>
  <c r="R22" i="14"/>
  <c r="Q7" i="5"/>
  <c r="R200" i="13"/>
  <c r="Q22" i="14"/>
  <c r="C29" i="31"/>
  <c r="C8" i="1"/>
  <c r="D17" i="15"/>
  <c r="D7" i="36"/>
  <c r="D10" s="1"/>
  <c r="E7"/>
  <c r="E8" i="1" s="1"/>
  <c r="I29" i="31"/>
  <c r="H7" i="36"/>
  <c r="H8" i="1" s="1"/>
  <c r="C30" i="31"/>
  <c r="D9" i="2"/>
  <c r="E19" i="15" s="1"/>
  <c r="C9" i="2"/>
  <c r="D19" i="15" s="1"/>
  <c r="E201" i="13"/>
  <c r="E6" i="15" s="1"/>
  <c r="P18" i="3"/>
  <c r="O18"/>
  <c r="D24" i="28"/>
  <c r="E21" s="1"/>
  <c r="E22" s="1"/>
  <c r="K18" i="3"/>
  <c r="K8" i="33" s="1"/>
  <c r="L10" i="15" s="1"/>
  <c r="N8" i="1"/>
  <c r="I8"/>
  <c r="Q17" i="36"/>
  <c r="Q27" i="1" s="1"/>
  <c r="Q19" i="30"/>
  <c r="H19"/>
  <c r="H17" i="36"/>
  <c r="H27" i="1" s="1"/>
  <c r="C19"/>
  <c r="C20" s="1"/>
  <c r="C12" i="2"/>
  <c r="C8" i="3" s="1"/>
  <c r="Q6" i="9"/>
  <c r="Q16" i="3" s="1"/>
  <c r="Q18" s="1"/>
  <c r="I52" i="32"/>
  <c r="R6" i="9" s="1"/>
  <c r="R16" i="3" s="1"/>
  <c r="R18" s="1"/>
  <c r="O7" i="6"/>
  <c r="Q27" i="16"/>
  <c r="M15" i="3"/>
  <c r="M18" s="1"/>
  <c r="M8" i="33" s="1"/>
  <c r="I19" i="30"/>
  <c r="I17" i="36"/>
  <c r="I27" i="1" s="1"/>
  <c r="D10" i="31"/>
  <c r="G18" i="3"/>
  <c r="G8" i="33" s="1"/>
  <c r="H10" i="15" s="1"/>
  <c r="L19" i="30"/>
  <c r="L17" i="36"/>
  <c r="L27" i="1" s="1"/>
  <c r="D15" i="3"/>
  <c r="D18" s="1"/>
  <c r="D8" i="33" s="1"/>
  <c r="D7" i="28"/>
  <c r="D8" s="1"/>
  <c r="F17" i="36"/>
  <c r="F27" i="1" s="1"/>
  <c r="F19" i="30"/>
  <c r="C13" i="1"/>
  <c r="C15" i="3"/>
  <c r="D16" i="36"/>
  <c r="D30" i="31"/>
  <c r="D31" s="1"/>
  <c r="E17" i="15"/>
  <c r="G7" i="36"/>
  <c r="G29" i="31"/>
  <c r="C26" i="1"/>
  <c r="G17" i="36"/>
  <c r="G27" i="1" s="1"/>
  <c r="G19" i="30"/>
  <c r="K8" i="1"/>
  <c r="M10" i="15"/>
  <c r="C25" i="28"/>
  <c r="C23"/>
  <c r="D23" s="1"/>
  <c r="K17" i="36"/>
  <c r="K27" i="1" s="1"/>
  <c r="K19" i="30"/>
  <c r="D12" i="4"/>
  <c r="D42"/>
  <c r="D31" i="1" s="1"/>
  <c r="J19" i="30"/>
  <c r="J17" i="36"/>
  <c r="J27" i="1" s="1"/>
  <c r="E6" i="6"/>
  <c r="E24" s="1"/>
  <c r="E7" i="2" s="1"/>
  <c r="J8" i="1"/>
  <c r="D14" i="28"/>
  <c r="E11" s="1"/>
  <c r="E12" s="1"/>
  <c r="M8" i="1"/>
  <c r="F7" i="36"/>
  <c r="F29" i="31"/>
  <c r="C19" i="28"/>
  <c r="D16" s="1"/>
  <c r="D17" s="1"/>
  <c r="R19" i="30"/>
  <c r="R17" i="36"/>
  <c r="R27" i="1" s="1"/>
  <c r="N17" i="36"/>
  <c r="N27" i="1" s="1"/>
  <c r="N19" i="30"/>
  <c r="E19"/>
  <c r="E17" i="36"/>
  <c r="E27" i="1" s="1"/>
  <c r="E8" i="36"/>
  <c r="E9" i="1" s="1"/>
  <c r="E10" i="30"/>
  <c r="D43" i="4"/>
  <c r="K11"/>
  <c r="G10" i="16"/>
  <c r="F13" i="17"/>
  <c r="F10" i="6" s="1"/>
  <c r="F15" i="17"/>
  <c r="F12" i="6" s="1"/>
  <c r="F17" i="17"/>
  <c r="F14" i="6" s="1"/>
  <c r="F19" i="17"/>
  <c r="F16" i="6" s="1"/>
  <c r="F21" i="17"/>
  <c r="F18" i="6" s="1"/>
  <c r="F23" i="17"/>
  <c r="F20" i="6" s="1"/>
  <c r="G7" i="16"/>
  <c r="G11"/>
  <c r="G8"/>
  <c r="F12" i="17"/>
  <c r="F9" i="6" s="1"/>
  <c r="F16" i="17"/>
  <c r="F13" i="6" s="1"/>
  <c r="F20" i="17"/>
  <c r="F17" i="6" s="1"/>
  <c r="H7" i="13"/>
  <c r="G9" i="16"/>
  <c r="F22" i="17"/>
  <c r="F19" i="6" s="1"/>
  <c r="G12" i="16"/>
  <c r="F14" i="17"/>
  <c r="F11" i="6" s="1"/>
  <c r="F18" i="17"/>
  <c r="F15" i="6" s="1"/>
  <c r="G5" i="15"/>
  <c r="F11" i="17"/>
  <c r="F8" i="6" s="1"/>
  <c r="C9" i="9"/>
  <c r="D5" s="1"/>
  <c r="D7" s="1"/>
  <c r="I48" i="32"/>
  <c r="Q21" i="14"/>
  <c r="Q5" i="5"/>
  <c r="P19" i="30"/>
  <c r="P17" i="36"/>
  <c r="P27" i="1" s="1"/>
  <c r="O10" i="15"/>
  <c r="O19" i="30"/>
  <c r="O17" i="36"/>
  <c r="O27" i="1" s="1"/>
  <c r="J35"/>
  <c r="P7" i="36" l="1"/>
  <c r="P8" i="1" s="1"/>
  <c r="Q12" i="5"/>
  <c r="Q5" i="2" s="1"/>
  <c r="Q7" i="36" s="1"/>
  <c r="R24" i="17"/>
  <c r="R21" i="6" s="1"/>
  <c r="Q24" i="17"/>
  <c r="Q21" i="6" s="1"/>
  <c r="C31" i="31"/>
  <c r="F201" i="13"/>
  <c r="G201" s="1"/>
  <c r="D8" i="1"/>
  <c r="E24" i="28"/>
  <c r="F21" s="1"/>
  <c r="F22" s="1"/>
  <c r="D8" i="9"/>
  <c r="D9" s="1"/>
  <c r="E5" s="1"/>
  <c r="E7" s="1"/>
  <c r="D18" i="1"/>
  <c r="D16" i="2"/>
  <c r="D9" i="3" s="1"/>
  <c r="D23"/>
  <c r="D26" s="1"/>
  <c r="E13" i="28"/>
  <c r="E30" i="31"/>
  <c r="E31" s="1"/>
  <c r="F17" i="15"/>
  <c r="E16" i="36"/>
  <c r="E9" i="2"/>
  <c r="F12" i="4"/>
  <c r="I12" s="1"/>
  <c r="J12" s="1"/>
  <c r="H12"/>
  <c r="C14" i="1"/>
  <c r="C15" s="1"/>
  <c r="D13" s="1"/>
  <c r="C11" i="2"/>
  <c r="D26" i="1"/>
  <c r="E10" i="15"/>
  <c r="M17" i="36"/>
  <c r="M27" i="1" s="1"/>
  <c r="M19" i="30"/>
  <c r="E10" i="36"/>
  <c r="H8" i="16"/>
  <c r="H12"/>
  <c r="G13" i="17"/>
  <c r="G10" i="6" s="1"/>
  <c r="G15" i="17"/>
  <c r="G12" i="6" s="1"/>
  <c r="G17" i="17"/>
  <c r="G14" i="6" s="1"/>
  <c r="G19" i="17"/>
  <c r="G16" i="6" s="1"/>
  <c r="G21" i="17"/>
  <c r="G18" i="6" s="1"/>
  <c r="G23" i="17"/>
  <c r="G20" i="6" s="1"/>
  <c r="H9" i="16"/>
  <c r="H10"/>
  <c r="G12" i="17"/>
  <c r="G9" i="6" s="1"/>
  <c r="G14" i="17"/>
  <c r="G11" i="6" s="1"/>
  <c r="G16" i="17"/>
  <c r="G13" i="6" s="1"/>
  <c r="G18" i="17"/>
  <c r="G15" i="6" s="1"/>
  <c r="G20" i="17"/>
  <c r="G17" i="6" s="1"/>
  <c r="G22" i="17"/>
  <c r="G19" i="6" s="1"/>
  <c r="I7" i="13"/>
  <c r="H7" i="16"/>
  <c r="H11"/>
  <c r="H5" i="15"/>
  <c r="G11" i="17"/>
  <c r="G8" i="6" s="1"/>
  <c r="C10" i="31"/>
  <c r="C18" i="3"/>
  <c r="D19" i="30"/>
  <c r="D17" i="36"/>
  <c r="D27" i="1" s="1"/>
  <c r="N10" i="15"/>
  <c r="R21" i="14"/>
  <c r="R5" i="5"/>
  <c r="R12" s="1"/>
  <c r="R5" i="2" s="1"/>
  <c r="F8" i="1"/>
  <c r="C17" i="36"/>
  <c r="C19" i="30"/>
  <c r="R27" i="16"/>
  <c r="P7" i="6"/>
  <c r="E10" i="31"/>
  <c r="F6" i="6"/>
  <c r="F24" s="1"/>
  <c r="F7" i="2" s="1"/>
  <c r="F8" i="36"/>
  <c r="F9" i="1" s="1"/>
  <c r="F10" i="30"/>
  <c r="D18" i="28"/>
  <c r="E23"/>
  <c r="G8" i="1"/>
  <c r="D9" i="28"/>
  <c r="E6" s="1"/>
  <c r="K35" i="1"/>
  <c r="K29" i="31" l="1"/>
  <c r="G6" i="6"/>
  <c r="G24" s="1"/>
  <c r="G7" i="2" s="1"/>
  <c r="G9" s="1"/>
  <c r="F6" i="15"/>
  <c r="D28" i="1"/>
  <c r="D33" s="1"/>
  <c r="F23" i="28"/>
  <c r="C27" i="1"/>
  <c r="C19" i="36"/>
  <c r="C8" i="33"/>
  <c r="E26" i="1"/>
  <c r="E19" i="36"/>
  <c r="E8" i="9"/>
  <c r="E9" s="1"/>
  <c r="F5" s="1"/>
  <c r="F7" s="1"/>
  <c r="E18" i="1"/>
  <c r="Q8"/>
  <c r="E7" i="28"/>
  <c r="E8" s="1"/>
  <c r="D19"/>
  <c r="E16" s="1"/>
  <c r="E17" s="1"/>
  <c r="L29" i="31"/>
  <c r="R7" i="36"/>
  <c r="D25" i="28"/>
  <c r="I8" i="16"/>
  <c r="I12"/>
  <c r="H12" i="17"/>
  <c r="H9" i="6" s="1"/>
  <c r="H14" i="17"/>
  <c r="H11" i="6" s="1"/>
  <c r="H16" i="17"/>
  <c r="H13" i="6" s="1"/>
  <c r="H18" i="17"/>
  <c r="H15" i="6" s="1"/>
  <c r="H20" i="17"/>
  <c r="H17" i="6" s="1"/>
  <c r="H22" i="17"/>
  <c r="H19" i="6" s="1"/>
  <c r="I9" i="16"/>
  <c r="I10"/>
  <c r="H13" i="17"/>
  <c r="H10" i="6" s="1"/>
  <c r="H15" i="17"/>
  <c r="H12" i="6" s="1"/>
  <c r="H17" i="17"/>
  <c r="H14" i="6" s="1"/>
  <c r="H19" i="17"/>
  <c r="H16" i="6" s="1"/>
  <c r="H21" i="17"/>
  <c r="H18" i="6" s="1"/>
  <c r="H23" i="17"/>
  <c r="H20" i="6" s="1"/>
  <c r="J7" i="13"/>
  <c r="I7" i="16"/>
  <c r="I11"/>
  <c r="I5" i="15"/>
  <c r="H11" i="17"/>
  <c r="H8" i="6" s="1"/>
  <c r="D13" i="4"/>
  <c r="E42"/>
  <c r="E31" i="1" s="1"/>
  <c r="D12" i="2"/>
  <c r="D8" i="3" s="1"/>
  <c r="D19" i="1"/>
  <c r="D20" s="1"/>
  <c r="D19" i="36"/>
  <c r="K12" i="4"/>
  <c r="E43"/>
  <c r="H201" i="13"/>
  <c r="G6" i="15"/>
  <c r="G8" i="36"/>
  <c r="G10" i="30"/>
  <c r="F30" i="31"/>
  <c r="F31" s="1"/>
  <c r="F16" i="36"/>
  <c r="G17" i="15"/>
  <c r="F9" i="2"/>
  <c r="Q7" i="6"/>
  <c r="S27" i="16"/>
  <c r="R7" i="6" s="1"/>
  <c r="F10" i="36"/>
  <c r="C7" i="3"/>
  <c r="C14" i="2"/>
  <c r="F19" i="15"/>
  <c r="E14" i="28"/>
  <c r="F11" s="1"/>
  <c r="F12" s="1"/>
  <c r="L35" i="1"/>
  <c r="E9" i="28" l="1"/>
  <c r="F6" s="1"/>
  <c r="F7" s="1"/>
  <c r="F9" s="1"/>
  <c r="G6" s="1"/>
  <c r="H17" i="15"/>
  <c r="G16" i="36"/>
  <c r="G26" i="1" s="1"/>
  <c r="G28" s="1"/>
  <c r="G30" i="31"/>
  <c r="G31" s="1"/>
  <c r="F8" i="9"/>
  <c r="F9" s="1"/>
  <c r="G5" s="1"/>
  <c r="G7" s="1"/>
  <c r="F18" i="1"/>
  <c r="G9"/>
  <c r="G10" i="36"/>
  <c r="I201" i="13"/>
  <c r="H6" i="15"/>
  <c r="J8" i="16"/>
  <c r="J12"/>
  <c r="I12" i="17"/>
  <c r="I9" i="6" s="1"/>
  <c r="I14" i="17"/>
  <c r="I11" i="6" s="1"/>
  <c r="I16" i="17"/>
  <c r="I13" i="6" s="1"/>
  <c r="I18" i="17"/>
  <c r="I15" i="6" s="1"/>
  <c r="I20" i="17"/>
  <c r="I17" i="6" s="1"/>
  <c r="I22" i="17"/>
  <c r="I19" i="6" s="1"/>
  <c r="J9" i="16"/>
  <c r="K7" i="13"/>
  <c r="J10" i="16"/>
  <c r="I13" i="17"/>
  <c r="I10" i="6" s="1"/>
  <c r="I15" i="17"/>
  <c r="I12" i="6" s="1"/>
  <c r="I17" i="17"/>
  <c r="I14" i="6" s="1"/>
  <c r="I19" i="17"/>
  <c r="I16" i="6" s="1"/>
  <c r="I21" i="17"/>
  <c r="I18" i="6" s="1"/>
  <c r="I23" i="17"/>
  <c r="I20" i="6" s="1"/>
  <c r="J7" i="16"/>
  <c r="J11"/>
  <c r="J5" i="15"/>
  <c r="I11" i="17"/>
  <c r="I8" i="6" s="1"/>
  <c r="D20" i="15"/>
  <c r="C18" i="2"/>
  <c r="F19" i="36"/>
  <c r="F26" i="1"/>
  <c r="H10" i="30"/>
  <c r="H8" i="36"/>
  <c r="E16" i="2"/>
  <c r="E9" i="3" s="1"/>
  <c r="E23"/>
  <c r="E26" s="1"/>
  <c r="D11" i="2"/>
  <c r="D14" i="1"/>
  <c r="D15" s="1"/>
  <c r="E13" s="1"/>
  <c r="E19" i="28"/>
  <c r="F16" s="1"/>
  <c r="F17" s="1"/>
  <c r="H19" i="15"/>
  <c r="C28" i="1"/>
  <c r="C33" s="1"/>
  <c r="C10" i="3"/>
  <c r="D10"/>
  <c r="F13" i="28"/>
  <c r="D10" i="15"/>
  <c r="G19"/>
  <c r="H13" i="4"/>
  <c r="F13"/>
  <c r="I13" s="1"/>
  <c r="J13" s="1"/>
  <c r="H6" i="6"/>
  <c r="H24" s="1"/>
  <c r="H7" i="2" s="1"/>
  <c r="R8" i="1"/>
  <c r="E19"/>
  <c r="E20" s="1"/>
  <c r="E12" i="2"/>
  <c r="E8" i="3" s="1"/>
  <c r="E28" i="1"/>
  <c r="E33" s="1"/>
  <c r="E10" i="3"/>
  <c r="F24" i="28"/>
  <c r="G21" s="1"/>
  <c r="G22" s="1"/>
  <c r="M35" i="1"/>
  <c r="I6" i="6" l="1"/>
  <c r="I24" s="1"/>
  <c r="I7" i="2" s="1"/>
  <c r="F8" i="28"/>
  <c r="G19" i="36"/>
  <c r="G7" i="28"/>
  <c r="G9" s="1"/>
  <c r="H6" s="1"/>
  <c r="G8" i="9"/>
  <c r="G9" s="1"/>
  <c r="H5" s="1"/>
  <c r="H7" s="1"/>
  <c r="G18" i="1"/>
  <c r="H16" i="36"/>
  <c r="H30" i="31"/>
  <c r="H31" s="1"/>
  <c r="I17" i="15"/>
  <c r="H9" i="2"/>
  <c r="G24" i="28"/>
  <c r="H21" s="1"/>
  <c r="H22" s="1"/>
  <c r="D14" i="4"/>
  <c r="F42"/>
  <c r="F31" i="1" s="1"/>
  <c r="C6" i="23"/>
  <c r="G10" i="3"/>
  <c r="D7"/>
  <c r="D14" i="2"/>
  <c r="F28" i="1"/>
  <c r="F10" i="3"/>
  <c r="C9" i="31" s="1"/>
  <c r="E25" i="28"/>
  <c r="E18"/>
  <c r="H9" i="1"/>
  <c r="H10" i="36"/>
  <c r="J201" i="13"/>
  <c r="I6" i="15"/>
  <c r="K13" i="4"/>
  <c r="L10" s="1"/>
  <c r="F43"/>
  <c r="F14" i="28"/>
  <c r="G11" s="1"/>
  <c r="G12" s="1"/>
  <c r="F25"/>
  <c r="I8" i="36"/>
  <c r="I10" i="30"/>
  <c r="K9" i="16"/>
  <c r="K10"/>
  <c r="J13" i="17"/>
  <c r="J10" i="6" s="1"/>
  <c r="J15" i="17"/>
  <c r="J12" i="6" s="1"/>
  <c r="J17" i="17"/>
  <c r="J14" i="6" s="1"/>
  <c r="J19" i="17"/>
  <c r="J16" i="6" s="1"/>
  <c r="J21" i="17"/>
  <c r="J18" i="6" s="1"/>
  <c r="J23" i="17"/>
  <c r="J20" i="6" s="1"/>
  <c r="K7" i="16"/>
  <c r="K11"/>
  <c r="J14" i="17"/>
  <c r="J11" i="6" s="1"/>
  <c r="J22" i="17"/>
  <c r="J19" i="6" s="1"/>
  <c r="K8" i="16"/>
  <c r="J16" i="17"/>
  <c r="J13" i="6" s="1"/>
  <c r="K12" i="16"/>
  <c r="J18" i="17"/>
  <c r="J15" i="6" s="1"/>
  <c r="J12" i="17"/>
  <c r="J9" i="6" s="1"/>
  <c r="J20" i="17"/>
  <c r="J17" i="6" s="1"/>
  <c r="L7" i="13"/>
  <c r="K5" i="15"/>
  <c r="J11" i="17"/>
  <c r="J8" i="6" s="1"/>
  <c r="F19" i="1"/>
  <c r="F20" s="1"/>
  <c r="F12" i="2"/>
  <c r="F8" i="3" s="1"/>
  <c r="N35" i="1"/>
  <c r="F33" l="1"/>
  <c r="G8" i="28"/>
  <c r="H24"/>
  <c r="I21" s="1"/>
  <c r="I22" s="1"/>
  <c r="I30" i="31"/>
  <c r="I31" s="1"/>
  <c r="I16" i="36"/>
  <c r="J17" i="15"/>
  <c r="I9" i="2"/>
  <c r="F16"/>
  <c r="F9" i="3" s="1"/>
  <c r="F23"/>
  <c r="F26" s="1"/>
  <c r="C21" i="31"/>
  <c r="C22" s="1"/>
  <c r="K201" i="13"/>
  <c r="J6" i="15"/>
  <c r="E11" i="2"/>
  <c r="E14" i="1"/>
  <c r="E15" s="1"/>
  <c r="F13" s="1"/>
  <c r="C7" i="23"/>
  <c r="C9" s="1"/>
  <c r="C20" i="2" s="1"/>
  <c r="C8" i="23"/>
  <c r="D5" s="1"/>
  <c r="F14" i="4"/>
  <c r="I14" s="1"/>
  <c r="J14" s="1"/>
  <c r="H14"/>
  <c r="G12" i="2"/>
  <c r="G8" i="3" s="1"/>
  <c r="G19" i="1"/>
  <c r="G20" s="1"/>
  <c r="L10" i="16"/>
  <c r="L7"/>
  <c r="L11"/>
  <c r="L8"/>
  <c r="L12"/>
  <c r="K14" i="17"/>
  <c r="K11" i="6" s="1"/>
  <c r="K17" i="17"/>
  <c r="K14" i="6" s="1"/>
  <c r="K22" i="17"/>
  <c r="K19" i="6" s="1"/>
  <c r="L9" i="16"/>
  <c r="K12" i="17"/>
  <c r="K9" i="6" s="1"/>
  <c r="K15" i="17"/>
  <c r="K12" i="6" s="1"/>
  <c r="K20" i="17"/>
  <c r="K17" i="6" s="1"/>
  <c r="K23" i="17"/>
  <c r="K20" i="6" s="1"/>
  <c r="K13" i="17"/>
  <c r="K10" i="6" s="1"/>
  <c r="K18" i="17"/>
  <c r="K15" i="6" s="1"/>
  <c r="K21" i="17"/>
  <c r="K18" i="6" s="1"/>
  <c r="K16" i="17"/>
  <c r="K13" i="6" s="1"/>
  <c r="K19" i="17"/>
  <c r="K16" i="6" s="1"/>
  <c r="M7" i="13"/>
  <c r="L5" i="15"/>
  <c r="K11" i="17"/>
  <c r="K8" i="6" s="1"/>
  <c r="J8" i="36"/>
  <c r="J10" i="30"/>
  <c r="F19" i="28"/>
  <c r="G16" s="1"/>
  <c r="G17" s="1"/>
  <c r="D18" i="2"/>
  <c r="E20" i="15"/>
  <c r="H8" i="9"/>
  <c r="H9" s="1"/>
  <c r="I5" s="1"/>
  <c r="I7" s="1"/>
  <c r="H18" i="1"/>
  <c r="F14"/>
  <c r="F11" i="2"/>
  <c r="G23" i="28"/>
  <c r="H19" i="36"/>
  <c r="H26" i="1"/>
  <c r="H28" s="1"/>
  <c r="H7" i="28"/>
  <c r="H9" s="1"/>
  <c r="I6" s="1"/>
  <c r="J6" i="6"/>
  <c r="J24" s="1"/>
  <c r="J7" i="2" s="1"/>
  <c r="I9" i="1"/>
  <c r="I10" i="36"/>
  <c r="G13" i="28"/>
  <c r="F18"/>
  <c r="I19" i="15"/>
  <c r="O35" i="1"/>
  <c r="H8" i="28" l="1"/>
  <c r="H23"/>
  <c r="I23" s="1"/>
  <c r="I24"/>
  <c r="J21" s="1"/>
  <c r="J22" s="1"/>
  <c r="I7"/>
  <c r="I8" i="9"/>
  <c r="I9" s="1"/>
  <c r="J5" s="1"/>
  <c r="J7" s="1"/>
  <c r="I18" i="1"/>
  <c r="J9"/>
  <c r="J10" i="36"/>
  <c r="M7" i="16"/>
  <c r="M11"/>
  <c r="M8"/>
  <c r="L15" i="17"/>
  <c r="L12" i="6" s="1"/>
  <c r="L18" i="17"/>
  <c r="L15" i="6" s="1"/>
  <c r="L23" i="17"/>
  <c r="L20" i="6" s="1"/>
  <c r="M9" i="16"/>
  <c r="L13" i="17"/>
  <c r="L10" i="6" s="1"/>
  <c r="L16" i="17"/>
  <c r="L13" i="6" s="1"/>
  <c r="L21" i="17"/>
  <c r="L18" i="6" s="1"/>
  <c r="M10" i="16"/>
  <c r="L14" i="17"/>
  <c r="L11" i="6" s="1"/>
  <c r="L19" i="17"/>
  <c r="L16" i="6" s="1"/>
  <c r="L22" i="17"/>
  <c r="L19" i="6" s="1"/>
  <c r="N7" i="13"/>
  <c r="M12" i="16"/>
  <c r="L12" i="17"/>
  <c r="L9" i="6" s="1"/>
  <c r="L17" i="17"/>
  <c r="L14" i="6" s="1"/>
  <c r="L20" i="17"/>
  <c r="L17" i="6" s="1"/>
  <c r="M5" i="15"/>
  <c r="L11" i="17"/>
  <c r="L8" i="6" s="1"/>
  <c r="C22" i="2"/>
  <c r="F7" i="3"/>
  <c r="F14" i="2"/>
  <c r="H12"/>
  <c r="H8" i="3" s="1"/>
  <c r="H19" i="1"/>
  <c r="H20" s="1"/>
  <c r="D6" i="23"/>
  <c r="K10" i="30"/>
  <c r="K8" i="36"/>
  <c r="K6" i="6"/>
  <c r="K24" s="1"/>
  <c r="K7" i="2" s="1"/>
  <c r="G42" i="4"/>
  <c r="G31" i="1" s="1"/>
  <c r="G33" s="1"/>
  <c r="D15" i="4"/>
  <c r="L201" i="13"/>
  <c r="K6" i="15"/>
  <c r="J19"/>
  <c r="J16" i="36"/>
  <c r="K17" i="15"/>
  <c r="J9" i="2"/>
  <c r="G25" i="28"/>
  <c r="K14" i="4"/>
  <c r="G43"/>
  <c r="F15" i="1"/>
  <c r="G13" s="1"/>
  <c r="G14" i="28"/>
  <c r="H11" s="1"/>
  <c r="H12" s="1"/>
  <c r="H10" i="3"/>
  <c r="E7"/>
  <c r="E14" i="2"/>
  <c r="C8" i="31"/>
  <c r="I19" i="36"/>
  <c r="I26" i="1"/>
  <c r="I28" s="1"/>
  <c r="P35"/>
  <c r="I8" i="28" l="1"/>
  <c r="I10" i="3"/>
  <c r="G19" i="28"/>
  <c r="H16" s="1"/>
  <c r="H17" s="1"/>
  <c r="J26" i="1"/>
  <c r="J28" s="1"/>
  <c r="J19" i="36"/>
  <c r="M201" i="13"/>
  <c r="L6" i="15"/>
  <c r="K9" i="1"/>
  <c r="K10" i="36"/>
  <c r="D7" i="23"/>
  <c r="D9" s="1"/>
  <c r="D20" i="2" s="1"/>
  <c r="D8" i="23"/>
  <c r="E5" s="1"/>
  <c r="G11" i="2"/>
  <c r="G14" i="1"/>
  <c r="G15" s="1"/>
  <c r="H13" s="1"/>
  <c r="F15" i="4"/>
  <c r="I15" s="1"/>
  <c r="J15" s="1"/>
  <c r="H15"/>
  <c r="L6" i="6"/>
  <c r="L24" s="1"/>
  <c r="L7" i="2" s="1"/>
  <c r="J8" i="9"/>
  <c r="J18" i="1"/>
  <c r="I9" i="28"/>
  <c r="J6" s="1"/>
  <c r="E18" i="2"/>
  <c r="F20" i="15"/>
  <c r="C19" i="31"/>
  <c r="C5"/>
  <c r="G16" i="2"/>
  <c r="G9" i="3" s="1"/>
  <c r="G23"/>
  <c r="G26" s="1"/>
  <c r="K19" i="15"/>
  <c r="L8" i="36"/>
  <c r="L10" i="30"/>
  <c r="G18" i="28"/>
  <c r="I19" i="1"/>
  <c r="I20" s="1"/>
  <c r="I12" i="2"/>
  <c r="I8" i="3" s="1"/>
  <c r="H13" i="28"/>
  <c r="L17" i="15"/>
  <c r="K16" i="36"/>
  <c r="K9" i="2"/>
  <c r="F18"/>
  <c r="G20" i="15"/>
  <c r="C6" i="3"/>
  <c r="C12" s="1"/>
  <c r="D21" i="15"/>
  <c r="C36" i="1"/>
  <c r="N8" i="16"/>
  <c r="N12"/>
  <c r="M12" i="17"/>
  <c r="M9" i="6" s="1"/>
  <c r="M14" i="17"/>
  <c r="M11" i="6" s="1"/>
  <c r="M16" i="17"/>
  <c r="M13" i="6" s="1"/>
  <c r="M18" i="17"/>
  <c r="M15" i="6" s="1"/>
  <c r="M20" i="17"/>
  <c r="M17" i="6" s="1"/>
  <c r="M22" i="17"/>
  <c r="M19" i="6" s="1"/>
  <c r="N9" i="16"/>
  <c r="O7" i="13"/>
  <c r="N10" i="16"/>
  <c r="M13" i="17"/>
  <c r="M10" i="6" s="1"/>
  <c r="M15" i="17"/>
  <c r="M12" i="6" s="1"/>
  <c r="M17" i="17"/>
  <c r="M14" i="6" s="1"/>
  <c r="M19" i="17"/>
  <c r="M16" i="6" s="1"/>
  <c r="M21" i="17"/>
  <c r="M18" i="6" s="1"/>
  <c r="M23" i="17"/>
  <c r="M20" i="6" s="1"/>
  <c r="N7" i="16"/>
  <c r="N11"/>
  <c r="N5" i="15"/>
  <c r="M11" i="17"/>
  <c r="M8" i="6" s="1"/>
  <c r="Q35" i="1"/>
  <c r="J10" i="3" l="1"/>
  <c r="D9" i="31" s="1"/>
  <c r="H25" i="28"/>
  <c r="J19" i="1"/>
  <c r="J20" s="1"/>
  <c r="J12" i="2"/>
  <c r="J8" i="3" s="1"/>
  <c r="M6" i="6"/>
  <c r="M24" s="1"/>
  <c r="M7" i="2" s="1"/>
  <c r="O9" i="16"/>
  <c r="P7" i="13"/>
  <c r="O10" i="16"/>
  <c r="N13" i="17"/>
  <c r="N10" i="6" s="1"/>
  <c r="N15" i="17"/>
  <c r="N12" i="6" s="1"/>
  <c r="N17" i="17"/>
  <c r="N14" i="6" s="1"/>
  <c r="N19" i="17"/>
  <c r="N16" i="6" s="1"/>
  <c r="N21" i="17"/>
  <c r="N18" i="6" s="1"/>
  <c r="N23" i="17"/>
  <c r="N20" i="6" s="1"/>
  <c r="O7" i="16"/>
  <c r="O11"/>
  <c r="O8"/>
  <c r="O12"/>
  <c r="N12" i="17"/>
  <c r="N9" i="6" s="1"/>
  <c r="N14" i="17"/>
  <c r="N11" i="6" s="1"/>
  <c r="N16" i="17"/>
  <c r="N13" i="6" s="1"/>
  <c r="N18" i="17"/>
  <c r="N15" i="6" s="1"/>
  <c r="N20" i="17"/>
  <c r="N17" i="6" s="1"/>
  <c r="N22" i="17"/>
  <c r="N19" i="6" s="1"/>
  <c r="O5" i="15"/>
  <c r="N11" i="17"/>
  <c r="N8" i="6" s="1"/>
  <c r="C37" i="1"/>
  <c r="F6" i="23"/>
  <c r="J24" i="28"/>
  <c r="K21" s="1"/>
  <c r="K22" s="1"/>
  <c r="J23"/>
  <c r="E6" i="23"/>
  <c r="J9" i="9"/>
  <c r="K5" s="1"/>
  <c r="K7" s="1"/>
  <c r="C9" i="33"/>
  <c r="C28" i="3"/>
  <c r="C31" s="1"/>
  <c r="K19" i="36"/>
  <c r="K26" i="1"/>
  <c r="K28" s="1"/>
  <c r="M10" i="30"/>
  <c r="M8" i="36"/>
  <c r="D16" i="4"/>
  <c r="H42"/>
  <c r="H31" i="1" s="1"/>
  <c r="H33" s="1"/>
  <c r="D22" i="2"/>
  <c r="D36" i="1" s="1"/>
  <c r="N201" i="13"/>
  <c r="M6" i="15"/>
  <c r="H18" i="28"/>
  <c r="H43" i="4"/>
  <c r="K15"/>
  <c r="L19" i="15"/>
  <c r="H14" i="28"/>
  <c r="I11" s="1"/>
  <c r="I12" s="1"/>
  <c r="L9" i="1"/>
  <c r="L10" i="36"/>
  <c r="J7" i="28"/>
  <c r="J8" s="1"/>
  <c r="M17" i="15"/>
  <c r="L16" i="36"/>
  <c r="L9" i="2"/>
  <c r="G7" i="3"/>
  <c r="G14" i="2"/>
  <c r="H19" i="28"/>
  <c r="I16" s="1"/>
  <c r="I17" s="1"/>
  <c r="R35" i="1"/>
  <c r="O13" i="17" l="1"/>
  <c r="O10" i="6" s="1"/>
  <c r="O23" i="17"/>
  <c r="O20" i="6" s="1"/>
  <c r="O22" i="17"/>
  <c r="O19" i="6" s="1"/>
  <c r="O21" i="17"/>
  <c r="O18" i="6" s="1"/>
  <c r="O20" i="17"/>
  <c r="O17" i="6" s="1"/>
  <c r="O19" i="17"/>
  <c r="O16" i="6" s="1"/>
  <c r="O18" i="17"/>
  <c r="O15" i="6" s="1"/>
  <c r="O17" i="17"/>
  <c r="O14" i="6" s="1"/>
  <c r="O16" i="17"/>
  <c r="O13" i="6" s="1"/>
  <c r="O15" i="17"/>
  <c r="O12" i="6" s="1"/>
  <c r="O14" i="17"/>
  <c r="O11" i="6" s="1"/>
  <c r="O12" i="17"/>
  <c r="O9" i="6" s="1"/>
  <c r="N6"/>
  <c r="N24" s="1"/>
  <c r="N7" i="2" s="1"/>
  <c r="L19" i="36"/>
  <c r="L26" i="1"/>
  <c r="L28" s="1"/>
  <c r="K8" i="9"/>
  <c r="K18" i="1"/>
  <c r="P9" i="16"/>
  <c r="P10"/>
  <c r="P7"/>
  <c r="P11"/>
  <c r="Q7" i="13"/>
  <c r="P8" i="16"/>
  <c r="P12"/>
  <c r="P5" i="15"/>
  <c r="O11" i="17"/>
  <c r="O8" i="6" s="1"/>
  <c r="D6" i="3"/>
  <c r="D12" s="1"/>
  <c r="E21" i="15"/>
  <c r="M9" i="1"/>
  <c r="M10" i="36"/>
  <c r="D30" i="3"/>
  <c r="D18" i="15"/>
  <c r="C7" i="1"/>
  <c r="C10" s="1"/>
  <c r="C22" s="1"/>
  <c r="D22" i="15" s="1"/>
  <c r="N17"/>
  <c r="M16" i="36"/>
  <c r="M9" i="2"/>
  <c r="H11"/>
  <c r="H14" i="1"/>
  <c r="H15" s="1"/>
  <c r="I13" s="1"/>
  <c r="G18" i="2"/>
  <c r="H20" i="15"/>
  <c r="H23" i="3"/>
  <c r="H26" s="1"/>
  <c r="H16" i="2"/>
  <c r="H9" i="3" s="1"/>
  <c r="N10" i="30"/>
  <c r="N8" i="36"/>
  <c r="D37" i="1"/>
  <c r="D11" i="15"/>
  <c r="C10" i="33"/>
  <c r="D12" i="15" s="1"/>
  <c r="E8" i="23"/>
  <c r="F5" s="1"/>
  <c r="F8" s="1"/>
  <c r="G5" s="1"/>
  <c r="E7"/>
  <c r="E9" s="1"/>
  <c r="E20" i="2" s="1"/>
  <c r="I19" i="28"/>
  <c r="J16" s="1"/>
  <c r="J17" s="1"/>
  <c r="M19" i="15"/>
  <c r="J9" i="28"/>
  <c r="K6" s="1"/>
  <c r="I13"/>
  <c r="O201" i="13"/>
  <c r="N6" i="15"/>
  <c r="F16" i="4"/>
  <c r="I16" s="1"/>
  <c r="J16" s="1"/>
  <c r="H16"/>
  <c r="K10" i="3"/>
  <c r="K23" i="28"/>
  <c r="C39" i="1"/>
  <c r="D23" i="15"/>
  <c r="L10" i="3" l="1"/>
  <c r="P12" i="17"/>
  <c r="P9" i="6" s="1"/>
  <c r="P23" i="17"/>
  <c r="P20" i="6" s="1"/>
  <c r="P22" i="17"/>
  <c r="P19" i="6" s="1"/>
  <c r="P21" i="17"/>
  <c r="P18" i="6" s="1"/>
  <c r="P20" i="17"/>
  <c r="P17" i="6" s="1"/>
  <c r="P19" i="17"/>
  <c r="P18"/>
  <c r="P15" i="6" s="1"/>
  <c r="P17" i="17"/>
  <c r="P14" i="6" s="1"/>
  <c r="P16" i="17"/>
  <c r="P15"/>
  <c r="P12" i="6" s="1"/>
  <c r="P14" i="17"/>
  <c r="P11" i="6" s="1"/>
  <c r="P13" i="17"/>
  <c r="P10" i="6" s="1"/>
  <c r="C41" i="1"/>
  <c r="K19"/>
  <c r="K20" s="1"/>
  <c r="K12" i="2"/>
  <c r="K8" i="3" s="1"/>
  <c r="I14" i="28"/>
  <c r="J11" s="1"/>
  <c r="J12" s="1"/>
  <c r="I25"/>
  <c r="O8" i="36"/>
  <c r="O10" i="30"/>
  <c r="G6" i="23"/>
  <c r="M26" i="1"/>
  <c r="M28" s="1"/>
  <c r="M19" i="36"/>
  <c r="F7" i="23"/>
  <c r="F9" s="1"/>
  <c r="F20" i="2" s="1"/>
  <c r="F22" s="1"/>
  <c r="O6" i="6"/>
  <c r="O24" s="1"/>
  <c r="O7" i="2" s="1"/>
  <c r="K9" i="9"/>
  <c r="L5" s="1"/>
  <c r="L7" s="1"/>
  <c r="E23" i="15"/>
  <c r="D39" i="1"/>
  <c r="N9"/>
  <c r="N10" i="36"/>
  <c r="P201" i="13"/>
  <c r="O6" i="15"/>
  <c r="K7" i="28"/>
  <c r="K8" s="1"/>
  <c r="J19"/>
  <c r="K16" s="1"/>
  <c r="K17" s="1"/>
  <c r="D28" i="3"/>
  <c r="D31" s="1"/>
  <c r="D9" i="33"/>
  <c r="O17" i="15"/>
  <c r="N16" i="36"/>
  <c r="N9" i="2"/>
  <c r="I43" i="4"/>
  <c r="K16"/>
  <c r="N19" i="15"/>
  <c r="D17" i="4"/>
  <c r="I42"/>
  <c r="I31" i="1" s="1"/>
  <c r="I33" s="1"/>
  <c r="E22" i="2"/>
  <c r="K24" i="28"/>
  <c r="L21" s="1"/>
  <c r="L22" s="1"/>
  <c r="H7" i="3"/>
  <c r="H14" i="2"/>
  <c r="I18" i="28"/>
  <c r="J18" s="1"/>
  <c r="Q7" i="16"/>
  <c r="Q11"/>
  <c r="R7" i="13"/>
  <c r="Q8" i="16"/>
  <c r="Q12"/>
  <c r="P16" i="6"/>
  <c r="Q9" i="16"/>
  <c r="Q10"/>
  <c r="P13" i="6"/>
  <c r="Q5" i="15"/>
  <c r="P11" i="17"/>
  <c r="P8" i="6" s="1"/>
  <c r="Q12" i="17" l="1"/>
  <c r="Q14"/>
  <c r="Q23"/>
  <c r="Q20" i="6" s="1"/>
  <c r="Q22" i="17"/>
  <c r="Q19" i="6" s="1"/>
  <c r="Q21" i="17"/>
  <c r="Q18" i="6" s="1"/>
  <c r="Q20" i="17"/>
  <c r="Q17" i="6" s="1"/>
  <c r="Q19" i="17"/>
  <c r="Q16" i="6" s="1"/>
  <c r="Q18" i="17"/>
  <c r="Q15" i="6" s="1"/>
  <c r="Q17" i="17"/>
  <c r="Q14" i="6" s="1"/>
  <c r="Q16" i="17"/>
  <c r="Q13" i="6" s="1"/>
  <c r="Q15" i="17"/>
  <c r="Q12" i="6" s="1"/>
  <c r="Q13" i="17"/>
  <c r="Q10" i="6" s="1"/>
  <c r="C6" i="31"/>
  <c r="C7" s="1"/>
  <c r="C12" s="1"/>
  <c r="C14" s="1"/>
  <c r="P6" i="6"/>
  <c r="P24" s="1"/>
  <c r="P7" i="2" s="1"/>
  <c r="I20" i="15"/>
  <c r="H18" i="2"/>
  <c r="I16"/>
  <c r="I9" i="3" s="1"/>
  <c r="I23"/>
  <c r="I26" s="1"/>
  <c r="L8" i="9"/>
  <c r="L18" i="1"/>
  <c r="P8" i="36"/>
  <c r="P10" i="30"/>
  <c r="J13" i="28"/>
  <c r="K18"/>
  <c r="E6" i="3"/>
  <c r="E12" s="1"/>
  <c r="F21" i="15"/>
  <c r="E36" i="1"/>
  <c r="E11" i="15"/>
  <c r="D10" i="33"/>
  <c r="E12" i="15" s="1"/>
  <c r="P17"/>
  <c r="O16" i="36"/>
  <c r="O9" i="2"/>
  <c r="G8" i="23"/>
  <c r="H5" s="1"/>
  <c r="G7"/>
  <c r="G9" s="1"/>
  <c r="G20" i="2" s="1"/>
  <c r="R9" i="16"/>
  <c r="R10"/>
  <c r="Q9" i="6"/>
  <c r="Q11"/>
  <c r="R7" i="16"/>
  <c r="R11"/>
  <c r="S7" i="13"/>
  <c r="R8" i="16"/>
  <c r="R12"/>
  <c r="R5" i="15"/>
  <c r="Q11" i="17"/>
  <c r="Q8" i="6" s="1"/>
  <c r="M10" i="3"/>
  <c r="O19" i="15"/>
  <c r="D7" i="1"/>
  <c r="D10" s="1"/>
  <c r="D22" s="1"/>
  <c r="E22" i="15" s="1"/>
  <c r="E30" i="3"/>
  <c r="E18" i="15"/>
  <c r="Q201" i="13"/>
  <c r="G21" i="15"/>
  <c r="F6" i="3"/>
  <c r="F12" s="1"/>
  <c r="O9" i="1"/>
  <c r="O10" i="36"/>
  <c r="F17" i="4"/>
  <c r="I17" s="1"/>
  <c r="J17" s="1"/>
  <c r="H17"/>
  <c r="N19" i="36"/>
  <c r="N26" i="1"/>
  <c r="N28" s="1"/>
  <c r="K9" i="28"/>
  <c r="L6" s="1"/>
  <c r="I14" i="1"/>
  <c r="I15" s="1"/>
  <c r="J13" s="1"/>
  <c r="I11" i="2"/>
  <c r="R23" i="17" l="1"/>
  <c r="R20" i="6" s="1"/>
  <c r="R22" i="17"/>
  <c r="R19" i="6" s="1"/>
  <c r="R21" i="17"/>
  <c r="R18" i="6" s="1"/>
  <c r="R20" i="17"/>
  <c r="R17" i="6" s="1"/>
  <c r="R19" i="17"/>
  <c r="R16" i="6" s="1"/>
  <c r="R18" i="17"/>
  <c r="R15" i="6" s="1"/>
  <c r="R17" i="17"/>
  <c r="R14" i="6" s="1"/>
  <c r="R16" i="17"/>
  <c r="R13" i="6" s="1"/>
  <c r="R15" i="17"/>
  <c r="R12" i="6" s="1"/>
  <c r="R14" i="17"/>
  <c r="R11" i="6" s="1"/>
  <c r="R13" i="17"/>
  <c r="R10" i="6" s="1"/>
  <c r="R12" i="17"/>
  <c r="R9" i="6" s="1"/>
  <c r="N10" i="3"/>
  <c r="E9" i="31" s="1"/>
  <c r="J25" i="28"/>
  <c r="J11" i="2" s="1"/>
  <c r="D8" i="31" s="1"/>
  <c r="D41" i="1"/>
  <c r="D18" i="4"/>
  <c r="J42"/>
  <c r="J31" i="1" s="1"/>
  <c r="J33" s="1"/>
  <c r="L19"/>
  <c r="L20" s="1"/>
  <c r="L12" i="2"/>
  <c r="L8" i="3" s="1"/>
  <c r="R201" i="13"/>
  <c r="Q6" i="15"/>
  <c r="P19"/>
  <c r="Q8" i="36"/>
  <c r="Q10" i="30"/>
  <c r="Q17" i="15"/>
  <c r="J30" i="31"/>
  <c r="J31" s="1"/>
  <c r="P16" i="36"/>
  <c r="P9" i="2"/>
  <c r="P9" i="1"/>
  <c r="P10" i="36"/>
  <c r="I7" i="3"/>
  <c r="I14" i="2"/>
  <c r="L23" i="28"/>
  <c r="F9" i="33"/>
  <c r="F28" i="3"/>
  <c r="Q6" i="6"/>
  <c r="Q24" s="1"/>
  <c r="Q7" i="2" s="1"/>
  <c r="O26" i="1"/>
  <c r="O28" s="1"/>
  <c r="O19" i="36"/>
  <c r="J14" i="28"/>
  <c r="K11" s="1"/>
  <c r="K12" s="1"/>
  <c r="L7"/>
  <c r="L8" s="1"/>
  <c r="S7" i="16"/>
  <c r="S11"/>
  <c r="S8"/>
  <c r="S12"/>
  <c r="S9"/>
  <c r="S10"/>
  <c r="S5" i="15"/>
  <c r="R11" i="17"/>
  <c r="R8" i="6" s="1"/>
  <c r="J43" i="4"/>
  <c r="K17"/>
  <c r="L14" s="1"/>
  <c r="L24" i="28"/>
  <c r="M21" s="1"/>
  <c r="M22" s="1"/>
  <c r="G22" i="2"/>
  <c r="E37" i="1"/>
  <c r="F36"/>
  <c r="E9" i="33"/>
  <c r="E28" i="3"/>
  <c r="E31" s="1"/>
  <c r="L9" i="9"/>
  <c r="M5" s="1"/>
  <c r="M7" s="1"/>
  <c r="H6" i="23"/>
  <c r="K19" i="28"/>
  <c r="L16" s="1"/>
  <c r="L17" s="1"/>
  <c r="L9" l="1"/>
  <c r="M6" s="1"/>
  <c r="M7" s="1"/>
  <c r="J14" i="1"/>
  <c r="J15" s="1"/>
  <c r="K13" s="1"/>
  <c r="Q9"/>
  <c r="Q10" i="36"/>
  <c r="O10" i="3"/>
  <c r="F9" i="31" s="1"/>
  <c r="F10" i="33"/>
  <c r="G12" i="15" s="1"/>
  <c r="G11"/>
  <c r="L19" i="28"/>
  <c r="M16" s="1"/>
  <c r="M17" s="1"/>
  <c r="M8" i="9"/>
  <c r="M9" s="1"/>
  <c r="N5" s="1"/>
  <c r="N7" s="1"/>
  <c r="M18" i="1"/>
  <c r="E39"/>
  <c r="F23" i="15"/>
  <c r="M24" i="28"/>
  <c r="N21" s="1"/>
  <c r="N22" s="1"/>
  <c r="R6" i="6"/>
  <c r="R24" s="1"/>
  <c r="R7" i="2" s="1"/>
  <c r="Q19" i="15"/>
  <c r="R8" i="36"/>
  <c r="R10" i="30"/>
  <c r="F11" i="15"/>
  <c r="E10" i="33"/>
  <c r="F12" i="15" s="1"/>
  <c r="G36" i="1"/>
  <c r="F37"/>
  <c r="J16" i="2"/>
  <c r="J9" i="3" s="1"/>
  <c r="J23"/>
  <c r="J26" s="1"/>
  <c r="D21" i="31"/>
  <c r="D22" s="1"/>
  <c r="K30"/>
  <c r="K31" s="1"/>
  <c r="R17" i="15"/>
  <c r="Q16" i="36"/>
  <c r="Q9" i="2"/>
  <c r="J20" i="15"/>
  <c r="I18" i="2"/>
  <c r="H7" i="23"/>
  <c r="H9" s="1"/>
  <c r="H20" i="2" s="1"/>
  <c r="H8" i="23"/>
  <c r="I5" s="1"/>
  <c r="F31" i="3"/>
  <c r="F18" i="15"/>
  <c r="E7" i="1"/>
  <c r="E10" s="1"/>
  <c r="E22" s="1"/>
  <c r="F22" i="15" s="1"/>
  <c r="F30" i="3"/>
  <c r="H21" i="15"/>
  <c r="G6" i="3"/>
  <c r="G12" s="1"/>
  <c r="J7"/>
  <c r="J14" i="2"/>
  <c r="P19" i="36"/>
  <c r="P26" i="1"/>
  <c r="P28" s="1"/>
  <c r="S201" i="13"/>
  <c r="R6" i="15"/>
  <c r="F18" i="4"/>
  <c r="I18" s="1"/>
  <c r="J18" s="1"/>
  <c r="H18"/>
  <c r="S6" i="15" l="1"/>
  <c r="M9" i="28"/>
  <c r="N6" s="1"/>
  <c r="N7" s="1"/>
  <c r="M8"/>
  <c r="M23"/>
  <c r="N23" s="1"/>
  <c r="P10" i="3"/>
  <c r="G9" i="31" s="1"/>
  <c r="I6" i="23"/>
  <c r="N24" i="28"/>
  <c r="O21" s="1"/>
  <c r="H22" i="2"/>
  <c r="H36" i="1" s="1"/>
  <c r="F39"/>
  <c r="G23" i="15"/>
  <c r="R9" i="1"/>
  <c r="R10" i="36"/>
  <c r="K13" i="28"/>
  <c r="K25"/>
  <c r="N8" i="9"/>
  <c r="N9" s="1"/>
  <c r="O5" s="1"/>
  <c r="O7" s="1"/>
  <c r="N18" i="1"/>
  <c r="J18" i="2"/>
  <c r="K20" i="15"/>
  <c r="D19" i="4"/>
  <c r="K42"/>
  <c r="K31" i="1" s="1"/>
  <c r="K33" s="1"/>
  <c r="G9" i="33"/>
  <c r="G28" i="3"/>
  <c r="G31" s="1"/>
  <c r="D5" i="31"/>
  <c r="R19" i="15"/>
  <c r="G37" i="1"/>
  <c r="K14" i="28"/>
  <c r="L11" s="1"/>
  <c r="L12" s="1"/>
  <c r="M19" i="1"/>
  <c r="M20" s="1"/>
  <c r="M12" i="2"/>
  <c r="M8" i="3" s="1"/>
  <c r="K18" i="4"/>
  <c r="K43"/>
  <c r="G30" i="3"/>
  <c r="G18" i="15"/>
  <c r="F7" i="1"/>
  <c r="F10" s="1"/>
  <c r="F22" s="1"/>
  <c r="G22" i="15" s="1"/>
  <c r="D19" i="31"/>
  <c r="Q19" i="36"/>
  <c r="Q26" i="1"/>
  <c r="Q28" s="1"/>
  <c r="R16" i="36"/>
  <c r="S17" i="15"/>
  <c r="L30" i="31"/>
  <c r="L31" s="1"/>
  <c r="R9" i="2"/>
  <c r="E41" i="1"/>
  <c r="L18" i="28"/>
  <c r="M18" s="1"/>
  <c r="N9" l="1"/>
  <c r="O6" s="1"/>
  <c r="N8"/>
  <c r="O22"/>
  <c r="O24" s="1"/>
  <c r="P21" s="1"/>
  <c r="G7" i="1"/>
  <c r="G10" s="1"/>
  <c r="G22" s="1"/>
  <c r="H22" i="15" s="1"/>
  <c r="H18"/>
  <c r="H30" i="3"/>
  <c r="G39" i="1"/>
  <c r="H23" i="15"/>
  <c r="K14" i="1"/>
  <c r="K15" s="1"/>
  <c r="L13" s="1"/>
  <c r="K11" i="2"/>
  <c r="H37" i="1"/>
  <c r="H39" s="1"/>
  <c r="F19" i="4"/>
  <c r="I19" s="1"/>
  <c r="J19" s="1"/>
  <c r="H19"/>
  <c r="O8" i="9"/>
  <c r="O9" s="1"/>
  <c r="P5" s="1"/>
  <c r="P7" s="1"/>
  <c r="O18" i="1"/>
  <c r="F41"/>
  <c r="M19" i="28"/>
  <c r="N16" s="1"/>
  <c r="N17" s="1"/>
  <c r="I7" i="23"/>
  <c r="I9" s="1"/>
  <c r="I20" i="2" s="1"/>
  <c r="I8" i="23"/>
  <c r="J5" s="1"/>
  <c r="R19" i="36"/>
  <c r="R26" i="1"/>
  <c r="R28" s="1"/>
  <c r="H11" i="15"/>
  <c r="G10" i="33"/>
  <c r="H12" i="15" s="1"/>
  <c r="J6" i="23"/>
  <c r="N19" i="1"/>
  <c r="N20" s="1"/>
  <c r="N12" i="2"/>
  <c r="N8" i="3" s="1"/>
  <c r="H6"/>
  <c r="H12" s="1"/>
  <c r="I21" i="15"/>
  <c r="S19"/>
  <c r="K16" i="2"/>
  <c r="K9" i="3" s="1"/>
  <c r="K23"/>
  <c r="K26" s="1"/>
  <c r="L25" i="28"/>
  <c r="Q10" i="3"/>
  <c r="H9" i="31" s="1"/>
  <c r="O7" i="28" l="1"/>
  <c r="O8" s="1"/>
  <c r="R10" i="3"/>
  <c r="I9" i="31" s="1"/>
  <c r="O23" i="28"/>
  <c r="G41" i="1"/>
  <c r="L14" i="28"/>
  <c r="M11" s="1"/>
  <c r="I23" i="15"/>
  <c r="P22" i="28"/>
  <c r="P24" s="1"/>
  <c r="Q21" s="1"/>
  <c r="I22" i="2"/>
  <c r="L11"/>
  <c r="L14" i="1"/>
  <c r="L15" s="1"/>
  <c r="M13" s="1"/>
  <c r="J7" i="23"/>
  <c r="J9" s="1"/>
  <c r="J20" i="2" s="1"/>
  <c r="J22" s="1"/>
  <c r="J8" i="23"/>
  <c r="K5" s="1"/>
  <c r="O12" i="2"/>
  <c r="O8" i="3" s="1"/>
  <c r="O19" i="1"/>
  <c r="O20" s="1"/>
  <c r="N19" i="28"/>
  <c r="O16" s="1"/>
  <c r="H9" i="33"/>
  <c r="H28" i="3"/>
  <c r="H31" s="1"/>
  <c r="L13" i="28"/>
  <c r="L42" i="4"/>
  <c r="L31" i="1" s="1"/>
  <c r="L33" s="1"/>
  <c r="D20" i="4"/>
  <c r="K7" i="3"/>
  <c r="K14" i="2"/>
  <c r="P8" i="9"/>
  <c r="P18" i="1"/>
  <c r="L43" i="4"/>
  <c r="K19"/>
  <c r="O9" i="28" l="1"/>
  <c r="P6" s="1"/>
  <c r="P7" s="1"/>
  <c r="P9" s="1"/>
  <c r="Q6" s="1"/>
  <c r="Q7" s="1"/>
  <c r="Q9" s="1"/>
  <c r="R6" s="1"/>
  <c r="P23"/>
  <c r="M12"/>
  <c r="M25" s="1"/>
  <c r="D6" i="31"/>
  <c r="D7" s="1"/>
  <c r="D12" s="1"/>
  <c r="D14" s="1"/>
  <c r="Q22" i="28"/>
  <c r="Q24" s="1"/>
  <c r="R21" s="1"/>
  <c r="P12" i="2"/>
  <c r="P8" i="3" s="1"/>
  <c r="P19" i="1"/>
  <c r="P20" s="1"/>
  <c r="J21" i="15"/>
  <c r="I6" i="3"/>
  <c r="I12" s="1"/>
  <c r="I36" i="1"/>
  <c r="O17" i="28"/>
  <c r="O19" s="1"/>
  <c r="P16" s="1"/>
  <c r="L16" i="2"/>
  <c r="L9" i="3" s="1"/>
  <c r="L23"/>
  <c r="L26" s="1"/>
  <c r="F20" i="4"/>
  <c r="I20" s="1"/>
  <c r="J20" s="1"/>
  <c r="H20"/>
  <c r="I11" i="15"/>
  <c r="H10" i="33"/>
  <c r="I12" i="15" s="1"/>
  <c r="N18" i="28"/>
  <c r="J6" i="3"/>
  <c r="J12" s="1"/>
  <c r="K21" i="15"/>
  <c r="L7" i="3"/>
  <c r="L14" i="2"/>
  <c r="I30" i="3"/>
  <c r="H7" i="1"/>
  <c r="H10" s="1"/>
  <c r="H22" s="1"/>
  <c r="I18" i="15"/>
  <c r="P9" i="9"/>
  <c r="Q5" s="1"/>
  <c r="Q7" s="1"/>
  <c r="L20" i="15"/>
  <c r="K18" i="2"/>
  <c r="P8" i="28" l="1"/>
  <c r="Q8" s="1"/>
  <c r="M14"/>
  <c r="N11" s="1"/>
  <c r="N12" s="1"/>
  <c r="N14" s="1"/>
  <c r="O11" s="1"/>
  <c r="O12" s="1"/>
  <c r="O18"/>
  <c r="M11" i="2"/>
  <c r="M7" i="3" s="1"/>
  <c r="M14" i="1"/>
  <c r="M15" s="1"/>
  <c r="N13" s="1"/>
  <c r="M13" i="28"/>
  <c r="R22"/>
  <c r="R24" s="1"/>
  <c r="R7"/>
  <c r="R9" s="1"/>
  <c r="K20" i="4"/>
  <c r="M43"/>
  <c r="Q23" i="28"/>
  <c r="M20" i="15"/>
  <c r="L18" i="2"/>
  <c r="J36" i="1"/>
  <c r="I37"/>
  <c r="I22" i="15"/>
  <c r="H41" i="1"/>
  <c r="Q8" i="9"/>
  <c r="Q18" i="1"/>
  <c r="J9" i="33"/>
  <c r="J28" i="3"/>
  <c r="I9" i="33"/>
  <c r="I28" i="3"/>
  <c r="I31" s="1"/>
  <c r="K6" i="23"/>
  <c r="M42" i="4"/>
  <c r="M31" i="1" s="1"/>
  <c r="M33" s="1"/>
  <c r="D21" i="4"/>
  <c r="P17" i="28"/>
  <c r="P19" s="1"/>
  <c r="Q16" s="1"/>
  <c r="R23" l="1"/>
  <c r="M14" i="2"/>
  <c r="N20" i="15" s="1"/>
  <c r="O25" i="28"/>
  <c r="N13"/>
  <c r="N25"/>
  <c r="M16" i="2"/>
  <c r="M9" i="3" s="1"/>
  <c r="M23"/>
  <c r="M26" s="1"/>
  <c r="J30"/>
  <c r="I7" i="1"/>
  <c r="I10" s="1"/>
  <c r="I22" s="1"/>
  <c r="J22" i="15" s="1"/>
  <c r="J18"/>
  <c r="J31" i="3"/>
  <c r="Q12" i="2"/>
  <c r="Q8" i="3" s="1"/>
  <c r="Q19" i="1"/>
  <c r="Q20" s="1"/>
  <c r="F21" i="4"/>
  <c r="I21" s="1"/>
  <c r="J21" s="1"/>
  <c r="H21"/>
  <c r="K11" i="15"/>
  <c r="J10" i="33"/>
  <c r="K12" i="15" s="1"/>
  <c r="R8" i="28"/>
  <c r="I39" i="1"/>
  <c r="J23" i="15"/>
  <c r="L6" i="23"/>
  <c r="Q17" i="28"/>
  <c r="Q19" s="1"/>
  <c r="R16" s="1"/>
  <c r="J11" i="15"/>
  <c r="I10" i="33"/>
  <c r="J12" i="15" s="1"/>
  <c r="K7" i="23"/>
  <c r="K9" s="1"/>
  <c r="K20" i="2" s="1"/>
  <c r="K8" i="23"/>
  <c r="L5" s="1"/>
  <c r="Q9" i="9"/>
  <c r="R5" s="1"/>
  <c r="R7" s="1"/>
  <c r="P18" i="28"/>
  <c r="J37" i="1"/>
  <c r="Q18" i="28" l="1"/>
  <c r="I41" i="1"/>
  <c r="O14" i="28"/>
  <c r="P11" s="1"/>
  <c r="P12" s="1"/>
  <c r="P25" s="1"/>
  <c r="R17"/>
  <c r="R19" s="1"/>
  <c r="J39" i="1"/>
  <c r="K23" i="15"/>
  <c r="N14" i="1"/>
  <c r="N15" s="1"/>
  <c r="O13" s="1"/>
  <c r="N11" i="2"/>
  <c r="K22"/>
  <c r="D22" i="4"/>
  <c r="N42"/>
  <c r="N31" i="1" s="1"/>
  <c r="N33" s="1"/>
  <c r="K30" i="3"/>
  <c r="J7" i="1"/>
  <c r="J10" s="1"/>
  <c r="J22" s="1"/>
  <c r="K22" i="15" s="1"/>
  <c r="K18"/>
  <c r="O13" i="28"/>
  <c r="L7" i="23"/>
  <c r="L9" s="1"/>
  <c r="L20" i="2" s="1"/>
  <c r="L22" s="1"/>
  <c r="L8" i="23"/>
  <c r="M5" s="1"/>
  <c r="N43" i="4"/>
  <c r="K21"/>
  <c r="L18" s="1"/>
  <c r="M18" i="2"/>
  <c r="R8" i="9"/>
  <c r="R9" s="1"/>
  <c r="R18" i="1"/>
  <c r="O14"/>
  <c r="O11" i="2"/>
  <c r="R18" i="28" l="1"/>
  <c r="F22" i="4"/>
  <c r="I22" s="1"/>
  <c r="J22" s="1"/>
  <c r="H22"/>
  <c r="P14" i="28"/>
  <c r="Q11" s="1"/>
  <c r="J41" i="1"/>
  <c r="L6" i="3"/>
  <c r="L12" s="1"/>
  <c r="M21" i="15"/>
  <c r="P11" i="2"/>
  <c r="P14" i="1"/>
  <c r="F8" i="31"/>
  <c r="O7" i="3"/>
  <c r="O14" i="2"/>
  <c r="R12"/>
  <c r="R8" i="3" s="1"/>
  <c r="R19" i="1"/>
  <c r="R20" s="1"/>
  <c r="N16" i="2"/>
  <c r="N9" i="3" s="1"/>
  <c r="N23"/>
  <c r="N26" s="1"/>
  <c r="E21" i="31"/>
  <c r="E22" s="1"/>
  <c r="K6" i="3"/>
  <c r="K12" s="1"/>
  <c r="L21" i="15"/>
  <c r="K36" i="1"/>
  <c r="N7" i="3"/>
  <c r="N14" i="2"/>
  <c r="E8" i="31"/>
  <c r="M6" i="23"/>
  <c r="P13" i="28"/>
  <c r="O15" i="1"/>
  <c r="P13" s="1"/>
  <c r="P15" l="1"/>
  <c r="Q13" s="1"/>
  <c r="L36"/>
  <c r="K37"/>
  <c r="K9" i="33"/>
  <c r="K28" i="3"/>
  <c r="K31" s="1"/>
  <c r="Q12" i="28"/>
  <c r="Q25" s="1"/>
  <c r="D23" i="4"/>
  <c r="M7" i="23"/>
  <c r="M9" s="1"/>
  <c r="M20" i="2" s="1"/>
  <c r="M8" i="23"/>
  <c r="N5" s="1"/>
  <c r="O20" i="15"/>
  <c r="N18" i="2"/>
  <c r="E19" i="31"/>
  <c r="E5"/>
  <c r="F5"/>
  <c r="F19"/>
  <c r="P20" i="15"/>
  <c r="G8" i="31"/>
  <c r="P7" i="3"/>
  <c r="P14" i="2"/>
  <c r="L28" i="3"/>
  <c r="L9" i="33"/>
  <c r="K22" i="4"/>
  <c r="Q13" i="28" l="1"/>
  <c r="Q14"/>
  <c r="R11" s="1"/>
  <c r="R12" s="1"/>
  <c r="R25" s="1"/>
  <c r="F23" i="4"/>
  <c r="I23" s="1"/>
  <c r="J23" s="1"/>
  <c r="H23"/>
  <c r="K10" i="33"/>
  <c r="L12" i="15" s="1"/>
  <c r="L11"/>
  <c r="L30" i="3"/>
  <c r="L18" i="15"/>
  <c r="L31" i="3"/>
  <c r="K7" i="1"/>
  <c r="K10" s="1"/>
  <c r="K22" s="1"/>
  <c r="L22" i="15" s="1"/>
  <c r="Q14" i="1"/>
  <c r="Q15" s="1"/>
  <c r="R13" s="1"/>
  <c r="Q11" i="2"/>
  <c r="K39" i="1"/>
  <c r="L23" i="15"/>
  <c r="M22" i="2"/>
  <c r="M36" i="1" s="1"/>
  <c r="G5" i="31"/>
  <c r="Q20" i="15"/>
  <c r="G19" i="31"/>
  <c r="M11" i="15"/>
  <c r="L10" i="33"/>
  <c r="M12" i="15" s="1"/>
  <c r="N6" i="23"/>
  <c r="L37" i="1"/>
  <c r="D24" i="4" l="1"/>
  <c r="H24" s="1"/>
  <c r="R14" i="28"/>
  <c r="K41" i="1"/>
  <c r="L39"/>
  <c r="M23" i="15"/>
  <c r="N8" i="23"/>
  <c r="O5" s="1"/>
  <c r="N7"/>
  <c r="N9" s="1"/>
  <c r="N20" i="2" s="1"/>
  <c r="H8" i="31"/>
  <c r="Q7" i="3"/>
  <c r="Q14" i="2"/>
  <c r="M18" i="15"/>
  <c r="L7" i="1"/>
  <c r="L10" s="1"/>
  <c r="L22" s="1"/>
  <c r="M22" i="15" s="1"/>
  <c r="M30" i="3"/>
  <c r="M37" i="1"/>
  <c r="M39" s="1"/>
  <c r="M6" i="3"/>
  <c r="M12" s="1"/>
  <c r="N21" i="15"/>
  <c r="R14" i="1"/>
  <c r="R15" s="1"/>
  <c r="R11" i="2"/>
  <c r="K23" i="4"/>
  <c r="R13" i="28"/>
  <c r="F24" i="4" l="1"/>
  <c r="I24" s="1"/>
  <c r="J24" s="1"/>
  <c r="K24" s="1"/>
  <c r="N23" i="15"/>
  <c r="I8" i="31"/>
  <c r="R7" i="3"/>
  <c r="R14" i="2"/>
  <c r="R20" i="15"/>
  <c r="H19" i="31"/>
  <c r="H5"/>
  <c r="N22" i="2"/>
  <c r="E6" i="31"/>
  <c r="E7" s="1"/>
  <c r="E12" s="1"/>
  <c r="E14" s="1"/>
  <c r="M9" i="33"/>
  <c r="M28" i="3"/>
  <c r="M31" s="1"/>
  <c r="L41" i="1"/>
  <c r="D25" i="4" l="1"/>
  <c r="N30" i="3"/>
  <c r="M7" i="1"/>
  <c r="M10" s="1"/>
  <c r="M22" s="1"/>
  <c r="N18" i="15"/>
  <c r="N11"/>
  <c r="M10" i="33"/>
  <c r="N12" i="15" s="1"/>
  <c r="S20"/>
  <c r="I5" i="31"/>
  <c r="I19"/>
  <c r="N6" i="3"/>
  <c r="N12" s="1"/>
  <c r="O21" i="15"/>
  <c r="N36" i="1"/>
  <c r="H25" i="4" l="1"/>
  <c r="F25"/>
  <c r="I25" s="1"/>
  <c r="J25" s="1"/>
  <c r="N22" i="15"/>
  <c r="M41" i="1"/>
  <c r="N37"/>
  <c r="N9" i="33"/>
  <c r="N28" i="3"/>
  <c r="N31" s="1"/>
  <c r="D26" i="4" l="1"/>
  <c r="O42"/>
  <c r="O31" i="1" s="1"/>
  <c r="O33" s="1"/>
  <c r="K25" i="4"/>
  <c r="L22" s="1"/>
  <c r="O43"/>
  <c r="O11" i="15"/>
  <c r="N10" i="33"/>
  <c r="O12" i="15" s="1"/>
  <c r="N7" i="1"/>
  <c r="N10" s="1"/>
  <c r="N22" s="1"/>
  <c r="O22" i="15" s="1"/>
  <c r="O18"/>
  <c r="O30" i="3"/>
  <c r="N39" i="1"/>
  <c r="O23" i="15"/>
  <c r="F26" i="4" l="1"/>
  <c r="I26" s="1"/>
  <c r="J26" s="1"/>
  <c r="K26" s="1"/>
  <c r="H26"/>
  <c r="F21" i="31"/>
  <c r="F22" s="1"/>
  <c r="F23" s="1"/>
  <c r="O16" i="2"/>
  <c r="O23" i="3"/>
  <c r="O26" s="1"/>
  <c r="N41" i="1"/>
  <c r="O18" i="2" l="1"/>
  <c r="O6" i="23" s="1"/>
  <c r="O7" s="1"/>
  <c r="O9" s="1"/>
  <c r="O20" i="2" s="1"/>
  <c r="O9" i="3"/>
  <c r="D27" i="4"/>
  <c r="O8" i="23" l="1"/>
  <c r="P5" s="1"/>
  <c r="F27" i="4"/>
  <c r="I27" s="1"/>
  <c r="J27" s="1"/>
  <c r="K27" s="1"/>
  <c r="H27"/>
  <c r="F6" i="31"/>
  <c r="F7" s="1"/>
  <c r="F12" s="1"/>
  <c r="F14" s="1"/>
  <c r="O22" i="2"/>
  <c r="D28" i="4" l="1"/>
  <c r="O6" i="3"/>
  <c r="O12" s="1"/>
  <c r="O28" s="1"/>
  <c r="O31" s="1"/>
  <c r="P21" i="15"/>
  <c r="O36" i="1"/>
  <c r="H28" i="4" l="1"/>
  <c r="F28"/>
  <c r="I28" s="1"/>
  <c r="J28" s="1"/>
  <c r="O7" i="1"/>
  <c r="O10" s="1"/>
  <c r="O22" s="1"/>
  <c r="P22" i="15" s="1"/>
  <c r="P18"/>
  <c r="P30" i="3"/>
  <c r="O37" i="1"/>
  <c r="D29" i="4" l="1"/>
  <c r="F29" s="1"/>
  <c r="I29" s="1"/>
  <c r="J29" s="1"/>
  <c r="K29" s="1"/>
  <c r="K28"/>
  <c r="O39" i="1"/>
  <c r="O41" s="1"/>
  <c r="P23" i="15"/>
  <c r="H29" i="4" l="1"/>
  <c r="D30" s="1"/>
  <c r="L26"/>
  <c r="P43"/>
  <c r="P42" l="1"/>
  <c r="P31" i="1" s="1"/>
  <c r="P33" s="1"/>
  <c r="H30" i="4"/>
  <c r="F30"/>
  <c r="I30" s="1"/>
  <c r="J30" s="1"/>
  <c r="K30" s="1"/>
  <c r="P16" i="2"/>
  <c r="G21" i="31"/>
  <c r="G22" s="1"/>
  <c r="G23" s="1"/>
  <c r="P23" i="3"/>
  <c r="P26" s="1"/>
  <c r="D31" i="4" l="1"/>
  <c r="F31" s="1"/>
  <c r="I31" s="1"/>
  <c r="J31" s="1"/>
  <c r="K31" s="1"/>
  <c r="P18" i="2"/>
  <c r="P9" i="3"/>
  <c r="H31" i="4" l="1"/>
  <c r="D32" s="1"/>
  <c r="P6" i="23"/>
  <c r="F32" i="4" l="1"/>
  <c r="I32" s="1"/>
  <c r="J32" s="1"/>
  <c r="K32" s="1"/>
  <c r="H32"/>
  <c r="P8" i="23"/>
  <c r="Q5" s="1"/>
  <c r="P7"/>
  <c r="P9" s="1"/>
  <c r="P20" i="2" s="1"/>
  <c r="D33" i="4" l="1"/>
  <c r="F33" s="1"/>
  <c r="I33" s="1"/>
  <c r="J33" s="1"/>
  <c r="G6" i="31"/>
  <c r="G7" s="1"/>
  <c r="G12" s="1"/>
  <c r="G14" s="1"/>
  <c r="P22" i="2"/>
  <c r="H33" i="4" l="1"/>
  <c r="D34" s="1"/>
  <c r="Q43"/>
  <c r="K33"/>
  <c r="L30" s="1"/>
  <c r="P36" i="1"/>
  <c r="P37" s="1"/>
  <c r="P39" s="1"/>
  <c r="Q21" i="15"/>
  <c r="P6" i="3"/>
  <c r="P12" s="1"/>
  <c r="P28" s="1"/>
  <c r="P31" s="1"/>
  <c r="Q23" i="15" l="1"/>
  <c r="Q42" i="4"/>
  <c r="Q31" i="1" s="1"/>
  <c r="Q33" s="1"/>
  <c r="F34" i="4"/>
  <c r="I34" s="1"/>
  <c r="J34" s="1"/>
  <c r="K34" s="1"/>
  <c r="H34"/>
  <c r="Q16" i="2"/>
  <c r="Q23" i="3"/>
  <c r="Q26" s="1"/>
  <c r="H21" i="31"/>
  <c r="H22" s="1"/>
  <c r="H23" s="1"/>
  <c r="P7" i="1"/>
  <c r="P10" s="1"/>
  <c r="P22" s="1"/>
  <c r="Q22" i="15" s="1"/>
  <c r="Q30" i="3"/>
  <c r="Q18" i="15"/>
  <c r="D35" i="4" l="1"/>
  <c r="F35" s="1"/>
  <c r="I35" s="1"/>
  <c r="J35" s="1"/>
  <c r="K35" s="1"/>
  <c r="Q9" i="3"/>
  <c r="Q18" i="2"/>
  <c r="Q6" i="23" s="1"/>
  <c r="P41" i="1"/>
  <c r="H35" i="4" l="1"/>
  <c r="D36" s="1"/>
  <c r="H36" s="1"/>
  <c r="Q8" i="23"/>
  <c r="R5" s="1"/>
  <c r="Q7"/>
  <c r="Q9" s="1"/>
  <c r="Q20" i="2" s="1"/>
  <c r="F36" i="4" l="1"/>
  <c r="I36" s="1"/>
  <c r="J36" s="1"/>
  <c r="K36" s="1"/>
  <c r="H6" i="31"/>
  <c r="H7" s="1"/>
  <c r="H12" s="1"/>
  <c r="H14" s="1"/>
  <c r="Q22" i="2"/>
  <c r="D37" i="4" l="1"/>
  <c r="H37" s="1"/>
  <c r="R42" s="1"/>
  <c r="R31" i="1" s="1"/>
  <c r="R33" s="1"/>
  <c r="Q36"/>
  <c r="Q37" s="1"/>
  <c r="Q39" s="1"/>
  <c r="Q6" i="3"/>
  <c r="Q12" s="1"/>
  <c r="Q28" s="1"/>
  <c r="Q31" s="1"/>
  <c r="R21" i="15"/>
  <c r="F37" i="4" l="1"/>
  <c r="I37" s="1"/>
  <c r="J37" s="1"/>
  <c r="R43" s="1"/>
  <c r="R23" i="15"/>
  <c r="R30" i="3"/>
  <c r="R18" i="15"/>
  <c r="Q7" i="1"/>
  <c r="Q10" s="1"/>
  <c r="Q22" s="1"/>
  <c r="K37" i="4" l="1"/>
  <c r="L34" s="1"/>
  <c r="R22" i="15"/>
  <c r="Q41" i="1"/>
  <c r="R23" i="3"/>
  <c r="R26" s="1"/>
  <c r="R16" i="2"/>
  <c r="I21" i="31"/>
  <c r="I22" s="1"/>
  <c r="I23" s="1"/>
  <c r="C24" s="1"/>
  <c r="D16" i="15" s="1"/>
  <c r="R18" i="2" l="1"/>
  <c r="R6" i="23" s="1"/>
  <c r="R8" s="1"/>
  <c r="R9" i="3"/>
  <c r="R7" i="23" l="1"/>
  <c r="R9" s="1"/>
  <c r="R20" i="2" s="1"/>
  <c r="R22" s="1"/>
  <c r="I6" i="31" l="1"/>
  <c r="I7" s="1"/>
  <c r="I12" s="1"/>
  <c r="I14" s="1"/>
  <c r="C15" s="1"/>
  <c r="D15" i="15" s="1"/>
  <c r="R6" i="3"/>
  <c r="R12" s="1"/>
  <c r="R28" s="1"/>
  <c r="R31" s="1"/>
  <c r="S21" i="15"/>
  <c r="R36" i="1"/>
  <c r="R37" s="1"/>
  <c r="R39" s="1"/>
  <c r="S23" i="15" l="1"/>
  <c r="S18"/>
  <c r="R7" i="1"/>
  <c r="R10" s="1"/>
  <c r="R22" s="1"/>
  <c r="S22" i="15" s="1"/>
  <c r="R41" i="1" l="1"/>
</calcChain>
</file>

<file path=xl/sharedStrings.xml><?xml version="1.0" encoding="utf-8"?>
<sst xmlns="http://schemas.openxmlformats.org/spreadsheetml/2006/main" count="1788" uniqueCount="504">
  <si>
    <t>Rental</t>
  </si>
  <si>
    <t>Marketing</t>
  </si>
  <si>
    <t>Mobilization</t>
  </si>
  <si>
    <t xml:space="preserve">AMC </t>
  </si>
  <si>
    <t>Stationery/ Consummables</t>
  </si>
  <si>
    <t>Lab Equipment</t>
  </si>
  <si>
    <t>Y1</t>
  </si>
  <si>
    <t>Y2</t>
  </si>
  <si>
    <t>Y3</t>
  </si>
  <si>
    <t>Y4</t>
  </si>
  <si>
    <t>Y5</t>
  </si>
  <si>
    <t>Y6</t>
  </si>
  <si>
    <t>Y7</t>
  </si>
  <si>
    <t>Q1</t>
  </si>
  <si>
    <t>Q2</t>
  </si>
  <si>
    <t>Q3</t>
  </si>
  <si>
    <t>Q4</t>
  </si>
  <si>
    <t>Current Assets</t>
  </si>
  <si>
    <t>Accounts Receivables</t>
  </si>
  <si>
    <t>Other Current Assets</t>
  </si>
  <si>
    <t>Total Current Assets</t>
  </si>
  <si>
    <t xml:space="preserve">Fixed Assets </t>
  </si>
  <si>
    <t>Gross Block</t>
  </si>
  <si>
    <t>Less Depreciation</t>
  </si>
  <si>
    <t xml:space="preserve">Intangible Assets </t>
  </si>
  <si>
    <t>Less Amortization</t>
  </si>
  <si>
    <t xml:space="preserve">Total Assets </t>
  </si>
  <si>
    <t>Assets</t>
  </si>
  <si>
    <t>Liabilities and Equity</t>
  </si>
  <si>
    <t>Current Liabilities</t>
  </si>
  <si>
    <t>Accounts Payable</t>
  </si>
  <si>
    <t>Other Current Liabilities</t>
  </si>
  <si>
    <t>Total Current Liabilities</t>
  </si>
  <si>
    <t>Net Fixed Assets</t>
  </si>
  <si>
    <t>Non Current Liabilities</t>
  </si>
  <si>
    <t>NSDC Loan</t>
  </si>
  <si>
    <t>Shareholders Equity</t>
  </si>
  <si>
    <t>Reserves and Surplus</t>
  </si>
  <si>
    <t>Total Equity</t>
  </si>
  <si>
    <t>Total Liabilities</t>
  </si>
  <si>
    <t>Total Liabilities and Equity</t>
  </si>
  <si>
    <t>Total Revenue</t>
  </si>
  <si>
    <t>Total Operating Expenses</t>
  </si>
  <si>
    <t>Depreciation</t>
  </si>
  <si>
    <t>Amortization</t>
  </si>
  <si>
    <t>EBIT</t>
  </si>
  <si>
    <t>Interest on NSDC Loan</t>
  </si>
  <si>
    <t>EBT</t>
  </si>
  <si>
    <t>Taxes</t>
  </si>
  <si>
    <t>EAT</t>
  </si>
  <si>
    <t>Operating Activities</t>
  </si>
  <si>
    <t>Earnings After Tax</t>
  </si>
  <si>
    <t>Add Depreciation</t>
  </si>
  <si>
    <t>Add Amortization</t>
  </si>
  <si>
    <t xml:space="preserve">Add Interest </t>
  </si>
  <si>
    <t>Less Increase in Working Capital</t>
  </si>
  <si>
    <t>Investing Activities</t>
  </si>
  <si>
    <t>Capital Expenditure - Fixed Assets</t>
  </si>
  <si>
    <t xml:space="preserve">Content Development </t>
  </si>
  <si>
    <t>Financing Activities</t>
  </si>
  <si>
    <t>Loan from NSDC</t>
  </si>
  <si>
    <t>Promoter's Contribution</t>
  </si>
  <si>
    <t>Repayment of NSDC Loan</t>
  </si>
  <si>
    <t>Opening Cash Balance</t>
  </si>
  <si>
    <t>Closing Cash Balance</t>
  </si>
  <si>
    <t>Opening Balance</t>
  </si>
  <si>
    <t>Additions</t>
  </si>
  <si>
    <t>Repayment</t>
  </si>
  <si>
    <t>Closing Balance</t>
  </si>
  <si>
    <t>Interest Due</t>
  </si>
  <si>
    <t>Interest Payment</t>
  </si>
  <si>
    <t>Total Repayment</t>
  </si>
  <si>
    <t>Annual Repayment</t>
  </si>
  <si>
    <t>Year</t>
  </si>
  <si>
    <t>Quarter</t>
  </si>
  <si>
    <t>Revenue from Training Fee</t>
  </si>
  <si>
    <t xml:space="preserve">Revenue from Assessment Fee </t>
  </si>
  <si>
    <t>Revenue from Placement Fee</t>
  </si>
  <si>
    <t xml:space="preserve">Other Fee </t>
  </si>
  <si>
    <t>Cumulative Number of Centres</t>
  </si>
  <si>
    <t xml:space="preserve">Training Fee </t>
  </si>
  <si>
    <t xml:space="preserve">Assessment Fee </t>
  </si>
  <si>
    <t xml:space="preserve">Placement Fee </t>
  </si>
  <si>
    <t>Rental Expenses</t>
  </si>
  <si>
    <t>Marketing Expenses</t>
  </si>
  <si>
    <t>Assessment and Certification Expenses</t>
  </si>
  <si>
    <t>Annual Maintenance Charges for Fixed Assets</t>
  </si>
  <si>
    <t>Salary Expenses</t>
  </si>
  <si>
    <t>Debtor Days</t>
  </si>
  <si>
    <t>Creditor Days</t>
  </si>
  <si>
    <t xml:space="preserve">Cash </t>
  </si>
  <si>
    <t>Operational Milestones</t>
  </si>
  <si>
    <t>No. of Centres</t>
  </si>
  <si>
    <t>Funding Details</t>
  </si>
  <si>
    <t>Promoter's Contribution as % of Total Project Cost</t>
  </si>
  <si>
    <t xml:space="preserve">Loss Funding </t>
  </si>
  <si>
    <t>Financial Milestones</t>
  </si>
  <si>
    <t>DSCR</t>
  </si>
  <si>
    <t>Operating Expenses as % of Revenue</t>
  </si>
  <si>
    <t>Trainers</t>
  </si>
  <si>
    <t>Security Guard</t>
  </si>
  <si>
    <t xml:space="preserve">Centre Wise Human Resource Requirement </t>
  </si>
  <si>
    <t>Centre Level</t>
  </si>
  <si>
    <t>Head Office Level</t>
  </si>
  <si>
    <t>Salary : Centre Level</t>
  </si>
  <si>
    <t>Salary : Head Office</t>
  </si>
  <si>
    <t>FINANCIAL MODEL</t>
  </si>
  <si>
    <t>Checklist</t>
  </si>
  <si>
    <t>Number of Centres Opened</t>
  </si>
  <si>
    <t>Centre</t>
  </si>
  <si>
    <t>Sector</t>
  </si>
  <si>
    <t>Trade</t>
  </si>
  <si>
    <t>Maximum Batch Capacity</t>
  </si>
  <si>
    <t>..</t>
  </si>
  <si>
    <t>Training Hours per day</t>
  </si>
  <si>
    <t>Total Classroom Training Hours</t>
  </si>
  <si>
    <t>No. of Days for entire course</t>
  </si>
  <si>
    <t>Trades and Duration</t>
  </si>
  <si>
    <t>No. of Hours Operational</t>
  </si>
  <si>
    <t>Centre Operating Hours</t>
  </si>
  <si>
    <t>No. of Classrooms</t>
  </si>
  <si>
    <t>No. of Labs</t>
  </si>
  <si>
    <t>Centre Wise Infrastructure</t>
  </si>
  <si>
    <t>Total No. of Available Operating Hours</t>
  </si>
  <si>
    <t>No. of Hours Utilized</t>
  </si>
  <si>
    <t>No. of Hours Utilized as % of Total No. of Available Hours</t>
  </si>
  <si>
    <t>Capacity Utilizaton</t>
  </si>
  <si>
    <t>Capacity Utilization (%)</t>
  </si>
  <si>
    <t xml:space="preserve">Capacity Utilization is defined as number of students enrolled as % of maximum batch capacity. Capacity Utilization has been assumed to be same across trades and sectors </t>
  </si>
  <si>
    <t>Total No. of Students : Centre Wise</t>
  </si>
  <si>
    <t>No. of Batches Centre Wise</t>
  </si>
  <si>
    <t>Centre Ramp up</t>
  </si>
  <si>
    <t>Maximum Batch Capacity ( No. of Students)</t>
  </si>
  <si>
    <t>The expense heads shown above are indicative. The applicant can modify expense heads depending upon their operations</t>
  </si>
  <si>
    <t>The revenue heads shown above are indicative. The applicant can modify revenue heads depending upon their operations</t>
  </si>
  <si>
    <t xml:space="preserve">Salary Expenses </t>
  </si>
  <si>
    <t>Designation</t>
  </si>
  <si>
    <t>( Roles shown below are only indicative)</t>
  </si>
  <si>
    <t>Balance Sheet</t>
  </si>
  <si>
    <t>Total Area ( Sq. Ft.)</t>
  </si>
  <si>
    <t>Rate per sq. ft.(INR)</t>
  </si>
  <si>
    <t>Rental Expense</t>
  </si>
  <si>
    <t>P&amp;L Statement</t>
  </si>
  <si>
    <t>Cash Flow Statement</t>
  </si>
  <si>
    <t>Debt Repayment Schedule</t>
  </si>
  <si>
    <t xml:space="preserve">Revenue Schedule </t>
  </si>
  <si>
    <t>No. of Students Trained</t>
  </si>
  <si>
    <t>Revenue Assumptions</t>
  </si>
  <si>
    <t>Capacity Utilization</t>
  </si>
  <si>
    <t>Operational Expenses</t>
  </si>
  <si>
    <t>Human Resources</t>
  </si>
  <si>
    <t>Back to Index</t>
  </si>
  <si>
    <t>Key Parameters</t>
  </si>
  <si>
    <t>Category</t>
  </si>
  <si>
    <t>IRR (%)</t>
  </si>
  <si>
    <t>Total NSDC Loan (INR)</t>
  </si>
  <si>
    <t>Promoter's Contribution (INR)</t>
  </si>
  <si>
    <t>Principal Moratorium ( No. of Years)</t>
  </si>
  <si>
    <t>Interest Moratorium ( No. of Years)</t>
  </si>
  <si>
    <t>Annual Interest Rate (%)</t>
  </si>
  <si>
    <t>Snapshot of Funding</t>
  </si>
  <si>
    <t>Disbursement Schedule</t>
  </si>
  <si>
    <t>Repayment Schedule</t>
  </si>
  <si>
    <t>(All in INR)</t>
  </si>
  <si>
    <t>Total No. of Students : Trade Wise</t>
  </si>
  <si>
    <t>Capex per center</t>
  </si>
  <si>
    <t>Electric Equipment</t>
  </si>
  <si>
    <t>Accumulated Depreciation</t>
  </si>
  <si>
    <t>Furniture &amp; Fixtures</t>
  </si>
  <si>
    <t>Total</t>
  </si>
  <si>
    <t>S. No.</t>
  </si>
  <si>
    <t>Particulars</t>
  </si>
  <si>
    <t>Furniture &amp; Fixture</t>
  </si>
  <si>
    <t xml:space="preserve">Furniture &amp; Fixtures </t>
  </si>
  <si>
    <t xml:space="preserve">Total Depreciation </t>
  </si>
  <si>
    <t>Electrical Equipment</t>
  </si>
  <si>
    <t>Electrical Equipments</t>
  </si>
  <si>
    <t>Computers &amp; IT Hardware</t>
  </si>
  <si>
    <t>Head Office</t>
  </si>
  <si>
    <t xml:space="preserve">This financial model Template is designed to enable prospective firms/individuals to project their financials for a ten year duration period. Given below are the principal spreadsheets that can be used for developing the financial model </t>
  </si>
  <si>
    <t>Worksheet</t>
  </si>
  <si>
    <t>Description</t>
  </si>
  <si>
    <t>Interest and Principal Repayment Schedule</t>
  </si>
  <si>
    <t>Human Resource Requirement Calculations</t>
  </si>
  <si>
    <t>Other Operational Expense Calculations</t>
  </si>
  <si>
    <t xml:space="preserve">Snapshot of Operating Expenses </t>
  </si>
  <si>
    <t>Snapshot of Revenue</t>
  </si>
  <si>
    <t>Snapshot of Key Parameters</t>
  </si>
  <si>
    <t>Capex per unit</t>
  </si>
  <si>
    <t>Content Development Cost and Amortization</t>
  </si>
  <si>
    <t>Capex Requirements at Centre and Head Office</t>
  </si>
  <si>
    <t>Asset Class</t>
  </si>
  <si>
    <t>Furniture and Fixture</t>
  </si>
  <si>
    <t>List of Lab Equipment</t>
  </si>
  <si>
    <t>SNAPSHOT OF KEY PARAMETERS</t>
  </si>
  <si>
    <t>NSDC Loan (INR)</t>
  </si>
  <si>
    <t>Capex Funding (INR)</t>
  </si>
  <si>
    <t>Loss Funding (INR)</t>
  </si>
  <si>
    <t>Working Capital Funding (INR)</t>
  </si>
  <si>
    <t>Principal Moratorium (No. of years)</t>
  </si>
  <si>
    <t>Interest Moratorium (No. of years)</t>
  </si>
  <si>
    <t>Cumulative Cash Balances (INR)</t>
  </si>
  <si>
    <t>Net Intangible Assets</t>
  </si>
  <si>
    <t>Check</t>
  </si>
  <si>
    <t>Particulars (All in INR)</t>
  </si>
  <si>
    <t>NSDC Loan Disbursement (INR)</t>
  </si>
  <si>
    <t>Particular</t>
  </si>
  <si>
    <t>LOAN REPAYMENT SCHEDULE</t>
  </si>
  <si>
    <t>SNAPSHOT OF REVENUE HEADS</t>
  </si>
  <si>
    <t>CENTRE WISE AND TRADE WISE NUMBER OF STUDENTS TRAINED</t>
  </si>
  <si>
    <t>CAPACITY UTILIZATION CALCULATIONS</t>
  </si>
  <si>
    <t>No. of Shifts ( 1 Shift = 8 Hours)</t>
  </si>
  <si>
    <t>FEE ASSUMPTIONS</t>
  </si>
  <si>
    <t>SNAPSHOT OF OPERATING EXPENSES</t>
  </si>
  <si>
    <t>HUMAN RESOURCE REQUIREMENT</t>
  </si>
  <si>
    <t>OTHER OPERATIONAL EXPENSES</t>
  </si>
  <si>
    <t>Particular (INR)</t>
  </si>
  <si>
    <t>CONTENT DEVELOPMENT AND AMORTIZATION</t>
  </si>
  <si>
    <t>Amortization (INR)</t>
  </si>
  <si>
    <t>Capex</t>
  </si>
  <si>
    <t>Snapshot of Overall Capex Requirement</t>
  </si>
  <si>
    <t>Tax Schedule</t>
  </si>
  <si>
    <t>Total Tax</t>
  </si>
  <si>
    <t>TAX SCHEDULE</t>
  </si>
  <si>
    <t>Cost (INR)</t>
  </si>
  <si>
    <t>Unit(#)</t>
  </si>
  <si>
    <t>Total Cost (INR)</t>
  </si>
  <si>
    <t xml:space="preserve">CAPEX ESTIMATES AT CENTRE AND HEAD OFFICE </t>
  </si>
  <si>
    <t>Computers and IT Hardware</t>
  </si>
  <si>
    <t>Grand Total</t>
  </si>
  <si>
    <t>DEPRECIATION SCHEDULE</t>
  </si>
  <si>
    <t>SNAPSHOT OF OVERALL CAPEX ESTIMATES</t>
  </si>
  <si>
    <t>IRR</t>
  </si>
  <si>
    <t xml:space="preserve">EBIT </t>
  </si>
  <si>
    <t>EBIT (1-t)</t>
  </si>
  <si>
    <t xml:space="preserve">Add Depreciation </t>
  </si>
  <si>
    <t>Less Capital Expenditure</t>
  </si>
  <si>
    <t>FCFF</t>
  </si>
  <si>
    <t>Terminal Value</t>
  </si>
  <si>
    <t>FCFF + Terminal Value</t>
  </si>
  <si>
    <t>Loan Repayment</t>
  </si>
  <si>
    <t>Interest Repayment</t>
  </si>
  <si>
    <t>DSCR is calculated as EBIT/(Total Repayment)</t>
  </si>
  <si>
    <t>Calculate DSCR for the repayment period</t>
  </si>
  <si>
    <t xml:space="preserve">Total Revenue </t>
  </si>
  <si>
    <t>Operating Expenses</t>
  </si>
  <si>
    <t xml:space="preserve">Centre Capacity Utilization </t>
  </si>
  <si>
    <t>CALCULATION OF KEY METRICS</t>
  </si>
  <si>
    <t>Particulars ( All in INR)</t>
  </si>
  <si>
    <t xml:space="preserve">NSDC Loan </t>
  </si>
  <si>
    <t>Total Sources of Funds</t>
  </si>
  <si>
    <t>Capex Funding</t>
  </si>
  <si>
    <t xml:space="preserve">Working Capital Funding </t>
  </si>
  <si>
    <t>Total Uses of Funds</t>
  </si>
  <si>
    <t>INDEX SHEET</t>
  </si>
  <si>
    <t>Color Coding</t>
  </si>
  <si>
    <t>Legend</t>
  </si>
  <si>
    <t>Validation Sheet</t>
  </si>
  <si>
    <t>Output Sheet</t>
  </si>
  <si>
    <t>Derived Sheet</t>
  </si>
  <si>
    <t>Assumption Sheet</t>
  </si>
  <si>
    <t>For PD Team to ensure financial model conforms to NSDC Requirements</t>
  </si>
  <si>
    <t>Depreciation Schedule</t>
  </si>
  <si>
    <t>Trade and Centre Wise Capacity Utilization</t>
  </si>
  <si>
    <t>Trade and Centre Wise Number of Students</t>
  </si>
  <si>
    <t>Training Fee</t>
  </si>
  <si>
    <t>Assessment Fee</t>
  </si>
  <si>
    <t>Placement Fee</t>
  </si>
  <si>
    <t xml:space="preserve">Revenue Heads </t>
  </si>
  <si>
    <t>Cash Flow from Operating Activities (A)</t>
  </si>
  <si>
    <t>Cash Flow from Investing Activities (B)</t>
  </si>
  <si>
    <t>Cash Flow from Financing Activities ( C)</t>
  </si>
  <si>
    <t>Loan Schedule</t>
  </si>
  <si>
    <t xml:space="preserve">Total Operating Expenses </t>
  </si>
  <si>
    <t xml:space="preserve">EBITDA </t>
  </si>
  <si>
    <t>NSDC Interest</t>
  </si>
  <si>
    <t>Total no. of students trained can be arrived at by mulyiplying the maximum batch capacity, capacity utililzation</t>
  </si>
  <si>
    <t>Total no. of students trained</t>
  </si>
  <si>
    <t>Average DSCR over repayment period</t>
  </si>
  <si>
    <t>EBITDA Margin</t>
  </si>
  <si>
    <t>EBIT Margin</t>
  </si>
  <si>
    <t>PAT Margin</t>
  </si>
  <si>
    <t>ROA</t>
  </si>
  <si>
    <t>ROE</t>
  </si>
  <si>
    <t>Closing Balance = Opening Balance + Additions - Repayment</t>
  </si>
  <si>
    <t>Additions from Loan Disbursement Table populated above</t>
  </si>
  <si>
    <t>Opening Balance =  Closing Balance in previous quarter + Interest Due - Interest Payment</t>
  </si>
  <si>
    <t>Interest Due = 1.5%* Closing Balance</t>
  </si>
  <si>
    <t>Total Repayment = Interest Payment + Principal Repayment</t>
  </si>
  <si>
    <t>Annual Repayment = Total Repayment in 4 quarters in year</t>
  </si>
  <si>
    <t>Training, Assessment, Placement Fee are calculated by multiplying the number of students trained in each trade with the fee applicable for that trade</t>
  </si>
  <si>
    <t>The revenue heads should be linked to " Revenue Assumptions" worksheet for trade wise fee  and " No. of Students Trained" worksheet for trade wise no. of students trained</t>
  </si>
  <si>
    <t>Other Fee</t>
  </si>
  <si>
    <t>Tax</t>
  </si>
  <si>
    <t>g</t>
  </si>
  <si>
    <t>r</t>
  </si>
  <si>
    <t>Cost of Content per hour (INR)</t>
  </si>
  <si>
    <t>OTHER CURRENT ASSETS AND LIABILITIES</t>
  </si>
  <si>
    <t>Total no. of students trade wise are arrived at by adding the number of students trained in same trade across centres</t>
  </si>
  <si>
    <t>Number of students trained trade wise is arrived at in worksheet " No. of Students Trained" ( Row 47 onwards)</t>
  </si>
  <si>
    <t>Total No. of Available operating hours is calculated by multiplying the number of hours a centre is operational and the number of classrooms</t>
  </si>
  <si>
    <t>Loan Amount</t>
  </si>
  <si>
    <t>Principal Repayment Period ( No. of years)</t>
  </si>
  <si>
    <t>Opening Gross Block</t>
  </si>
  <si>
    <t>Additions to Opening Block</t>
  </si>
  <si>
    <t>Closing Gross Block</t>
  </si>
  <si>
    <t>Closing Net Block</t>
  </si>
  <si>
    <t>Earnings Before Tax</t>
  </si>
  <si>
    <t xml:space="preserve">Taxable Income </t>
  </si>
  <si>
    <t>Accumulated Loss closing</t>
  </si>
  <si>
    <t>Depreciation Rates</t>
  </si>
  <si>
    <t>Amortization Rates</t>
  </si>
  <si>
    <t>Tax Rates</t>
  </si>
  <si>
    <t>Debtor and Creditor Days</t>
  </si>
  <si>
    <t>Principal Moratorium/ Principal Repayment</t>
  </si>
  <si>
    <t>Depreciation Rate (%)</t>
  </si>
  <si>
    <t>Amortization Rate for Content Development Cost</t>
  </si>
  <si>
    <t>Overall Tax Rate applicable</t>
  </si>
  <si>
    <t>Inflation Rates</t>
  </si>
  <si>
    <t>Inflation for Salary Expenses</t>
  </si>
  <si>
    <t>Inflation for Rental Expenses</t>
  </si>
  <si>
    <t>Inflation for other Operating Expenses</t>
  </si>
  <si>
    <t xml:space="preserve">Inflation in Fee </t>
  </si>
  <si>
    <t>Inflation for Content Development Expenses</t>
  </si>
  <si>
    <t>Inflation for Capital Expenditure</t>
  </si>
  <si>
    <t>Revenue from Other Fee</t>
  </si>
  <si>
    <t>Other Revenue sources</t>
  </si>
  <si>
    <t>Centre Wise Capacity Utilization Check</t>
  </si>
  <si>
    <t>SNAPSHOT OF UTILIZATION OF FUNDS</t>
  </si>
  <si>
    <t>Fund Utilization</t>
  </si>
  <si>
    <t>Snapshot of Sources and Uses of Funds</t>
  </si>
  <si>
    <t>Key Assumptions</t>
  </si>
  <si>
    <t>Input parameters to be filled by applicant</t>
  </si>
  <si>
    <t xml:space="preserve">Total No. of Hours Utilized is calculated by multiplying the number of hours per trade and number of batches of each trade offered in each centre </t>
  </si>
  <si>
    <t>Populate Capacity Utilization for all centres</t>
  </si>
  <si>
    <t>Content Dev</t>
  </si>
  <si>
    <t>Cells of this format should be linked to cells in derived sheets</t>
  </si>
  <si>
    <t>The operational expenses should be linked to derived sheets : Human Resources, Other Opex</t>
  </si>
  <si>
    <t xml:space="preserve">The capex items should be linked to derived sheets </t>
  </si>
  <si>
    <t>To be linked by the user to the derived sheets</t>
  </si>
  <si>
    <t>Inflation in Fee should be linked to " Fee Inflation" in Key Assumptions sheet</t>
  </si>
  <si>
    <t>Trade Wise Fee</t>
  </si>
  <si>
    <t>Other Revenue Sources</t>
  </si>
  <si>
    <t>Revenue Source 1</t>
  </si>
  <si>
    <t>Revenue Source 2</t>
  </si>
  <si>
    <t>Summary of Revenue Heads</t>
  </si>
  <si>
    <t>Other Reevenue Sources</t>
  </si>
  <si>
    <t>No. of Hours of Content Developed</t>
  </si>
  <si>
    <t>KEY ASSUMPTIONS</t>
  </si>
  <si>
    <t>Other Opex</t>
  </si>
  <si>
    <t>Equipment - Lab Costs</t>
  </si>
  <si>
    <t>Other CA and CL</t>
  </si>
  <si>
    <t>Other Current Assets and Liabilities</t>
  </si>
  <si>
    <t>Mandi</t>
  </si>
  <si>
    <t>Kangra</t>
  </si>
  <si>
    <t>Ghaziabad</t>
  </si>
  <si>
    <t>Retail</t>
  </si>
  <si>
    <t>N/A</t>
  </si>
  <si>
    <t>Center Co-ordinator</t>
  </si>
  <si>
    <t xml:space="preserve">Counseller cum Facilitator </t>
  </si>
  <si>
    <t>Security Guard( Night)</t>
  </si>
  <si>
    <t xml:space="preserve">Cleaner </t>
  </si>
  <si>
    <t>Mobliser</t>
  </si>
  <si>
    <t xml:space="preserve">CEO </t>
  </si>
  <si>
    <t>Manager- Accounts &amp; Finance</t>
  </si>
  <si>
    <t>Manager- Admn. &amp; Logistics</t>
  </si>
  <si>
    <t>Sr. Manager - Placement &amp; HR</t>
  </si>
  <si>
    <t>Sr. Executive- Placement</t>
  </si>
  <si>
    <t>Executive- IT</t>
  </si>
  <si>
    <t>Executive- MIS</t>
  </si>
  <si>
    <t>Office Boy</t>
  </si>
  <si>
    <t>Cleaner</t>
  </si>
  <si>
    <t>Zonal Manager Operation</t>
  </si>
  <si>
    <t>Number</t>
  </si>
  <si>
    <t>Salary ( INR / month)</t>
  </si>
  <si>
    <t>Salary (INR / month)</t>
  </si>
  <si>
    <t>All Centres</t>
  </si>
  <si>
    <t>Cleaning Material - Broom, Mop, Phynaile, Harpic Etc.</t>
  </si>
  <si>
    <t xml:space="preserve"> Water &amp; Electric Bill </t>
  </si>
  <si>
    <t>Internet &amp; Communication Exps</t>
  </si>
  <si>
    <t xml:space="preserve">Stationary-Induction Materials -Charts, Colors, pencil,etc. </t>
  </si>
  <si>
    <t>Mobilisation exps</t>
  </si>
  <si>
    <t xml:space="preserve">Promotion Material (Brouchure, Banner &amp; Phamplet </t>
  </si>
  <si>
    <t>Training &amp; Development -Guest Lectures</t>
  </si>
  <si>
    <t>Inauguration &amp; Graduation-PQ</t>
  </si>
  <si>
    <t>Staff Welfare Exp. &amp; Tea/ Coffee etc…</t>
  </si>
  <si>
    <t>Center Maint, admn &amp; Misc. Expenses</t>
  </si>
  <si>
    <t>Placement exps &amp; Local Conveyance</t>
  </si>
  <si>
    <t>AMC for Computer etc</t>
  </si>
  <si>
    <t>Expense Head</t>
  </si>
  <si>
    <t>Charge per montth</t>
  </si>
  <si>
    <t>Total Rent per month(INR)</t>
  </si>
  <si>
    <t>Water and Electricity</t>
  </si>
  <si>
    <t>Internet and Telephone</t>
  </si>
  <si>
    <t>Training and Development</t>
  </si>
  <si>
    <t xml:space="preserve">Inaugration and Graduation </t>
  </si>
  <si>
    <t>Staff Welfare Expenses</t>
  </si>
  <si>
    <t>Centre Maintenance and Admin Expenses</t>
  </si>
  <si>
    <t>Placement and Conveyance Expenses</t>
  </si>
  <si>
    <t>Cleaning Expenses</t>
  </si>
  <si>
    <t>Per Centre Expenses</t>
  </si>
  <si>
    <t>Telephone and Internet</t>
  </si>
  <si>
    <t>Mobilization Expenses</t>
  </si>
  <si>
    <t>Training and Development - Guest Lectures</t>
  </si>
  <si>
    <t>Inaugration and Graduation</t>
  </si>
  <si>
    <t>Centre Maintenance and General Admin Expenses</t>
  </si>
  <si>
    <t>Water and Electricity Expenses</t>
  </si>
  <si>
    <t xml:space="preserve">Assessment Charges </t>
  </si>
  <si>
    <t>Computers</t>
  </si>
  <si>
    <t>Printer</t>
  </si>
  <si>
    <t>CCTV Camera</t>
  </si>
  <si>
    <t>Microsoft Office and OS</t>
  </si>
  <si>
    <t xml:space="preserve">Laptop </t>
  </si>
  <si>
    <t>Projector</t>
  </si>
  <si>
    <t>Photocopier</t>
  </si>
  <si>
    <t>UPS</t>
  </si>
  <si>
    <t>Computer Tables &amp; Chairs - 20 computers at each center</t>
  </si>
  <si>
    <t>Student chairs with writing pad</t>
  </si>
  <si>
    <t xml:space="preserve">Eletric items with fitting and labour work </t>
  </si>
  <si>
    <t>Flex Board- Front</t>
  </si>
  <si>
    <t>Office Table-staff</t>
  </si>
  <si>
    <t>Office Chairs- staff &amp; Visitors</t>
  </si>
  <si>
    <t xml:space="preserve">Almirha-office </t>
  </si>
  <si>
    <t>White Board</t>
  </si>
  <si>
    <t>Notice Board</t>
  </si>
  <si>
    <t>Teacher’s Desk</t>
  </si>
  <si>
    <t>Fire Extinguisher</t>
  </si>
  <si>
    <t>First-Aid Kit</t>
  </si>
  <si>
    <t>Water cooler &amp; Aquagard</t>
  </si>
  <si>
    <t>Biometric Attendance System</t>
  </si>
  <si>
    <t>Exhaust Fan</t>
  </si>
  <si>
    <t xml:space="preserve">Table </t>
  </si>
  <si>
    <t>Chairs</t>
  </si>
  <si>
    <t>Electrical Fittings</t>
  </si>
  <si>
    <t>Cupboards &amp; Shelves</t>
  </si>
  <si>
    <t>Air Conditioners</t>
  </si>
  <si>
    <t>DG Set</t>
  </si>
  <si>
    <t>Water Cooler</t>
  </si>
  <si>
    <t>Other Renovation Cost ( Cost/ Sq. Ft * Sq. Ft)</t>
  </si>
  <si>
    <t>Healthcare Services</t>
  </si>
  <si>
    <t>Assessment Charges per student</t>
  </si>
  <si>
    <t>Cumulative Total</t>
  </si>
  <si>
    <t>Inflation in Fee</t>
  </si>
  <si>
    <t xml:space="preserve">Computer Tables &amp; Chairs </t>
  </si>
  <si>
    <t>Equipment for Healthcare</t>
  </si>
  <si>
    <t>Cooler/AC</t>
  </si>
  <si>
    <t>HO Renovation Cost ( Cost/ Sq. Ft * Sq. Ft)</t>
  </si>
  <si>
    <t>Inverter/UPS</t>
  </si>
  <si>
    <t xml:space="preserve">Eletric items </t>
  </si>
  <si>
    <t>The above is based on courses offered in particular centres</t>
  </si>
  <si>
    <t>Net Cash Flow (A-B+C)</t>
  </si>
  <si>
    <t>CONTENT DEVELOPMENT</t>
  </si>
  <si>
    <t>Accounts Receivable</t>
  </si>
  <si>
    <t>SNAPSHOT OF CURRENT ASSETS AND CURRENT LIABILITIES</t>
  </si>
  <si>
    <t xml:space="preserve">Inflation in Salary Expenses </t>
  </si>
  <si>
    <t>Inflation in Rental Expenses</t>
  </si>
  <si>
    <t>Infaltion in Content Development</t>
  </si>
  <si>
    <t>Inflation in Other Operating Expenses</t>
  </si>
  <si>
    <t>DSCR ( over repayment period)</t>
  </si>
  <si>
    <t>CA and CL</t>
  </si>
  <si>
    <t>Snapshot of Current Assets and Liabilities</t>
  </si>
  <si>
    <t>Content Development</t>
  </si>
  <si>
    <t>Content Development Expenses</t>
  </si>
  <si>
    <t>7 YEAR FORECAST OF BALANCE SHEET</t>
  </si>
  <si>
    <t>7 YEAR FORECAST OF P&amp;L STATEMENT</t>
  </si>
  <si>
    <t>7 YEAR FORECAST OF CASH FLOW STATEMENT</t>
  </si>
  <si>
    <t>Accumulated Profit/Loss Opening</t>
  </si>
  <si>
    <t xml:space="preserve"> </t>
  </si>
  <si>
    <t xml:space="preserve">CAPEX ESTIMATES FOR LAB EQUIPMENT </t>
  </si>
  <si>
    <t>NOTE: Item-Wise details required for each sector proposed</t>
  </si>
  <si>
    <t>7 Year Forecast</t>
  </si>
  <si>
    <t>LAB EQUIPMENT - Investment Schedule (To be linked with the above totals for each of the proposed sectors)</t>
  </si>
  <si>
    <t>Companies Act  Depreciation Rates</t>
  </si>
  <si>
    <t>Retail Training Associates</t>
  </si>
  <si>
    <t>Retail Team Leader</t>
  </si>
  <si>
    <t>Domestic Data Entry Operator</t>
  </si>
  <si>
    <t>Domestic IT Helpdesk Attendent</t>
  </si>
  <si>
    <t>Shimla</t>
  </si>
  <si>
    <t>Solan</t>
  </si>
  <si>
    <t>Kullu</t>
  </si>
  <si>
    <t>Electric Fans/Room Heater</t>
  </si>
  <si>
    <t>Bilaspur</t>
  </si>
  <si>
    <t>Kinnaur</t>
  </si>
  <si>
    <t>Una</t>
  </si>
  <si>
    <t>Hamirpur</t>
  </si>
  <si>
    <t>Chamba</t>
  </si>
  <si>
    <t>Lahaul &amp; Spiti</t>
  </si>
  <si>
    <t>Sirmour</t>
  </si>
  <si>
    <t>Chandigarh</t>
  </si>
  <si>
    <t>Panchkula</t>
  </si>
  <si>
    <t>Ambala</t>
  </si>
  <si>
    <t>Delhi</t>
  </si>
  <si>
    <t>Gurgaon</t>
  </si>
  <si>
    <t>Faridabad</t>
  </si>
  <si>
    <t>Noida</t>
  </si>
  <si>
    <t>Lahaul &amp; Spitti</t>
  </si>
  <si>
    <t>Information Technology</t>
  </si>
  <si>
    <t xml:space="preserve">Retail </t>
  </si>
  <si>
    <t>IT Lab</t>
  </si>
  <si>
    <t>Equiipment for Retail</t>
  </si>
  <si>
    <t>Equipment for IT</t>
  </si>
  <si>
    <t>NSDC Proposal for Training Partner</t>
  </si>
  <si>
    <t>Prepared On: 04/2018</t>
  </si>
  <si>
    <t xml:space="preserve">Prepared By: </t>
  </si>
</sst>
</file>

<file path=xl/styles.xml><?xml version="1.0" encoding="utf-8"?>
<styleSheet xmlns="http://schemas.openxmlformats.org/spreadsheetml/2006/main">
  <numFmts count="7">
    <numFmt numFmtId="164" formatCode="_(* #,##0.00_);_(* \(#,##0.00\);_(* &quot;-&quot;??_);_(@_)"/>
    <numFmt numFmtId="165" formatCode="_-* #,##0.00_-;\-* #,##0.00_-;_-* &quot;-&quot;??_-;_-@_-"/>
    <numFmt numFmtId="166" formatCode="_-* #,##0_-;\-* #,##0_-;_-* &quot;-&quot;??_-;_-@_-"/>
    <numFmt numFmtId="167" formatCode="[$-409]mmmm\-yy;@"/>
    <numFmt numFmtId="168" formatCode="_(* #,##0_);_(* \(#,##0\);_(* &quot;-&quot;??_);_(@_)"/>
    <numFmt numFmtId="169" formatCode="#,##0_);[Red]\-\ #,##0"/>
    <numFmt numFmtId="170" formatCode="_-&quot;Rs.&quot;* #,##0.00_-;\-&quot;Rs.&quot;* #,##0.00_-;_-&quot;Rs.&quot;* &quot;-&quot;??_-;_-@_-"/>
  </numFmts>
  <fonts count="3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EYInterstate"/>
    </font>
    <font>
      <sz val="10"/>
      <color rgb="FF0070C0"/>
      <name val="Calibri"/>
      <family val="2"/>
    </font>
    <font>
      <b/>
      <sz val="10"/>
      <color rgb="FF0070C0"/>
      <name val="Calibri"/>
      <family val="2"/>
    </font>
    <font>
      <sz val="20"/>
      <color rgb="FF0070C0"/>
      <name val="Calibri"/>
      <family val="2"/>
    </font>
    <font>
      <sz val="14"/>
      <name val="Calibri"/>
      <family val="2"/>
    </font>
    <font>
      <sz val="14"/>
      <color rgb="FF0070C0"/>
      <name val="Calibri"/>
      <family val="2"/>
    </font>
    <font>
      <b/>
      <sz val="14"/>
      <color rgb="FF0070C0"/>
      <name val="Calibri"/>
      <family val="2"/>
    </font>
    <font>
      <sz val="12"/>
      <color rgb="FF0070C0"/>
      <name val="Calibri"/>
      <family val="2"/>
    </font>
    <font>
      <sz val="14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Cambria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indexed="12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name val="Arial"/>
      <family val="2"/>
    </font>
    <font>
      <b/>
      <sz val="18"/>
      <color theme="3"/>
      <name val="Calibri Light"/>
      <family val="2"/>
      <scheme val="major"/>
    </font>
    <font>
      <i/>
      <sz val="1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lightGray"/>
    </fill>
    <fill>
      <patternFill patternType="solid">
        <fgColor theme="5" tint="0.399975585192419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4">
    <xf numFmtId="0" fontId="0" fillId="0" borderId="0"/>
    <xf numFmtId="0" fontId="3" fillId="0" borderId="0"/>
    <xf numFmtId="165" fontId="3" fillId="0" borderId="0" applyFont="0" applyFill="0" applyBorder="0" applyAlignment="0" applyProtection="0"/>
    <xf numFmtId="0" fontId="3" fillId="0" borderId="0"/>
    <xf numFmtId="0" fontId="13" fillId="0" borderId="10" applyNumberFormat="0" applyFill="0" applyAlignment="0" applyProtection="0"/>
    <xf numFmtId="0" fontId="14" fillId="0" borderId="11" applyNumberFormat="0" applyFill="0" applyAlignment="0" applyProtection="0"/>
    <xf numFmtId="0" fontId="15" fillId="0" borderId="0" applyNumberFormat="0" applyFill="0" applyBorder="0" applyAlignment="0" applyProtection="0"/>
    <xf numFmtId="164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/>
    <xf numFmtId="16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7" fillId="0" borderId="0"/>
    <xf numFmtId="164" fontId="3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33" fillId="11" borderId="52" applyNumberFormat="0" applyAlignment="0" applyProtection="0"/>
    <xf numFmtId="0" fontId="17" fillId="12" borderId="54" applyNumberFormat="0" applyFont="0" applyAlignment="0" applyProtection="0"/>
    <xf numFmtId="164" fontId="17" fillId="0" borderId="0" applyFont="0" applyFill="0" applyBorder="0" applyAlignment="0" applyProtection="0"/>
    <xf numFmtId="0" fontId="17" fillId="0" borderId="0"/>
  </cellStyleXfs>
  <cellXfs count="40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wrapText="1"/>
    </xf>
    <xf numFmtId="0" fontId="5" fillId="2" borderId="0" xfId="1" applyFont="1" applyFill="1"/>
    <xf numFmtId="0" fontId="5" fillId="3" borderId="5" xfId="1" applyFont="1" applyFill="1" applyBorder="1"/>
    <xf numFmtId="0" fontId="5" fillId="3" borderId="0" xfId="1" applyFont="1" applyFill="1" applyBorder="1"/>
    <xf numFmtId="0" fontId="5" fillId="3" borderId="6" xfId="1" applyFont="1" applyFill="1" applyBorder="1"/>
    <xf numFmtId="0" fontId="5" fillId="2" borderId="5" xfId="1" applyFont="1" applyFill="1" applyBorder="1"/>
    <xf numFmtId="0" fontId="5" fillId="2" borderId="0" xfId="1" applyFont="1" applyFill="1" applyBorder="1"/>
    <xf numFmtId="0" fontId="5" fillId="2" borderId="6" xfId="1" applyFont="1" applyFill="1" applyBorder="1"/>
    <xf numFmtId="0" fontId="9" fillId="2" borderId="0" xfId="1" applyFont="1" applyFill="1" applyBorder="1"/>
    <xf numFmtId="0" fontId="9" fillId="2" borderId="0" xfId="1" applyFont="1" applyFill="1" applyBorder="1" applyAlignment="1">
      <alignment horizontal="centerContinuous"/>
    </xf>
    <xf numFmtId="0" fontId="9" fillId="2" borderId="0" xfId="1" applyFont="1" applyFill="1"/>
    <xf numFmtId="0" fontId="11" fillId="2" borderId="0" xfId="1" applyFont="1" applyFill="1" applyBorder="1"/>
    <xf numFmtId="0" fontId="5" fillId="2" borderId="7" xfId="1" applyFont="1" applyFill="1" applyBorder="1"/>
    <xf numFmtId="0" fontId="5" fillId="2" borderId="8" xfId="1" applyFont="1" applyFill="1" applyBorder="1"/>
    <xf numFmtId="0" fontId="5" fillId="2" borderId="9" xfId="1" applyFont="1" applyFill="1" applyBorder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5" fillId="0" borderId="0" xfId="6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inden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6" fillId="0" borderId="1" xfId="0" applyFont="1" applyBorder="1"/>
    <xf numFmtId="0" fontId="13" fillId="0" borderId="10" xfId="4"/>
    <xf numFmtId="0" fontId="14" fillId="0" borderId="11" xfId="5"/>
    <xf numFmtId="0" fontId="1" fillId="4" borderId="1" xfId="0" applyFont="1" applyFill="1" applyBorder="1"/>
    <xf numFmtId="0" fontId="0" fillId="0" borderId="0" xfId="0" applyBorder="1" applyAlignment="1">
      <alignment wrapText="1"/>
    </xf>
    <xf numFmtId="0" fontId="13" fillId="0" borderId="10" xfId="4" applyFill="1"/>
    <xf numFmtId="0" fontId="0" fillId="0" borderId="1" xfId="0" applyFill="1" applyBorder="1"/>
    <xf numFmtId="0" fontId="0" fillId="0" borderId="1" xfId="0" applyFont="1" applyBorder="1" applyAlignment="1">
      <alignment horizontal="left"/>
    </xf>
    <xf numFmtId="0" fontId="18" fillId="3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vertical="center"/>
    </xf>
    <xf numFmtId="37" fontId="17" fillId="0" borderId="1" xfId="7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19" fillId="3" borderId="1" xfId="0" applyFont="1" applyFill="1" applyBorder="1" applyAlignment="1">
      <alignment vertical="center"/>
    </xf>
    <xf numFmtId="37" fontId="19" fillId="0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22" fillId="3" borderId="1" xfId="3" applyFont="1" applyFill="1" applyBorder="1" applyAlignment="1">
      <alignment horizontal="center"/>
    </xf>
    <xf numFmtId="0" fontId="22" fillId="3" borderId="1" xfId="3" applyFont="1" applyFill="1" applyBorder="1"/>
    <xf numFmtId="168" fontId="22" fillId="3" borderId="1" xfId="7" applyNumberFormat="1" applyFont="1" applyFill="1" applyBorder="1" applyAlignment="1">
      <alignment horizontal="center"/>
    </xf>
    <xf numFmtId="0" fontId="22" fillId="3" borderId="1" xfId="3" applyFont="1" applyFill="1" applyBorder="1" applyAlignment="1">
      <alignment horizontal="left"/>
    </xf>
    <xf numFmtId="168" fontId="22" fillId="3" borderId="15" xfId="7" applyNumberFormat="1" applyFont="1" applyFill="1" applyBorder="1" applyAlignment="1">
      <alignment horizontal="center"/>
    </xf>
    <xf numFmtId="0" fontId="22" fillId="3" borderId="13" xfId="3" applyFont="1" applyFill="1" applyBorder="1" applyAlignment="1">
      <alignment horizontal="center"/>
    </xf>
    <xf numFmtId="168" fontId="21" fillId="3" borderId="17" xfId="3" applyNumberFormat="1" applyFont="1" applyFill="1" applyBorder="1" applyAlignment="1">
      <alignment horizontal="center"/>
    </xf>
    <xf numFmtId="0" fontId="22" fillId="0" borderId="0" xfId="0" applyFont="1" applyFill="1" applyBorder="1"/>
    <xf numFmtId="0" fontId="22" fillId="0" borderId="1" xfId="0" applyFont="1" applyFill="1" applyBorder="1"/>
    <xf numFmtId="0" fontId="18" fillId="0" borderId="1" xfId="0" applyFont="1" applyFill="1" applyBorder="1"/>
    <xf numFmtId="10" fontId="20" fillId="0" borderId="0" xfId="8" applyNumberFormat="1" applyFont="1" applyBorder="1" applyAlignment="1">
      <alignment vertical="center" wrapText="1"/>
    </xf>
    <xf numFmtId="0" fontId="23" fillId="0" borderId="0" xfId="6" applyFont="1" applyFill="1" applyBorder="1" applyAlignment="1" applyProtection="1"/>
    <xf numFmtId="0" fontId="21" fillId="0" borderId="0" xfId="0" applyFont="1" applyFill="1" applyBorder="1"/>
    <xf numFmtId="0" fontId="19" fillId="0" borderId="1" xfId="0" applyFont="1" applyBorder="1"/>
    <xf numFmtId="0" fontId="19" fillId="6" borderId="1" xfId="0" applyFont="1" applyFill="1" applyBorder="1" applyAlignment="1">
      <alignment horizontal="left" indent="1"/>
    </xf>
    <xf numFmtId="169" fontId="22" fillId="0" borderId="1" xfId="2" applyNumberFormat="1" applyFont="1" applyFill="1" applyBorder="1"/>
    <xf numFmtId="0" fontId="18" fillId="0" borderId="1" xfId="0" applyFont="1" applyBorder="1"/>
    <xf numFmtId="168" fontId="18" fillId="6" borderId="1" xfId="0" applyNumberFormat="1" applyFont="1" applyFill="1" applyBorder="1"/>
    <xf numFmtId="37" fontId="0" fillId="0" borderId="1" xfId="7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28" fillId="0" borderId="3" xfId="12" applyFont="1" applyBorder="1" applyAlignment="1">
      <alignment horizontal="left" vertical="center" wrapText="1"/>
    </xf>
    <xf numFmtId="0" fontId="28" fillId="0" borderId="2" xfId="12" applyFont="1" applyBorder="1" applyAlignment="1">
      <alignment horizontal="left" vertical="center" wrapText="1"/>
    </xf>
    <xf numFmtId="0" fontId="15" fillId="0" borderId="1" xfId="6" applyBorder="1"/>
    <xf numFmtId="0" fontId="31" fillId="0" borderId="0" xfId="10" applyFont="1" applyFill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6" fillId="0" borderId="1" xfId="0" applyFont="1" applyBorder="1" applyAlignment="1">
      <alignment horizontal="left" indent="1"/>
    </xf>
    <xf numFmtId="0" fontId="1" fillId="0" borderId="0" xfId="0" applyFont="1" applyFill="1" applyBorder="1"/>
    <xf numFmtId="0" fontId="31" fillId="0" borderId="0" xfId="10" applyFont="1"/>
    <xf numFmtId="0" fontId="1" fillId="0" borderId="0" xfId="0" applyFont="1"/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/>
    </xf>
    <xf numFmtId="0" fontId="30" fillId="0" borderId="0" xfId="1" applyFont="1"/>
    <xf numFmtId="0" fontId="31" fillId="0" borderId="0" xfId="10" applyFont="1" applyAlignment="1"/>
    <xf numFmtId="0" fontId="1" fillId="0" borderId="0" xfId="0" applyFont="1" applyFill="1"/>
    <xf numFmtId="0" fontId="0" fillId="0" borderId="1" xfId="0" applyFill="1" applyBorder="1" applyAlignment="1">
      <alignment wrapText="1"/>
    </xf>
    <xf numFmtId="0" fontId="21" fillId="4" borderId="1" xfId="1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37" fontId="18" fillId="3" borderId="1" xfId="0" applyNumberFormat="1" applyFont="1" applyFill="1" applyBorder="1" applyAlignment="1">
      <alignment horizontal="center"/>
    </xf>
    <xf numFmtId="0" fontId="21" fillId="3" borderId="1" xfId="3" applyFont="1" applyFill="1" applyBorder="1" applyAlignment="1">
      <alignment horizontal="left"/>
    </xf>
    <xf numFmtId="0" fontId="21" fillId="3" borderId="1" xfId="3" applyFont="1" applyFill="1" applyBorder="1" applyAlignment="1">
      <alignment horizontal="center"/>
    </xf>
    <xf numFmtId="0" fontId="21" fillId="3" borderId="13" xfId="3" applyFont="1" applyFill="1" applyBorder="1" applyAlignment="1">
      <alignment horizontal="center"/>
    </xf>
    <xf numFmtId="38" fontId="31" fillId="0" borderId="0" xfId="1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0" fillId="9" borderId="1" xfId="0" applyFill="1" applyBorder="1"/>
    <xf numFmtId="0" fontId="0" fillId="8" borderId="1" xfId="0" applyFill="1" applyBorder="1"/>
    <xf numFmtId="0" fontId="0" fillId="10" borderId="1" xfId="0" applyFill="1" applyBorder="1"/>
    <xf numFmtId="0" fontId="32" fillId="0" borderId="0" xfId="12" applyFont="1" applyBorder="1" applyAlignment="1">
      <alignment horizontal="left" vertical="center" wrapText="1"/>
    </xf>
    <xf numFmtId="0" fontId="0" fillId="7" borderId="1" xfId="0" applyFill="1" applyBorder="1"/>
    <xf numFmtId="0" fontId="0" fillId="0" borderId="1" xfId="0" applyFont="1" applyFill="1" applyBorder="1"/>
    <xf numFmtId="0" fontId="0" fillId="0" borderId="15" xfId="0" applyFont="1" applyBorder="1" applyAlignment="1">
      <alignment horizontal="left"/>
    </xf>
    <xf numFmtId="0" fontId="0" fillId="0" borderId="15" xfId="0" applyBorder="1"/>
    <xf numFmtId="0" fontId="1" fillId="0" borderId="20" xfId="0" applyFont="1" applyBorder="1" applyAlignment="1">
      <alignment horizontal="left"/>
    </xf>
    <xf numFmtId="0" fontId="1" fillId="0" borderId="21" xfId="0" applyFont="1" applyBorder="1"/>
    <xf numFmtId="0" fontId="0" fillId="0" borderId="28" xfId="0" applyBorder="1"/>
    <xf numFmtId="0" fontId="0" fillId="0" borderId="34" xfId="0" applyFont="1" applyBorder="1" applyAlignment="1">
      <alignment horizontal="left" wrapText="1"/>
    </xf>
    <xf numFmtId="0" fontId="0" fillId="0" borderId="33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0" fontId="0" fillId="0" borderId="42" xfId="0" applyBorder="1"/>
    <xf numFmtId="0" fontId="0" fillId="0" borderId="4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43" xfId="0" applyBorder="1"/>
    <xf numFmtId="0" fontId="0" fillId="0" borderId="36" xfId="0" applyFont="1" applyBorder="1" applyAlignment="1">
      <alignment horizontal="left" wrapText="1"/>
    </xf>
    <xf numFmtId="0" fontId="1" fillId="4" borderId="46" xfId="0" applyFont="1" applyFill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0" fillId="0" borderId="49" xfId="0" applyBorder="1"/>
    <xf numFmtId="0" fontId="0" fillId="0" borderId="44" xfId="0" applyFill="1" applyBorder="1"/>
    <xf numFmtId="0" fontId="0" fillId="0" borderId="39" xfId="0" applyBorder="1"/>
    <xf numFmtId="0" fontId="0" fillId="0" borderId="35" xfId="0" applyBorder="1"/>
    <xf numFmtId="9" fontId="0" fillId="0" borderId="27" xfId="0" applyNumberFormat="1" applyBorder="1" applyAlignment="1">
      <alignment horizontal="right"/>
    </xf>
    <xf numFmtId="0" fontId="1" fillId="0" borderId="2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9" fontId="0" fillId="0" borderId="1" xfId="19" applyFont="1" applyBorder="1"/>
    <xf numFmtId="0" fontId="0" fillId="0" borderId="1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4" fillId="4" borderId="21" xfId="1" applyFont="1" applyFill="1" applyBorder="1" applyAlignment="1">
      <alignment horizontal="center" vertical="center"/>
    </xf>
    <xf numFmtId="166" fontId="4" fillId="4" borderId="21" xfId="2" applyNumberFormat="1" applyFont="1" applyFill="1" applyBorder="1" applyAlignment="1">
      <alignment horizontal="center" vertical="center"/>
    </xf>
    <xf numFmtId="0" fontId="4" fillId="4" borderId="22" xfId="1" applyFont="1" applyFill="1" applyBorder="1" applyAlignment="1">
      <alignment horizontal="center" vertical="center"/>
    </xf>
    <xf numFmtId="9" fontId="0" fillId="0" borderId="12" xfId="19" applyFont="1" applyBorder="1"/>
    <xf numFmtId="0" fontId="29" fillId="0" borderId="1" xfId="0" applyFont="1" applyFill="1" applyBorder="1"/>
    <xf numFmtId="0" fontId="0" fillId="1" borderId="1" xfId="0" applyFill="1" applyBorder="1"/>
    <xf numFmtId="0" fontId="0" fillId="0" borderId="37" xfId="0" applyBorder="1"/>
    <xf numFmtId="0" fontId="15" fillId="0" borderId="0" xfId="6" applyAlignment="1" applyProtection="1">
      <alignment horizontal="left" wrapText="1"/>
      <protection locked="0"/>
    </xf>
    <xf numFmtId="0" fontId="33" fillId="11" borderId="52" xfId="20" applyProtection="1">
      <protection locked="0"/>
    </xf>
    <xf numFmtId="0" fontId="33" fillId="12" borderId="54" xfId="21" applyFont="1"/>
    <xf numFmtId="0" fontId="0" fillId="12" borderId="54" xfId="21" applyFont="1"/>
    <xf numFmtId="0" fontId="1" fillId="0" borderId="0" xfId="0" applyFont="1" applyBorder="1"/>
    <xf numFmtId="37" fontId="1" fillId="0" borderId="14" xfId="7" applyNumberFormat="1" applyFont="1" applyBorder="1" applyAlignment="1">
      <alignment horizontal="left"/>
    </xf>
    <xf numFmtId="0" fontId="0" fillId="1" borderId="14" xfId="0" applyFill="1" applyBorder="1"/>
    <xf numFmtId="37" fontId="1" fillId="0" borderId="20" xfId="7" applyNumberFormat="1" applyFont="1" applyBorder="1" applyAlignment="1">
      <alignment horizontal="right"/>
    </xf>
    <xf numFmtId="166" fontId="1" fillId="0" borderId="21" xfId="2" applyNumberFormat="1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vertical="center"/>
    </xf>
    <xf numFmtId="37" fontId="18" fillId="5" borderId="21" xfId="0" applyNumberFormat="1" applyFont="1" applyFill="1" applyBorder="1" applyAlignment="1">
      <alignment vertical="center"/>
    </xf>
    <xf numFmtId="165" fontId="17" fillId="12" borderId="54" xfId="21" applyNumberFormat="1" applyFont="1" applyAlignment="1">
      <alignment horizontal="center" vertical="center"/>
    </xf>
    <xf numFmtId="37" fontId="17" fillId="12" borderId="54" xfId="21" applyNumberFormat="1" applyFont="1" applyAlignment="1">
      <alignment horizontal="center" vertical="center"/>
    </xf>
    <xf numFmtId="0" fontId="33" fillId="11" borderId="1" xfId="20" applyBorder="1" applyProtection="1"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/>
    <xf numFmtId="168" fontId="33" fillId="11" borderId="52" xfId="22" applyNumberFormat="1" applyFont="1" applyFill="1" applyBorder="1" applyProtection="1"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0" fillId="0" borderId="1" xfId="0" applyBorder="1"/>
    <xf numFmtId="9" fontId="33" fillId="11" borderId="52" xfId="20" applyNumberFormat="1" applyProtection="1">
      <protection locked="0"/>
    </xf>
    <xf numFmtId="9" fontId="33" fillId="11" borderId="1" xfId="20" applyNumberFormat="1" applyBorder="1" applyProtection="1">
      <protection locked="0"/>
    </xf>
    <xf numFmtId="0" fontId="0" fillId="0" borderId="16" xfId="0" applyFill="1" applyBorder="1"/>
    <xf numFmtId="9" fontId="0" fillId="0" borderId="1" xfId="0" applyNumberFormat="1" applyBorder="1"/>
    <xf numFmtId="168" fontId="0" fillId="0" borderId="1" xfId="22" applyNumberFormat="1" applyFont="1" applyBorder="1"/>
    <xf numFmtId="0" fontId="22" fillId="0" borderId="1" xfId="18" applyFont="1" applyFill="1" applyBorder="1"/>
    <xf numFmtId="168" fontId="22" fillId="0" borderId="1" xfId="7" applyNumberFormat="1" applyFont="1" applyFill="1" applyBorder="1" applyAlignment="1">
      <alignment horizontal="center"/>
    </xf>
    <xf numFmtId="0" fontId="17" fillId="0" borderId="1" xfId="18" applyBorder="1"/>
    <xf numFmtId="0" fontId="19" fillId="0" borderId="1" xfId="18" applyFont="1" applyBorder="1"/>
    <xf numFmtId="0" fontId="17" fillId="0" borderId="1" xfId="18" applyFont="1" applyBorder="1" applyAlignment="1">
      <alignment horizontal="center"/>
    </xf>
    <xf numFmtId="0" fontId="22" fillId="0" borderId="1" xfId="18" applyFont="1" applyFill="1" applyBorder="1" applyAlignment="1">
      <alignment horizontal="center"/>
    </xf>
    <xf numFmtId="168" fontId="1" fillId="0" borderId="1" xfId="22" applyNumberFormat="1" applyFont="1" applyBorder="1"/>
    <xf numFmtId="0" fontId="1" fillId="4" borderId="1" xfId="0" applyFont="1" applyFill="1" applyBorder="1" applyAlignment="1">
      <alignment horizontal="center" vertical="center"/>
    </xf>
    <xf numFmtId="0" fontId="22" fillId="3" borderId="1" xfId="18" applyFont="1" applyFill="1" applyBorder="1" applyAlignment="1">
      <alignment horizontal="center"/>
    </xf>
    <xf numFmtId="0" fontId="22" fillId="3" borderId="1" xfId="18" applyFont="1" applyFill="1" applyBorder="1"/>
    <xf numFmtId="168" fontId="0" fillId="12" borderId="54" xfId="22" applyNumberFormat="1" applyFont="1" applyFill="1" applyBorder="1"/>
    <xf numFmtId="168" fontId="19" fillId="3" borderId="1" xfId="22" applyNumberFormat="1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vertical="center"/>
    </xf>
    <xf numFmtId="168" fontId="0" fillId="0" borderId="1" xfId="22" applyNumberFormat="1" applyFont="1" applyBorder="1" applyAlignment="1">
      <alignment horizontal="center" vertical="center"/>
    </xf>
    <xf numFmtId="168" fontId="17" fillId="0" borderId="1" xfId="22" applyNumberFormat="1" applyFont="1" applyFill="1" applyBorder="1" applyAlignment="1">
      <alignment horizontal="center" vertical="center"/>
    </xf>
    <xf numFmtId="168" fontId="19" fillId="0" borderId="1" xfId="22" applyNumberFormat="1" applyFont="1" applyFill="1" applyBorder="1" applyAlignment="1">
      <alignment horizontal="center" vertical="center"/>
    </xf>
    <xf numFmtId="168" fontId="18" fillId="3" borderId="1" xfId="22" applyNumberFormat="1" applyFont="1" applyFill="1" applyBorder="1" applyAlignment="1">
      <alignment horizontal="center"/>
    </xf>
    <xf numFmtId="168" fontId="18" fillId="3" borderId="1" xfId="22" applyNumberFormat="1" applyFont="1" applyFill="1" applyBorder="1" applyAlignment="1">
      <alignment horizontal="center" vertical="center"/>
    </xf>
    <xf numFmtId="168" fontId="17" fillId="0" borderId="1" xfId="22" applyNumberFormat="1" applyFont="1" applyBorder="1"/>
    <xf numFmtId="168" fontId="0" fillId="0" borderId="1" xfId="0" applyNumberFormat="1" applyBorder="1"/>
    <xf numFmtId="0" fontId="22" fillId="3" borderId="1" xfId="18" applyFont="1" applyFill="1" applyBorder="1" applyAlignment="1">
      <alignment horizontal="left"/>
    </xf>
    <xf numFmtId="0" fontId="22" fillId="0" borderId="1" xfId="18" applyFont="1" applyFill="1" applyBorder="1" applyAlignment="1">
      <alignment horizontal="left"/>
    </xf>
    <xf numFmtId="168" fontId="18" fillId="3" borderId="1" xfId="0" applyNumberFormat="1" applyFont="1" applyFill="1" applyBorder="1" applyAlignment="1">
      <alignment horizontal="center" vertical="center"/>
    </xf>
    <xf numFmtId="0" fontId="14" fillId="0" borderId="0" xfId="5" applyBorder="1"/>
    <xf numFmtId="0" fontId="19" fillId="3" borderId="0" xfId="0" applyFont="1" applyFill="1" applyBorder="1" applyAlignment="1">
      <alignment horizontal="center" vertical="center"/>
    </xf>
    <xf numFmtId="37" fontId="19" fillId="0" borderId="0" xfId="0" applyNumberFormat="1" applyFont="1" applyFill="1" applyBorder="1" applyAlignment="1">
      <alignment horizontal="center" vertical="center"/>
    </xf>
    <xf numFmtId="168" fontId="19" fillId="3" borderId="1" xfId="22" applyNumberFormat="1" applyFont="1" applyFill="1" applyBorder="1" applyAlignment="1">
      <alignment horizontal="center"/>
    </xf>
    <xf numFmtId="0" fontId="17" fillId="0" borderId="1" xfId="23" applyFill="1" applyBorder="1"/>
    <xf numFmtId="168" fontId="22" fillId="0" borderId="1" xfId="22" applyNumberFormat="1" applyFont="1" applyFill="1" applyBorder="1"/>
    <xf numFmtId="0" fontId="17" fillId="0" borderId="1" xfId="23" applyFont="1" applyFill="1" applyBorder="1"/>
    <xf numFmtId="166" fontId="17" fillId="0" borderId="1" xfId="2" applyNumberFormat="1" applyFont="1" applyFill="1" applyBorder="1"/>
    <xf numFmtId="166" fontId="18" fillId="3" borderId="1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/>
    <xf numFmtId="168" fontId="33" fillId="12" borderId="54" xfId="22" applyNumberFormat="1" applyFont="1" applyFill="1" applyBorder="1"/>
    <xf numFmtId="0" fontId="33" fillId="12" borderId="59" xfId="21" applyFont="1" applyBorder="1"/>
    <xf numFmtId="168" fontId="34" fillId="12" borderId="60" xfId="21" applyNumberFormat="1" applyFont="1" applyBorder="1"/>
    <xf numFmtId="168" fontId="1" fillId="12" borderId="60" xfId="21" applyNumberFormat="1" applyFont="1" applyBorder="1"/>
    <xf numFmtId="0" fontId="1" fillId="0" borderId="39" xfId="0" applyFont="1" applyFill="1" applyBorder="1"/>
    <xf numFmtId="0" fontId="1" fillId="0" borderId="7" xfId="0" applyFont="1" applyFill="1" applyBorder="1"/>
    <xf numFmtId="0" fontId="1" fillId="0" borderId="23" xfId="0" applyFont="1" applyBorder="1"/>
    <xf numFmtId="0" fontId="1" fillId="0" borderId="46" xfId="0" applyFont="1" applyFill="1" applyBorder="1"/>
    <xf numFmtId="37" fontId="0" fillId="0" borderId="1" xfId="7" applyNumberFormat="1" applyFont="1" applyBorder="1" applyAlignment="1">
      <alignment horizontal="left"/>
    </xf>
    <xf numFmtId="37" fontId="1" fillId="0" borderId="61" xfId="7" applyNumberFormat="1" applyFont="1" applyBorder="1" applyAlignment="1">
      <alignment horizontal="right"/>
    </xf>
    <xf numFmtId="168" fontId="17" fillId="12" borderId="54" xfId="22" applyNumberFormat="1" applyFont="1" applyFill="1" applyBorder="1" applyAlignment="1">
      <alignment horizontal="center" vertical="center"/>
    </xf>
    <xf numFmtId="168" fontId="1" fillId="0" borderId="21" xfId="22" applyNumberFormat="1" applyFont="1" applyFill="1" applyBorder="1" applyAlignment="1">
      <alignment horizontal="center" vertical="center"/>
    </xf>
    <xf numFmtId="168" fontId="1" fillId="0" borderId="21" xfId="22" applyNumberFormat="1" applyFont="1" applyBorder="1" applyAlignment="1">
      <alignment horizontal="center" vertical="center"/>
    </xf>
    <xf numFmtId="168" fontId="18" fillId="0" borderId="21" xfId="22" applyNumberFormat="1" applyFont="1" applyFill="1" applyBorder="1" applyAlignment="1">
      <alignment horizontal="center"/>
    </xf>
    <xf numFmtId="168" fontId="0" fillId="0" borderId="1" xfId="22" applyNumberFormat="1" applyFont="1" applyFill="1" applyBorder="1"/>
    <xf numFmtId="168" fontId="21" fillId="0" borderId="1" xfId="22" applyNumberFormat="1" applyFont="1" applyFill="1" applyBorder="1"/>
    <xf numFmtId="168" fontId="0" fillId="0" borderId="19" xfId="22" applyNumberFormat="1" applyFont="1" applyBorder="1"/>
    <xf numFmtId="168" fontId="0" fillId="0" borderId="14" xfId="22" applyNumberFormat="1" applyFont="1" applyBorder="1"/>
    <xf numFmtId="168" fontId="0" fillId="0" borderId="12" xfId="22" applyNumberFormat="1" applyFont="1" applyBorder="1"/>
    <xf numFmtId="168" fontId="0" fillId="0" borderId="27" xfId="22" applyNumberFormat="1" applyFont="1" applyBorder="1"/>
    <xf numFmtId="168" fontId="0" fillId="0" borderId="29" xfId="22" applyNumberFormat="1" applyFont="1" applyBorder="1"/>
    <xf numFmtId="168" fontId="0" fillId="0" borderId="25" xfId="22" applyNumberFormat="1" applyFont="1" applyBorder="1"/>
    <xf numFmtId="168" fontId="0" fillId="0" borderId="14" xfId="22" applyNumberFormat="1" applyFont="1" applyFill="1" applyBorder="1" applyAlignment="1">
      <alignment horizontal="center"/>
    </xf>
    <xf numFmtId="168" fontId="0" fillId="0" borderId="14" xfId="22" applyNumberFormat="1" applyFont="1" applyFill="1" applyBorder="1"/>
    <xf numFmtId="168" fontId="21" fillId="0" borderId="14" xfId="22" applyNumberFormat="1" applyFont="1" applyFill="1" applyBorder="1"/>
    <xf numFmtId="168" fontId="0" fillId="0" borderId="1" xfId="22" applyNumberFormat="1" applyFont="1" applyFill="1" applyBorder="1" applyAlignment="1">
      <alignment horizontal="center"/>
    </xf>
    <xf numFmtId="168" fontId="0" fillId="0" borderId="25" xfId="22" applyNumberFormat="1" applyFont="1" applyFill="1" applyBorder="1" applyAlignment="1">
      <alignment horizontal="center"/>
    </xf>
    <xf numFmtId="168" fontId="0" fillId="0" borderId="25" xfId="22" applyNumberFormat="1" applyFont="1" applyFill="1" applyBorder="1"/>
    <xf numFmtId="168" fontId="0" fillId="0" borderId="14" xfId="22" applyNumberFormat="1" applyFont="1" applyBorder="1" applyAlignment="1">
      <alignment horizontal="center"/>
    </xf>
    <xf numFmtId="168" fontId="0" fillId="0" borderId="1" xfId="22" applyNumberFormat="1" applyFont="1" applyBorder="1" applyAlignment="1">
      <alignment horizontal="center"/>
    </xf>
    <xf numFmtId="168" fontId="0" fillId="0" borderId="25" xfId="22" applyNumberFormat="1" applyFont="1" applyBorder="1" applyAlignment="1">
      <alignment horizontal="center"/>
    </xf>
    <xf numFmtId="168" fontId="0" fillId="1" borderId="14" xfId="22" applyNumberFormat="1" applyFont="1" applyFill="1" applyBorder="1" applyProtection="1">
      <protection hidden="1"/>
    </xf>
    <xf numFmtId="168" fontId="0" fillId="1" borderId="1" xfId="22" applyNumberFormat="1" applyFont="1" applyFill="1" applyBorder="1" applyProtection="1">
      <protection hidden="1"/>
    </xf>
    <xf numFmtId="168" fontId="0" fillId="1" borderId="25" xfId="22" applyNumberFormat="1" applyFont="1" applyFill="1" applyBorder="1" applyProtection="1">
      <protection hidden="1"/>
    </xf>
    <xf numFmtId="168" fontId="0" fillId="0" borderId="15" xfId="22" applyNumberFormat="1" applyFont="1" applyBorder="1"/>
    <xf numFmtId="168" fontId="0" fillId="0" borderId="0" xfId="22" applyNumberFormat="1" applyFont="1"/>
    <xf numFmtId="168" fontId="0" fillId="0" borderId="0" xfId="0" applyNumberFormat="1"/>
    <xf numFmtId="0" fontId="1" fillId="4" borderId="1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0" fillId="0" borderId="1" xfId="0" applyBorder="1"/>
    <xf numFmtId="9" fontId="0" fillId="0" borderId="12" xfId="19" applyFont="1" applyFill="1" applyBorder="1"/>
    <xf numFmtId="9" fontId="0" fillId="0" borderId="1" xfId="19" applyFont="1" applyFill="1" applyBorder="1"/>
    <xf numFmtId="9" fontId="0" fillId="0" borderId="29" xfId="19" applyFont="1" applyBorder="1"/>
    <xf numFmtId="9" fontId="0" fillId="0" borderId="25" xfId="19" applyFont="1" applyBorder="1"/>
    <xf numFmtId="168" fontId="0" fillId="0" borderId="35" xfId="22" applyNumberFormat="1" applyFont="1" applyBorder="1"/>
    <xf numFmtId="9" fontId="0" fillId="0" borderId="0" xfId="19" applyFont="1"/>
    <xf numFmtId="164" fontId="0" fillId="0" borderId="1" xfId="22" applyFont="1" applyBorder="1"/>
    <xf numFmtId="168" fontId="0" fillId="12" borderId="54" xfId="21" applyNumberFormat="1" applyFont="1"/>
    <xf numFmtId="168" fontId="1" fillId="12" borderId="54" xfId="21" applyNumberFormat="1" applyFont="1"/>
    <xf numFmtId="168" fontId="33" fillId="12" borderId="54" xfId="21" applyNumberFormat="1" applyFont="1" applyProtection="1">
      <protection locked="0"/>
    </xf>
    <xf numFmtId="168" fontId="0" fillId="12" borderId="59" xfId="21" applyNumberFormat="1" applyFont="1" applyBorder="1"/>
    <xf numFmtId="9" fontId="33" fillId="11" borderId="69" xfId="20" applyNumberFormat="1" applyBorder="1" applyProtection="1">
      <protection locked="0"/>
    </xf>
    <xf numFmtId="9" fontId="33" fillId="11" borderId="52" xfId="20" applyNumberFormat="1" applyAlignment="1" applyProtection="1">
      <protection locked="0"/>
    </xf>
    <xf numFmtId="168" fontId="1" fillId="4" borderId="18" xfId="22" applyNumberFormat="1" applyFont="1" applyFill="1" applyBorder="1" applyAlignment="1">
      <alignment horizontal="center" vertical="center"/>
    </xf>
    <xf numFmtId="168" fontId="1" fillId="4" borderId="15" xfId="22" applyNumberFormat="1" applyFont="1" applyFill="1" applyBorder="1" applyAlignment="1">
      <alignment horizontal="center" vertical="center"/>
    </xf>
    <xf numFmtId="168" fontId="0" fillId="0" borderId="36" xfId="22" applyNumberFormat="1" applyFont="1" applyBorder="1" applyAlignment="1">
      <alignment wrapText="1"/>
    </xf>
    <xf numFmtId="168" fontId="0" fillId="0" borderId="24" xfId="22" applyNumberFormat="1" applyFont="1" applyBorder="1"/>
    <xf numFmtId="168" fontId="0" fillId="0" borderId="23" xfId="22" applyNumberFormat="1" applyFont="1" applyBorder="1"/>
    <xf numFmtId="168" fontId="0" fillId="0" borderId="9" xfId="22" applyNumberFormat="1" applyFont="1" applyBorder="1" applyAlignment="1">
      <alignment wrapText="1"/>
    </xf>
    <xf numFmtId="0" fontId="0" fillId="0" borderId="43" xfId="0" applyFont="1" applyBorder="1" applyAlignment="1">
      <alignment horizontal="left" wrapText="1"/>
    </xf>
    <xf numFmtId="0" fontId="0" fillId="0" borderId="49" xfId="0" applyFill="1" applyBorder="1" applyAlignment="1">
      <alignment wrapText="1"/>
    </xf>
    <xf numFmtId="0" fontId="0" fillId="0" borderId="43" xfId="0" applyFill="1" applyBorder="1" applyAlignment="1">
      <alignment wrapText="1"/>
    </xf>
    <xf numFmtId="0" fontId="0" fillId="0" borderId="44" xfId="0" applyFill="1" applyBorder="1" applyAlignment="1">
      <alignment wrapText="1"/>
    </xf>
    <xf numFmtId="9" fontId="0" fillId="0" borderId="1" xfId="19" applyFont="1" applyBorder="1" applyAlignment="1"/>
    <xf numFmtId="164" fontId="0" fillId="0" borderId="1" xfId="22" applyFont="1" applyBorder="1" applyAlignment="1">
      <alignment vertical="center"/>
    </xf>
    <xf numFmtId="164" fontId="0" fillId="0" borderId="37" xfId="22" applyFont="1" applyBorder="1" applyAlignment="1">
      <alignment vertical="center"/>
    </xf>
    <xf numFmtId="168" fontId="0" fillId="13" borderId="19" xfId="22" applyNumberFormat="1" applyFont="1" applyFill="1" applyBorder="1"/>
    <xf numFmtId="168" fontId="0" fillId="13" borderId="12" xfId="22" applyNumberFormat="1" applyFont="1" applyFill="1" applyBorder="1"/>
    <xf numFmtId="9" fontId="0" fillId="13" borderId="12" xfId="19" applyFont="1" applyFill="1" applyBorder="1"/>
    <xf numFmtId="0" fontId="0" fillId="13" borderId="1" xfId="0" applyFill="1" applyBorder="1"/>
    <xf numFmtId="0" fontId="0" fillId="0" borderId="45" xfId="0" applyBorder="1" applyAlignment="1"/>
    <xf numFmtId="0" fontId="0" fillId="13" borderId="1" xfId="0" applyFill="1" applyBorder="1" applyAlignment="1"/>
    <xf numFmtId="164" fontId="0" fillId="13" borderId="1" xfId="22" applyFont="1" applyFill="1" applyBorder="1" applyAlignment="1">
      <alignment vertical="center"/>
    </xf>
    <xf numFmtId="0" fontId="0" fillId="0" borderId="49" xfId="0" applyFont="1" applyBorder="1" applyAlignment="1">
      <alignment horizontal="left" wrapText="1"/>
    </xf>
    <xf numFmtId="9" fontId="0" fillId="0" borderId="45" xfId="0" applyNumberFormat="1" applyBorder="1" applyAlignment="1"/>
    <xf numFmtId="0" fontId="0" fillId="13" borderId="14" xfId="0" applyFill="1" applyBorder="1" applyAlignment="1"/>
    <xf numFmtId="168" fontId="0" fillId="13" borderId="24" xfId="22" applyNumberFormat="1" applyFont="1" applyFill="1" applyBorder="1"/>
    <xf numFmtId="0" fontId="0" fillId="0" borderId="38" xfId="0" applyBorder="1" applyAlignment="1"/>
    <xf numFmtId="0" fontId="0" fillId="13" borderId="25" xfId="0" applyFill="1" applyBorder="1" applyAlignment="1"/>
    <xf numFmtId="168" fontId="0" fillId="13" borderId="1" xfId="22" applyNumberFormat="1" applyFont="1" applyFill="1" applyBorder="1"/>
    <xf numFmtId="168" fontId="0" fillId="13" borderId="14" xfId="22" applyNumberFormat="1" applyFont="1" applyFill="1" applyBorder="1"/>
    <xf numFmtId="168" fontId="0" fillId="0" borderId="23" xfId="22" applyNumberFormat="1" applyFont="1" applyFill="1" applyBorder="1"/>
    <xf numFmtId="9" fontId="0" fillId="0" borderId="25" xfId="19" applyFont="1" applyFill="1" applyBorder="1"/>
    <xf numFmtId="9" fontId="0" fillId="0" borderId="28" xfId="19" applyFont="1" applyFill="1" applyBorder="1"/>
    <xf numFmtId="168" fontId="0" fillId="13" borderId="25" xfId="22" applyNumberFormat="1" applyFont="1" applyFill="1" applyBorder="1"/>
    <xf numFmtId="9" fontId="0" fillId="0" borderId="29" xfId="19" applyFont="1" applyFill="1" applyBorder="1"/>
    <xf numFmtId="168" fontId="0" fillId="0" borderId="19" xfId="22" applyNumberFormat="1" applyFont="1" applyFill="1" applyBorder="1"/>
    <xf numFmtId="0" fontId="0" fillId="0" borderId="19" xfId="0" applyFill="1" applyBorder="1"/>
    <xf numFmtId="168" fontId="0" fillId="13" borderId="29" xfId="22" applyNumberFormat="1" applyFont="1" applyFill="1" applyBorder="1"/>
    <xf numFmtId="168" fontId="0" fillId="0" borderId="42" xfId="22" applyNumberFormat="1" applyFont="1" applyFill="1" applyBorder="1"/>
    <xf numFmtId="9" fontId="0" fillId="0" borderId="40" xfId="19" applyFont="1" applyFill="1" applyBorder="1"/>
    <xf numFmtId="0" fontId="0" fillId="13" borderId="42" xfId="0" applyFill="1" applyBorder="1"/>
    <xf numFmtId="0" fontId="0" fillId="13" borderId="40" xfId="0" applyFill="1" applyBorder="1"/>
    <xf numFmtId="0" fontId="0" fillId="13" borderId="41" xfId="0" applyFill="1" applyBorder="1"/>
    <xf numFmtId="168" fontId="0" fillId="13" borderId="26" xfId="22" applyNumberFormat="1" applyFont="1" applyFill="1" applyBorder="1"/>
    <xf numFmtId="168" fontId="0" fillId="13" borderId="27" xfId="22" applyNumberFormat="1" applyFont="1" applyFill="1" applyBorder="1"/>
    <xf numFmtId="168" fontId="0" fillId="13" borderId="28" xfId="22" applyNumberFormat="1" applyFont="1" applyFill="1" applyBorder="1"/>
    <xf numFmtId="9" fontId="0" fillId="0" borderId="34" xfId="19" applyFont="1" applyFill="1" applyBorder="1"/>
    <xf numFmtId="9" fontId="0" fillId="0" borderId="34" xfId="19" applyFont="1" applyBorder="1"/>
    <xf numFmtId="0" fontId="0" fillId="0" borderId="51" xfId="0" applyFill="1" applyBorder="1" applyAlignment="1"/>
    <xf numFmtId="0" fontId="0" fillId="0" borderId="49" xfId="0" applyFill="1" applyBorder="1" applyAlignment="1"/>
    <xf numFmtId="0" fontId="1" fillId="4" borderId="73" xfId="0" applyFont="1" applyFill="1" applyBorder="1" applyAlignment="1">
      <alignment horizontal="center" vertical="center"/>
    </xf>
    <xf numFmtId="0" fontId="1" fillId="4" borderId="74" xfId="0" applyFont="1" applyFill="1" applyBorder="1" applyAlignment="1">
      <alignment horizontal="center" vertical="center"/>
    </xf>
    <xf numFmtId="0" fontId="1" fillId="4" borderId="72" xfId="0" applyFont="1" applyFill="1" applyBorder="1" applyAlignment="1">
      <alignment horizontal="center" vertical="center"/>
    </xf>
    <xf numFmtId="168" fontId="21" fillId="0" borderId="46" xfId="22" applyNumberFormat="1" applyFont="1" applyFill="1" applyBorder="1"/>
    <xf numFmtId="168" fontId="0" fillId="0" borderId="46" xfId="22" applyNumberFormat="1" applyFont="1" applyBorder="1"/>
    <xf numFmtId="3" fontId="0" fillId="14" borderId="0" xfId="0" applyNumberFormat="1" applyFill="1" applyBorder="1"/>
    <xf numFmtId="167" fontId="10" fillId="2" borderId="0" xfId="1" applyNumberFormat="1" applyFont="1" applyFill="1" applyBorder="1" applyAlignment="1">
      <alignment horizontal="left"/>
    </xf>
    <xf numFmtId="168" fontId="0" fillId="0" borderId="0" xfId="22" applyNumberFormat="1" applyFont="1" applyBorder="1"/>
    <xf numFmtId="0" fontId="22" fillId="3" borderId="0" xfId="3" applyFont="1" applyFill="1" applyBorder="1" applyAlignment="1">
      <alignment horizontal="center"/>
    </xf>
    <xf numFmtId="0" fontId="22" fillId="3" borderId="0" xfId="3" applyFont="1" applyFill="1" applyBorder="1" applyAlignment="1">
      <alignment horizontal="left"/>
    </xf>
    <xf numFmtId="168" fontId="21" fillId="3" borderId="0" xfId="3" applyNumberFormat="1" applyFont="1" applyFill="1" applyBorder="1" applyAlignment="1">
      <alignment horizontal="center"/>
    </xf>
    <xf numFmtId="168" fontId="0" fillId="12" borderId="0" xfId="22" applyNumberFormat="1" applyFont="1" applyFill="1" applyBorder="1"/>
    <xf numFmtId="0" fontId="22" fillId="0" borderId="0" xfId="0" applyFont="1"/>
    <xf numFmtId="10" fontId="33" fillId="11" borderId="52" xfId="20" applyNumberFormat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55" xfId="0" applyFill="1" applyBorder="1"/>
    <xf numFmtId="2" fontId="0" fillId="0" borderId="0" xfId="0" applyNumberFormat="1"/>
    <xf numFmtId="0" fontId="1" fillId="0" borderId="1" xfId="0" applyFont="1" applyFill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164" fontId="0" fillId="0" borderId="0" xfId="22" applyFont="1"/>
    <xf numFmtId="164" fontId="0" fillId="0" borderId="0" xfId="0" applyNumberFormat="1"/>
    <xf numFmtId="1" fontId="0" fillId="0" borderId="1" xfId="0" applyNumberFormat="1" applyBorder="1" applyAlignment="1">
      <alignment horizontal="left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2" borderId="5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/>
    </xf>
    <xf numFmtId="0" fontId="7" fillId="2" borderId="6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wrapText="1"/>
    </xf>
    <xf numFmtId="0" fontId="10" fillId="2" borderId="0" xfId="1" applyFont="1" applyFill="1" applyBorder="1" applyAlignment="1">
      <alignment horizontal="center" wrapText="1"/>
    </xf>
    <xf numFmtId="0" fontId="10" fillId="2" borderId="6" xfId="1" applyFont="1" applyFill="1" applyBorder="1" applyAlignment="1">
      <alignment horizontal="center" wrapText="1"/>
    </xf>
    <xf numFmtId="0" fontId="12" fillId="0" borderId="0" xfId="1" applyFont="1" applyAlignment="1">
      <alignment horizontal="center" readingOrder="1"/>
    </xf>
    <xf numFmtId="0" fontId="32" fillId="0" borderId="0" xfId="12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168" fontId="1" fillId="4" borderId="30" xfId="22" applyNumberFormat="1" applyFont="1" applyFill="1" applyBorder="1" applyAlignment="1">
      <alignment horizontal="center" vertical="center"/>
    </xf>
    <xf numFmtId="168" fontId="1" fillId="4" borderId="32" xfId="22" applyNumberFormat="1" applyFont="1" applyFill="1" applyBorder="1" applyAlignment="1">
      <alignment horizontal="center" vertical="center"/>
    </xf>
    <xf numFmtId="168" fontId="1" fillId="4" borderId="4" xfId="22" applyNumberFormat="1" applyFont="1" applyFill="1" applyBorder="1" applyAlignment="1">
      <alignment horizontal="center" vertical="center"/>
    </xf>
    <xf numFmtId="168" fontId="1" fillId="4" borderId="6" xfId="22" applyNumberFormat="1" applyFont="1" applyFill="1" applyBorder="1" applyAlignment="1">
      <alignment horizontal="center" vertical="center"/>
    </xf>
    <xf numFmtId="168" fontId="1" fillId="0" borderId="30" xfId="22" applyNumberFormat="1" applyFont="1" applyBorder="1" applyAlignment="1">
      <alignment horizontal="center" vertical="center" wrapText="1"/>
    </xf>
    <xf numFmtId="168" fontId="1" fillId="0" borderId="31" xfId="22" applyNumberFormat="1" applyFont="1" applyBorder="1" applyAlignment="1">
      <alignment horizontal="center" vertical="center" wrapText="1"/>
    </xf>
    <xf numFmtId="168" fontId="1" fillId="4" borderId="23" xfId="22" applyNumberFormat="1" applyFont="1" applyFill="1" applyBorder="1" applyAlignment="1">
      <alignment horizontal="center" vertical="center"/>
    </xf>
    <xf numFmtId="168" fontId="1" fillId="4" borderId="15" xfId="22" applyNumberFormat="1" applyFont="1" applyFill="1" applyBorder="1" applyAlignment="1">
      <alignment horizontal="center" vertical="center"/>
    </xf>
    <xf numFmtId="168" fontId="1" fillId="4" borderId="24" xfId="22" applyNumberFormat="1" applyFont="1" applyFill="1" applyBorder="1" applyAlignment="1">
      <alignment horizontal="center" vertical="center"/>
    </xf>
    <xf numFmtId="168" fontId="1" fillId="4" borderId="66" xfId="22" applyNumberFormat="1" applyFont="1" applyFill="1" applyBorder="1" applyAlignment="1">
      <alignment horizontal="center" vertical="center"/>
    </xf>
    <xf numFmtId="168" fontId="1" fillId="4" borderId="67" xfId="22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5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53" xfId="0" applyFont="1" applyFill="1" applyBorder="1" applyAlignment="1">
      <alignment horizontal="center" vertical="center"/>
    </xf>
    <xf numFmtId="0" fontId="1" fillId="4" borderId="61" xfId="0" applyFont="1" applyFill="1" applyBorder="1" applyAlignment="1">
      <alignment horizontal="center" vertical="center"/>
    </xf>
    <xf numFmtId="0" fontId="1" fillId="4" borderId="65" xfId="0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/>
    </xf>
    <xf numFmtId="168" fontId="0" fillId="0" borderId="26" xfId="22" applyNumberFormat="1" applyFont="1" applyFill="1" applyBorder="1" applyAlignment="1">
      <alignment horizontal="center" vertical="center"/>
    </xf>
    <xf numFmtId="168" fontId="0" fillId="0" borderId="27" xfId="22" applyNumberFormat="1" applyFont="1" applyFill="1" applyBorder="1" applyAlignment="1">
      <alignment horizontal="center" vertical="center"/>
    </xf>
    <xf numFmtId="168" fontId="0" fillId="0" borderId="28" xfId="22" applyNumberFormat="1" applyFont="1" applyFill="1" applyBorder="1" applyAlignment="1">
      <alignment horizontal="center" vertical="center"/>
    </xf>
    <xf numFmtId="168" fontId="0" fillId="0" borderId="26" xfId="22" applyNumberFormat="1" applyFont="1" applyBorder="1" applyAlignment="1">
      <alignment horizontal="center" vertical="center"/>
    </xf>
    <xf numFmtId="168" fontId="0" fillId="0" borderId="27" xfId="22" applyNumberFormat="1" applyFont="1" applyBorder="1" applyAlignment="1">
      <alignment horizontal="center" vertical="center"/>
    </xf>
    <xf numFmtId="168" fontId="0" fillId="0" borderId="28" xfId="22" applyNumberFormat="1" applyFont="1" applyBorder="1" applyAlignment="1">
      <alignment horizontal="center" vertical="center"/>
    </xf>
    <xf numFmtId="0" fontId="1" fillId="4" borderId="51" xfId="0" applyFont="1" applyFill="1" applyBorder="1" applyAlignment="1">
      <alignment horizontal="center" vertical="center"/>
    </xf>
    <xf numFmtId="0" fontId="1" fillId="4" borderId="44" xfId="0" applyFont="1" applyFill="1" applyBorder="1" applyAlignment="1">
      <alignment horizontal="center" vertical="center"/>
    </xf>
    <xf numFmtId="0" fontId="1" fillId="4" borderId="62" xfId="0" applyFont="1" applyFill="1" applyBorder="1" applyAlignment="1">
      <alignment horizontal="center" vertical="center"/>
    </xf>
    <xf numFmtId="0" fontId="1" fillId="4" borderId="63" xfId="0" applyFont="1" applyFill="1" applyBorder="1" applyAlignment="1">
      <alignment horizontal="center" vertical="center"/>
    </xf>
    <xf numFmtId="0" fontId="1" fillId="4" borderId="64" xfId="0" applyFont="1" applyFill="1" applyBorder="1" applyAlignment="1">
      <alignment horizontal="center" vertical="center"/>
    </xf>
    <xf numFmtId="0" fontId="1" fillId="4" borderId="5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/>
    </xf>
    <xf numFmtId="0" fontId="1" fillId="4" borderId="66" xfId="0" applyFont="1" applyFill="1" applyBorder="1" applyAlignment="1">
      <alignment horizontal="center" vertical="center"/>
    </xf>
    <xf numFmtId="0" fontId="1" fillId="4" borderId="67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58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70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71" xfId="0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4" borderId="56" xfId="0" applyFont="1" applyFill="1" applyBorder="1" applyAlignment="1">
      <alignment horizontal="center" vertical="center" wrapText="1"/>
    </xf>
    <xf numFmtId="0" fontId="1" fillId="4" borderId="55" xfId="0" applyFont="1" applyFill="1" applyBorder="1" applyAlignment="1">
      <alignment horizontal="center" vertical="center" wrapText="1"/>
    </xf>
    <xf numFmtId="0" fontId="1" fillId="4" borderId="57" xfId="0" applyFont="1" applyFill="1" applyBorder="1" applyAlignment="1">
      <alignment horizontal="center" vertical="center" wrapText="1"/>
    </xf>
    <xf numFmtId="0" fontId="1" fillId="4" borderId="56" xfId="0" applyFont="1" applyFill="1" applyBorder="1" applyAlignment="1">
      <alignment horizontal="center" vertical="center"/>
    </xf>
    <xf numFmtId="0" fontId="1" fillId="4" borderId="6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</cellXfs>
  <cellStyles count="24">
    <cellStyle name="Comma" xfId="22" builtinId="3"/>
    <cellStyle name="Comma 12" xfId="2"/>
    <cellStyle name="Comma 2" xfId="13"/>
    <cellStyle name="Comma 2 2" xfId="17"/>
    <cellStyle name="Comma 3" xfId="7"/>
    <cellStyle name="Currency 2" xfId="14"/>
    <cellStyle name="Heading 1" xfId="4" builtinId="16"/>
    <cellStyle name="Heading 2" xfId="5" builtinId="17"/>
    <cellStyle name="Heading 4" xfId="11" builtinId="19"/>
    <cellStyle name="Hyperlink" xfId="6" builtinId="8"/>
    <cellStyle name="Hyperlink 2" xfId="15"/>
    <cellStyle name="Input" xfId="20" builtinId="20"/>
    <cellStyle name="Normal" xfId="0" builtinId="0"/>
    <cellStyle name="Normal 11" xfId="23"/>
    <cellStyle name="Normal 12" xfId="1"/>
    <cellStyle name="Normal 2" xfId="3"/>
    <cellStyle name="Normal 2 2" xfId="18"/>
    <cellStyle name="Normal 2 3" xfId="16"/>
    <cellStyle name="Normal 3" xfId="9"/>
    <cellStyle name="Normal 4" xfId="12"/>
    <cellStyle name="Note" xfId="21" builtinId="10"/>
    <cellStyle name="Percent" xfId="19" builtinId="5"/>
    <cellStyle name="Percent 2" xfId="8"/>
    <cellStyle name="Title" xfId="10" builtinId="15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/>
        <i/>
        <u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  <u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  <u/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123825</xdr:rowOff>
    </xdr:from>
    <xdr:to>
      <xdr:col>8</xdr:col>
      <xdr:colOff>361950</xdr:colOff>
      <xdr:row>20</xdr:row>
      <xdr:rowOff>28575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2790825"/>
          <a:ext cx="2162175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2:N26"/>
  <sheetViews>
    <sheetView topLeftCell="A3" workbookViewId="0">
      <selection activeCell="G13" sqref="G13"/>
    </sheetView>
  </sheetViews>
  <sheetFormatPr defaultRowHeight="12.75"/>
  <cols>
    <col min="1" max="7" width="9.140625" style="4"/>
    <col min="8" max="8" width="17.85546875" style="4" bestFit="1" customWidth="1"/>
    <col min="9" max="16384" width="9.140625" style="4"/>
  </cols>
  <sheetData>
    <row r="2" spans="2:14" ht="13.5" thickBot="1"/>
    <row r="3" spans="2:14">
      <c r="B3" s="331"/>
      <c r="C3" s="332"/>
      <c r="D3" s="332"/>
      <c r="E3" s="332"/>
      <c r="F3" s="332"/>
      <c r="G3" s="332"/>
      <c r="H3" s="332"/>
      <c r="I3" s="332"/>
      <c r="J3" s="332"/>
      <c r="K3" s="332"/>
      <c r="L3" s="332"/>
      <c r="M3" s="332"/>
      <c r="N3" s="333"/>
    </row>
    <row r="4" spans="2:14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26.25">
      <c r="B5" s="334" t="s">
        <v>501</v>
      </c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6"/>
    </row>
    <row r="6" spans="2:14">
      <c r="B6" s="8"/>
      <c r="D6" s="9"/>
      <c r="E6" s="337"/>
      <c r="F6" s="337"/>
      <c r="G6" s="337"/>
      <c r="H6" s="337"/>
      <c r="I6" s="337"/>
      <c r="J6" s="337"/>
      <c r="K6" s="337"/>
      <c r="L6" s="9"/>
      <c r="M6" s="9"/>
      <c r="N6" s="10"/>
    </row>
    <row r="7" spans="2:14">
      <c r="B7" s="8"/>
      <c r="D7" s="9"/>
      <c r="E7" s="337"/>
      <c r="F7" s="337"/>
      <c r="G7" s="337"/>
      <c r="H7" s="337"/>
      <c r="I7" s="337"/>
      <c r="J7" s="337"/>
      <c r="K7" s="337"/>
      <c r="L7" s="9"/>
      <c r="M7" s="9"/>
      <c r="N7" s="10"/>
    </row>
    <row r="8" spans="2:14">
      <c r="B8" s="8"/>
      <c r="C8" s="9"/>
      <c r="D8" s="9"/>
      <c r="E8" s="337"/>
      <c r="F8" s="337"/>
      <c r="G8" s="337"/>
      <c r="H8" s="337"/>
      <c r="I8" s="337"/>
      <c r="J8" s="337"/>
      <c r="K8" s="337"/>
      <c r="L8" s="9"/>
      <c r="M8" s="9"/>
      <c r="N8" s="10"/>
    </row>
    <row r="9" spans="2:14" ht="18.75">
      <c r="B9" s="8"/>
      <c r="C9" s="9"/>
      <c r="D9" s="11"/>
      <c r="E9" s="11"/>
      <c r="F9" s="12"/>
      <c r="G9" s="12"/>
      <c r="H9" s="12"/>
      <c r="I9" s="12"/>
      <c r="J9" s="12"/>
      <c r="K9" s="11"/>
      <c r="L9" s="11"/>
      <c r="M9" s="11"/>
      <c r="N9" s="10"/>
    </row>
    <row r="10" spans="2:14" ht="18.75">
      <c r="B10" s="338" t="s">
        <v>106</v>
      </c>
      <c r="C10" s="339"/>
      <c r="D10" s="339"/>
      <c r="E10" s="339"/>
      <c r="F10" s="339"/>
      <c r="G10" s="339"/>
      <c r="H10" s="339"/>
      <c r="I10" s="339"/>
      <c r="J10" s="339"/>
      <c r="K10" s="339"/>
      <c r="L10" s="339"/>
      <c r="M10" s="339"/>
      <c r="N10" s="340"/>
    </row>
    <row r="11" spans="2:14" ht="18.75">
      <c r="B11" s="8"/>
      <c r="C11" s="9"/>
      <c r="D11" s="11"/>
      <c r="E11" s="11"/>
      <c r="F11" s="12"/>
      <c r="G11" s="12"/>
      <c r="H11" s="12"/>
      <c r="I11" s="12"/>
      <c r="J11" s="12"/>
      <c r="K11" s="11"/>
      <c r="L11" s="11"/>
      <c r="M11" s="11"/>
      <c r="N11" s="10"/>
    </row>
    <row r="12" spans="2:14" ht="18.75">
      <c r="B12" s="8"/>
      <c r="C12" s="9"/>
      <c r="D12" s="11"/>
      <c r="E12" s="11"/>
      <c r="F12" s="12"/>
      <c r="G12" s="314" t="s">
        <v>503</v>
      </c>
      <c r="I12" s="13"/>
      <c r="J12" s="12"/>
      <c r="K12" s="11"/>
      <c r="L12" s="11"/>
      <c r="M12" s="11"/>
      <c r="N12" s="10"/>
    </row>
    <row r="13" spans="2:14" ht="18.75">
      <c r="B13" s="8"/>
      <c r="C13" s="9"/>
      <c r="D13" s="9"/>
      <c r="E13" s="14"/>
      <c r="F13" s="14"/>
      <c r="G13" s="314" t="s">
        <v>502</v>
      </c>
      <c r="I13" s="14"/>
      <c r="J13" s="14"/>
      <c r="K13" s="14"/>
      <c r="L13" s="14"/>
      <c r="M13" s="9"/>
      <c r="N13" s="10"/>
    </row>
    <row r="14" spans="2:14">
      <c r="B14" s="8"/>
      <c r="N14" s="10"/>
    </row>
    <row r="15" spans="2:14" ht="15.75">
      <c r="B15" s="8"/>
      <c r="C15" s="9"/>
      <c r="D15" s="9"/>
      <c r="E15" s="14"/>
      <c r="F15" s="14"/>
      <c r="G15" s="14"/>
      <c r="H15" s="14"/>
      <c r="I15" s="14"/>
      <c r="J15" s="14"/>
      <c r="K15" s="14"/>
      <c r="L15" s="14"/>
      <c r="M15" s="9"/>
      <c r="N15" s="10"/>
    </row>
    <row r="16" spans="2:14" ht="15.75">
      <c r="B16" s="8"/>
      <c r="C16" s="9"/>
      <c r="D16" s="9"/>
      <c r="E16" s="14"/>
      <c r="F16" s="14"/>
      <c r="G16" s="14"/>
      <c r="H16" s="14"/>
      <c r="I16" s="14"/>
      <c r="J16" s="14"/>
      <c r="K16" s="14"/>
      <c r="L16" s="14"/>
      <c r="M16" s="9"/>
      <c r="N16" s="10"/>
    </row>
    <row r="17" spans="2:14" ht="15.75">
      <c r="B17" s="8"/>
      <c r="C17" s="9"/>
      <c r="D17" s="9"/>
      <c r="E17" s="14"/>
      <c r="F17" s="14"/>
      <c r="G17" s="14"/>
      <c r="H17" s="14"/>
      <c r="I17" s="14"/>
      <c r="J17" s="14"/>
      <c r="K17" s="14"/>
      <c r="L17" s="14"/>
      <c r="M17" s="9"/>
      <c r="N17" s="10"/>
    </row>
    <row r="18" spans="2:14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</row>
    <row r="19" spans="2:14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0"/>
    </row>
    <row r="20" spans="2:14"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0"/>
    </row>
    <row r="21" spans="2:14"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/>
    </row>
    <row r="22" spans="2:14" ht="18.75">
      <c r="B22" s="8"/>
      <c r="C22" s="341"/>
      <c r="D22" s="341"/>
      <c r="E22" s="341"/>
      <c r="F22" s="341"/>
      <c r="G22" s="341"/>
      <c r="H22" s="341"/>
      <c r="I22" s="341"/>
      <c r="J22" s="341"/>
      <c r="K22" s="341"/>
      <c r="L22" s="341"/>
      <c r="M22" s="341"/>
      <c r="N22" s="10"/>
    </row>
    <row r="23" spans="2:14">
      <c r="B23" s="8"/>
      <c r="N23" s="10"/>
    </row>
    <row r="24" spans="2:14"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0"/>
    </row>
    <row r="25" spans="2:14"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0"/>
    </row>
    <row r="26" spans="2:14" ht="13.5" thickBot="1"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7"/>
    </row>
  </sheetData>
  <mergeCells count="5">
    <mergeCell ref="B3:N3"/>
    <mergeCell ref="B5:N5"/>
    <mergeCell ref="E6:K8"/>
    <mergeCell ref="B10:N10"/>
    <mergeCell ref="C22:M2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>
    <tabColor rgb="FFFF0000"/>
  </sheetPr>
  <dimension ref="A1:R11"/>
  <sheetViews>
    <sheetView showGridLines="0" zoomScale="84" zoomScaleNormal="84" workbookViewId="0">
      <selection activeCell="B8" sqref="B8"/>
    </sheetView>
  </sheetViews>
  <sheetFormatPr defaultRowHeight="15"/>
  <cols>
    <col min="1" max="1" width="2.42578125" customWidth="1"/>
    <col min="2" max="2" width="32.5703125" bestFit="1" customWidth="1"/>
    <col min="3" max="6" width="14.140625" bestFit="1" customWidth="1"/>
    <col min="7" max="10" width="14.42578125" bestFit="1" customWidth="1"/>
    <col min="11" max="13" width="14.42578125" customWidth="1"/>
    <col min="14" max="18" width="14.42578125" bestFit="1" customWidth="1"/>
  </cols>
  <sheetData>
    <row r="1" spans="1:18" ht="23.25">
      <c r="A1" t="s">
        <v>467</v>
      </c>
      <c r="B1" s="79" t="s">
        <v>223</v>
      </c>
    </row>
    <row r="3" spans="1:18">
      <c r="B3" s="357" t="s">
        <v>216</v>
      </c>
      <c r="C3" s="357" t="s">
        <v>6</v>
      </c>
      <c r="D3" s="357"/>
      <c r="E3" s="357"/>
      <c r="F3" s="357"/>
      <c r="G3" s="357" t="s">
        <v>7</v>
      </c>
      <c r="H3" s="357"/>
      <c r="I3" s="357"/>
      <c r="J3" s="357"/>
      <c r="K3" s="358" t="s">
        <v>8</v>
      </c>
      <c r="L3" s="359"/>
      <c r="M3" s="359"/>
      <c r="N3" s="360"/>
      <c r="O3" s="357" t="s">
        <v>9</v>
      </c>
      <c r="P3" s="357" t="s">
        <v>10</v>
      </c>
      <c r="Q3" s="357" t="s">
        <v>11</v>
      </c>
      <c r="R3" s="357" t="s">
        <v>12</v>
      </c>
    </row>
    <row r="4" spans="1:18">
      <c r="B4" s="357"/>
      <c r="C4" s="128" t="s">
        <v>13</v>
      </c>
      <c r="D4" s="128" t="s">
        <v>14</v>
      </c>
      <c r="E4" s="128" t="s">
        <v>15</v>
      </c>
      <c r="F4" s="128" t="s">
        <v>16</v>
      </c>
      <c r="G4" s="128" t="s">
        <v>13</v>
      </c>
      <c r="H4" s="128" t="s">
        <v>14</v>
      </c>
      <c r="I4" s="128" t="s">
        <v>15</v>
      </c>
      <c r="J4" s="128" t="s">
        <v>16</v>
      </c>
      <c r="K4" s="175" t="s">
        <v>13</v>
      </c>
      <c r="L4" s="175" t="s">
        <v>14</v>
      </c>
      <c r="M4" s="175" t="s">
        <v>15</v>
      </c>
      <c r="N4" s="175" t="s">
        <v>16</v>
      </c>
      <c r="O4" s="357"/>
      <c r="P4" s="357"/>
      <c r="Q4" s="357"/>
      <c r="R4" s="357"/>
    </row>
    <row r="5" spans="1:18">
      <c r="B5" s="59" t="s">
        <v>466</v>
      </c>
      <c r="C5" s="196"/>
      <c r="D5" s="196">
        <f>C8</f>
        <v>2023936.4762500001</v>
      </c>
      <c r="E5" s="196">
        <f t="shared" ref="E5:J5" si="0">D8</f>
        <v>4133070.7788980938</v>
      </c>
      <c r="F5" s="196">
        <f t="shared" si="0"/>
        <v>6061890.9335939335</v>
      </c>
      <c r="G5" s="196">
        <f t="shared" si="0"/>
        <v>8054060.5073052738</v>
      </c>
      <c r="H5" s="196">
        <f t="shared" si="0"/>
        <v>10205313.898889583</v>
      </c>
      <c r="I5" s="196">
        <f t="shared" si="0"/>
        <v>12596846.373519965</v>
      </c>
      <c r="J5" s="196">
        <f t="shared" si="0"/>
        <v>14786692.447405774</v>
      </c>
      <c r="K5" s="196">
        <f t="shared" ref="K5:R5" si="1">J8</f>
        <v>17631221.136711024</v>
      </c>
      <c r="L5" s="196">
        <f t="shared" si="1"/>
        <v>20717656.869840845</v>
      </c>
      <c r="M5" s="196">
        <f t="shared" si="1"/>
        <v>23792777.203773394</v>
      </c>
      <c r="N5" s="196">
        <f t="shared" si="1"/>
        <v>26994439.64163921</v>
      </c>
      <c r="O5" s="196">
        <f t="shared" si="1"/>
        <v>29981695.276548702</v>
      </c>
      <c r="P5" s="196">
        <f t="shared" si="1"/>
        <v>17895220.762897894</v>
      </c>
      <c r="Q5" s="196">
        <f t="shared" si="1"/>
        <v>0</v>
      </c>
      <c r="R5" s="196">
        <f t="shared" si="1"/>
        <v>0</v>
      </c>
    </row>
    <row r="6" spans="1:18">
      <c r="B6" s="59" t="s">
        <v>307</v>
      </c>
      <c r="C6" s="196">
        <f>'P&amp;L Statement'!C18</f>
        <v>-2023936.4762500001</v>
      </c>
      <c r="D6" s="196">
        <f>'P&amp;L Statement'!D18</f>
        <v>-2109134.3026480936</v>
      </c>
      <c r="E6" s="196">
        <f>'P&amp;L Statement'!E18</f>
        <v>-1928820.1546958396</v>
      </c>
      <c r="F6" s="196">
        <f>'P&amp;L Statement'!F18</f>
        <v>-1992169.5737113408</v>
      </c>
      <c r="G6" s="196">
        <f>'P&amp;L Statement'!G18</f>
        <v>-2151253.3915843079</v>
      </c>
      <c r="H6" s="196">
        <f>'P&amp;L Statement'!H18</f>
        <v>-2391532.4746303828</v>
      </c>
      <c r="I6" s="196">
        <f>'P&amp;L Statement'!I18</f>
        <v>-2189846.0738858096</v>
      </c>
      <c r="J6" s="196">
        <f>'P&amp;L Statement'!J18</f>
        <v>-2844528.6893052505</v>
      </c>
      <c r="K6" s="196">
        <f>'P&amp;L Statement'!K18</f>
        <v>-3086435.7331298213</v>
      </c>
      <c r="L6" s="196">
        <f>'P&amp;L Statement'!L18</f>
        <v>-3075120.3339325502</v>
      </c>
      <c r="M6" s="196">
        <f>'P&amp;L Statement'!M18</f>
        <v>-3201662.4378658165</v>
      </c>
      <c r="N6" s="196">
        <f>'P&amp;L Statement'!N18</f>
        <v>-2987255.6349094906</v>
      </c>
      <c r="O6" s="196">
        <f>'P&amp;L Statement'!O18</f>
        <v>12086474.513650807</v>
      </c>
      <c r="P6" s="196">
        <f>'P&amp;L Statement'!P18</f>
        <v>18556435.056603577</v>
      </c>
      <c r="Q6" s="196">
        <f>'P&amp;L Statement'!Q18</f>
        <v>27624164.923539553</v>
      </c>
      <c r="R6" s="196">
        <f>'P&amp;L Statement'!R18</f>
        <v>40353732.646368071</v>
      </c>
    </row>
    <row r="7" spans="1:18">
      <c r="B7" s="59" t="s">
        <v>308</v>
      </c>
      <c r="C7" s="196">
        <f>IF(C6-C5&gt;0,C6-C5,0)</f>
        <v>0</v>
      </c>
      <c r="D7" s="196">
        <f t="shared" ref="D7:R7" si="2">IF(D6-D5&gt;0,D6-D5,0)</f>
        <v>0</v>
      </c>
      <c r="E7" s="196">
        <f t="shared" si="2"/>
        <v>0</v>
      </c>
      <c r="F7" s="196">
        <f t="shared" si="2"/>
        <v>0</v>
      </c>
      <c r="G7" s="196">
        <f t="shared" si="2"/>
        <v>0</v>
      </c>
      <c r="H7" s="196">
        <f t="shared" si="2"/>
        <v>0</v>
      </c>
      <c r="I7" s="196">
        <f t="shared" si="2"/>
        <v>0</v>
      </c>
      <c r="J7" s="196">
        <f t="shared" si="2"/>
        <v>0</v>
      </c>
      <c r="K7" s="196">
        <f t="shared" si="2"/>
        <v>0</v>
      </c>
      <c r="L7" s="196">
        <f t="shared" si="2"/>
        <v>0</v>
      </c>
      <c r="M7" s="196">
        <f t="shared" si="2"/>
        <v>0</v>
      </c>
      <c r="N7" s="196">
        <f t="shared" si="2"/>
        <v>0</v>
      </c>
      <c r="O7" s="196">
        <f t="shared" si="2"/>
        <v>0</v>
      </c>
      <c r="P7" s="196">
        <f t="shared" si="2"/>
        <v>661214.2937056832</v>
      </c>
      <c r="Q7" s="196">
        <f t="shared" si="2"/>
        <v>27624164.923539553</v>
      </c>
      <c r="R7" s="196">
        <f t="shared" si="2"/>
        <v>40353732.646368071</v>
      </c>
    </row>
    <row r="8" spans="1:18">
      <c r="B8" s="59" t="s">
        <v>309</v>
      </c>
      <c r="C8" s="196">
        <f>IF(C6-C5&lt;0,C5-C6,0)</f>
        <v>2023936.4762500001</v>
      </c>
      <c r="D8" s="196">
        <f t="shared" ref="D8:R8" si="3">IF(D6-D5&lt;0,D5-D6,0)</f>
        <v>4133070.7788980938</v>
      </c>
      <c r="E8" s="196">
        <f t="shared" si="3"/>
        <v>6061890.9335939335</v>
      </c>
      <c r="F8" s="196">
        <f t="shared" si="3"/>
        <v>8054060.5073052738</v>
      </c>
      <c r="G8" s="196">
        <f t="shared" si="3"/>
        <v>10205313.898889583</v>
      </c>
      <c r="H8" s="196">
        <f t="shared" si="3"/>
        <v>12596846.373519965</v>
      </c>
      <c r="I8" s="196">
        <f t="shared" si="3"/>
        <v>14786692.447405774</v>
      </c>
      <c r="J8" s="196">
        <f t="shared" si="3"/>
        <v>17631221.136711024</v>
      </c>
      <c r="K8" s="196">
        <f t="shared" si="3"/>
        <v>20717656.869840845</v>
      </c>
      <c r="L8" s="196">
        <f t="shared" si="3"/>
        <v>23792777.203773394</v>
      </c>
      <c r="M8" s="196">
        <f t="shared" si="3"/>
        <v>26994439.64163921</v>
      </c>
      <c r="N8" s="196">
        <f t="shared" si="3"/>
        <v>29981695.276548702</v>
      </c>
      <c r="O8" s="196">
        <f t="shared" si="3"/>
        <v>17895220.762897894</v>
      </c>
      <c r="P8" s="196">
        <f t="shared" si="3"/>
        <v>0</v>
      </c>
      <c r="Q8" s="196">
        <f t="shared" si="3"/>
        <v>0</v>
      </c>
      <c r="R8" s="196">
        <f t="shared" si="3"/>
        <v>0</v>
      </c>
    </row>
    <row r="9" spans="1:18">
      <c r="B9" s="139" t="s">
        <v>222</v>
      </c>
      <c r="C9" s="167">
        <f>IF(C7&gt;0,'Key Assumptions'!$C$20*C7,0)</f>
        <v>0</v>
      </c>
      <c r="D9" s="167">
        <f>IF(D7&gt;0,'Key Assumptions'!$C$20*D7,0)</f>
        <v>0</v>
      </c>
      <c r="E9" s="167">
        <f>IF(E7&gt;0,'Key Assumptions'!$C$20*E7,0)</f>
        <v>0</v>
      </c>
      <c r="F9" s="167">
        <f>IF(F7&gt;0,'Key Assumptions'!$C$20*F7,0)</f>
        <v>0</v>
      </c>
      <c r="G9" s="167">
        <f>IF(G7&gt;0,'Key Assumptions'!$C$20*G7,0)</f>
        <v>0</v>
      </c>
      <c r="H9" s="167">
        <f>IF(H7&gt;0,'Key Assumptions'!$C$20*H7,0)</f>
        <v>0</v>
      </c>
      <c r="I9" s="167">
        <f>IF(I7&gt;0,'Key Assumptions'!$C$20*I7,0)</f>
        <v>0</v>
      </c>
      <c r="J9" s="167">
        <f>IF(J7&gt;0,'Key Assumptions'!$C$20*J7,0)</f>
        <v>0</v>
      </c>
      <c r="K9" s="167">
        <f>IF(K7&gt;0,'Key Assumptions'!$C$20*K7,0)</f>
        <v>0</v>
      </c>
      <c r="L9" s="167">
        <f>IF(L7&gt;0,'Key Assumptions'!$C$20*L7,0)</f>
        <v>0</v>
      </c>
      <c r="M9" s="167">
        <f>IF(M7&gt;0,'Key Assumptions'!$C$20*M7,0)</f>
        <v>0</v>
      </c>
      <c r="N9" s="167">
        <f>IF(N7&gt;0,'Key Assumptions'!$C$20*N7,0)</f>
        <v>0</v>
      </c>
      <c r="O9" s="167">
        <f>IF(O7&gt;0,'Key Assumptions'!$C$20*O7,0)</f>
        <v>0</v>
      </c>
      <c r="P9" s="167">
        <f>IF(P7&gt;0,'Key Assumptions'!$C$20*P7,0)</f>
        <v>0</v>
      </c>
      <c r="Q9" s="167">
        <f>IF(Q7&gt;0,'Key Assumptions'!$C$20*Q7,0)</f>
        <v>0</v>
      </c>
      <c r="R9" s="167">
        <f>IF(R7&gt;0,'Key Assumptions'!$C$20*R7,0)</f>
        <v>0</v>
      </c>
    </row>
    <row r="11" spans="1:18">
      <c r="B11" s="27" t="s">
        <v>151</v>
      </c>
    </row>
  </sheetData>
  <sheetProtection sheet="1" objects="1" scenarios="1"/>
  <mergeCells count="8">
    <mergeCell ref="B3:B4"/>
    <mergeCell ref="O3:O4"/>
    <mergeCell ref="P3:P4"/>
    <mergeCell ref="Q3:Q4"/>
    <mergeCell ref="R3:R4"/>
    <mergeCell ref="K3:N3"/>
    <mergeCell ref="C3:F3"/>
    <mergeCell ref="G3:J3"/>
  </mergeCells>
  <hyperlinks>
    <hyperlink ref="B11" location="Index!A1" display="Back to Index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>
    <tabColor rgb="FF00B050"/>
  </sheetPr>
  <dimension ref="A1:N15"/>
  <sheetViews>
    <sheetView showGridLines="0" zoomScale="86" zoomScaleNormal="86" workbookViewId="0">
      <selection activeCell="J22" sqref="J22"/>
    </sheetView>
  </sheetViews>
  <sheetFormatPr defaultRowHeight="15"/>
  <cols>
    <col min="1" max="1" width="6.140625" customWidth="1"/>
    <col min="2" max="2" width="27.7109375" customWidth="1"/>
    <col min="3" max="14" width="14.42578125" bestFit="1" customWidth="1"/>
  </cols>
  <sheetData>
    <row r="1" spans="1:14" ht="23.25">
      <c r="A1" s="79" t="s">
        <v>328</v>
      </c>
    </row>
    <row r="3" spans="1:14">
      <c r="B3" s="357" t="s">
        <v>248</v>
      </c>
      <c r="C3" s="357" t="s">
        <v>6</v>
      </c>
      <c r="D3" s="357"/>
      <c r="E3" s="357"/>
      <c r="F3" s="357"/>
      <c r="G3" s="357" t="s">
        <v>7</v>
      </c>
      <c r="H3" s="357"/>
      <c r="I3" s="357"/>
      <c r="J3" s="357"/>
      <c r="K3" s="357" t="s">
        <v>8</v>
      </c>
      <c r="L3" s="357"/>
      <c r="M3" s="357"/>
      <c r="N3" s="357"/>
    </row>
    <row r="4" spans="1:14">
      <c r="B4" s="357"/>
      <c r="C4" s="128" t="s">
        <v>13</v>
      </c>
      <c r="D4" s="128" t="s">
        <v>14</v>
      </c>
      <c r="E4" s="128" t="s">
        <v>15</v>
      </c>
      <c r="F4" s="128" t="s">
        <v>16</v>
      </c>
      <c r="G4" s="128" t="s">
        <v>13</v>
      </c>
      <c r="H4" s="128" t="s">
        <v>14</v>
      </c>
      <c r="I4" s="128" t="s">
        <v>15</v>
      </c>
      <c r="J4" s="128" t="s">
        <v>16</v>
      </c>
      <c r="K4" s="128" t="s">
        <v>13</v>
      </c>
      <c r="L4" s="128" t="s">
        <v>14</v>
      </c>
      <c r="M4" s="128" t="s">
        <v>15</v>
      </c>
      <c r="N4" s="128" t="s">
        <v>16</v>
      </c>
    </row>
    <row r="5" spans="1:14">
      <c r="B5" s="86" t="s">
        <v>249</v>
      </c>
      <c r="C5" s="254">
        <f>'Key Assumptions'!C30</f>
        <v>4950000</v>
      </c>
      <c r="D5" s="254">
        <f>'Key Assumptions'!D30</f>
        <v>2400000</v>
      </c>
      <c r="E5" s="254">
        <f>'Key Assumptions'!E30</f>
        <v>0</v>
      </c>
      <c r="F5" s="254">
        <f>'Key Assumptions'!F30</f>
        <v>2400000</v>
      </c>
      <c r="G5" s="254">
        <f>'Key Assumptions'!G30</f>
        <v>2400000</v>
      </c>
      <c r="H5" s="254">
        <f>'Key Assumptions'!H30</f>
        <v>4800000</v>
      </c>
      <c r="I5" s="254">
        <f>'Key Assumptions'!I30</f>
        <v>0</v>
      </c>
      <c r="J5" s="254">
        <f>'Key Assumptions'!J30</f>
        <v>7200000</v>
      </c>
      <c r="K5" s="254">
        <f>'Key Assumptions'!K30</f>
        <v>7200000</v>
      </c>
      <c r="L5" s="254">
        <f>'Key Assumptions'!L30</f>
        <v>7200000</v>
      </c>
      <c r="M5" s="254">
        <f>'Key Assumptions'!M30</f>
        <v>7200000</v>
      </c>
      <c r="N5" s="254">
        <f>'Key Assumptions'!N30</f>
        <v>4800000</v>
      </c>
    </row>
    <row r="6" spans="1:14">
      <c r="B6" s="86" t="s">
        <v>61</v>
      </c>
      <c r="C6" s="254">
        <f>'Key Assumptions'!C35</f>
        <v>1650000</v>
      </c>
      <c r="D6" s="254">
        <f>'Key Assumptions'!D35</f>
        <v>800000</v>
      </c>
      <c r="E6" s="254">
        <f>'Key Assumptions'!E35</f>
        <v>0</v>
      </c>
      <c r="F6" s="254">
        <f>'Key Assumptions'!F35</f>
        <v>800000</v>
      </c>
      <c r="G6" s="254">
        <f>'Key Assumptions'!G35</f>
        <v>800000</v>
      </c>
      <c r="H6" s="254">
        <f>'Key Assumptions'!H35</f>
        <v>1600000</v>
      </c>
      <c r="I6" s="254">
        <f>'Key Assumptions'!I35</f>
        <v>0</v>
      </c>
      <c r="J6" s="254">
        <f>'Key Assumptions'!J35</f>
        <v>2400000</v>
      </c>
      <c r="K6" s="254">
        <f>'Key Assumptions'!K35</f>
        <v>2400000</v>
      </c>
      <c r="L6" s="254">
        <f>'Key Assumptions'!L35</f>
        <v>2400000</v>
      </c>
      <c r="M6" s="254">
        <f>'Key Assumptions'!M35</f>
        <v>2400000</v>
      </c>
      <c r="N6" s="254">
        <f>'Key Assumptions'!N35</f>
        <v>1600000</v>
      </c>
    </row>
    <row r="7" spans="1:14">
      <c r="B7" s="94" t="s">
        <v>250</v>
      </c>
      <c r="C7" s="255">
        <f t="shared" ref="C7:N7" si="0">SUM(C5:C6)</f>
        <v>6600000</v>
      </c>
      <c r="D7" s="255">
        <f t="shared" si="0"/>
        <v>3200000</v>
      </c>
      <c r="E7" s="255">
        <f t="shared" si="0"/>
        <v>0</v>
      </c>
      <c r="F7" s="255">
        <f t="shared" si="0"/>
        <v>3200000</v>
      </c>
      <c r="G7" s="255">
        <f t="shared" si="0"/>
        <v>3200000</v>
      </c>
      <c r="H7" s="255">
        <f t="shared" si="0"/>
        <v>6400000</v>
      </c>
      <c r="I7" s="255">
        <f t="shared" si="0"/>
        <v>0</v>
      </c>
      <c r="J7" s="255">
        <f t="shared" si="0"/>
        <v>9600000</v>
      </c>
      <c r="K7" s="255">
        <f t="shared" si="0"/>
        <v>9600000</v>
      </c>
      <c r="L7" s="255">
        <f t="shared" si="0"/>
        <v>9600000</v>
      </c>
      <c r="M7" s="255">
        <f t="shared" si="0"/>
        <v>9600000</v>
      </c>
      <c r="N7" s="255">
        <f t="shared" si="0"/>
        <v>6400000</v>
      </c>
    </row>
    <row r="8" spans="1:14">
      <c r="B8" s="28" t="s">
        <v>251</v>
      </c>
      <c r="C8" s="256">
        <f>'Cash Flow Statement'!C18</f>
        <v>5342550</v>
      </c>
      <c r="D8" s="256">
        <f>'Cash Flow Statement'!D18</f>
        <v>2336200</v>
      </c>
      <c r="E8" s="256">
        <f>'Cash Flow Statement'!E18</f>
        <v>0</v>
      </c>
      <c r="F8" s="256">
        <f>'Cash Flow Statement'!F18</f>
        <v>2336200</v>
      </c>
      <c r="G8" s="256">
        <f>'Cash Flow Statement'!G18</f>
        <v>2336200</v>
      </c>
      <c r="H8" s="256">
        <f>'Cash Flow Statement'!H18</f>
        <v>4672400</v>
      </c>
      <c r="I8" s="256">
        <f>'Cash Flow Statement'!I18</f>
        <v>0</v>
      </c>
      <c r="J8" s="256">
        <f>'Cash Flow Statement'!J18</f>
        <v>7008600</v>
      </c>
      <c r="K8" s="256">
        <f>'Cash Flow Statement'!K18</f>
        <v>8309250.0000000009</v>
      </c>
      <c r="L8" s="256">
        <f>'Cash Flow Statement'!L18</f>
        <v>7409250.0000000009</v>
      </c>
      <c r="M8" s="256">
        <f>'Cash Flow Statement'!M18</f>
        <v>7409250.0000000009</v>
      </c>
      <c r="N8" s="256">
        <f>'Cash Flow Statement'!N18</f>
        <v>4939500</v>
      </c>
    </row>
    <row r="9" spans="1:14">
      <c r="B9" s="28" t="s">
        <v>95</v>
      </c>
      <c r="C9" s="256">
        <f>-'Cash Flow Statement'!C12</f>
        <v>394800</v>
      </c>
      <c r="D9" s="256">
        <f>-'Cash Flow Statement'!D12</f>
        <v>966649.99999999977</v>
      </c>
      <c r="E9" s="256">
        <f>-'Cash Flow Statement'!E12</f>
        <v>1103700</v>
      </c>
      <c r="F9" s="256">
        <f>-'Cash Flow Statement'!F12</f>
        <v>882000</v>
      </c>
      <c r="G9" s="256">
        <f>-'Cash Flow Statement'!G12</f>
        <v>777033.33333333349</v>
      </c>
      <c r="H9" s="256">
        <f>-'Cash Flow Statement'!H12</f>
        <v>512800.00000000012</v>
      </c>
      <c r="I9" s="256">
        <f>-'Cash Flow Statement'!I12</f>
        <v>750500.00000000012</v>
      </c>
      <c r="J9" s="256">
        <f>-'Cash Flow Statement'!J12</f>
        <v>219049.99999999977</v>
      </c>
      <c r="K9" s="256">
        <f>-'Cash Flow Statement'!K12</f>
        <v>-557258.33333333302</v>
      </c>
      <c r="L9" s="256">
        <f>-'Cash Flow Statement'!L12</f>
        <v>-1025872.4999999993</v>
      </c>
      <c r="M9" s="256">
        <f>-'Cash Flow Statement'!M12</f>
        <v>-1416217.4999999991</v>
      </c>
      <c r="N9" s="256">
        <f>-'Cash Flow Statement'!N12</f>
        <v>-1585755</v>
      </c>
    </row>
    <row r="10" spans="1:14">
      <c r="B10" s="28" t="s">
        <v>252</v>
      </c>
      <c r="C10" s="256">
        <f>C11-SUM(C8:C9)</f>
        <v>862650</v>
      </c>
      <c r="D10" s="256">
        <f t="shared" ref="D10:N10" si="1">D11-SUM(D8:D9)</f>
        <v>-102850</v>
      </c>
      <c r="E10" s="256">
        <f t="shared" si="1"/>
        <v>-1103700</v>
      </c>
      <c r="F10" s="256">
        <f t="shared" si="1"/>
        <v>-18200</v>
      </c>
      <c r="G10" s="256">
        <f t="shared" si="1"/>
        <v>86766.666666666511</v>
      </c>
      <c r="H10" s="256">
        <f t="shared" si="1"/>
        <v>1214800</v>
      </c>
      <c r="I10" s="256">
        <f t="shared" si="1"/>
        <v>-750500.00000000012</v>
      </c>
      <c r="J10" s="256">
        <f t="shared" si="1"/>
        <v>2372350</v>
      </c>
      <c r="K10" s="256">
        <f t="shared" si="1"/>
        <v>1848008.3333333321</v>
      </c>
      <c r="L10" s="256">
        <f t="shared" si="1"/>
        <v>3216622.4999999981</v>
      </c>
      <c r="M10" s="256">
        <f t="shared" si="1"/>
        <v>3606967.4999999981</v>
      </c>
      <c r="N10" s="256">
        <f t="shared" si="1"/>
        <v>3046255</v>
      </c>
    </row>
    <row r="11" spans="1:14">
      <c r="B11" s="95" t="s">
        <v>253</v>
      </c>
      <c r="C11" s="255">
        <f t="shared" ref="C11:N11" si="2">C7</f>
        <v>6600000</v>
      </c>
      <c r="D11" s="255">
        <f t="shared" si="2"/>
        <v>3200000</v>
      </c>
      <c r="E11" s="255">
        <f t="shared" si="2"/>
        <v>0</v>
      </c>
      <c r="F11" s="255">
        <f t="shared" si="2"/>
        <v>3200000</v>
      </c>
      <c r="G11" s="255">
        <f t="shared" si="2"/>
        <v>3200000</v>
      </c>
      <c r="H11" s="255">
        <f t="shared" si="2"/>
        <v>6400000</v>
      </c>
      <c r="I11" s="255">
        <f t="shared" si="2"/>
        <v>0</v>
      </c>
      <c r="J11" s="255">
        <f t="shared" si="2"/>
        <v>9600000</v>
      </c>
      <c r="K11" s="255">
        <f t="shared" si="2"/>
        <v>9600000</v>
      </c>
      <c r="L11" s="255">
        <f t="shared" si="2"/>
        <v>9600000</v>
      </c>
      <c r="M11" s="255">
        <f t="shared" si="2"/>
        <v>9600000</v>
      </c>
      <c r="N11" s="255">
        <f t="shared" si="2"/>
        <v>6400000</v>
      </c>
    </row>
    <row r="12" spans="1:14">
      <c r="B12" s="78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</row>
    <row r="13" spans="1:14">
      <c r="B13" s="145"/>
      <c r="C13" s="1" t="s">
        <v>336</v>
      </c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</row>
    <row r="15" spans="1:14">
      <c r="B15" s="27" t="s">
        <v>151</v>
      </c>
    </row>
  </sheetData>
  <mergeCells count="4">
    <mergeCell ref="C3:F3"/>
    <mergeCell ref="G3:J3"/>
    <mergeCell ref="K3:N3"/>
    <mergeCell ref="B3:B4"/>
  </mergeCells>
  <dataValidations count="1">
    <dataValidation type="custom" allowBlank="1" showInputMessage="1" showErrorMessage="1" error="Please enter only numbers" sqref="C5:N11">
      <formula1>ISNUMBER(C5)</formula1>
    </dataValidation>
  </dataValidations>
  <hyperlinks>
    <hyperlink ref="B15" location="Index!A1" display="Back to Index"/>
  </hyperlinks>
  <pageMargins left="0.7" right="0.7" top="0.75" bottom="0.75" header="0.3" footer="0.3"/>
  <ignoredErrors>
    <ignoredError sqref="C8:N10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>
    <tabColor rgb="FF00B050"/>
  </sheetPr>
  <dimension ref="A1:R18"/>
  <sheetViews>
    <sheetView zoomScale="86" zoomScaleNormal="86" workbookViewId="0">
      <selection activeCell="B6" sqref="B6"/>
    </sheetView>
  </sheetViews>
  <sheetFormatPr defaultRowHeight="15"/>
  <cols>
    <col min="1" max="1" width="3.140625" customWidth="1"/>
    <col min="2" max="2" width="30.28515625" bestFit="1" customWidth="1"/>
    <col min="3" max="5" width="12.7109375" bestFit="1" customWidth="1"/>
    <col min="6" max="14" width="14.42578125" bestFit="1" customWidth="1"/>
    <col min="15" max="18" width="15.7109375" bestFit="1" customWidth="1"/>
  </cols>
  <sheetData>
    <row r="1" spans="1:18" ht="23.25">
      <c r="A1" s="79" t="s">
        <v>208</v>
      </c>
    </row>
    <row r="3" spans="1:18">
      <c r="B3" s="357" t="s">
        <v>204</v>
      </c>
      <c r="C3" s="357" t="s">
        <v>6</v>
      </c>
      <c r="D3" s="357"/>
      <c r="E3" s="357"/>
      <c r="F3" s="357"/>
      <c r="G3" s="357" t="s">
        <v>7</v>
      </c>
      <c r="H3" s="357"/>
      <c r="I3" s="357"/>
      <c r="J3" s="357"/>
      <c r="K3" s="358" t="s">
        <v>8</v>
      </c>
      <c r="L3" s="359"/>
      <c r="M3" s="359"/>
      <c r="N3" s="360"/>
      <c r="O3" s="357" t="s">
        <v>9</v>
      </c>
      <c r="P3" s="357" t="s">
        <v>10</v>
      </c>
      <c r="Q3" s="357" t="s">
        <v>11</v>
      </c>
      <c r="R3" s="357" t="s">
        <v>12</v>
      </c>
    </row>
    <row r="4" spans="1:18">
      <c r="B4" s="357"/>
      <c r="C4" s="75" t="s">
        <v>13</v>
      </c>
      <c r="D4" s="75" t="s">
        <v>14</v>
      </c>
      <c r="E4" s="75" t="s">
        <v>15</v>
      </c>
      <c r="F4" s="75" t="s">
        <v>16</v>
      </c>
      <c r="G4" s="75" t="s">
        <v>13</v>
      </c>
      <c r="H4" s="75" t="s">
        <v>14</v>
      </c>
      <c r="I4" s="75" t="s">
        <v>15</v>
      </c>
      <c r="J4" s="75" t="s">
        <v>16</v>
      </c>
      <c r="K4" s="160" t="s">
        <v>13</v>
      </c>
      <c r="L4" s="160" t="s">
        <v>14</v>
      </c>
      <c r="M4" s="160" t="s">
        <v>15</v>
      </c>
      <c r="N4" s="160" t="s">
        <v>16</v>
      </c>
      <c r="O4" s="357"/>
      <c r="P4" s="357"/>
      <c r="Q4" s="357"/>
      <c r="R4" s="357"/>
    </row>
    <row r="5" spans="1:18">
      <c r="B5" s="28" t="s">
        <v>75</v>
      </c>
      <c r="C5" s="201">
        <f>SUMPRODUCT('No. of Students Trained'!D196:D199,'Revenue Assumptions'!$D$5:$D$8)*'Key Assumptions'!$C$48</f>
        <v>832500</v>
      </c>
      <c r="D5" s="201">
        <f>SUMPRODUCT('No. of Students Trained'!E196:E199,'Revenue Assumptions'!$D$5:$D$8)*'Key Assumptions'!$C$48</f>
        <v>1567500</v>
      </c>
      <c r="E5" s="201">
        <f>SUMPRODUCT('No. of Students Trained'!F196:F199,'Revenue Assumptions'!$D$5:$D$8)*'Key Assumptions'!$C$48</f>
        <v>1567500</v>
      </c>
      <c r="F5" s="201">
        <f>SUMPRODUCT('No. of Students Trained'!G196:G199,'Revenue Assumptions'!$D$5:$D$8)*'Key Assumptions'!$C$48</f>
        <v>2400000</v>
      </c>
      <c r="G5" s="201">
        <f>SUMPRODUCT('No. of Students Trained'!H196:H199,'Revenue Assumptions'!$D$5:$D$8)*'Key Assumptions'!$D$48</f>
        <v>3448000</v>
      </c>
      <c r="H5" s="201">
        <f>SUMPRODUCT('No. of Students Trained'!I196:I199,'Revenue Assumptions'!$D$5:$D$8)*'Key Assumptions'!$D$48</f>
        <v>5224000</v>
      </c>
      <c r="I5" s="201">
        <f>SUMPRODUCT('No. of Students Trained'!J196:J199,'Revenue Assumptions'!$D$5:$D$8)*'Key Assumptions'!$D$48</f>
        <v>5224000</v>
      </c>
      <c r="J5" s="201">
        <f>SUMPRODUCT('No. of Students Trained'!K196:K199,'Revenue Assumptions'!$D$5:$D$8)*'Key Assumptions'!$D$48</f>
        <v>7648000</v>
      </c>
      <c r="K5" s="201">
        <f>SUMPRODUCT('No. of Students Trained'!L196:L199,'Revenue Assumptions'!$D$5:$D$8)*'Key Assumptions'!$E$48</f>
        <v>11637000</v>
      </c>
      <c r="L5" s="201">
        <f>SUMPRODUCT('No. of Students Trained'!M196:M199,'Revenue Assumptions'!$D$5:$D$8)*'Key Assumptions'!$E$48</f>
        <v>14634000</v>
      </c>
      <c r="M5" s="201">
        <f>SUMPRODUCT('No. of Students Trained'!N196:N199,'Revenue Assumptions'!$D$5:$D$8)*'Key Assumptions'!$E$48</f>
        <v>17478000</v>
      </c>
      <c r="N5" s="201">
        <f>SUMPRODUCT('No. of Students Trained'!O196:O199,'Revenue Assumptions'!$D$5:$D$8)*'Key Assumptions'!$E$48</f>
        <v>19476000</v>
      </c>
      <c r="O5" s="201">
        <f>SUMPRODUCT('No. of Students Trained'!P196:P199,'Revenue Assumptions'!$D$5:$D$8)*'Key Assumptions'!F48</f>
        <v>99976800</v>
      </c>
      <c r="P5" s="201">
        <f>SUMPRODUCT('No. of Students Trained'!Q196:Q199,'Revenue Assumptions'!$D$5:$D$8)*'Key Assumptions'!G48</f>
        <v>114518880</v>
      </c>
      <c r="Q5" s="201">
        <f>SUMPRODUCT('No. of Students Trained'!R196:R199,'Revenue Assumptions'!$D$5:$D$8)*'Key Assumptions'!H48</f>
        <v>125970768.00000003</v>
      </c>
      <c r="R5" s="201">
        <f>SUMPRODUCT('No. of Students Trained'!S196:S199,'Revenue Assumptions'!$D$5:$D$8)*'Key Assumptions'!I48</f>
        <v>144341505.00000003</v>
      </c>
    </row>
    <row r="6" spans="1:18">
      <c r="B6" s="28" t="s">
        <v>325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</row>
    <row r="7" spans="1:18">
      <c r="B7" s="32" t="s">
        <v>76</v>
      </c>
      <c r="C7" s="201">
        <f>SUMPRODUCT('No. of Students Trained'!D196:D199,'Revenue Assumptions'!$E$5:$E$8)</f>
        <v>157500</v>
      </c>
      <c r="D7" s="201">
        <f>SUMPRODUCT('No. of Students Trained'!E196:E199,'Revenue Assumptions'!$E$5:$E$8)</f>
        <v>292500</v>
      </c>
      <c r="E7" s="201">
        <f>SUMPRODUCT('No. of Students Trained'!F196:F199,'Revenue Assumptions'!$E$5:$E$8)</f>
        <v>292500</v>
      </c>
      <c r="F7" s="201">
        <f>SUMPRODUCT('No. of Students Trained'!G196:G199,'Revenue Assumptions'!$E$5:$E$8)</f>
        <v>450000</v>
      </c>
      <c r="G7" s="201">
        <f>SUMPRODUCT('No. of Students Trained'!H196:H199,'Revenue Assumptions'!$E$5:$E$8)</f>
        <v>648000</v>
      </c>
      <c r="H7" s="201">
        <f>SUMPRODUCT('No. of Students Trained'!I196:I199,'Revenue Assumptions'!$E$5:$E$8)</f>
        <v>984000</v>
      </c>
      <c r="I7" s="201">
        <f>SUMPRODUCT('No. of Students Trained'!J196:J199,'Revenue Assumptions'!$E$5:$E$8)</f>
        <v>984000</v>
      </c>
      <c r="J7" s="201">
        <f>SUMPRODUCT('No. of Students Trained'!K196:K199,'Revenue Assumptions'!$E$5:$E$8)</f>
        <v>1440000</v>
      </c>
      <c r="K7" s="201">
        <f>SUMPRODUCT('No. of Students Trained'!L196:L199,'Revenue Assumptions'!$E$5:$E$8)</f>
        <v>2187000</v>
      </c>
      <c r="L7" s="201">
        <f>SUMPRODUCT('No. of Students Trained'!M196:M199,'Revenue Assumptions'!$E$5:$E$8)</f>
        <v>2754000</v>
      </c>
      <c r="M7" s="201">
        <f>SUMPRODUCT('No. of Students Trained'!N196:N199,'Revenue Assumptions'!$E$5:$E$8)</f>
        <v>3294000</v>
      </c>
      <c r="N7" s="201">
        <f>SUMPRODUCT('No. of Students Trained'!O196:O199,'Revenue Assumptions'!$E$5:$E$8)</f>
        <v>3672000</v>
      </c>
      <c r="O7" s="201">
        <f>SUMPRODUCT('No. of Students Trained'!P196:P199,'Revenue Assumptions'!$E$5:$E$8)</f>
        <v>17952000</v>
      </c>
      <c r="P7" s="201">
        <f>SUMPRODUCT('No. of Students Trained'!Q196:Q199,'Revenue Assumptions'!$E$5:$E$8)</f>
        <v>19584000</v>
      </c>
      <c r="Q7" s="201">
        <f>SUMPRODUCT('No. of Students Trained'!R196:R199,'Revenue Assumptions'!$E$5:$E$8)</f>
        <v>19584000</v>
      </c>
      <c r="R7" s="201">
        <f>SUMPRODUCT('No. of Students Trained'!S196:S199,'Revenue Assumptions'!$E$5:$E$8)</f>
        <v>20400000</v>
      </c>
    </row>
    <row r="8" spans="1:18">
      <c r="B8" s="32" t="s">
        <v>77</v>
      </c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</row>
    <row r="9" spans="1:18">
      <c r="B9" s="32" t="s">
        <v>78</v>
      </c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</row>
    <row r="10" spans="1:18">
      <c r="B10" s="28" t="s">
        <v>326</v>
      </c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</row>
    <row r="11" spans="1:18" ht="15.75" thickBot="1">
      <c r="B11" s="103"/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</row>
    <row r="12" spans="1:18" ht="15.75" thickBot="1">
      <c r="B12" s="125" t="s">
        <v>41</v>
      </c>
      <c r="C12" s="203">
        <f>SUM(C5:C10)</f>
        <v>990000</v>
      </c>
      <c r="D12" s="203">
        <f t="shared" ref="D12:R12" si="0">SUM(D5:D10)</f>
        <v>1860000</v>
      </c>
      <c r="E12" s="203">
        <f t="shared" si="0"/>
        <v>1860000</v>
      </c>
      <c r="F12" s="203">
        <f t="shared" si="0"/>
        <v>2850000</v>
      </c>
      <c r="G12" s="203">
        <f t="shared" si="0"/>
        <v>4096000</v>
      </c>
      <c r="H12" s="203">
        <f t="shared" si="0"/>
        <v>6208000</v>
      </c>
      <c r="I12" s="203">
        <f t="shared" si="0"/>
        <v>6208000</v>
      </c>
      <c r="J12" s="203">
        <f t="shared" si="0"/>
        <v>9088000</v>
      </c>
      <c r="K12" s="203">
        <f t="shared" si="0"/>
        <v>13824000</v>
      </c>
      <c r="L12" s="203">
        <f t="shared" si="0"/>
        <v>17388000</v>
      </c>
      <c r="M12" s="203">
        <f t="shared" si="0"/>
        <v>20772000</v>
      </c>
      <c r="N12" s="203">
        <f t="shared" si="0"/>
        <v>23148000</v>
      </c>
      <c r="O12" s="203">
        <f t="shared" si="0"/>
        <v>117928800</v>
      </c>
      <c r="P12" s="203">
        <f t="shared" si="0"/>
        <v>134102880</v>
      </c>
      <c r="Q12" s="203">
        <f t="shared" si="0"/>
        <v>145554768.00000003</v>
      </c>
      <c r="R12" s="203">
        <f t="shared" si="0"/>
        <v>164741505.00000003</v>
      </c>
    </row>
    <row r="14" spans="1:18">
      <c r="B14" s="2" t="s">
        <v>134</v>
      </c>
    </row>
    <row r="15" spans="1:18">
      <c r="B15" s="1" t="s">
        <v>291</v>
      </c>
    </row>
    <row r="16" spans="1:18">
      <c r="B16" s="145"/>
      <c r="C16" s="1" t="s">
        <v>336</v>
      </c>
    </row>
    <row r="18" spans="2:2">
      <c r="B18" s="27" t="s">
        <v>151</v>
      </c>
    </row>
  </sheetData>
  <sheetProtection sheet="1" objects="1" scenarios="1"/>
  <mergeCells count="8">
    <mergeCell ref="R3:R4"/>
    <mergeCell ref="C3:F3"/>
    <mergeCell ref="G3:J3"/>
    <mergeCell ref="B3:B4"/>
    <mergeCell ref="O3:O4"/>
    <mergeCell ref="K3:N3"/>
    <mergeCell ref="P3:P4"/>
    <mergeCell ref="Q3:Q4"/>
  </mergeCells>
  <conditionalFormatting sqref="C5:R12">
    <cfRule type="cellIs" dxfId="4" priority="1" operator="lessThan">
      <formula>0</formula>
    </cfRule>
  </conditionalFormatting>
  <dataValidations count="1">
    <dataValidation type="custom" allowBlank="1" showInputMessage="1" showErrorMessage="1" error="Please enter only numbers" sqref="C5:R12">
      <formula1>ISNUMBER(C5)</formula1>
    </dataValidation>
  </dataValidations>
  <hyperlinks>
    <hyperlink ref="B18" location="Index!A1" display="Back to Index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>
    <tabColor rgb="FF00B050"/>
  </sheetPr>
  <dimension ref="A1:T29"/>
  <sheetViews>
    <sheetView tabSelected="1" zoomScale="86" zoomScaleNormal="86" workbookViewId="0">
      <selection activeCell="L29" sqref="L29"/>
    </sheetView>
  </sheetViews>
  <sheetFormatPr defaultRowHeight="15"/>
  <cols>
    <col min="1" max="1" width="5.7109375" customWidth="1"/>
    <col min="2" max="2" width="44.42578125" customWidth="1"/>
    <col min="3" max="5" width="14.42578125" bestFit="1" customWidth="1"/>
    <col min="6" max="10" width="14.5703125" bestFit="1" customWidth="1"/>
    <col min="11" max="13" width="14.5703125" customWidth="1"/>
    <col min="14" max="14" width="15.7109375" bestFit="1" customWidth="1"/>
    <col min="15" max="17" width="14.5703125" bestFit="1" customWidth="1"/>
    <col min="18" max="18" width="15.85546875" bestFit="1" customWidth="1"/>
  </cols>
  <sheetData>
    <row r="1" spans="1:18" ht="23.25">
      <c r="A1" s="79" t="s">
        <v>213</v>
      </c>
    </row>
    <row r="2" spans="1:18" ht="6" customHeight="1"/>
    <row r="3" spans="1:18">
      <c r="B3" s="357" t="s">
        <v>204</v>
      </c>
      <c r="C3" s="357" t="s">
        <v>6</v>
      </c>
      <c r="D3" s="357"/>
      <c r="E3" s="357"/>
      <c r="F3" s="357"/>
      <c r="G3" s="357" t="s">
        <v>7</v>
      </c>
      <c r="H3" s="357"/>
      <c r="I3" s="357"/>
      <c r="J3" s="357"/>
      <c r="K3" s="358" t="s">
        <v>8</v>
      </c>
      <c r="L3" s="359"/>
      <c r="M3" s="359"/>
      <c r="N3" s="360"/>
      <c r="O3" s="357" t="s">
        <v>9</v>
      </c>
      <c r="P3" s="357" t="s">
        <v>10</v>
      </c>
      <c r="Q3" s="357" t="s">
        <v>11</v>
      </c>
      <c r="R3" s="357" t="s">
        <v>12</v>
      </c>
    </row>
    <row r="4" spans="1:18">
      <c r="B4" s="357"/>
      <c r="C4" s="75" t="s">
        <v>13</v>
      </c>
      <c r="D4" s="75" t="s">
        <v>14</v>
      </c>
      <c r="E4" s="75" t="s">
        <v>15</v>
      </c>
      <c r="F4" s="75" t="s">
        <v>16</v>
      </c>
      <c r="G4" s="75" t="s">
        <v>13</v>
      </c>
      <c r="H4" s="75" t="s">
        <v>14</v>
      </c>
      <c r="I4" s="75" t="s">
        <v>15</v>
      </c>
      <c r="J4" s="75" t="s">
        <v>16</v>
      </c>
      <c r="K4" s="160" t="s">
        <v>13</v>
      </c>
      <c r="L4" s="160" t="s">
        <v>14</v>
      </c>
      <c r="M4" s="160" t="s">
        <v>15</v>
      </c>
      <c r="N4" s="160" t="s">
        <v>16</v>
      </c>
      <c r="O4" s="357"/>
      <c r="P4" s="357"/>
      <c r="Q4" s="357"/>
      <c r="R4" s="357"/>
    </row>
    <row r="5" spans="1:18">
      <c r="B5" s="28" t="s">
        <v>87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</row>
    <row r="6" spans="1:18">
      <c r="B6" s="32" t="s">
        <v>104</v>
      </c>
      <c r="C6" s="178">
        <f>SUM('Human Resources'!D7:D12)</f>
        <v>471000</v>
      </c>
      <c r="D6" s="178">
        <f>SUM('Human Resources'!E7:E12)</f>
        <v>942000</v>
      </c>
      <c r="E6" s="178">
        <f>SUM('Human Resources'!F7:F12)</f>
        <v>942000</v>
      </c>
      <c r="F6" s="178">
        <f>SUM('Human Resources'!G7:G12)</f>
        <v>1413000</v>
      </c>
      <c r="G6" s="178">
        <f>SUM('Human Resources'!H7:H12)</f>
        <v>2072400</v>
      </c>
      <c r="H6" s="178">
        <f>SUM('Human Resources'!I7:I12)</f>
        <v>3108600</v>
      </c>
      <c r="I6" s="178">
        <f>SUM('Human Resources'!J7:J12)</f>
        <v>3108600</v>
      </c>
      <c r="J6" s="178">
        <f>SUM('Human Resources'!K7:K12)</f>
        <v>4662900</v>
      </c>
      <c r="K6" s="178">
        <f>SUM('Human Resources'!L7:L12)</f>
        <v>6838920.0000000009</v>
      </c>
      <c r="L6" s="178">
        <f>SUM('Human Resources'!M7:M12)</f>
        <v>8548650.0000000019</v>
      </c>
      <c r="M6" s="178">
        <f>SUM('Human Resources'!N7:N12)</f>
        <v>10258380.000000002</v>
      </c>
      <c r="N6" s="178">
        <f>SUM('Human Resources'!O7:O12)</f>
        <v>11398200.000000002</v>
      </c>
      <c r="O6" s="178">
        <f>SUM('Human Resources'!P7:P12)</f>
        <v>50152080.000000015</v>
      </c>
      <c r="P6" s="178">
        <f>SUM('Human Resources'!Q7:Q12)</f>
        <v>55167288.000000015</v>
      </c>
      <c r="Q6" s="178">
        <f>SUM('Human Resources'!R7:R12)</f>
        <v>60684016.800000019</v>
      </c>
      <c r="R6" s="178">
        <f>SUM('Human Resources'!S7:S12)</f>
        <v>66752418.480000034</v>
      </c>
    </row>
    <row r="7" spans="1:18">
      <c r="B7" s="32" t="s">
        <v>105</v>
      </c>
      <c r="C7" s="178">
        <f>SUM('Human Resources'!D27:D37)</f>
        <v>993000</v>
      </c>
      <c r="D7" s="178">
        <f>SUM('Human Resources'!E27:E37)</f>
        <v>993000</v>
      </c>
      <c r="E7" s="178">
        <f>SUM('Human Resources'!F27:F37)</f>
        <v>993000</v>
      </c>
      <c r="F7" s="178">
        <f>SUM('Human Resources'!G27:G37)</f>
        <v>993000</v>
      </c>
      <c r="G7" s="178">
        <f>SUM('Human Resources'!H27:H37)</f>
        <v>1080300</v>
      </c>
      <c r="H7" s="178">
        <f>SUM('Human Resources'!I27:I37)</f>
        <v>1080300</v>
      </c>
      <c r="I7" s="178">
        <f>SUM('Human Resources'!J27:J37)</f>
        <v>1080300</v>
      </c>
      <c r="J7" s="178">
        <f>SUM('Human Resources'!K27:K37)</f>
        <v>1080300</v>
      </c>
      <c r="K7" s="178">
        <f>SUM('Human Resources'!L27:L37)</f>
        <v>1188330.0000000002</v>
      </c>
      <c r="L7" s="178">
        <f>SUM('Human Resources'!M27:M37)</f>
        <v>1188330.0000000002</v>
      </c>
      <c r="M7" s="178">
        <f>SUM('Human Resources'!N27:N37)</f>
        <v>1188330.0000000002</v>
      </c>
      <c r="N7" s="178">
        <f>SUM('Human Resources'!O27:O37)</f>
        <v>1188330.0000000002</v>
      </c>
      <c r="O7" s="178">
        <f>SUM('Human Resources'!P27:P37)</f>
        <v>5228652.0000000009</v>
      </c>
      <c r="P7" s="178">
        <f>SUM('Human Resources'!Q27:Q37)</f>
        <v>5751517.2000000002</v>
      </c>
      <c r="Q7" s="178">
        <f>SUM('Human Resources'!R27:R37)</f>
        <v>6326668.9200000009</v>
      </c>
      <c r="R7" s="178">
        <f>SUM('Human Resources'!S27:S37)</f>
        <v>6959335.8120000018</v>
      </c>
    </row>
    <row r="8" spans="1:18">
      <c r="B8" s="28" t="s">
        <v>83</v>
      </c>
      <c r="C8" s="178">
        <f>'Other Opex'!C11</f>
        <v>390000</v>
      </c>
      <c r="D8" s="178">
        <f>'Other Opex'!D11</f>
        <v>540000</v>
      </c>
      <c r="E8" s="178">
        <f>'Other Opex'!E11</f>
        <v>540000</v>
      </c>
      <c r="F8" s="178">
        <f>'Other Opex'!F11</f>
        <v>690000</v>
      </c>
      <c r="G8" s="178">
        <f>'Other Opex'!G11</f>
        <v>882000</v>
      </c>
      <c r="H8" s="178">
        <f>'Other Opex'!H11</f>
        <v>1197000</v>
      </c>
      <c r="I8" s="178">
        <f>'Other Opex'!I11</f>
        <v>1197000</v>
      </c>
      <c r="J8" s="178">
        <f>'Other Opex'!J11</f>
        <v>1669500</v>
      </c>
      <c r="K8" s="178">
        <f>'Other Opex'!K11</f>
        <v>2249100</v>
      </c>
      <c r="L8" s="178">
        <f>'Other Opex'!L11</f>
        <v>2745225</v>
      </c>
      <c r="M8" s="178">
        <f>'Other Opex'!M11</f>
        <v>3241350</v>
      </c>
      <c r="N8" s="178">
        <f>'Other Opex'!N11</f>
        <v>3572100</v>
      </c>
      <c r="O8" s="178">
        <f>'Other Opex'!O11</f>
        <v>15002820.000000002</v>
      </c>
      <c r="P8" s="178">
        <f>'Other Opex'!P11</f>
        <v>15752961.000000004</v>
      </c>
      <c r="Q8" s="178">
        <f>'Other Opex'!Q11</f>
        <v>16540609.050000004</v>
      </c>
      <c r="R8" s="178">
        <f>'Other Opex'!R11</f>
        <v>17367639.502500005</v>
      </c>
    </row>
    <row r="9" spans="1:18">
      <c r="B9" s="162" t="s">
        <v>406</v>
      </c>
      <c r="C9" s="178">
        <f>'Other Opex'!C12</f>
        <v>15000</v>
      </c>
      <c r="D9" s="178">
        <f>'Other Opex'!D12</f>
        <v>30000</v>
      </c>
      <c r="E9" s="178">
        <f>'Other Opex'!E12</f>
        <v>30000</v>
      </c>
      <c r="F9" s="178">
        <f>'Other Opex'!F12</f>
        <v>45000</v>
      </c>
      <c r="G9" s="178">
        <f>'Other Opex'!G12</f>
        <v>60000</v>
      </c>
      <c r="H9" s="178">
        <f>'Other Opex'!H12</f>
        <v>90000</v>
      </c>
      <c r="I9" s="178">
        <f>'Other Opex'!I12</f>
        <v>90000</v>
      </c>
      <c r="J9" s="178">
        <f>'Other Opex'!J12</f>
        <v>135000</v>
      </c>
      <c r="K9" s="178">
        <f>'Other Opex'!K12</f>
        <v>180000</v>
      </c>
      <c r="L9" s="178">
        <f>'Other Opex'!L12</f>
        <v>225000</v>
      </c>
      <c r="M9" s="178">
        <f>'Other Opex'!M12</f>
        <v>270000</v>
      </c>
      <c r="N9" s="178">
        <f>'Other Opex'!N12</f>
        <v>300000</v>
      </c>
      <c r="O9" s="178">
        <f>'Other Opex'!O12</f>
        <v>1260000</v>
      </c>
      <c r="P9" s="178">
        <f>'Other Opex'!P12</f>
        <v>1323000</v>
      </c>
      <c r="Q9" s="178">
        <f>'Other Opex'!Q12</f>
        <v>1389150.0000000002</v>
      </c>
      <c r="R9" s="178">
        <f>'Other Opex'!R12</f>
        <v>1458607.5000000002</v>
      </c>
    </row>
    <row r="10" spans="1:18">
      <c r="B10" s="162" t="s">
        <v>401</v>
      </c>
      <c r="C10" s="178">
        <f>'Other Opex'!C13</f>
        <v>9000</v>
      </c>
      <c r="D10" s="178">
        <f>'Other Opex'!D13</f>
        <v>18000</v>
      </c>
      <c r="E10" s="178">
        <f>'Other Opex'!E13</f>
        <v>18000</v>
      </c>
      <c r="F10" s="178">
        <f>'Other Opex'!F13</f>
        <v>27000</v>
      </c>
      <c r="G10" s="178">
        <f>'Other Opex'!G13</f>
        <v>36000</v>
      </c>
      <c r="H10" s="178">
        <f>'Other Opex'!H13</f>
        <v>54000</v>
      </c>
      <c r="I10" s="178">
        <f>'Other Opex'!I13</f>
        <v>54000</v>
      </c>
      <c r="J10" s="178">
        <f>'Other Opex'!J13</f>
        <v>81000</v>
      </c>
      <c r="K10" s="178">
        <f>'Other Opex'!K13</f>
        <v>108000</v>
      </c>
      <c r="L10" s="178">
        <f>'Other Opex'!L13</f>
        <v>135000</v>
      </c>
      <c r="M10" s="178">
        <f>'Other Opex'!M13</f>
        <v>162000</v>
      </c>
      <c r="N10" s="178">
        <f>'Other Opex'!N13</f>
        <v>180000</v>
      </c>
      <c r="O10" s="178">
        <f>'Other Opex'!O13</f>
        <v>756000</v>
      </c>
      <c r="P10" s="178">
        <f>'Other Opex'!P13</f>
        <v>793800</v>
      </c>
      <c r="Q10" s="178">
        <f>'Other Opex'!Q13</f>
        <v>833490.00000000012</v>
      </c>
      <c r="R10" s="178">
        <f>'Other Opex'!R13</f>
        <v>875164.50000000012</v>
      </c>
    </row>
    <row r="11" spans="1:18">
      <c r="B11" s="42" t="s">
        <v>4</v>
      </c>
      <c r="C11" s="178">
        <f>'Other Opex'!C14</f>
        <v>3000</v>
      </c>
      <c r="D11" s="178">
        <f>'Other Opex'!D14</f>
        <v>6000</v>
      </c>
      <c r="E11" s="178">
        <f>'Other Opex'!E14</f>
        <v>6000</v>
      </c>
      <c r="F11" s="178">
        <f>'Other Opex'!F14</f>
        <v>9000</v>
      </c>
      <c r="G11" s="178">
        <f>'Other Opex'!G14</f>
        <v>12000</v>
      </c>
      <c r="H11" s="178">
        <f>'Other Opex'!H14</f>
        <v>18000</v>
      </c>
      <c r="I11" s="178">
        <f>'Other Opex'!I14</f>
        <v>18000</v>
      </c>
      <c r="J11" s="178">
        <f>'Other Opex'!J14</f>
        <v>27000</v>
      </c>
      <c r="K11" s="178">
        <f>'Other Opex'!K14</f>
        <v>36000</v>
      </c>
      <c r="L11" s="178">
        <f>'Other Opex'!L14</f>
        <v>45000</v>
      </c>
      <c r="M11" s="178">
        <f>'Other Opex'!M14</f>
        <v>54000</v>
      </c>
      <c r="N11" s="178">
        <f>'Other Opex'!N14</f>
        <v>60000</v>
      </c>
      <c r="O11" s="178">
        <f>'Other Opex'!O14</f>
        <v>252000</v>
      </c>
      <c r="P11" s="178">
        <f>'Other Opex'!P14</f>
        <v>264600</v>
      </c>
      <c r="Q11" s="178">
        <f>'Other Opex'!Q14</f>
        <v>277830.00000000006</v>
      </c>
      <c r="R11" s="178">
        <f>'Other Opex'!R14</f>
        <v>291721.50000000006</v>
      </c>
    </row>
    <row r="12" spans="1:18">
      <c r="B12" s="42" t="s">
        <v>402</v>
      </c>
      <c r="C12" s="178">
        <f>'Other Opex'!C15</f>
        <v>9000</v>
      </c>
      <c r="D12" s="178">
        <f>'Other Opex'!D15</f>
        <v>18000</v>
      </c>
      <c r="E12" s="178">
        <f>'Other Opex'!E15</f>
        <v>18000</v>
      </c>
      <c r="F12" s="178">
        <f>'Other Opex'!F15</f>
        <v>27000</v>
      </c>
      <c r="G12" s="178">
        <f>'Other Opex'!G15</f>
        <v>36000</v>
      </c>
      <c r="H12" s="178">
        <f>'Other Opex'!H15</f>
        <v>54000</v>
      </c>
      <c r="I12" s="178">
        <f>'Other Opex'!I15</f>
        <v>54000</v>
      </c>
      <c r="J12" s="178">
        <f>'Other Opex'!J15</f>
        <v>81000</v>
      </c>
      <c r="K12" s="178">
        <f>'Other Opex'!K15</f>
        <v>108000</v>
      </c>
      <c r="L12" s="178">
        <f>'Other Opex'!L15</f>
        <v>135000</v>
      </c>
      <c r="M12" s="178">
        <f>'Other Opex'!M15</f>
        <v>162000</v>
      </c>
      <c r="N12" s="178">
        <f>'Other Opex'!N15</f>
        <v>180000</v>
      </c>
      <c r="O12" s="178">
        <f>'Other Opex'!O15</f>
        <v>756000</v>
      </c>
      <c r="P12" s="178">
        <f>'Other Opex'!P15</f>
        <v>793800</v>
      </c>
      <c r="Q12" s="178">
        <f>'Other Opex'!Q15</f>
        <v>833490.00000000012</v>
      </c>
      <c r="R12" s="178">
        <f>'Other Opex'!R15</f>
        <v>875164.50000000012</v>
      </c>
    </row>
    <row r="13" spans="1:18">
      <c r="B13" s="42" t="s">
        <v>84</v>
      </c>
      <c r="C13" s="178">
        <f>'Other Opex'!C16</f>
        <v>15000</v>
      </c>
      <c r="D13" s="178">
        <f>'Other Opex'!D16</f>
        <v>30000</v>
      </c>
      <c r="E13" s="178">
        <f>'Other Opex'!E16</f>
        <v>30000</v>
      </c>
      <c r="F13" s="178">
        <f>'Other Opex'!F16</f>
        <v>45000</v>
      </c>
      <c r="G13" s="178">
        <f>'Other Opex'!G16</f>
        <v>60000</v>
      </c>
      <c r="H13" s="178">
        <f>'Other Opex'!H16</f>
        <v>90000</v>
      </c>
      <c r="I13" s="178">
        <f>'Other Opex'!I16</f>
        <v>90000</v>
      </c>
      <c r="J13" s="178">
        <f>'Other Opex'!J16</f>
        <v>135000</v>
      </c>
      <c r="K13" s="178">
        <f>'Other Opex'!K16</f>
        <v>180000</v>
      </c>
      <c r="L13" s="178">
        <f>'Other Opex'!L16</f>
        <v>225000</v>
      </c>
      <c r="M13" s="178">
        <f>'Other Opex'!M16</f>
        <v>270000</v>
      </c>
      <c r="N13" s="178">
        <f>'Other Opex'!N16</f>
        <v>300000</v>
      </c>
      <c r="O13" s="178">
        <f>'Other Opex'!O16</f>
        <v>1260000</v>
      </c>
      <c r="P13" s="178">
        <f>'Other Opex'!P16</f>
        <v>1323000</v>
      </c>
      <c r="Q13" s="178">
        <f>'Other Opex'!Q16</f>
        <v>1389150.0000000002</v>
      </c>
      <c r="R13" s="178">
        <f>'Other Opex'!R16</f>
        <v>1458607.5000000002</v>
      </c>
    </row>
    <row r="14" spans="1:18">
      <c r="B14" s="42" t="s">
        <v>403</v>
      </c>
      <c r="C14" s="178">
        <f>'Other Opex'!C17</f>
        <v>6000</v>
      </c>
      <c r="D14" s="178">
        <f>'Other Opex'!D17</f>
        <v>12000</v>
      </c>
      <c r="E14" s="178">
        <f>'Other Opex'!E17</f>
        <v>12000</v>
      </c>
      <c r="F14" s="178">
        <f>'Other Opex'!F17</f>
        <v>18000</v>
      </c>
      <c r="G14" s="178">
        <f>'Other Opex'!G17</f>
        <v>24000</v>
      </c>
      <c r="H14" s="178">
        <f>'Other Opex'!H17</f>
        <v>36000</v>
      </c>
      <c r="I14" s="178">
        <f>'Other Opex'!I17</f>
        <v>36000</v>
      </c>
      <c r="J14" s="178">
        <f>'Other Opex'!J17</f>
        <v>54000</v>
      </c>
      <c r="K14" s="178">
        <f>'Other Opex'!K17</f>
        <v>72000</v>
      </c>
      <c r="L14" s="178">
        <f>'Other Opex'!L17</f>
        <v>90000</v>
      </c>
      <c r="M14" s="178">
        <f>'Other Opex'!M17</f>
        <v>108000</v>
      </c>
      <c r="N14" s="178">
        <f>'Other Opex'!N17</f>
        <v>120000</v>
      </c>
      <c r="O14" s="178">
        <f>'Other Opex'!O17</f>
        <v>504000</v>
      </c>
      <c r="P14" s="178">
        <f>'Other Opex'!P17</f>
        <v>529200</v>
      </c>
      <c r="Q14" s="178">
        <f>'Other Opex'!Q17</f>
        <v>555660.00000000012</v>
      </c>
      <c r="R14" s="178">
        <f>'Other Opex'!R17</f>
        <v>583443.00000000012</v>
      </c>
    </row>
    <row r="15" spans="1:18">
      <c r="B15" s="42" t="s">
        <v>404</v>
      </c>
      <c r="C15" s="178">
        <f>'Other Opex'!C18</f>
        <v>9000</v>
      </c>
      <c r="D15" s="178">
        <f>'Other Opex'!D18</f>
        <v>18000</v>
      </c>
      <c r="E15" s="178">
        <f>'Other Opex'!E18</f>
        <v>18000</v>
      </c>
      <c r="F15" s="178">
        <f>'Other Opex'!F18</f>
        <v>27000</v>
      </c>
      <c r="G15" s="178">
        <f>'Other Opex'!G18</f>
        <v>36000</v>
      </c>
      <c r="H15" s="178">
        <f>'Other Opex'!H18</f>
        <v>54000</v>
      </c>
      <c r="I15" s="178">
        <f>'Other Opex'!I18</f>
        <v>54000</v>
      </c>
      <c r="J15" s="178">
        <f>'Other Opex'!J18</f>
        <v>81000</v>
      </c>
      <c r="K15" s="178">
        <f>'Other Opex'!K18</f>
        <v>108000</v>
      </c>
      <c r="L15" s="178">
        <f>'Other Opex'!L18</f>
        <v>135000</v>
      </c>
      <c r="M15" s="178">
        <f>'Other Opex'!M18</f>
        <v>162000</v>
      </c>
      <c r="N15" s="178">
        <f>'Other Opex'!N18</f>
        <v>180000</v>
      </c>
      <c r="O15" s="178">
        <f>'Other Opex'!O18</f>
        <v>756000</v>
      </c>
      <c r="P15" s="178">
        <f>'Other Opex'!P18</f>
        <v>793800</v>
      </c>
      <c r="Q15" s="178">
        <f>'Other Opex'!Q18</f>
        <v>833490.00000000012</v>
      </c>
      <c r="R15" s="178">
        <f>'Other Opex'!R18</f>
        <v>875164.50000000012</v>
      </c>
    </row>
    <row r="16" spans="1:18">
      <c r="B16" s="42" t="s">
        <v>396</v>
      </c>
      <c r="C16" s="178">
        <f>'Other Opex'!C19</f>
        <v>6000</v>
      </c>
      <c r="D16" s="178">
        <f>'Other Opex'!D19</f>
        <v>12000</v>
      </c>
      <c r="E16" s="178">
        <f>'Other Opex'!E19</f>
        <v>12000</v>
      </c>
      <c r="F16" s="178">
        <f>'Other Opex'!F19</f>
        <v>18000</v>
      </c>
      <c r="G16" s="178">
        <f>'Other Opex'!G19</f>
        <v>24000</v>
      </c>
      <c r="H16" s="178">
        <f>'Other Opex'!H19</f>
        <v>36000</v>
      </c>
      <c r="I16" s="178">
        <f>'Other Opex'!I19</f>
        <v>36000</v>
      </c>
      <c r="J16" s="178">
        <f>'Other Opex'!J19</f>
        <v>54000</v>
      </c>
      <c r="K16" s="178">
        <f>'Other Opex'!K19</f>
        <v>72000</v>
      </c>
      <c r="L16" s="178">
        <f>'Other Opex'!L19</f>
        <v>90000</v>
      </c>
      <c r="M16" s="178">
        <f>'Other Opex'!M19</f>
        <v>108000</v>
      </c>
      <c r="N16" s="178">
        <f>'Other Opex'!N19</f>
        <v>120000</v>
      </c>
      <c r="O16" s="178">
        <f>'Other Opex'!O19</f>
        <v>504000</v>
      </c>
      <c r="P16" s="178">
        <f>'Other Opex'!P19</f>
        <v>529200</v>
      </c>
      <c r="Q16" s="178">
        <f>'Other Opex'!Q19</f>
        <v>555660.00000000012</v>
      </c>
      <c r="R16" s="178">
        <f>'Other Opex'!R19</f>
        <v>583443.00000000012</v>
      </c>
    </row>
    <row r="17" spans="2:20">
      <c r="B17" s="42" t="s">
        <v>405</v>
      </c>
      <c r="C17" s="178">
        <f>'Other Opex'!C20</f>
        <v>6000</v>
      </c>
      <c r="D17" s="178">
        <f>'Other Opex'!D20</f>
        <v>12000</v>
      </c>
      <c r="E17" s="178">
        <f>'Other Opex'!E20</f>
        <v>12000</v>
      </c>
      <c r="F17" s="178">
        <f>'Other Opex'!F20</f>
        <v>18000</v>
      </c>
      <c r="G17" s="178">
        <f>'Other Opex'!G20</f>
        <v>24000</v>
      </c>
      <c r="H17" s="178">
        <f>'Other Opex'!H20</f>
        <v>36000</v>
      </c>
      <c r="I17" s="178">
        <f>'Other Opex'!I20</f>
        <v>36000</v>
      </c>
      <c r="J17" s="178">
        <f>'Other Opex'!J20</f>
        <v>54000</v>
      </c>
      <c r="K17" s="178">
        <f>'Other Opex'!K20</f>
        <v>72000</v>
      </c>
      <c r="L17" s="178">
        <f>'Other Opex'!L20</f>
        <v>90000</v>
      </c>
      <c r="M17" s="178">
        <f>'Other Opex'!M20</f>
        <v>108000</v>
      </c>
      <c r="N17" s="178">
        <f>'Other Opex'!N20</f>
        <v>120000</v>
      </c>
      <c r="O17" s="178">
        <f>'Other Opex'!O20</f>
        <v>504000</v>
      </c>
      <c r="P17" s="178">
        <f>'Other Opex'!P20</f>
        <v>529200</v>
      </c>
      <c r="Q17" s="178">
        <f>'Other Opex'!Q20</f>
        <v>555660.00000000012</v>
      </c>
      <c r="R17" s="178">
        <f>'Other Opex'!R20</f>
        <v>583443.00000000012</v>
      </c>
      <c r="T17" s="22"/>
    </row>
    <row r="18" spans="2:20">
      <c r="B18" s="42" t="s">
        <v>399</v>
      </c>
      <c r="C18" s="178">
        <f>'Other Opex'!C21</f>
        <v>2100</v>
      </c>
      <c r="D18" s="178">
        <f>'Other Opex'!D21</f>
        <v>4200</v>
      </c>
      <c r="E18" s="178">
        <f>'Other Opex'!E21</f>
        <v>4200</v>
      </c>
      <c r="F18" s="178">
        <f>'Other Opex'!F21</f>
        <v>6300</v>
      </c>
      <c r="G18" s="178">
        <f>'Other Opex'!G21</f>
        <v>8400</v>
      </c>
      <c r="H18" s="178">
        <f>'Other Opex'!H21</f>
        <v>12600</v>
      </c>
      <c r="I18" s="178">
        <f>'Other Opex'!I21</f>
        <v>12600</v>
      </c>
      <c r="J18" s="178">
        <f>'Other Opex'!J21</f>
        <v>18900</v>
      </c>
      <c r="K18" s="178">
        <f>'Other Opex'!K21</f>
        <v>25200</v>
      </c>
      <c r="L18" s="178">
        <f>'Other Opex'!L21</f>
        <v>31500</v>
      </c>
      <c r="M18" s="178">
        <f>'Other Opex'!M21</f>
        <v>37800</v>
      </c>
      <c r="N18" s="178">
        <f>'Other Opex'!N21</f>
        <v>42000</v>
      </c>
      <c r="O18" s="178">
        <f>'Other Opex'!O21</f>
        <v>176400</v>
      </c>
      <c r="P18" s="178">
        <f>'Other Opex'!P21</f>
        <v>185220</v>
      </c>
      <c r="Q18" s="178">
        <f>'Other Opex'!Q21</f>
        <v>194481.00000000003</v>
      </c>
      <c r="R18" s="178">
        <f>'Other Opex'!R21</f>
        <v>204205.05000000005</v>
      </c>
      <c r="T18" s="22"/>
    </row>
    <row r="19" spans="2:20">
      <c r="B19" s="42" t="s">
        <v>398</v>
      </c>
      <c r="C19" s="178">
        <f>'Other Opex'!C22</f>
        <v>12000</v>
      </c>
      <c r="D19" s="178">
        <f>'Other Opex'!D22</f>
        <v>24000</v>
      </c>
      <c r="E19" s="178">
        <f>'Other Opex'!E22</f>
        <v>24000</v>
      </c>
      <c r="F19" s="178">
        <f>'Other Opex'!F22</f>
        <v>36000</v>
      </c>
      <c r="G19" s="178">
        <f>'Other Opex'!G22</f>
        <v>48000</v>
      </c>
      <c r="H19" s="178">
        <f>'Other Opex'!H22</f>
        <v>72000</v>
      </c>
      <c r="I19" s="178">
        <f>'Other Opex'!I22</f>
        <v>72000</v>
      </c>
      <c r="J19" s="178">
        <f>'Other Opex'!J22</f>
        <v>108000</v>
      </c>
      <c r="K19" s="178">
        <f>'Other Opex'!K22</f>
        <v>144000</v>
      </c>
      <c r="L19" s="178">
        <f>'Other Opex'!L22</f>
        <v>180000</v>
      </c>
      <c r="M19" s="178">
        <f>'Other Opex'!M22</f>
        <v>216000</v>
      </c>
      <c r="N19" s="178">
        <f>'Other Opex'!N22</f>
        <v>240000</v>
      </c>
      <c r="O19" s="178">
        <f>'Other Opex'!O22</f>
        <v>1008000</v>
      </c>
      <c r="P19" s="178">
        <f>'Other Opex'!P22</f>
        <v>1058400</v>
      </c>
      <c r="Q19" s="178">
        <f>'Other Opex'!Q22</f>
        <v>1111320.0000000002</v>
      </c>
      <c r="R19" s="178">
        <f>'Other Opex'!R22</f>
        <v>1166886.0000000002</v>
      </c>
      <c r="T19" s="22"/>
    </row>
    <row r="20" spans="2:20">
      <c r="B20" s="42" t="s">
        <v>86</v>
      </c>
      <c r="C20" s="178">
        <f>'Other Opex'!C23</f>
        <v>6000</v>
      </c>
      <c r="D20" s="178">
        <f>'Other Opex'!D23</f>
        <v>12000</v>
      </c>
      <c r="E20" s="178">
        <f>'Other Opex'!E23</f>
        <v>12000</v>
      </c>
      <c r="F20" s="178">
        <f>'Other Opex'!F23</f>
        <v>18000</v>
      </c>
      <c r="G20" s="178">
        <f>'Other Opex'!G23</f>
        <v>24000</v>
      </c>
      <c r="H20" s="178">
        <f>'Other Opex'!H23</f>
        <v>36000</v>
      </c>
      <c r="I20" s="178">
        <f>'Other Opex'!I23</f>
        <v>36000</v>
      </c>
      <c r="J20" s="178">
        <f>'Other Opex'!J23</f>
        <v>54000</v>
      </c>
      <c r="K20" s="178">
        <f>'Other Opex'!K23</f>
        <v>72000</v>
      </c>
      <c r="L20" s="178">
        <f>'Other Opex'!L23</f>
        <v>90000</v>
      </c>
      <c r="M20" s="178">
        <f>'Other Opex'!M23</f>
        <v>108000</v>
      </c>
      <c r="N20" s="178">
        <f>'Other Opex'!N23</f>
        <v>120000</v>
      </c>
      <c r="O20" s="178">
        <f>'Other Opex'!O23</f>
        <v>504000</v>
      </c>
      <c r="P20" s="178">
        <f>'Other Opex'!P23</f>
        <v>529200</v>
      </c>
      <c r="Q20" s="178">
        <f>'Other Opex'!Q23</f>
        <v>555660.00000000012</v>
      </c>
      <c r="R20" s="178">
        <f>'Other Opex'!R23</f>
        <v>583443.00000000012</v>
      </c>
    </row>
    <row r="21" spans="2:20">
      <c r="B21" s="42" t="s">
        <v>85</v>
      </c>
      <c r="C21" s="178">
        <f>'Other Opex'!C24</f>
        <v>157500</v>
      </c>
      <c r="D21" s="178">
        <f>'Other Opex'!D24</f>
        <v>292500</v>
      </c>
      <c r="E21" s="178">
        <f>'Other Opex'!E24</f>
        <v>292500</v>
      </c>
      <c r="F21" s="178">
        <f>'Other Opex'!F24</f>
        <v>450000</v>
      </c>
      <c r="G21" s="178">
        <f>'Other Opex'!G24</f>
        <v>648000</v>
      </c>
      <c r="H21" s="178">
        <f>'Other Opex'!H24</f>
        <v>984000</v>
      </c>
      <c r="I21" s="178">
        <f>'Other Opex'!I24</f>
        <v>984000</v>
      </c>
      <c r="J21" s="178">
        <f>'Other Opex'!J24</f>
        <v>1440000</v>
      </c>
      <c r="K21" s="178">
        <f>'Other Opex'!K24</f>
        <v>2187000</v>
      </c>
      <c r="L21" s="178">
        <f>'Other Opex'!L24</f>
        <v>2754000</v>
      </c>
      <c r="M21" s="178">
        <f>'Other Opex'!M24</f>
        <v>3294000</v>
      </c>
      <c r="N21" s="178">
        <f>'Other Opex'!N24</f>
        <v>3672000</v>
      </c>
      <c r="O21" s="178">
        <f>'Other Opex'!O24</f>
        <v>17952000</v>
      </c>
      <c r="P21" s="178">
        <f>'Other Opex'!P24</f>
        <v>19584000</v>
      </c>
      <c r="Q21" s="178">
        <f>'Other Opex'!Q24</f>
        <v>19584000</v>
      </c>
      <c r="R21" s="178">
        <f>'Other Opex'!R24</f>
        <v>20400000</v>
      </c>
    </row>
    <row r="22" spans="2:20">
      <c r="B22" s="102"/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</row>
    <row r="23" spans="2:20" ht="15.75" thickBot="1">
      <c r="B23" s="102"/>
      <c r="C23" s="103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</row>
    <row r="24" spans="2:20" ht="15.75" thickBot="1">
      <c r="B24" s="104" t="s">
        <v>42</v>
      </c>
      <c r="C24" s="204">
        <f t="shared" ref="C24:R24" si="0">SUM(C6:C21)</f>
        <v>2109600</v>
      </c>
      <c r="D24" s="204">
        <f t="shared" si="0"/>
        <v>2963700</v>
      </c>
      <c r="E24" s="204">
        <f t="shared" si="0"/>
        <v>2963700</v>
      </c>
      <c r="F24" s="204">
        <f t="shared" si="0"/>
        <v>3840300</v>
      </c>
      <c r="G24" s="204">
        <f t="shared" si="0"/>
        <v>5075100</v>
      </c>
      <c r="H24" s="204">
        <f t="shared" si="0"/>
        <v>6958500</v>
      </c>
      <c r="I24" s="204">
        <f t="shared" si="0"/>
        <v>6958500</v>
      </c>
      <c r="J24" s="204">
        <f t="shared" si="0"/>
        <v>9735600</v>
      </c>
      <c r="K24" s="204">
        <f t="shared" si="0"/>
        <v>13640550</v>
      </c>
      <c r="L24" s="204">
        <f t="shared" si="0"/>
        <v>16707705.000000002</v>
      </c>
      <c r="M24" s="204">
        <f t="shared" si="0"/>
        <v>19747860</v>
      </c>
      <c r="N24" s="204">
        <f t="shared" si="0"/>
        <v>21792630</v>
      </c>
      <c r="O24" s="204">
        <f t="shared" si="0"/>
        <v>96575952.000000015</v>
      </c>
      <c r="P24" s="204">
        <f t="shared" si="0"/>
        <v>104908186.20000002</v>
      </c>
      <c r="Q24" s="204">
        <f t="shared" si="0"/>
        <v>112220335.77000003</v>
      </c>
      <c r="R24" s="204">
        <f t="shared" si="0"/>
        <v>121018686.84450005</v>
      </c>
    </row>
    <row r="25" spans="2:20">
      <c r="B25" s="2" t="s">
        <v>133</v>
      </c>
    </row>
    <row r="26" spans="2:20">
      <c r="B26" s="2" t="s">
        <v>337</v>
      </c>
    </row>
    <row r="27" spans="2:20">
      <c r="B27" s="145"/>
      <c r="C27" s="1" t="s">
        <v>336</v>
      </c>
    </row>
    <row r="29" spans="2:20">
      <c r="B29" s="27" t="s">
        <v>151</v>
      </c>
    </row>
  </sheetData>
  <sheetProtection sheet="1" formatCells="0" insertRows="0"/>
  <mergeCells count="8">
    <mergeCell ref="R3:R4"/>
    <mergeCell ref="C3:F3"/>
    <mergeCell ref="G3:J3"/>
    <mergeCell ref="B3:B4"/>
    <mergeCell ref="O3:O4"/>
    <mergeCell ref="K3:N3"/>
    <mergeCell ref="P3:P4"/>
    <mergeCell ref="Q3:Q4"/>
  </mergeCells>
  <conditionalFormatting sqref="C5:R23">
    <cfRule type="cellIs" dxfId="3" priority="1" operator="lessThan">
      <formula>0</formula>
    </cfRule>
  </conditionalFormatting>
  <dataValidations count="1">
    <dataValidation type="custom" allowBlank="1" showInputMessage="1" showErrorMessage="1" sqref="C6:R24">
      <formula1>ISNUMBER(C6)</formula1>
    </dataValidation>
  </dataValidations>
  <hyperlinks>
    <hyperlink ref="B29" location="Index!A1" display="Back to Index"/>
  </hyperlink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>
    <tabColor rgb="FF00B050"/>
  </sheetPr>
  <dimension ref="A1:R47"/>
  <sheetViews>
    <sheetView zoomScale="86" zoomScaleNormal="86" workbookViewId="0">
      <selection activeCell="C13" sqref="C13"/>
    </sheetView>
  </sheetViews>
  <sheetFormatPr defaultRowHeight="15"/>
  <cols>
    <col min="1" max="1" width="2.140625" customWidth="1"/>
    <col min="2" max="2" width="27" bestFit="1" customWidth="1"/>
    <col min="3" max="3" width="16.28515625" bestFit="1" customWidth="1"/>
    <col min="4" max="4" width="12.7109375" bestFit="1" customWidth="1"/>
    <col min="5" max="5" width="11.28515625" customWidth="1"/>
    <col min="6" max="10" width="12.7109375" bestFit="1" customWidth="1"/>
    <col min="11" max="14" width="11.7109375" customWidth="1"/>
    <col min="15" max="15" width="11.140625" customWidth="1"/>
    <col min="16" max="16" width="10.5703125" customWidth="1"/>
    <col min="17" max="17" width="11.140625" customWidth="1"/>
    <col min="18" max="18" width="10.85546875" customWidth="1"/>
  </cols>
  <sheetData>
    <row r="1" spans="1:18" ht="23.25">
      <c r="A1" s="79" t="s">
        <v>231</v>
      </c>
    </row>
    <row r="2" spans="1:18">
      <c r="B2" s="1"/>
    </row>
    <row r="3" spans="1:18">
      <c r="B3" s="384" t="s">
        <v>216</v>
      </c>
      <c r="C3" s="357" t="s">
        <v>6</v>
      </c>
      <c r="D3" s="357"/>
      <c r="E3" s="357"/>
      <c r="F3" s="357"/>
      <c r="G3" s="357" t="s">
        <v>7</v>
      </c>
      <c r="H3" s="357"/>
      <c r="I3" s="357"/>
      <c r="J3" s="357"/>
      <c r="K3" s="358" t="s">
        <v>8</v>
      </c>
      <c r="L3" s="359"/>
      <c r="M3" s="359"/>
      <c r="N3" s="360"/>
      <c r="O3" s="357" t="s">
        <v>9</v>
      </c>
      <c r="P3" s="357" t="s">
        <v>10</v>
      </c>
      <c r="Q3" s="357" t="s">
        <v>11</v>
      </c>
      <c r="R3" s="357" t="s">
        <v>12</v>
      </c>
    </row>
    <row r="4" spans="1:18">
      <c r="B4" s="385"/>
      <c r="C4" s="75" t="s">
        <v>13</v>
      </c>
      <c r="D4" s="75" t="s">
        <v>14</v>
      </c>
      <c r="E4" s="75" t="s">
        <v>15</v>
      </c>
      <c r="F4" s="75" t="s">
        <v>16</v>
      </c>
      <c r="G4" s="75" t="s">
        <v>13</v>
      </c>
      <c r="H4" s="75" t="s">
        <v>14</v>
      </c>
      <c r="I4" s="75" t="s">
        <v>15</v>
      </c>
      <c r="J4" s="75" t="s">
        <v>16</v>
      </c>
      <c r="K4" s="160" t="s">
        <v>13</v>
      </c>
      <c r="L4" s="160" t="s">
        <v>14</v>
      </c>
      <c r="M4" s="160" t="s">
        <v>15</v>
      </c>
      <c r="N4" s="160" t="s">
        <v>16</v>
      </c>
      <c r="O4" s="357"/>
      <c r="P4" s="357"/>
      <c r="Q4" s="357"/>
      <c r="R4" s="357"/>
    </row>
    <row r="5" spans="1:18">
      <c r="B5" s="60" t="s">
        <v>228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</row>
    <row r="6" spans="1:18">
      <c r="B6" s="69" t="s">
        <v>408</v>
      </c>
      <c r="C6" s="211">
        <f>'Capex per Unit'!$E31*'No. of Students Trained'!D$6+'Capex per Unit'!$K24</f>
        <v>650000</v>
      </c>
      <c r="D6" s="211">
        <f>'Capex per Unit'!$E31*'No. of Students Trained'!E$6</f>
        <v>500000</v>
      </c>
      <c r="E6" s="211">
        <f>'Capex per Unit'!$E31*'No. of Students Trained'!F$6</f>
        <v>0</v>
      </c>
      <c r="F6" s="211">
        <f>'Capex per Unit'!$E31*'No. of Students Trained'!G$6</f>
        <v>500000</v>
      </c>
      <c r="G6" s="211">
        <f>'Capex per Unit'!$E31*'No. of Students Trained'!H$6</f>
        <v>500000</v>
      </c>
      <c r="H6" s="211">
        <f>'Capex per Unit'!$E31*'No. of Students Trained'!I$6</f>
        <v>1000000</v>
      </c>
      <c r="I6" s="211">
        <f>'Capex per Unit'!$E31*'No. of Students Trained'!J$6</f>
        <v>0</v>
      </c>
      <c r="J6" s="211">
        <f>'Capex per Unit'!$E31*'No. of Students Trained'!K$6</f>
        <v>1500000</v>
      </c>
      <c r="K6" s="211">
        <f>'Capex per Unit'!$E31*'No. of Students Trained'!L$6</f>
        <v>1500000</v>
      </c>
      <c r="L6" s="211">
        <f>'Capex per Unit'!$E31*'No. of Students Trained'!M$6</f>
        <v>1500000</v>
      </c>
      <c r="M6" s="211">
        <f>'Capex per Unit'!$E31*'No. of Students Trained'!N$6</f>
        <v>1500000</v>
      </c>
      <c r="N6" s="211">
        <f>'Capex per Unit'!$E31*'No. of Students Trained'!O$6</f>
        <v>1000000</v>
      </c>
      <c r="O6" s="211">
        <f>'Capex per Unit'!$E31*'No. of Students Trained'!P$6</f>
        <v>0</v>
      </c>
      <c r="P6" s="211">
        <f>'Capex per Unit'!$E31*'No. of Students Trained'!Q$6</f>
        <v>0</v>
      </c>
      <c r="Q6" s="211">
        <f>'Capex per Unit'!$E31*'No. of Students Trained'!R$6</f>
        <v>0</v>
      </c>
      <c r="R6" s="211">
        <f>'Capex per Unit'!$E31*'No. of Students Trained'!S$6</f>
        <v>0</v>
      </c>
    </row>
    <row r="7" spans="1:18">
      <c r="B7" s="69" t="s">
        <v>409</v>
      </c>
      <c r="C7" s="211">
        <f>'Capex per Unit'!$E32*'No. of Students Trained'!D$6+'Capex per Unit'!$K25</f>
        <v>37500</v>
      </c>
      <c r="D7" s="211">
        <f>'Capex per Unit'!$E32*'No. of Students Trained'!E$6</f>
        <v>12500</v>
      </c>
      <c r="E7" s="211">
        <f>'Capex per Unit'!$E32*'No. of Students Trained'!F$6</f>
        <v>0</v>
      </c>
      <c r="F7" s="211">
        <f>'Capex per Unit'!$E32*'No. of Students Trained'!G$6</f>
        <v>12500</v>
      </c>
      <c r="G7" s="211">
        <f>'Capex per Unit'!$E32*'No. of Students Trained'!H$6</f>
        <v>12500</v>
      </c>
      <c r="H7" s="211">
        <f>'Capex per Unit'!$E32*'No. of Students Trained'!I$6</f>
        <v>25000</v>
      </c>
      <c r="I7" s="211">
        <f>'Capex per Unit'!$E32*'No. of Students Trained'!J$6</f>
        <v>0</v>
      </c>
      <c r="J7" s="211">
        <f>'Capex per Unit'!$E32*'No. of Students Trained'!K$6</f>
        <v>37500</v>
      </c>
      <c r="K7" s="211">
        <f>'Capex per Unit'!$E32*'No. of Students Trained'!L$6</f>
        <v>37500</v>
      </c>
      <c r="L7" s="211">
        <f>'Capex per Unit'!$E32*'No. of Students Trained'!M$6</f>
        <v>37500</v>
      </c>
      <c r="M7" s="211">
        <f>'Capex per Unit'!$E32*'No. of Students Trained'!N$6</f>
        <v>37500</v>
      </c>
      <c r="N7" s="211">
        <f>'Capex per Unit'!$E32*'No. of Students Trained'!O$6</f>
        <v>25000</v>
      </c>
      <c r="O7" s="211">
        <f>'Capex per Unit'!$E32*'No. of Students Trained'!P$6</f>
        <v>0</v>
      </c>
      <c r="P7" s="211">
        <f>'Capex per Unit'!$E32*'No. of Students Trained'!Q$6</f>
        <v>0</v>
      </c>
      <c r="Q7" s="211">
        <f>'Capex per Unit'!$E32*'No. of Students Trained'!R$6</f>
        <v>0</v>
      </c>
      <c r="R7" s="211">
        <f>'Capex per Unit'!$E32*'No. of Students Trained'!S$6</f>
        <v>0</v>
      </c>
    </row>
    <row r="8" spans="1:18">
      <c r="B8" s="48" t="s">
        <v>410</v>
      </c>
      <c r="C8" s="211">
        <f>'Capex per Unit'!$E33*'No. of Students Trained'!D$6+'Capex per Unit'!$K26</f>
        <v>50000</v>
      </c>
      <c r="D8" s="211">
        <f>'Capex per Unit'!$E33*'No. of Students Trained'!E$6</f>
        <v>25000</v>
      </c>
      <c r="E8" s="211">
        <f>'Capex per Unit'!$E33*'No. of Students Trained'!F$6</f>
        <v>0</v>
      </c>
      <c r="F8" s="211">
        <f>'Capex per Unit'!$E33*'No. of Students Trained'!G$6</f>
        <v>25000</v>
      </c>
      <c r="G8" s="211">
        <f>'Capex per Unit'!$E33*'No. of Students Trained'!H$6</f>
        <v>25000</v>
      </c>
      <c r="H8" s="211">
        <f>'Capex per Unit'!$E33*'No. of Students Trained'!I$6</f>
        <v>50000</v>
      </c>
      <c r="I8" s="211">
        <f>'Capex per Unit'!$E33*'No. of Students Trained'!J$6</f>
        <v>0</v>
      </c>
      <c r="J8" s="211">
        <f>'Capex per Unit'!$E33*'No. of Students Trained'!K$6</f>
        <v>75000</v>
      </c>
      <c r="K8" s="211">
        <f>'Capex per Unit'!$E33*'No. of Students Trained'!L$6</f>
        <v>75000</v>
      </c>
      <c r="L8" s="211">
        <f>'Capex per Unit'!$E33*'No. of Students Trained'!M$6</f>
        <v>75000</v>
      </c>
      <c r="M8" s="211">
        <f>'Capex per Unit'!$E33*'No. of Students Trained'!N$6</f>
        <v>75000</v>
      </c>
      <c r="N8" s="211">
        <f>'Capex per Unit'!$E33*'No. of Students Trained'!O$6</f>
        <v>50000</v>
      </c>
      <c r="O8" s="211">
        <f>'Capex per Unit'!$E33*'No. of Students Trained'!P$6</f>
        <v>0</v>
      </c>
      <c r="P8" s="211">
        <f>'Capex per Unit'!$E33*'No. of Students Trained'!Q$6</f>
        <v>0</v>
      </c>
      <c r="Q8" s="211">
        <f>'Capex per Unit'!$E33*'No. of Students Trained'!R$6</f>
        <v>0</v>
      </c>
      <c r="R8" s="211">
        <f>'Capex per Unit'!$E33*'No. of Students Trained'!S$6</f>
        <v>0</v>
      </c>
    </row>
    <row r="9" spans="1:18">
      <c r="B9" s="48" t="s">
        <v>411</v>
      </c>
      <c r="C9" s="211">
        <f>'Capex per Unit'!$E34*'No. of Students Trained'!D$6+'Capex per Unit'!$K27</f>
        <v>312800</v>
      </c>
      <c r="D9" s="211">
        <f>'Capex per Unit'!$E34*'No. of Students Trained'!E$6</f>
        <v>193200</v>
      </c>
      <c r="E9" s="211">
        <f>'Capex per Unit'!$E34*'No. of Students Trained'!F$6</f>
        <v>0</v>
      </c>
      <c r="F9" s="211">
        <f>'Capex per Unit'!$E34*'No. of Students Trained'!G$6</f>
        <v>193200</v>
      </c>
      <c r="G9" s="211">
        <f>'Capex per Unit'!$E34*'No. of Students Trained'!H$6</f>
        <v>193200</v>
      </c>
      <c r="H9" s="211">
        <f>'Capex per Unit'!$E34*'No. of Students Trained'!I$6</f>
        <v>386400</v>
      </c>
      <c r="I9" s="211">
        <f>'Capex per Unit'!$E34*'No. of Students Trained'!J$6</f>
        <v>0</v>
      </c>
      <c r="J9" s="211">
        <f>'Capex per Unit'!$E34*'No. of Students Trained'!K$6</f>
        <v>579600</v>
      </c>
      <c r="K9" s="211">
        <f>'Capex per Unit'!$E34*'No. of Students Trained'!L$6</f>
        <v>579600</v>
      </c>
      <c r="L9" s="211">
        <f>'Capex per Unit'!$E34*'No. of Students Trained'!M$6</f>
        <v>579600</v>
      </c>
      <c r="M9" s="211">
        <f>'Capex per Unit'!$E34*'No. of Students Trained'!N$6</f>
        <v>579600</v>
      </c>
      <c r="N9" s="211">
        <f>'Capex per Unit'!$E34*'No. of Students Trained'!O$6</f>
        <v>386400</v>
      </c>
      <c r="O9" s="211">
        <f>'Capex per Unit'!$E34*'No. of Students Trained'!P$6</f>
        <v>0</v>
      </c>
      <c r="P9" s="211">
        <f>'Capex per Unit'!$E34*'No. of Students Trained'!Q$6</f>
        <v>0</v>
      </c>
      <c r="Q9" s="211">
        <f>'Capex per Unit'!$E34*'No. of Students Trained'!R$6</f>
        <v>0</v>
      </c>
      <c r="R9" s="211">
        <f>'Capex per Unit'!$E34*'No. of Students Trained'!S$6</f>
        <v>0</v>
      </c>
    </row>
    <row r="10" spans="1:18">
      <c r="B10" s="48" t="s">
        <v>412</v>
      </c>
      <c r="C10" s="211">
        <f>'Capex per Unit'!$E35*'No. of Students Trained'!D$6+'Capex per Unit'!$K28</f>
        <v>240000</v>
      </c>
      <c r="D10" s="211">
        <f>'Capex per Unit'!$E35*'No. of Students Trained'!E$6</f>
        <v>30000</v>
      </c>
      <c r="E10" s="211">
        <f>'Capex per Unit'!$E35*'No. of Students Trained'!F$6</f>
        <v>0</v>
      </c>
      <c r="F10" s="211">
        <f>'Capex per Unit'!$E35*'No. of Students Trained'!G$6</f>
        <v>30000</v>
      </c>
      <c r="G10" s="211">
        <f>'Capex per Unit'!$E35*'No. of Students Trained'!H$6</f>
        <v>30000</v>
      </c>
      <c r="H10" s="211">
        <f>'Capex per Unit'!$E35*'No. of Students Trained'!I$6</f>
        <v>60000</v>
      </c>
      <c r="I10" s="211">
        <f>'Capex per Unit'!$E35*'No. of Students Trained'!J$6</f>
        <v>0</v>
      </c>
      <c r="J10" s="211">
        <f>'Capex per Unit'!$E35*'No. of Students Trained'!K$6</f>
        <v>90000</v>
      </c>
      <c r="K10" s="211">
        <f>'Capex per Unit'!$E35*'No. of Students Trained'!L$6</f>
        <v>90000</v>
      </c>
      <c r="L10" s="211">
        <f>'Capex per Unit'!$E35*'No. of Students Trained'!M$6</f>
        <v>90000</v>
      </c>
      <c r="M10" s="211">
        <f>'Capex per Unit'!$E35*'No. of Students Trained'!N$6</f>
        <v>90000</v>
      </c>
      <c r="N10" s="211">
        <f>'Capex per Unit'!$E35*'No. of Students Trained'!O$6</f>
        <v>60000</v>
      </c>
      <c r="O10" s="211">
        <f>'Capex per Unit'!$E35*'No. of Students Trained'!P$6</f>
        <v>0</v>
      </c>
      <c r="P10" s="211">
        <f>'Capex per Unit'!$E35*'No. of Students Trained'!Q$6</f>
        <v>0</v>
      </c>
      <c r="Q10" s="211">
        <f>'Capex per Unit'!$E35*'No. of Students Trained'!R$6</f>
        <v>0</v>
      </c>
      <c r="R10" s="211">
        <f>'Capex per Unit'!$E35*'No. of Students Trained'!S$6</f>
        <v>0</v>
      </c>
    </row>
    <row r="11" spans="1:18">
      <c r="B11" s="69" t="s">
        <v>447</v>
      </c>
      <c r="C11" s="211">
        <f>'Capex per Unit'!$E36*'No. of Students Trained'!D$6+'Capex per Unit'!$K29</f>
        <v>260000</v>
      </c>
      <c r="D11" s="211">
        <f>'Capex per Unit'!$E36*'No. of Students Trained'!E$6</f>
        <v>60000</v>
      </c>
      <c r="E11" s="211">
        <f>'Capex per Unit'!$E36*'No. of Students Trained'!F$6</f>
        <v>0</v>
      </c>
      <c r="F11" s="211">
        <f>'Capex per Unit'!$E36*'No. of Students Trained'!G$6</f>
        <v>60000</v>
      </c>
      <c r="G11" s="211">
        <f>'Capex per Unit'!$E36*'No. of Students Trained'!H$6</f>
        <v>60000</v>
      </c>
      <c r="H11" s="211">
        <f>'Capex per Unit'!$E36*'No. of Students Trained'!I$6</f>
        <v>120000</v>
      </c>
      <c r="I11" s="211">
        <f>'Capex per Unit'!$E36*'No. of Students Trained'!J$6</f>
        <v>0</v>
      </c>
      <c r="J11" s="211">
        <f>'Capex per Unit'!$E36*'No. of Students Trained'!K$6</f>
        <v>180000</v>
      </c>
      <c r="K11" s="211">
        <f>'Capex per Unit'!$E36*'No. of Students Trained'!L$6</f>
        <v>180000</v>
      </c>
      <c r="L11" s="211">
        <f>'Capex per Unit'!$E36*'No. of Students Trained'!M$6</f>
        <v>180000</v>
      </c>
      <c r="M11" s="211">
        <f>'Capex per Unit'!$E36*'No. of Students Trained'!N$6</f>
        <v>180000</v>
      </c>
      <c r="N11" s="211">
        <f>'Capex per Unit'!$E36*'No. of Students Trained'!O$6</f>
        <v>120000</v>
      </c>
      <c r="O11" s="211">
        <f>'Capex per Unit'!$E36*'No. of Students Trained'!P$6</f>
        <v>0</v>
      </c>
      <c r="P11" s="211">
        <f>'Capex per Unit'!$E36*'No. of Students Trained'!Q$6</f>
        <v>0</v>
      </c>
      <c r="Q11" s="211">
        <f>'Capex per Unit'!$E36*'No. of Students Trained'!R$6</f>
        <v>0</v>
      </c>
      <c r="R11" s="211">
        <f>'Capex per Unit'!$E36*'No. of Students Trained'!S$6</f>
        <v>0</v>
      </c>
    </row>
    <row r="12" spans="1:18">
      <c r="B12" s="48" t="s">
        <v>413</v>
      </c>
      <c r="C12" s="211">
        <f>'Capex per Unit'!K30</f>
        <v>40000</v>
      </c>
      <c r="D12" s="153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3"/>
      <c r="P12" s="154"/>
      <c r="Q12" s="154"/>
      <c r="R12" s="154"/>
    </row>
    <row r="13" spans="1:18" ht="15.75" thickBot="1">
      <c r="B13" s="48" t="s">
        <v>414</v>
      </c>
      <c r="C13" s="211">
        <f>'Capex per Unit'!K31</f>
        <v>80000</v>
      </c>
      <c r="D13" s="153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3"/>
      <c r="P13" s="154"/>
      <c r="Q13" s="154"/>
      <c r="R13" s="154"/>
    </row>
    <row r="14" spans="1:18" ht="15.75" thickBot="1">
      <c r="B14" s="210" t="s">
        <v>169</v>
      </c>
      <c r="C14" s="212">
        <f>SUM(C6:C13)</f>
        <v>1670300</v>
      </c>
      <c r="D14" s="212">
        <f t="shared" ref="D14:R14" si="0">SUM(D6:D13)</f>
        <v>820700</v>
      </c>
      <c r="E14" s="212">
        <f t="shared" si="0"/>
        <v>0</v>
      </c>
      <c r="F14" s="212">
        <f t="shared" si="0"/>
        <v>820700</v>
      </c>
      <c r="G14" s="212">
        <f t="shared" si="0"/>
        <v>820700</v>
      </c>
      <c r="H14" s="212">
        <f t="shared" si="0"/>
        <v>1641400</v>
      </c>
      <c r="I14" s="212">
        <f t="shared" si="0"/>
        <v>0</v>
      </c>
      <c r="J14" s="212">
        <f t="shared" si="0"/>
        <v>2462100</v>
      </c>
      <c r="K14" s="212">
        <f t="shared" si="0"/>
        <v>2462100</v>
      </c>
      <c r="L14" s="212">
        <f t="shared" si="0"/>
        <v>2462100</v>
      </c>
      <c r="M14" s="212">
        <f t="shared" si="0"/>
        <v>2462100</v>
      </c>
      <c r="N14" s="212">
        <f t="shared" si="0"/>
        <v>1641400</v>
      </c>
      <c r="O14" s="212">
        <f t="shared" si="0"/>
        <v>0</v>
      </c>
      <c r="P14" s="212">
        <f t="shared" si="0"/>
        <v>0</v>
      </c>
      <c r="Q14" s="212">
        <f t="shared" si="0"/>
        <v>0</v>
      </c>
      <c r="R14" s="212">
        <f t="shared" si="0"/>
        <v>0</v>
      </c>
    </row>
    <row r="15" spans="1:18">
      <c r="B15" s="147" t="s">
        <v>5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</row>
    <row r="16" spans="1:18">
      <c r="B16" s="209" t="s">
        <v>499</v>
      </c>
      <c r="C16" s="211">
        <f>'Equipment-Lab Costs'!D27</f>
        <v>283000</v>
      </c>
      <c r="D16" s="211">
        <f>'Equipment-Lab Costs'!E27</f>
        <v>283000</v>
      </c>
      <c r="E16" s="211">
        <f>'Equipment-Lab Costs'!F27</f>
        <v>0</v>
      </c>
      <c r="F16" s="211">
        <f>'Equipment-Lab Costs'!G27</f>
        <v>283000</v>
      </c>
      <c r="G16" s="211">
        <f>'Equipment-Lab Costs'!H27</f>
        <v>283000</v>
      </c>
      <c r="H16" s="211">
        <f>'Equipment-Lab Costs'!I27</f>
        <v>566000</v>
      </c>
      <c r="I16" s="211">
        <f>'Equipment-Lab Costs'!J27</f>
        <v>0</v>
      </c>
      <c r="J16" s="211">
        <f>'Equipment-Lab Costs'!K27</f>
        <v>849000</v>
      </c>
      <c r="K16" s="211">
        <f>'Equipment-Lab Costs'!L27</f>
        <v>933900.00000000012</v>
      </c>
      <c r="L16" s="211">
        <f>'Equipment-Lab Costs'!M27</f>
        <v>933900.00000000012</v>
      </c>
      <c r="M16" s="211">
        <f>'Equipment-Lab Costs'!N27</f>
        <v>933900.00000000012</v>
      </c>
      <c r="N16" s="211">
        <f>'Equipment-Lab Costs'!O27</f>
        <v>622600.00000000012</v>
      </c>
      <c r="O16" s="211">
        <f>'Equipment-Lab Costs'!P27</f>
        <v>0</v>
      </c>
      <c r="P16" s="211">
        <f>'Equipment-Lab Costs'!Q27</f>
        <v>0</v>
      </c>
      <c r="Q16" s="211">
        <f>'Equipment-Lab Costs'!R27</f>
        <v>0</v>
      </c>
      <c r="R16" s="211">
        <f>'Equipment-Lab Costs'!S27</f>
        <v>0</v>
      </c>
    </row>
    <row r="17" spans="2:18">
      <c r="B17" s="209" t="s">
        <v>500</v>
      </c>
      <c r="C17" s="211">
        <f>'Equipment-Lab Costs'!D28</f>
        <v>1022500</v>
      </c>
      <c r="D17" s="211">
        <f>'Equipment-Lab Costs'!E28</f>
        <v>1022500</v>
      </c>
      <c r="E17" s="211">
        <f>'Equipment-Lab Costs'!F28</f>
        <v>0</v>
      </c>
      <c r="F17" s="211">
        <f>'Equipment-Lab Costs'!G28</f>
        <v>1022500</v>
      </c>
      <c r="G17" s="211">
        <f>'Equipment-Lab Costs'!H28</f>
        <v>1022500</v>
      </c>
      <c r="H17" s="211">
        <f>'Equipment-Lab Costs'!I28</f>
        <v>2045000</v>
      </c>
      <c r="I17" s="211">
        <f>'Equipment-Lab Costs'!J28</f>
        <v>0</v>
      </c>
      <c r="J17" s="211">
        <f>'Equipment-Lab Costs'!K28</f>
        <v>3067500</v>
      </c>
      <c r="K17" s="211">
        <f>'Equipment-Lab Costs'!L28</f>
        <v>3374250.0000000005</v>
      </c>
      <c r="L17" s="211">
        <f>'Equipment-Lab Costs'!M28</f>
        <v>3374250.0000000005</v>
      </c>
      <c r="M17" s="211">
        <f>'Equipment-Lab Costs'!N28</f>
        <v>3374250.0000000005</v>
      </c>
      <c r="N17" s="211">
        <f>'Equipment-Lab Costs'!O28</f>
        <v>2249500.0000000005</v>
      </c>
      <c r="O17" s="211">
        <f>'Equipment-Lab Costs'!P28</f>
        <v>0</v>
      </c>
      <c r="P17" s="211">
        <f>'Equipment-Lab Costs'!Q28</f>
        <v>0</v>
      </c>
      <c r="Q17" s="211">
        <f>'Equipment-Lab Costs'!R28</f>
        <v>0</v>
      </c>
      <c r="R17" s="211">
        <f>'Equipment-Lab Costs'!S28</f>
        <v>0</v>
      </c>
    </row>
    <row r="18" spans="2:18" ht="15.75" thickBot="1">
      <c r="B18" s="209" t="s">
        <v>444</v>
      </c>
      <c r="C18" s="211">
        <f>'Equipment-Lab Costs'!D29</f>
        <v>30000</v>
      </c>
      <c r="D18" s="211">
        <f>'Equipment-Lab Costs'!E29</f>
        <v>30000</v>
      </c>
      <c r="E18" s="211">
        <f>'Equipment-Lab Costs'!F29</f>
        <v>0</v>
      </c>
      <c r="F18" s="211">
        <f>'Equipment-Lab Costs'!G29</f>
        <v>30000</v>
      </c>
      <c r="G18" s="211">
        <f>'Equipment-Lab Costs'!H29</f>
        <v>30000</v>
      </c>
      <c r="H18" s="211">
        <f>'Equipment-Lab Costs'!I29</f>
        <v>60000</v>
      </c>
      <c r="I18" s="211">
        <f>'Equipment-Lab Costs'!J29</f>
        <v>0</v>
      </c>
      <c r="J18" s="211">
        <f>'Equipment-Lab Costs'!K29</f>
        <v>90000</v>
      </c>
      <c r="K18" s="211">
        <f>'Equipment-Lab Costs'!L29</f>
        <v>99000.000000000015</v>
      </c>
      <c r="L18" s="211">
        <f>'Equipment-Lab Costs'!M29</f>
        <v>99000.000000000015</v>
      </c>
      <c r="M18" s="211">
        <f>'Equipment-Lab Costs'!N29</f>
        <v>99000.000000000015</v>
      </c>
      <c r="N18" s="211">
        <f>'Equipment-Lab Costs'!O29</f>
        <v>66000.000000000015</v>
      </c>
      <c r="O18" s="211">
        <f>'Equipment-Lab Costs'!P29</f>
        <v>0</v>
      </c>
      <c r="P18" s="211">
        <f>'Equipment-Lab Costs'!Q29</f>
        <v>0</v>
      </c>
      <c r="Q18" s="211">
        <f>'Equipment-Lab Costs'!R29</f>
        <v>0</v>
      </c>
      <c r="R18" s="211">
        <f>'Equipment-Lab Costs'!S29</f>
        <v>0</v>
      </c>
    </row>
    <row r="19" spans="2:18" ht="15.75" thickBot="1">
      <c r="B19" s="149" t="s">
        <v>169</v>
      </c>
      <c r="C19" s="214">
        <f>SUM(C16:C18)</f>
        <v>1335500</v>
      </c>
      <c r="D19" s="214">
        <f t="shared" ref="D19:R19" si="1">SUM(D16:D18)</f>
        <v>1335500</v>
      </c>
      <c r="E19" s="214">
        <f t="shared" si="1"/>
        <v>0</v>
      </c>
      <c r="F19" s="214">
        <f t="shared" si="1"/>
        <v>1335500</v>
      </c>
      <c r="G19" s="214">
        <f t="shared" si="1"/>
        <v>1335500</v>
      </c>
      <c r="H19" s="214">
        <f t="shared" si="1"/>
        <v>2671000</v>
      </c>
      <c r="I19" s="214">
        <f t="shared" si="1"/>
        <v>0</v>
      </c>
      <c r="J19" s="214">
        <f t="shared" si="1"/>
        <v>4006500</v>
      </c>
      <c r="K19" s="214">
        <f t="shared" si="1"/>
        <v>4407150.0000000009</v>
      </c>
      <c r="L19" s="214">
        <f t="shared" si="1"/>
        <v>4407150.0000000009</v>
      </c>
      <c r="M19" s="214">
        <f t="shared" si="1"/>
        <v>4407150.0000000009</v>
      </c>
      <c r="N19" s="214">
        <f t="shared" si="1"/>
        <v>2938100.0000000005</v>
      </c>
      <c r="O19" s="214">
        <f t="shared" si="1"/>
        <v>0</v>
      </c>
      <c r="P19" s="214">
        <f t="shared" si="1"/>
        <v>0</v>
      </c>
      <c r="Q19" s="214">
        <f t="shared" si="1"/>
        <v>0</v>
      </c>
      <c r="R19" s="214">
        <f t="shared" si="1"/>
        <v>0</v>
      </c>
    </row>
    <row r="20" spans="2:18">
      <c r="B20" s="147" t="s">
        <v>172</v>
      </c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</row>
    <row r="21" spans="2:18">
      <c r="B21" s="177" t="s">
        <v>443</v>
      </c>
      <c r="C21" s="211">
        <f>'Capex per Unit'!$E6*'No. of Students Trained'!D$6+'Capex per Unit'!$K6</f>
        <v>70000</v>
      </c>
      <c r="D21" s="211">
        <f>'Capex per Unit'!$E6*'No. of Students Trained'!E$6</f>
        <v>35000</v>
      </c>
      <c r="E21" s="211">
        <f>'Capex per Unit'!$E6*'No. of Students Trained'!F$6</f>
        <v>0</v>
      </c>
      <c r="F21" s="211">
        <f>'Capex per Unit'!$E6*'No. of Students Trained'!G$6</f>
        <v>35000</v>
      </c>
      <c r="G21" s="211">
        <f>'Capex per Unit'!$E6*'No. of Students Trained'!H$6</f>
        <v>35000</v>
      </c>
      <c r="H21" s="211">
        <f>'Capex per Unit'!$E6*'No. of Students Trained'!I$6</f>
        <v>70000</v>
      </c>
      <c r="I21" s="211">
        <f>'Capex per Unit'!$E6*'No. of Students Trained'!J$6</f>
        <v>0</v>
      </c>
      <c r="J21" s="211">
        <f>'Capex per Unit'!$E6*'No. of Students Trained'!K$6</f>
        <v>105000</v>
      </c>
      <c r="K21" s="211">
        <f>'Capex per Unit'!$E6*'No. of Students Trained'!L$6</f>
        <v>105000</v>
      </c>
      <c r="L21" s="211">
        <f>'Capex per Unit'!$E6*'No. of Students Trained'!M$6</f>
        <v>105000</v>
      </c>
      <c r="M21" s="211">
        <f>'Capex per Unit'!$E6*'No. of Students Trained'!N$6</f>
        <v>105000</v>
      </c>
      <c r="N21" s="211">
        <f>'Capex per Unit'!$E6*'No. of Students Trained'!O$6</f>
        <v>70000</v>
      </c>
      <c r="O21" s="211">
        <f>'Capex per Unit'!$E6*'No. of Students Trained'!P$6</f>
        <v>0</v>
      </c>
      <c r="P21" s="211">
        <f>'Capex per Unit'!$E6*'No. of Students Trained'!Q$6</f>
        <v>0</v>
      </c>
      <c r="Q21" s="211">
        <f>'Capex per Unit'!$E6*'No. of Students Trained'!R$6</f>
        <v>0</v>
      </c>
      <c r="R21" s="211">
        <f>'Capex per Unit'!$E6*'No. of Students Trained'!S$6</f>
        <v>0</v>
      </c>
    </row>
    <row r="22" spans="2:18">
      <c r="B22" s="177" t="s">
        <v>417</v>
      </c>
      <c r="C22" s="211">
        <f>'Capex per Unit'!$E7*'No. of Students Trained'!D$6+'Capex per Unit'!$K7</f>
        <v>103750</v>
      </c>
      <c r="D22" s="211">
        <f>'Capex per Unit'!$E7*'No. of Students Trained'!E$6</f>
        <v>28750</v>
      </c>
      <c r="E22" s="211">
        <f>'Capex per Unit'!$E7*'No. of Students Trained'!F$6</f>
        <v>0</v>
      </c>
      <c r="F22" s="211">
        <f>'Capex per Unit'!$E7*'No. of Students Trained'!G$6</f>
        <v>28750</v>
      </c>
      <c r="G22" s="211">
        <f>'Capex per Unit'!$E7*'No. of Students Trained'!H$6</f>
        <v>28750</v>
      </c>
      <c r="H22" s="211">
        <f>'Capex per Unit'!$E7*'No. of Students Trained'!I$6</f>
        <v>57500</v>
      </c>
      <c r="I22" s="211">
        <f>'Capex per Unit'!$E7*'No. of Students Trained'!J$6</f>
        <v>0</v>
      </c>
      <c r="J22" s="211">
        <f>'Capex per Unit'!$E7*'No. of Students Trained'!K$6</f>
        <v>86250</v>
      </c>
      <c r="K22" s="211">
        <f>'Capex per Unit'!$E7*'No. of Students Trained'!L$6</f>
        <v>86250</v>
      </c>
      <c r="L22" s="211">
        <f>'Capex per Unit'!$E7*'No. of Students Trained'!M$6</f>
        <v>86250</v>
      </c>
      <c r="M22" s="211">
        <f>'Capex per Unit'!$E7*'No. of Students Trained'!N$6</f>
        <v>86250</v>
      </c>
      <c r="N22" s="211">
        <f>'Capex per Unit'!$E7*'No. of Students Trained'!O$6</f>
        <v>57500</v>
      </c>
      <c r="O22" s="211">
        <f>'Capex per Unit'!$E7*'No. of Students Trained'!P$6</f>
        <v>0</v>
      </c>
      <c r="P22" s="211">
        <f>'Capex per Unit'!$E7*'No. of Students Trained'!Q$6</f>
        <v>0</v>
      </c>
      <c r="Q22" s="211">
        <f>'Capex per Unit'!$E7*'No. of Students Trained'!R$6</f>
        <v>0</v>
      </c>
      <c r="R22" s="211">
        <f>'Capex per Unit'!$E7*'No. of Students Trained'!S$6</f>
        <v>0</v>
      </c>
    </row>
    <row r="23" spans="2:18">
      <c r="B23" s="177" t="s">
        <v>448</v>
      </c>
      <c r="C23" s="211">
        <f>'Capex per Unit'!$E8*'No. of Students Trained'!D$6+'Capex per Unit'!$K8</f>
        <v>20000</v>
      </c>
      <c r="D23" s="211">
        <f>'Capex per Unit'!$E8*'No. of Students Trained'!E$6</f>
        <v>10000</v>
      </c>
      <c r="E23" s="211">
        <f>'Capex per Unit'!$E8*'No. of Students Trained'!F$6</f>
        <v>0</v>
      </c>
      <c r="F23" s="211">
        <f>'Capex per Unit'!$E8*'No. of Students Trained'!G$6</f>
        <v>10000</v>
      </c>
      <c r="G23" s="211">
        <f>'Capex per Unit'!$E8*'No. of Students Trained'!H$6</f>
        <v>10000</v>
      </c>
      <c r="H23" s="211">
        <f>'Capex per Unit'!$E8*'No. of Students Trained'!I$6</f>
        <v>20000</v>
      </c>
      <c r="I23" s="211">
        <f>'Capex per Unit'!$E8*'No. of Students Trained'!J$6</f>
        <v>0</v>
      </c>
      <c r="J23" s="211">
        <f>'Capex per Unit'!$E8*'No. of Students Trained'!K$6</f>
        <v>30000</v>
      </c>
      <c r="K23" s="211">
        <f>'Capex per Unit'!$E8*'No. of Students Trained'!L$6</f>
        <v>30000</v>
      </c>
      <c r="L23" s="211">
        <f>'Capex per Unit'!$E8*'No. of Students Trained'!M$6</f>
        <v>30000</v>
      </c>
      <c r="M23" s="211">
        <f>'Capex per Unit'!$E8*'No. of Students Trained'!N$6</f>
        <v>30000</v>
      </c>
      <c r="N23" s="211">
        <f>'Capex per Unit'!$E8*'No. of Students Trained'!O$6</f>
        <v>20000</v>
      </c>
      <c r="O23" s="211">
        <f>'Capex per Unit'!$E8*'No. of Students Trained'!P$6</f>
        <v>0</v>
      </c>
      <c r="P23" s="211">
        <f>'Capex per Unit'!$E8*'No. of Students Trained'!Q$6</f>
        <v>0</v>
      </c>
      <c r="Q23" s="211">
        <f>'Capex per Unit'!$E8*'No. of Students Trained'!R$6</f>
        <v>0</v>
      </c>
      <c r="R23" s="211">
        <f>'Capex per Unit'!$E8*'No. of Students Trained'!S$6</f>
        <v>0</v>
      </c>
    </row>
    <row r="24" spans="2:18">
      <c r="B24" s="177" t="s">
        <v>422</v>
      </c>
      <c r="C24" s="211">
        <f>'Capex per Unit'!$E9*'No. of Students Trained'!D$6+'Capex per Unit'!$K9</f>
        <v>53500</v>
      </c>
      <c r="D24" s="211">
        <f>'Capex per Unit'!$E9*'No. of Students Trained'!E$6</f>
        <v>3500</v>
      </c>
      <c r="E24" s="211">
        <f>'Capex per Unit'!$E9*'No. of Students Trained'!F$6</f>
        <v>0</v>
      </c>
      <c r="F24" s="211">
        <f>'Capex per Unit'!$E9*'No. of Students Trained'!G$6</f>
        <v>3500</v>
      </c>
      <c r="G24" s="211">
        <f>'Capex per Unit'!$E9*'No. of Students Trained'!H$6</f>
        <v>3500</v>
      </c>
      <c r="H24" s="211">
        <f>'Capex per Unit'!$E9*'No. of Students Trained'!I$6</f>
        <v>7000</v>
      </c>
      <c r="I24" s="211">
        <f>'Capex per Unit'!$E9*'No. of Students Trained'!J$6</f>
        <v>0</v>
      </c>
      <c r="J24" s="211">
        <f>'Capex per Unit'!$E9*'No. of Students Trained'!K$6</f>
        <v>10500</v>
      </c>
      <c r="K24" s="211">
        <f>'Capex per Unit'!$E9*'No. of Students Trained'!L$6</f>
        <v>10500</v>
      </c>
      <c r="L24" s="211">
        <f>'Capex per Unit'!$E9*'No. of Students Trained'!M$6</f>
        <v>10500</v>
      </c>
      <c r="M24" s="211">
        <f>'Capex per Unit'!$E9*'No. of Students Trained'!N$6</f>
        <v>10500</v>
      </c>
      <c r="N24" s="211">
        <f>'Capex per Unit'!$E9*'No. of Students Trained'!O$6</f>
        <v>7000</v>
      </c>
      <c r="O24" s="211">
        <f>'Capex per Unit'!$E9*'No. of Students Trained'!P$6</f>
        <v>0</v>
      </c>
      <c r="P24" s="211">
        <f>'Capex per Unit'!$E9*'No. of Students Trained'!Q$6</f>
        <v>0</v>
      </c>
      <c r="Q24" s="211">
        <f>'Capex per Unit'!$E9*'No. of Students Trained'!R$6</f>
        <v>0</v>
      </c>
      <c r="R24" s="211">
        <f>'Capex per Unit'!$E9*'No. of Students Trained'!S$6</f>
        <v>0</v>
      </c>
    </row>
    <row r="25" spans="2:18">
      <c r="B25" s="177" t="s">
        <v>419</v>
      </c>
      <c r="C25" s="211">
        <f>'Capex per Unit'!$E10*'No. of Students Trained'!D$6</f>
        <v>2000</v>
      </c>
      <c r="D25" s="211">
        <f>'Capex per Unit'!$E10*'No. of Students Trained'!E$6</f>
        <v>2000</v>
      </c>
      <c r="E25" s="211">
        <f>'Capex per Unit'!$E10*'No. of Students Trained'!F$6</f>
        <v>0</v>
      </c>
      <c r="F25" s="211">
        <f>'Capex per Unit'!$E10*'No. of Students Trained'!G$6</f>
        <v>2000</v>
      </c>
      <c r="G25" s="211">
        <f>'Capex per Unit'!$E10*'No. of Students Trained'!H$6</f>
        <v>2000</v>
      </c>
      <c r="H25" s="211">
        <f>'Capex per Unit'!$E10*'No. of Students Trained'!I$6</f>
        <v>4000</v>
      </c>
      <c r="I25" s="211">
        <f>'Capex per Unit'!$E10*'No. of Students Trained'!J$6</f>
        <v>0</v>
      </c>
      <c r="J25" s="211">
        <f>'Capex per Unit'!$E10*'No. of Students Trained'!K$6</f>
        <v>6000</v>
      </c>
      <c r="K25" s="211">
        <f>'Capex per Unit'!$E10*'No. of Students Trained'!L$6</f>
        <v>6000</v>
      </c>
      <c r="L25" s="211">
        <f>'Capex per Unit'!$E10*'No. of Students Trained'!M$6</f>
        <v>6000</v>
      </c>
      <c r="M25" s="211">
        <f>'Capex per Unit'!$E10*'No. of Students Trained'!N$6</f>
        <v>6000</v>
      </c>
      <c r="N25" s="211">
        <f>'Capex per Unit'!$E10*'No. of Students Trained'!O$6</f>
        <v>4000</v>
      </c>
      <c r="O25" s="211">
        <f>'Capex per Unit'!$E10*'No. of Students Trained'!P$6</f>
        <v>0</v>
      </c>
      <c r="P25" s="211">
        <f>'Capex per Unit'!$E10*'No. of Students Trained'!Q$6</f>
        <v>0</v>
      </c>
      <c r="Q25" s="211">
        <f>'Capex per Unit'!$E10*'No. of Students Trained'!R$6</f>
        <v>0</v>
      </c>
      <c r="R25" s="211">
        <f>'Capex per Unit'!$E10*'No. of Students Trained'!S$6</f>
        <v>0</v>
      </c>
    </row>
    <row r="26" spans="2:18">
      <c r="B26" s="177" t="s">
        <v>420</v>
      </c>
      <c r="C26" s="211">
        <f>'Capex per Unit'!$E11*'No. of Students Trained'!D$6</f>
        <v>5000</v>
      </c>
      <c r="D26" s="211">
        <f>'Capex per Unit'!$E11*'No. of Students Trained'!E$6</f>
        <v>5000</v>
      </c>
      <c r="E26" s="211">
        <f>'Capex per Unit'!$E11*'No. of Students Trained'!F$6</f>
        <v>0</v>
      </c>
      <c r="F26" s="211">
        <f>'Capex per Unit'!$E11*'No. of Students Trained'!G$6</f>
        <v>5000</v>
      </c>
      <c r="G26" s="211">
        <f>'Capex per Unit'!$E11*'No. of Students Trained'!H$6</f>
        <v>5000</v>
      </c>
      <c r="H26" s="211">
        <f>'Capex per Unit'!$E11*'No. of Students Trained'!I$6</f>
        <v>10000</v>
      </c>
      <c r="I26" s="211">
        <f>'Capex per Unit'!$E11*'No. of Students Trained'!J$6</f>
        <v>0</v>
      </c>
      <c r="J26" s="211">
        <f>'Capex per Unit'!$E11*'No. of Students Trained'!K$6</f>
        <v>15000</v>
      </c>
      <c r="K26" s="211">
        <f>'Capex per Unit'!$E11*'No. of Students Trained'!L$6</f>
        <v>15000</v>
      </c>
      <c r="L26" s="211">
        <f>'Capex per Unit'!$E11*'No. of Students Trained'!M$6</f>
        <v>15000</v>
      </c>
      <c r="M26" s="211">
        <f>'Capex per Unit'!$E11*'No. of Students Trained'!N$6</f>
        <v>15000</v>
      </c>
      <c r="N26" s="211">
        <f>'Capex per Unit'!$E11*'No. of Students Trained'!O$6</f>
        <v>10000</v>
      </c>
      <c r="O26" s="211">
        <f>'Capex per Unit'!$E11*'No. of Students Trained'!P$6</f>
        <v>0</v>
      </c>
      <c r="P26" s="211">
        <f>'Capex per Unit'!$E11*'No. of Students Trained'!Q$6</f>
        <v>0</v>
      </c>
      <c r="Q26" s="211">
        <f>'Capex per Unit'!$E11*'No. of Students Trained'!R$6</f>
        <v>0</v>
      </c>
      <c r="R26" s="211">
        <f>'Capex per Unit'!$E11*'No. of Students Trained'!S$6</f>
        <v>0</v>
      </c>
    </row>
    <row r="27" spans="2:18">
      <c r="B27" s="177" t="s">
        <v>421</v>
      </c>
      <c r="C27" s="211">
        <f>'Capex per Unit'!$E12*'No. of Students Trained'!D$6</f>
        <v>13000</v>
      </c>
      <c r="D27" s="211">
        <f>'Capex per Unit'!$E12*'No. of Students Trained'!E$6</f>
        <v>13000</v>
      </c>
      <c r="E27" s="211">
        <f>'Capex per Unit'!$E12*'No. of Students Trained'!F$6</f>
        <v>0</v>
      </c>
      <c r="F27" s="211">
        <f>'Capex per Unit'!$E12*'No. of Students Trained'!G$6</f>
        <v>13000</v>
      </c>
      <c r="G27" s="211">
        <f>'Capex per Unit'!$E12*'No. of Students Trained'!H$6</f>
        <v>13000</v>
      </c>
      <c r="H27" s="211">
        <f>'Capex per Unit'!$E12*'No. of Students Trained'!I$6</f>
        <v>26000</v>
      </c>
      <c r="I27" s="211">
        <f>'Capex per Unit'!$E12*'No. of Students Trained'!J$6</f>
        <v>0</v>
      </c>
      <c r="J27" s="211">
        <f>'Capex per Unit'!$E12*'No. of Students Trained'!K$6</f>
        <v>39000</v>
      </c>
      <c r="K27" s="211">
        <f>'Capex per Unit'!$E12*'No. of Students Trained'!L$6</f>
        <v>39000</v>
      </c>
      <c r="L27" s="211">
        <f>'Capex per Unit'!$E12*'No. of Students Trained'!M$6</f>
        <v>39000</v>
      </c>
      <c r="M27" s="211">
        <f>'Capex per Unit'!$E12*'No. of Students Trained'!N$6</f>
        <v>39000</v>
      </c>
      <c r="N27" s="211">
        <f>'Capex per Unit'!$E12*'No. of Students Trained'!O$6</f>
        <v>26000</v>
      </c>
      <c r="O27" s="211">
        <f>'Capex per Unit'!$E12*'No. of Students Trained'!P$6</f>
        <v>0</v>
      </c>
      <c r="P27" s="211">
        <f>'Capex per Unit'!$E12*'No. of Students Trained'!Q$6</f>
        <v>0</v>
      </c>
      <c r="Q27" s="211">
        <f>'Capex per Unit'!$E12*'No. of Students Trained'!R$6</f>
        <v>0</v>
      </c>
      <c r="R27" s="211">
        <f>'Capex per Unit'!$E12*'No. of Students Trained'!S$6</f>
        <v>0</v>
      </c>
    </row>
    <row r="28" spans="2:18">
      <c r="B28" s="188" t="s">
        <v>423</v>
      </c>
      <c r="C28" s="211">
        <f>'Capex per Unit'!$E13*'No. of Students Trained'!D$6</f>
        <v>1000</v>
      </c>
      <c r="D28" s="211">
        <f>'Capex per Unit'!$E13*'No. of Students Trained'!E$6</f>
        <v>1000</v>
      </c>
      <c r="E28" s="211">
        <f>'Capex per Unit'!$E13*'No. of Students Trained'!F$6</f>
        <v>0</v>
      </c>
      <c r="F28" s="211">
        <f>'Capex per Unit'!$E13*'No. of Students Trained'!G$6</f>
        <v>1000</v>
      </c>
      <c r="G28" s="211">
        <f>'Capex per Unit'!$E13*'No. of Students Trained'!H$6</f>
        <v>1000</v>
      </c>
      <c r="H28" s="211">
        <f>'Capex per Unit'!$E13*'No. of Students Trained'!I$6</f>
        <v>2000</v>
      </c>
      <c r="I28" s="211">
        <f>'Capex per Unit'!$E13*'No. of Students Trained'!J$6</f>
        <v>0</v>
      </c>
      <c r="J28" s="211">
        <f>'Capex per Unit'!$E13*'No. of Students Trained'!K$6</f>
        <v>3000</v>
      </c>
      <c r="K28" s="211">
        <f>'Capex per Unit'!$E13*'No. of Students Trained'!L$6</f>
        <v>3000</v>
      </c>
      <c r="L28" s="211">
        <f>'Capex per Unit'!$E13*'No. of Students Trained'!M$6</f>
        <v>3000</v>
      </c>
      <c r="M28" s="211">
        <f>'Capex per Unit'!$E13*'No. of Students Trained'!N$6</f>
        <v>3000</v>
      </c>
      <c r="N28" s="211">
        <f>'Capex per Unit'!$E13*'No. of Students Trained'!O$6</f>
        <v>2000</v>
      </c>
      <c r="O28" s="211">
        <f>'Capex per Unit'!$E13*'No. of Students Trained'!P$6</f>
        <v>0</v>
      </c>
      <c r="P28" s="211">
        <f>'Capex per Unit'!$E13*'No. of Students Trained'!Q$6</f>
        <v>0</v>
      </c>
      <c r="Q28" s="211">
        <f>'Capex per Unit'!$E13*'No. of Students Trained'!R$6</f>
        <v>0</v>
      </c>
      <c r="R28" s="211">
        <f>'Capex per Unit'!$E13*'No. of Students Trained'!S$6</f>
        <v>0</v>
      </c>
    </row>
    <row r="29" spans="2:18">
      <c r="B29" s="188" t="s">
        <v>424</v>
      </c>
      <c r="C29" s="211">
        <f>'Capex per Unit'!$E14*'No. of Students Trained'!D$6</f>
        <v>2000</v>
      </c>
      <c r="D29" s="211">
        <f>'Capex per Unit'!$E14*'No. of Students Trained'!E$6</f>
        <v>2000</v>
      </c>
      <c r="E29" s="211">
        <f>'Capex per Unit'!$E14*'No. of Students Trained'!F$6</f>
        <v>0</v>
      </c>
      <c r="F29" s="211">
        <f>'Capex per Unit'!$E14*'No. of Students Trained'!G$6</f>
        <v>2000</v>
      </c>
      <c r="G29" s="211">
        <f>'Capex per Unit'!$E14*'No. of Students Trained'!H$6</f>
        <v>2000</v>
      </c>
      <c r="H29" s="211">
        <f>'Capex per Unit'!$E14*'No. of Students Trained'!I$6</f>
        <v>4000</v>
      </c>
      <c r="I29" s="211">
        <f>'Capex per Unit'!$E14*'No. of Students Trained'!J$6</f>
        <v>0</v>
      </c>
      <c r="J29" s="211">
        <f>'Capex per Unit'!$E14*'No. of Students Trained'!K$6</f>
        <v>6000</v>
      </c>
      <c r="K29" s="211">
        <f>'Capex per Unit'!$E14*'No. of Students Trained'!L$6</f>
        <v>6000</v>
      </c>
      <c r="L29" s="211">
        <f>'Capex per Unit'!$E14*'No. of Students Trained'!M$6</f>
        <v>6000</v>
      </c>
      <c r="M29" s="211">
        <f>'Capex per Unit'!$E14*'No. of Students Trained'!N$6</f>
        <v>6000</v>
      </c>
      <c r="N29" s="211">
        <f>'Capex per Unit'!$E14*'No. of Students Trained'!O$6</f>
        <v>4000</v>
      </c>
      <c r="O29" s="211">
        <f>'Capex per Unit'!$E14*'No. of Students Trained'!P$6</f>
        <v>0</v>
      </c>
      <c r="P29" s="211">
        <f>'Capex per Unit'!$E14*'No. of Students Trained'!Q$6</f>
        <v>0</v>
      </c>
      <c r="Q29" s="211">
        <f>'Capex per Unit'!$E14*'No. of Students Trained'!R$6</f>
        <v>0</v>
      </c>
      <c r="R29" s="211">
        <f>'Capex per Unit'!$E14*'No. of Students Trained'!S$6</f>
        <v>0</v>
      </c>
    </row>
    <row r="30" spans="2:18">
      <c r="B30" s="188" t="s">
        <v>425</v>
      </c>
      <c r="C30" s="211">
        <f>'Capex per Unit'!$E15*'No. of Students Trained'!D$6</f>
        <v>2500</v>
      </c>
      <c r="D30" s="211">
        <f>'Capex per Unit'!$E15*'No. of Students Trained'!E$6</f>
        <v>2500</v>
      </c>
      <c r="E30" s="211">
        <f>'Capex per Unit'!$E15*'No. of Students Trained'!F$6</f>
        <v>0</v>
      </c>
      <c r="F30" s="211">
        <f>'Capex per Unit'!$E15*'No. of Students Trained'!G$6</f>
        <v>2500</v>
      </c>
      <c r="G30" s="211">
        <f>'Capex per Unit'!$E15*'No. of Students Trained'!H$6</f>
        <v>2500</v>
      </c>
      <c r="H30" s="211">
        <f>'Capex per Unit'!$E15*'No. of Students Trained'!I$6</f>
        <v>5000</v>
      </c>
      <c r="I30" s="211">
        <f>'Capex per Unit'!$E15*'No. of Students Trained'!J$6</f>
        <v>0</v>
      </c>
      <c r="J30" s="211">
        <f>'Capex per Unit'!$E15*'No. of Students Trained'!K$6</f>
        <v>7500</v>
      </c>
      <c r="K30" s="211">
        <f>'Capex per Unit'!$E15*'No. of Students Trained'!L$6</f>
        <v>7500</v>
      </c>
      <c r="L30" s="211">
        <f>'Capex per Unit'!$E15*'No. of Students Trained'!M$6</f>
        <v>7500</v>
      </c>
      <c r="M30" s="211">
        <f>'Capex per Unit'!$E15*'No. of Students Trained'!N$6</f>
        <v>7500</v>
      </c>
      <c r="N30" s="211">
        <f>'Capex per Unit'!$E15*'No. of Students Trained'!O$6</f>
        <v>5000</v>
      </c>
      <c r="O30" s="211">
        <f>'Capex per Unit'!$E15*'No. of Students Trained'!P$6</f>
        <v>0</v>
      </c>
      <c r="P30" s="211">
        <f>'Capex per Unit'!$E15*'No. of Students Trained'!Q$6</f>
        <v>0</v>
      </c>
      <c r="Q30" s="211">
        <f>'Capex per Unit'!$E15*'No. of Students Trained'!R$6</f>
        <v>0</v>
      </c>
      <c r="R30" s="211">
        <f>'Capex per Unit'!$E15*'No. of Students Trained'!S$6</f>
        <v>0</v>
      </c>
    </row>
    <row r="31" spans="2:18">
      <c r="B31" s="189" t="s">
        <v>426</v>
      </c>
      <c r="C31" s="211">
        <f>'Capex per Unit'!$E16*'No. of Students Trained'!D$6</f>
        <v>6000</v>
      </c>
      <c r="D31" s="211">
        <f>'Capex per Unit'!$E16*'No. of Students Trained'!E$6</f>
        <v>6000</v>
      </c>
      <c r="E31" s="211">
        <f>'Capex per Unit'!$E16*'No. of Students Trained'!F$6</f>
        <v>0</v>
      </c>
      <c r="F31" s="211">
        <f>'Capex per Unit'!$E16*'No. of Students Trained'!G$6</f>
        <v>6000</v>
      </c>
      <c r="G31" s="211">
        <f>'Capex per Unit'!$E16*'No. of Students Trained'!H$6</f>
        <v>6000</v>
      </c>
      <c r="H31" s="211">
        <f>'Capex per Unit'!$E16*'No. of Students Trained'!I$6</f>
        <v>12000</v>
      </c>
      <c r="I31" s="211">
        <f>'Capex per Unit'!$E16*'No. of Students Trained'!J$6</f>
        <v>0</v>
      </c>
      <c r="J31" s="211">
        <f>'Capex per Unit'!$E16*'No. of Students Trained'!K$6</f>
        <v>18000</v>
      </c>
      <c r="K31" s="211">
        <f>'Capex per Unit'!$E16*'No. of Students Trained'!L$6</f>
        <v>18000</v>
      </c>
      <c r="L31" s="211">
        <f>'Capex per Unit'!$E16*'No. of Students Trained'!M$6</f>
        <v>18000</v>
      </c>
      <c r="M31" s="211">
        <f>'Capex per Unit'!$E16*'No. of Students Trained'!N$6</f>
        <v>18000</v>
      </c>
      <c r="N31" s="211">
        <f>'Capex per Unit'!$E16*'No. of Students Trained'!O$6</f>
        <v>12000</v>
      </c>
      <c r="O31" s="211">
        <f>'Capex per Unit'!$E16*'No. of Students Trained'!P$6</f>
        <v>0</v>
      </c>
      <c r="P31" s="211">
        <f>'Capex per Unit'!$E16*'No. of Students Trained'!Q$6</f>
        <v>0</v>
      </c>
      <c r="Q31" s="211">
        <f>'Capex per Unit'!$E16*'No. of Students Trained'!R$6</f>
        <v>0</v>
      </c>
      <c r="R31" s="211">
        <f>'Capex per Unit'!$E16*'No. of Students Trained'!S$6</f>
        <v>0</v>
      </c>
    </row>
    <row r="32" spans="2:18">
      <c r="B32" s="189" t="s">
        <v>427</v>
      </c>
      <c r="C32" s="211">
        <f>'Capex per Unit'!$E17*'No. of Students Trained'!D$6</f>
        <v>3000</v>
      </c>
      <c r="D32" s="211">
        <f>'Capex per Unit'!$E17*'No. of Students Trained'!E$6</f>
        <v>3000</v>
      </c>
      <c r="E32" s="211">
        <f>'Capex per Unit'!$E17*'No. of Students Trained'!F$6</f>
        <v>0</v>
      </c>
      <c r="F32" s="211">
        <f>'Capex per Unit'!$E17*'No. of Students Trained'!G$6</f>
        <v>3000</v>
      </c>
      <c r="G32" s="211">
        <f>'Capex per Unit'!$E17*'No. of Students Trained'!H$6</f>
        <v>3000</v>
      </c>
      <c r="H32" s="211">
        <f>'Capex per Unit'!$E17*'No. of Students Trained'!I$6</f>
        <v>6000</v>
      </c>
      <c r="I32" s="211">
        <f>'Capex per Unit'!$E17*'No. of Students Trained'!J$6</f>
        <v>0</v>
      </c>
      <c r="J32" s="211">
        <f>'Capex per Unit'!$E17*'No. of Students Trained'!K$6</f>
        <v>9000</v>
      </c>
      <c r="K32" s="211">
        <f>'Capex per Unit'!$E17*'No. of Students Trained'!L$6</f>
        <v>9000</v>
      </c>
      <c r="L32" s="211">
        <f>'Capex per Unit'!$E17*'No. of Students Trained'!M$6</f>
        <v>9000</v>
      </c>
      <c r="M32" s="211">
        <f>'Capex per Unit'!$E17*'No. of Students Trained'!N$6</f>
        <v>9000</v>
      </c>
      <c r="N32" s="211">
        <f>'Capex per Unit'!$E17*'No. of Students Trained'!O$6</f>
        <v>6000</v>
      </c>
      <c r="O32" s="211">
        <f>'Capex per Unit'!$E17*'No. of Students Trained'!P$6</f>
        <v>0</v>
      </c>
      <c r="P32" s="211">
        <f>'Capex per Unit'!$E17*'No. of Students Trained'!Q$6</f>
        <v>0</v>
      </c>
      <c r="Q32" s="211">
        <f>'Capex per Unit'!$E17*'No. of Students Trained'!R$6</f>
        <v>0</v>
      </c>
      <c r="R32" s="211">
        <f>'Capex per Unit'!$E17*'No. of Students Trained'!S$6</f>
        <v>0</v>
      </c>
    </row>
    <row r="33" spans="2:18" ht="15.75" thickBot="1">
      <c r="B33" s="48" t="s">
        <v>446</v>
      </c>
      <c r="C33" s="211">
        <f>'Capex per Unit'!K10</f>
        <v>825000</v>
      </c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1"/>
      <c r="Q33" s="211"/>
      <c r="R33" s="211"/>
    </row>
    <row r="34" spans="2:18" ht="15.75" thickBot="1">
      <c r="B34" s="149" t="s">
        <v>169</v>
      </c>
      <c r="C34" s="213">
        <f>SUM(C21:C33)</f>
        <v>1106750</v>
      </c>
      <c r="D34" s="213">
        <f t="shared" ref="D34:R34" si="2">SUM(D21:D33)</f>
        <v>111750</v>
      </c>
      <c r="E34" s="213">
        <f t="shared" si="2"/>
        <v>0</v>
      </c>
      <c r="F34" s="213">
        <f t="shared" si="2"/>
        <v>111750</v>
      </c>
      <c r="G34" s="213">
        <f t="shared" si="2"/>
        <v>111750</v>
      </c>
      <c r="H34" s="213">
        <f t="shared" si="2"/>
        <v>223500</v>
      </c>
      <c r="I34" s="213">
        <f t="shared" si="2"/>
        <v>0</v>
      </c>
      <c r="J34" s="213">
        <f t="shared" si="2"/>
        <v>335250</v>
      </c>
      <c r="K34" s="213">
        <f t="shared" si="2"/>
        <v>335250</v>
      </c>
      <c r="L34" s="213">
        <f t="shared" si="2"/>
        <v>335250</v>
      </c>
      <c r="M34" s="213">
        <f t="shared" si="2"/>
        <v>335250</v>
      </c>
      <c r="N34" s="213">
        <f t="shared" si="2"/>
        <v>223500</v>
      </c>
      <c r="O34" s="213">
        <f t="shared" si="2"/>
        <v>0</v>
      </c>
      <c r="P34" s="213">
        <f t="shared" si="2"/>
        <v>0</v>
      </c>
      <c r="Q34" s="213">
        <f t="shared" si="2"/>
        <v>0</v>
      </c>
      <c r="R34" s="213">
        <f t="shared" si="2"/>
        <v>0</v>
      </c>
    </row>
    <row r="35" spans="2:18">
      <c r="B35" s="147" t="s">
        <v>166</v>
      </c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</row>
    <row r="36" spans="2:18">
      <c r="B36" s="177" t="s">
        <v>480</v>
      </c>
      <c r="C36" s="211">
        <f>'Capex per Unit'!$K15+'Capex per Unit'!$E22*'No. of Students Trained'!D$6</f>
        <v>17500</v>
      </c>
      <c r="D36" s="211">
        <f>'Capex per Unit'!$E22*'No. of Students Trained'!E$6</f>
        <v>8750</v>
      </c>
      <c r="E36" s="211">
        <f>'Capex per Unit'!$E22*'No. of Students Trained'!F$6</f>
        <v>0</v>
      </c>
      <c r="F36" s="211">
        <f>'Capex per Unit'!$E22*'No. of Students Trained'!G$6</f>
        <v>8750</v>
      </c>
      <c r="G36" s="211">
        <f>'Capex per Unit'!$E22*'No. of Students Trained'!H$6</f>
        <v>8750</v>
      </c>
      <c r="H36" s="211">
        <f>'Capex per Unit'!$E22*'No. of Students Trained'!I$6</f>
        <v>17500</v>
      </c>
      <c r="I36" s="211">
        <f>'Capex per Unit'!$E22*'No. of Students Trained'!J$6</f>
        <v>0</v>
      </c>
      <c r="J36" s="211">
        <f>'Capex per Unit'!$E22*'No. of Students Trained'!K$6</f>
        <v>26250</v>
      </c>
      <c r="K36" s="211">
        <f>'Capex per Unit'!$E22*'No. of Students Trained'!L$6</f>
        <v>26250</v>
      </c>
      <c r="L36" s="211">
        <f>'Capex per Unit'!$E22*'No. of Students Trained'!M$6</f>
        <v>26250</v>
      </c>
      <c r="M36" s="211">
        <f>'Capex per Unit'!$E22*'No. of Students Trained'!N$6</f>
        <v>26250</v>
      </c>
      <c r="N36" s="211">
        <f>'Capex per Unit'!$E22*'No. of Students Trained'!O$6</f>
        <v>17500</v>
      </c>
      <c r="O36" s="211">
        <f>'Capex per Unit'!$E22*'No. of Students Trained'!P$6</f>
        <v>0</v>
      </c>
      <c r="P36" s="211">
        <f>'Capex per Unit'!$E22*'No. of Students Trained'!Q$6</f>
        <v>0</v>
      </c>
      <c r="Q36" s="211">
        <f>'Capex per Unit'!$E22*'No. of Students Trained'!R$6</f>
        <v>0</v>
      </c>
      <c r="R36" s="211">
        <f>'Capex per Unit'!$E22*'No. of Students Trained'!S$6</f>
        <v>0</v>
      </c>
    </row>
    <row r="37" spans="2:18">
      <c r="B37" s="188" t="s">
        <v>428</v>
      </c>
      <c r="C37" s="211">
        <f>'Capex per Unit'!$K16+'Capex per Unit'!$E23*'No. of Students Trained'!D$6</f>
        <v>66000</v>
      </c>
      <c r="D37" s="211">
        <f>'Capex per Unit'!$E23*'No. of Students Trained'!E$6</f>
        <v>33000</v>
      </c>
      <c r="E37" s="211">
        <f>'Capex per Unit'!$E23*'No. of Students Trained'!F$6</f>
        <v>0</v>
      </c>
      <c r="F37" s="211">
        <f>'Capex per Unit'!$E23*'No. of Students Trained'!G$6</f>
        <v>33000</v>
      </c>
      <c r="G37" s="211">
        <f>'Capex per Unit'!$E23*'No. of Students Trained'!H$6</f>
        <v>33000</v>
      </c>
      <c r="H37" s="211">
        <f>'Capex per Unit'!$E23*'No. of Students Trained'!I$6</f>
        <v>66000</v>
      </c>
      <c r="I37" s="211">
        <f>'Capex per Unit'!$E23*'No. of Students Trained'!J$6</f>
        <v>0</v>
      </c>
      <c r="J37" s="211">
        <f>'Capex per Unit'!$E23*'No. of Students Trained'!K$6</f>
        <v>99000</v>
      </c>
      <c r="K37" s="211">
        <f>'Capex per Unit'!$E23*'No. of Students Trained'!L$6</f>
        <v>99000</v>
      </c>
      <c r="L37" s="211">
        <f>'Capex per Unit'!$E23*'No. of Students Trained'!M$6</f>
        <v>99000</v>
      </c>
      <c r="M37" s="211">
        <f>'Capex per Unit'!$E23*'No. of Students Trained'!N$6</f>
        <v>99000</v>
      </c>
      <c r="N37" s="211">
        <f>'Capex per Unit'!$E23*'No. of Students Trained'!O$6</f>
        <v>66000</v>
      </c>
      <c r="O37" s="211">
        <f>'Capex per Unit'!$E23*'No. of Students Trained'!P$6</f>
        <v>0</v>
      </c>
      <c r="P37" s="211">
        <f>'Capex per Unit'!$E23*'No. of Students Trained'!Q$6</f>
        <v>0</v>
      </c>
      <c r="Q37" s="211">
        <f>'Capex per Unit'!$E23*'No. of Students Trained'!R$6</f>
        <v>0</v>
      </c>
      <c r="R37" s="211">
        <f>'Capex per Unit'!$E23*'No. of Students Trained'!S$6</f>
        <v>0</v>
      </c>
    </row>
    <row r="38" spans="2:18">
      <c r="B38" s="189" t="s">
        <v>445</v>
      </c>
      <c r="C38" s="211">
        <f>'Capex per Unit'!$K17+'Capex per Unit'!$E24*'No. of Students Trained'!D$6</f>
        <v>135000</v>
      </c>
      <c r="D38" s="211">
        <f>'Capex per Unit'!$E24*'No. of Students Trained'!E$6</f>
        <v>15000</v>
      </c>
      <c r="E38" s="211">
        <f>'Capex per Unit'!$E24*'No. of Students Trained'!F$6</f>
        <v>0</v>
      </c>
      <c r="F38" s="211">
        <f>'Capex per Unit'!$E24*'No. of Students Trained'!G$6</f>
        <v>15000</v>
      </c>
      <c r="G38" s="211">
        <f>'Capex per Unit'!$E24*'No. of Students Trained'!H$6</f>
        <v>15000</v>
      </c>
      <c r="H38" s="211">
        <f>'Capex per Unit'!$E24*'No. of Students Trained'!I$6</f>
        <v>30000</v>
      </c>
      <c r="I38" s="211">
        <f>'Capex per Unit'!$E24*'No. of Students Trained'!J$6</f>
        <v>0</v>
      </c>
      <c r="J38" s="211">
        <f>'Capex per Unit'!$E24*'No. of Students Trained'!K$6</f>
        <v>45000</v>
      </c>
      <c r="K38" s="211">
        <f>'Capex per Unit'!$E24*'No. of Students Trained'!L$6</f>
        <v>45000</v>
      </c>
      <c r="L38" s="211">
        <f>'Capex per Unit'!$E24*'No. of Students Trained'!M$6</f>
        <v>45000</v>
      </c>
      <c r="M38" s="211">
        <f>'Capex per Unit'!$E24*'No. of Students Trained'!N$6</f>
        <v>45000</v>
      </c>
      <c r="N38" s="211">
        <f>'Capex per Unit'!$E24*'No. of Students Trained'!O$6</f>
        <v>30000</v>
      </c>
      <c r="O38" s="211">
        <f>'Capex per Unit'!$E24*'No. of Students Trained'!P$6</f>
        <v>0</v>
      </c>
      <c r="P38" s="211">
        <f>'Capex per Unit'!$E24*'No. of Students Trained'!Q$6</f>
        <v>0</v>
      </c>
      <c r="Q38" s="211">
        <f>'Capex per Unit'!$E24*'No. of Students Trained'!R$6</f>
        <v>0</v>
      </c>
      <c r="R38" s="211">
        <f>'Capex per Unit'!$E24*'No. of Students Trained'!S$6</f>
        <v>0</v>
      </c>
    </row>
    <row r="39" spans="2:18">
      <c r="B39" s="188" t="s">
        <v>429</v>
      </c>
      <c r="C39" s="211">
        <f>'Capex per Unit'!$E25*'No. of Students Trained'!D$6</f>
        <v>10000</v>
      </c>
      <c r="D39" s="211">
        <f>'Capex per Unit'!$E25*'No. of Students Trained'!E$6</f>
        <v>10000</v>
      </c>
      <c r="E39" s="211">
        <f>'Capex per Unit'!$E25*'No. of Students Trained'!F$6</f>
        <v>0</v>
      </c>
      <c r="F39" s="211">
        <f>'Capex per Unit'!$E25*'No. of Students Trained'!G$6</f>
        <v>10000</v>
      </c>
      <c r="G39" s="211">
        <f>'Capex per Unit'!$E25*'No. of Students Trained'!H$6</f>
        <v>10000</v>
      </c>
      <c r="H39" s="211">
        <f>'Capex per Unit'!$E25*'No. of Students Trained'!I$6</f>
        <v>20000</v>
      </c>
      <c r="I39" s="211">
        <f>'Capex per Unit'!$E25*'No. of Students Trained'!J$6</f>
        <v>0</v>
      </c>
      <c r="J39" s="211">
        <f>'Capex per Unit'!$E25*'No. of Students Trained'!K$6</f>
        <v>30000</v>
      </c>
      <c r="K39" s="211">
        <f>'Capex per Unit'!$E25*'No. of Students Trained'!L$6</f>
        <v>30000</v>
      </c>
      <c r="L39" s="211">
        <f>'Capex per Unit'!$E25*'No. of Students Trained'!M$6</f>
        <v>30000</v>
      </c>
      <c r="M39" s="211">
        <f>'Capex per Unit'!$E25*'No. of Students Trained'!N$6</f>
        <v>30000</v>
      </c>
      <c r="N39" s="211">
        <f>'Capex per Unit'!$E25*'No. of Students Trained'!O$6</f>
        <v>20000</v>
      </c>
      <c r="O39" s="211">
        <f>'Capex per Unit'!$E25*'No. of Students Trained'!P$6</f>
        <v>0</v>
      </c>
      <c r="P39" s="211">
        <f>'Capex per Unit'!$E25*'No. of Students Trained'!Q$6</f>
        <v>0</v>
      </c>
      <c r="Q39" s="211">
        <f>'Capex per Unit'!$E25*'No. of Students Trained'!R$6</f>
        <v>0</v>
      </c>
      <c r="R39" s="211">
        <f>'Capex per Unit'!$E25*'No. of Students Trained'!S$6</f>
        <v>0</v>
      </c>
    </row>
    <row r="40" spans="2:18">
      <c r="B40" s="188" t="s">
        <v>430</v>
      </c>
      <c r="C40" s="211">
        <f>'Capex per Unit'!$E26*'No. of Students Trained'!D$6</f>
        <v>1500</v>
      </c>
      <c r="D40" s="211">
        <f>'Capex per Unit'!$E26*'No. of Students Trained'!E$6</f>
        <v>1500</v>
      </c>
      <c r="E40" s="211">
        <f>'Capex per Unit'!$E26*'No. of Students Trained'!F$6</f>
        <v>0</v>
      </c>
      <c r="F40" s="211">
        <f>'Capex per Unit'!$E26*'No. of Students Trained'!G$6</f>
        <v>1500</v>
      </c>
      <c r="G40" s="211">
        <f>'Capex per Unit'!$E26*'No. of Students Trained'!H$6</f>
        <v>1500</v>
      </c>
      <c r="H40" s="211">
        <f>'Capex per Unit'!$E26*'No. of Students Trained'!I$6</f>
        <v>3000</v>
      </c>
      <c r="I40" s="211">
        <f>'Capex per Unit'!$E26*'No. of Students Trained'!J$6</f>
        <v>0</v>
      </c>
      <c r="J40" s="211">
        <f>'Capex per Unit'!$E26*'No. of Students Trained'!K$6</f>
        <v>4500</v>
      </c>
      <c r="K40" s="211">
        <f>'Capex per Unit'!$E26*'No. of Students Trained'!L$6</f>
        <v>4500</v>
      </c>
      <c r="L40" s="211">
        <f>'Capex per Unit'!$E26*'No. of Students Trained'!M$6</f>
        <v>4500</v>
      </c>
      <c r="M40" s="211">
        <f>'Capex per Unit'!$E26*'No. of Students Trained'!N$6</f>
        <v>4500</v>
      </c>
      <c r="N40" s="211">
        <f>'Capex per Unit'!$E26*'No. of Students Trained'!O$6</f>
        <v>3000</v>
      </c>
      <c r="O40" s="211">
        <f>'Capex per Unit'!$E26*'No. of Students Trained'!P$6</f>
        <v>0</v>
      </c>
      <c r="P40" s="211">
        <f>'Capex per Unit'!$E26*'No. of Students Trained'!Q$6</f>
        <v>0</v>
      </c>
      <c r="Q40" s="211">
        <f>'Capex per Unit'!$E26*'No. of Students Trained'!R$6</f>
        <v>0</v>
      </c>
      <c r="R40" s="211">
        <f>'Capex per Unit'!$E26*'No. of Students Trained'!S$6</f>
        <v>0</v>
      </c>
    </row>
    <row r="41" spans="2:18" ht="15.75" thickBot="1">
      <c r="B41" s="188" t="s">
        <v>436</v>
      </c>
      <c r="C41" s="211">
        <f>'Capex per Unit'!K18</f>
        <v>100000</v>
      </c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</row>
    <row r="42" spans="2:18" ht="15.75" thickBot="1">
      <c r="B42" s="149" t="s">
        <v>169</v>
      </c>
      <c r="C42" s="150">
        <f>SUM(C36:C41)</f>
        <v>330000</v>
      </c>
      <c r="D42" s="150">
        <f t="shared" ref="D42:R42" si="3">SUM(D36:D41)</f>
        <v>68250</v>
      </c>
      <c r="E42" s="150">
        <f t="shared" si="3"/>
        <v>0</v>
      </c>
      <c r="F42" s="150">
        <f t="shared" si="3"/>
        <v>68250</v>
      </c>
      <c r="G42" s="150">
        <f t="shared" si="3"/>
        <v>68250</v>
      </c>
      <c r="H42" s="150">
        <f t="shared" si="3"/>
        <v>136500</v>
      </c>
      <c r="I42" s="150">
        <f t="shared" si="3"/>
        <v>0</v>
      </c>
      <c r="J42" s="150">
        <f t="shared" si="3"/>
        <v>204750</v>
      </c>
      <c r="K42" s="150">
        <f t="shared" si="3"/>
        <v>204750</v>
      </c>
      <c r="L42" s="150">
        <f t="shared" si="3"/>
        <v>204750</v>
      </c>
      <c r="M42" s="150">
        <f t="shared" si="3"/>
        <v>204750</v>
      </c>
      <c r="N42" s="150">
        <f t="shared" si="3"/>
        <v>136500</v>
      </c>
      <c r="O42" s="150">
        <f t="shared" si="3"/>
        <v>0</v>
      </c>
      <c r="P42" s="150">
        <f t="shared" si="3"/>
        <v>0</v>
      </c>
      <c r="Q42" s="150">
        <f t="shared" si="3"/>
        <v>0</v>
      </c>
      <c r="R42" s="150">
        <f t="shared" si="3"/>
        <v>0</v>
      </c>
    </row>
    <row r="43" spans="2:18" ht="15.75" thickBot="1">
      <c r="B43" s="151" t="s">
        <v>229</v>
      </c>
      <c r="C43" s="152">
        <f>C42+C34+C19+C14</f>
        <v>4442550</v>
      </c>
      <c r="D43" s="152">
        <f t="shared" ref="D43:R43" si="4">D42+D34+D19+D14</f>
        <v>2336200</v>
      </c>
      <c r="E43" s="152">
        <f t="shared" si="4"/>
        <v>0</v>
      </c>
      <c r="F43" s="152">
        <f t="shared" si="4"/>
        <v>2336200</v>
      </c>
      <c r="G43" s="152">
        <f t="shared" si="4"/>
        <v>2336200</v>
      </c>
      <c r="H43" s="152">
        <f t="shared" si="4"/>
        <v>4672400</v>
      </c>
      <c r="I43" s="152">
        <f t="shared" si="4"/>
        <v>0</v>
      </c>
      <c r="J43" s="152">
        <f t="shared" si="4"/>
        <v>7008600</v>
      </c>
      <c r="K43" s="152">
        <f t="shared" si="4"/>
        <v>7409250.0000000009</v>
      </c>
      <c r="L43" s="152">
        <f t="shared" si="4"/>
        <v>7409250.0000000009</v>
      </c>
      <c r="M43" s="152">
        <f t="shared" si="4"/>
        <v>7409250.0000000009</v>
      </c>
      <c r="N43" s="152">
        <f t="shared" si="4"/>
        <v>4939500</v>
      </c>
      <c r="O43" s="152">
        <f t="shared" si="4"/>
        <v>0</v>
      </c>
      <c r="P43" s="152">
        <f t="shared" si="4"/>
        <v>0</v>
      </c>
      <c r="Q43" s="152">
        <f t="shared" si="4"/>
        <v>0</v>
      </c>
      <c r="R43" s="152">
        <f t="shared" si="4"/>
        <v>0</v>
      </c>
    </row>
    <row r="45" spans="2:18">
      <c r="B45" s="2" t="s">
        <v>338</v>
      </c>
    </row>
    <row r="46" spans="2:18">
      <c r="B46" s="145"/>
      <c r="C46" s="1" t="s">
        <v>339</v>
      </c>
    </row>
    <row r="47" spans="2:18">
      <c r="B47" s="27" t="s">
        <v>151</v>
      </c>
    </row>
  </sheetData>
  <sheetProtection insertRows="0"/>
  <mergeCells count="8">
    <mergeCell ref="R3:R4"/>
    <mergeCell ref="C3:F3"/>
    <mergeCell ref="G3:J3"/>
    <mergeCell ref="B3:B4"/>
    <mergeCell ref="K3:N3"/>
    <mergeCell ref="O3:O4"/>
    <mergeCell ref="P3:P4"/>
    <mergeCell ref="Q3:Q4"/>
  </mergeCells>
  <conditionalFormatting sqref="C5:R5 C15:R15 C20:R20 C35:R35">
    <cfRule type="cellIs" dxfId="2" priority="4" operator="lessThan">
      <formula>0</formula>
    </cfRule>
  </conditionalFormatting>
  <dataValidations count="1">
    <dataValidation type="custom" allowBlank="1" showInputMessage="1" showErrorMessage="1" error="Please enter only numbers" sqref="C6:R43">
      <formula1>ISNUMBER(C6)</formula1>
    </dataValidation>
  </dataValidations>
  <hyperlinks>
    <hyperlink ref="B47" location="Index!A1" display="Back to Index"/>
  </hyperlinks>
  <pageMargins left="0.7" right="0.7" top="0.75" bottom="0.75" header="0.3" footer="0.3"/>
  <pageSetup orientation="portrait" horizontalDpi="200" verticalDpi="200" copies="0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5">
    <tabColor rgb="FF00B050"/>
  </sheetPr>
  <dimension ref="A1:R22"/>
  <sheetViews>
    <sheetView zoomScale="84" zoomScaleNormal="84" workbookViewId="0">
      <selection activeCell="L28" sqref="L28"/>
    </sheetView>
  </sheetViews>
  <sheetFormatPr defaultRowHeight="15"/>
  <cols>
    <col min="1" max="1" width="4.85546875" customWidth="1"/>
    <col min="2" max="2" width="24" bestFit="1" customWidth="1"/>
    <col min="3" max="7" width="14.42578125" bestFit="1" customWidth="1"/>
    <col min="8" max="14" width="15.42578125" bestFit="1" customWidth="1"/>
    <col min="15" max="18" width="17" bestFit="1" customWidth="1"/>
  </cols>
  <sheetData>
    <row r="1" spans="1:18" ht="23.25">
      <c r="A1" s="79" t="s">
        <v>453</v>
      </c>
    </row>
    <row r="3" spans="1:18" ht="20.25" thickBot="1">
      <c r="A3" s="36" t="s">
        <v>17</v>
      </c>
    </row>
    <row r="4" spans="1:18" ht="15.75" thickTop="1"/>
    <row r="5" spans="1:18">
      <c r="B5" s="357" t="s">
        <v>216</v>
      </c>
      <c r="C5" s="357" t="s">
        <v>6</v>
      </c>
      <c r="D5" s="357"/>
      <c r="E5" s="357"/>
      <c r="F5" s="357"/>
      <c r="G5" s="357" t="s">
        <v>7</v>
      </c>
      <c r="H5" s="357"/>
      <c r="I5" s="357"/>
      <c r="J5" s="357"/>
      <c r="K5" s="358" t="s">
        <v>8</v>
      </c>
      <c r="L5" s="359"/>
      <c r="M5" s="359"/>
      <c r="N5" s="360"/>
      <c r="O5" s="357" t="s">
        <v>9</v>
      </c>
      <c r="P5" s="357" t="s">
        <v>10</v>
      </c>
      <c r="Q5" s="357" t="s">
        <v>11</v>
      </c>
      <c r="R5" s="357" t="s">
        <v>12</v>
      </c>
    </row>
    <row r="6" spans="1:18">
      <c r="B6" s="357"/>
      <c r="C6" s="238" t="s">
        <v>13</v>
      </c>
      <c r="D6" s="238" t="s">
        <v>14</v>
      </c>
      <c r="E6" s="238" t="s">
        <v>15</v>
      </c>
      <c r="F6" s="238" t="s">
        <v>16</v>
      </c>
      <c r="G6" s="238" t="s">
        <v>13</v>
      </c>
      <c r="H6" s="238" t="s">
        <v>14</v>
      </c>
      <c r="I6" s="238" t="s">
        <v>15</v>
      </c>
      <c r="J6" s="238" t="s">
        <v>16</v>
      </c>
      <c r="K6" s="238" t="s">
        <v>13</v>
      </c>
      <c r="L6" s="238" t="s">
        <v>14</v>
      </c>
      <c r="M6" s="238" t="s">
        <v>15</v>
      </c>
      <c r="N6" s="238" t="s">
        <v>16</v>
      </c>
      <c r="O6" s="357"/>
      <c r="P6" s="357"/>
      <c r="Q6" s="357"/>
      <c r="R6" s="357"/>
    </row>
    <row r="7" spans="1:18">
      <c r="B7" s="246" t="s">
        <v>452</v>
      </c>
      <c r="C7" s="254">
        <f>'Key Assumptions'!C6/90*'P&amp;L Statement'!C5</f>
        <v>330000</v>
      </c>
      <c r="D7" s="254">
        <f>'Key Assumptions'!D6/90*'P&amp;L Statement'!D5</f>
        <v>620000</v>
      </c>
      <c r="E7" s="254">
        <f>'Key Assumptions'!E6/90*'P&amp;L Statement'!E5</f>
        <v>620000</v>
      </c>
      <c r="F7" s="254">
        <f>'Key Assumptions'!F6/90*'P&amp;L Statement'!F5</f>
        <v>950000</v>
      </c>
      <c r="G7" s="254">
        <f>'Key Assumptions'!G6/90*'P&amp;L Statement'!G5</f>
        <v>1365333.3333333333</v>
      </c>
      <c r="H7" s="254">
        <f>'Key Assumptions'!H6/90*'P&amp;L Statement'!H5</f>
        <v>2069333.3333333333</v>
      </c>
      <c r="I7" s="254">
        <f>'Key Assumptions'!I6/90*'P&amp;L Statement'!I5</f>
        <v>2069333.3333333333</v>
      </c>
      <c r="J7" s="254">
        <f>'Key Assumptions'!J6/90*'P&amp;L Statement'!J5</f>
        <v>3029333.333333333</v>
      </c>
      <c r="K7" s="254">
        <f>'Key Assumptions'!K6/90*'P&amp;L Statement'!K5</f>
        <v>4608000</v>
      </c>
      <c r="L7" s="254">
        <f>'Key Assumptions'!L6/90*'P&amp;L Statement'!L5</f>
        <v>5796000</v>
      </c>
      <c r="M7" s="254">
        <f>'Key Assumptions'!M6/90*'P&amp;L Statement'!M5</f>
        <v>6924000</v>
      </c>
      <c r="N7" s="254">
        <f>'Key Assumptions'!N6/90*'P&amp;L Statement'!N5</f>
        <v>7716000</v>
      </c>
      <c r="O7" s="254">
        <f>'Key Assumptions'!O6/360*'P&amp;L Statement'!O5</f>
        <v>9827400</v>
      </c>
      <c r="P7" s="254">
        <f>'Key Assumptions'!P6/360*'P&amp;L Statement'!P5</f>
        <v>11175240</v>
      </c>
      <c r="Q7" s="254">
        <f>'Key Assumptions'!Q6/360*'P&amp;L Statement'!Q5</f>
        <v>12129564.000000002</v>
      </c>
      <c r="R7" s="254">
        <f>'Key Assumptions'!R6/360*'P&amp;L Statement'!R5</f>
        <v>13728458.750000002</v>
      </c>
    </row>
    <row r="8" spans="1:18">
      <c r="B8" s="246" t="s">
        <v>19</v>
      </c>
      <c r="C8" s="254">
        <f>'Other CA and CL'!C7</f>
        <v>0</v>
      </c>
      <c r="D8" s="254">
        <f>'Other CA and CL'!D7</f>
        <v>0</v>
      </c>
      <c r="E8" s="254">
        <f>'Other CA and CL'!E7</f>
        <v>0</v>
      </c>
      <c r="F8" s="254">
        <f>'Other CA and CL'!F7</f>
        <v>0</v>
      </c>
      <c r="G8" s="254">
        <f>'Other CA and CL'!G7</f>
        <v>0</v>
      </c>
      <c r="H8" s="254">
        <f>'Other CA and CL'!H7</f>
        <v>0</v>
      </c>
      <c r="I8" s="254">
        <f>'Other CA and CL'!I7</f>
        <v>0</v>
      </c>
      <c r="J8" s="254">
        <f>'Other CA and CL'!J7</f>
        <v>0</v>
      </c>
      <c r="K8" s="254">
        <f>'Other CA and CL'!K7</f>
        <v>0</v>
      </c>
      <c r="L8" s="254">
        <f>'Other CA and CL'!L7</f>
        <v>0</v>
      </c>
      <c r="M8" s="254">
        <f>'Other CA and CL'!M7</f>
        <v>0</v>
      </c>
      <c r="N8" s="254">
        <f>'Other CA and CL'!N7</f>
        <v>0</v>
      </c>
      <c r="O8" s="254">
        <f>'Other CA and CL'!O7</f>
        <v>0</v>
      </c>
      <c r="P8" s="254">
        <f>'Other CA and CL'!P7</f>
        <v>0</v>
      </c>
      <c r="Q8" s="254">
        <f>'Other CA and CL'!Q7</f>
        <v>0</v>
      </c>
      <c r="R8" s="254">
        <f>'Other CA and CL'!R7</f>
        <v>0</v>
      </c>
    </row>
    <row r="9" spans="1:18" ht="15.75" thickBot="1">
      <c r="B9" s="103"/>
      <c r="C9" s="257"/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</row>
    <row r="10" spans="1:18" ht="15.75" thickBot="1">
      <c r="B10" s="125" t="s">
        <v>20</v>
      </c>
      <c r="C10" s="204">
        <f>SUM(C7:C8)</f>
        <v>330000</v>
      </c>
      <c r="D10" s="204">
        <f t="shared" ref="D10:R10" si="0">SUM(D7:D8)</f>
        <v>620000</v>
      </c>
      <c r="E10" s="204">
        <f t="shared" si="0"/>
        <v>620000</v>
      </c>
      <c r="F10" s="204">
        <f t="shared" si="0"/>
        <v>950000</v>
      </c>
      <c r="G10" s="204">
        <f t="shared" si="0"/>
        <v>1365333.3333333333</v>
      </c>
      <c r="H10" s="204">
        <f t="shared" si="0"/>
        <v>2069333.3333333333</v>
      </c>
      <c r="I10" s="204">
        <f t="shared" si="0"/>
        <v>2069333.3333333333</v>
      </c>
      <c r="J10" s="204">
        <f t="shared" si="0"/>
        <v>3029333.333333333</v>
      </c>
      <c r="K10" s="204">
        <f t="shared" si="0"/>
        <v>4608000</v>
      </c>
      <c r="L10" s="204">
        <f t="shared" si="0"/>
        <v>5796000</v>
      </c>
      <c r="M10" s="204">
        <f t="shared" si="0"/>
        <v>6924000</v>
      </c>
      <c r="N10" s="204">
        <f t="shared" si="0"/>
        <v>7716000</v>
      </c>
      <c r="O10" s="204">
        <f t="shared" si="0"/>
        <v>9827400</v>
      </c>
      <c r="P10" s="204">
        <f t="shared" si="0"/>
        <v>11175240</v>
      </c>
      <c r="Q10" s="204">
        <f t="shared" si="0"/>
        <v>12129564.000000002</v>
      </c>
      <c r="R10" s="204">
        <f t="shared" si="0"/>
        <v>13728458.750000002</v>
      </c>
    </row>
    <row r="12" spans="1:18" ht="20.25" thickBot="1">
      <c r="A12" s="36" t="s">
        <v>29</v>
      </c>
    </row>
    <row r="13" spans="1:18" ht="15.75" thickTop="1"/>
    <row r="14" spans="1:18">
      <c r="B14" s="357" t="s">
        <v>216</v>
      </c>
      <c r="C14" s="357" t="s">
        <v>6</v>
      </c>
      <c r="D14" s="357"/>
      <c r="E14" s="357"/>
      <c r="F14" s="357"/>
      <c r="G14" s="357" t="s">
        <v>7</v>
      </c>
      <c r="H14" s="357"/>
      <c r="I14" s="357"/>
      <c r="J14" s="357"/>
      <c r="K14" s="358" t="s">
        <v>8</v>
      </c>
      <c r="L14" s="359"/>
      <c r="M14" s="359"/>
      <c r="N14" s="360"/>
      <c r="O14" s="357" t="s">
        <v>9</v>
      </c>
      <c r="P14" s="357" t="s">
        <v>10</v>
      </c>
      <c r="Q14" s="357" t="s">
        <v>11</v>
      </c>
      <c r="R14" s="357" t="s">
        <v>12</v>
      </c>
    </row>
    <row r="15" spans="1:18">
      <c r="B15" s="357"/>
      <c r="C15" s="238" t="s">
        <v>13</v>
      </c>
      <c r="D15" s="238" t="s">
        <v>14</v>
      </c>
      <c r="E15" s="238" t="s">
        <v>15</v>
      </c>
      <c r="F15" s="238" t="s">
        <v>16</v>
      </c>
      <c r="G15" s="238" t="s">
        <v>13</v>
      </c>
      <c r="H15" s="238" t="s">
        <v>14</v>
      </c>
      <c r="I15" s="238" t="s">
        <v>15</v>
      </c>
      <c r="J15" s="238" t="s">
        <v>16</v>
      </c>
      <c r="K15" s="238" t="s">
        <v>13</v>
      </c>
      <c r="L15" s="238" t="s">
        <v>14</v>
      </c>
      <c r="M15" s="238" t="s">
        <v>15</v>
      </c>
      <c r="N15" s="238" t="s">
        <v>16</v>
      </c>
      <c r="O15" s="357"/>
      <c r="P15" s="357"/>
      <c r="Q15" s="357"/>
      <c r="R15" s="357"/>
    </row>
    <row r="16" spans="1:18">
      <c r="B16" s="246" t="s">
        <v>30</v>
      </c>
      <c r="C16" s="254">
        <f>'Key Assumptions'!C7/90*'P&amp;L Statement'!C7</f>
        <v>1054800</v>
      </c>
      <c r="D16" s="254">
        <f>'Key Assumptions'!D7/90*'P&amp;L Statement'!D7</f>
        <v>1481850</v>
      </c>
      <c r="E16" s="254">
        <f>'Key Assumptions'!E7/90*'P&amp;L Statement'!E7</f>
        <v>1481850</v>
      </c>
      <c r="F16" s="254">
        <f>'Key Assumptions'!F7/90*'P&amp;L Statement'!F7</f>
        <v>1920150</v>
      </c>
      <c r="G16" s="254">
        <f>'Key Assumptions'!G7/90*'P&amp;L Statement'!G7</f>
        <v>2537550</v>
      </c>
      <c r="H16" s="254">
        <f>'Key Assumptions'!H7/90*'P&amp;L Statement'!H7</f>
        <v>3479250</v>
      </c>
      <c r="I16" s="254">
        <f>'Key Assumptions'!I7/90*'P&amp;L Statement'!I7</f>
        <v>3479250</v>
      </c>
      <c r="J16" s="254">
        <f>'Key Assumptions'!J7/90*'P&amp;L Statement'!J7</f>
        <v>4867800</v>
      </c>
      <c r="K16" s="254">
        <f>'Key Assumptions'!K7/90*'P&amp;L Statement'!K7</f>
        <v>6820275</v>
      </c>
      <c r="L16" s="254">
        <f>'Key Assumptions'!L7/90*'P&amp;L Statement'!L7</f>
        <v>8353852.5000000009</v>
      </c>
      <c r="M16" s="254">
        <f>'Key Assumptions'!M7/90*'P&amp;L Statement'!M7</f>
        <v>9873930</v>
      </c>
      <c r="N16" s="254">
        <f>'Key Assumptions'!N7/90*'P&amp;L Statement'!N7</f>
        <v>10896315</v>
      </c>
      <c r="O16" s="254">
        <f>'Key Assumptions'!O7/360*'P&amp;L Statement'!O7</f>
        <v>12071994.000000002</v>
      </c>
      <c r="P16" s="254">
        <f>'Key Assumptions'!P7/360*'P&amp;L Statement'!P7</f>
        <v>13113523.275000002</v>
      </c>
      <c r="Q16" s="254">
        <f>'Key Assumptions'!Q7/360*'P&amp;L Statement'!Q7</f>
        <v>14027541.971250003</v>
      </c>
      <c r="R16" s="254">
        <f>'Key Assumptions'!R7/360*'P&amp;L Statement'!R7</f>
        <v>15127335.855562506</v>
      </c>
    </row>
    <row r="17" spans="2:18">
      <c r="B17" s="246" t="s">
        <v>31</v>
      </c>
      <c r="C17" s="254">
        <f>'Other CA and CL'!C16</f>
        <v>0</v>
      </c>
      <c r="D17" s="254">
        <f>'Other CA and CL'!D16</f>
        <v>0</v>
      </c>
      <c r="E17" s="254">
        <f>'Other CA and CL'!E16</f>
        <v>0</v>
      </c>
      <c r="F17" s="254">
        <f>'Other CA and CL'!F16</f>
        <v>0</v>
      </c>
      <c r="G17" s="254">
        <f>'Other CA and CL'!G16</f>
        <v>0</v>
      </c>
      <c r="H17" s="254">
        <f>'Other CA and CL'!H16</f>
        <v>0</v>
      </c>
      <c r="I17" s="254">
        <f>'Other CA and CL'!I16</f>
        <v>0</v>
      </c>
      <c r="J17" s="254">
        <f>'Other CA and CL'!J16</f>
        <v>0</v>
      </c>
      <c r="K17" s="254">
        <f>'Other CA and CL'!K16</f>
        <v>0</v>
      </c>
      <c r="L17" s="254">
        <f>'Other CA and CL'!L16</f>
        <v>0</v>
      </c>
      <c r="M17" s="254">
        <f>'Other CA and CL'!M16</f>
        <v>0</v>
      </c>
      <c r="N17" s="254">
        <f>'Other CA and CL'!N16</f>
        <v>0</v>
      </c>
      <c r="O17" s="254">
        <f>'Other CA and CL'!O16</f>
        <v>0</v>
      </c>
      <c r="P17" s="254">
        <f>'Other CA and CL'!P16</f>
        <v>0</v>
      </c>
      <c r="Q17" s="254">
        <f>'Other CA and CL'!Q16</f>
        <v>0</v>
      </c>
      <c r="R17" s="254">
        <f>'Other CA and CL'!R16</f>
        <v>0</v>
      </c>
    </row>
    <row r="18" spans="2:18" ht="15.75" thickBot="1">
      <c r="B18" s="103"/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</row>
    <row r="19" spans="2:18" ht="15.75" thickBot="1">
      <c r="B19" s="125" t="s">
        <v>32</v>
      </c>
      <c r="C19" s="204">
        <f>SUM(C16:C17)</f>
        <v>1054800</v>
      </c>
      <c r="D19" s="204">
        <f t="shared" ref="D19:R19" si="1">SUM(D16:D17)</f>
        <v>1481850</v>
      </c>
      <c r="E19" s="204">
        <f t="shared" si="1"/>
        <v>1481850</v>
      </c>
      <c r="F19" s="204">
        <f t="shared" si="1"/>
        <v>1920150</v>
      </c>
      <c r="G19" s="204">
        <f t="shared" si="1"/>
        <v>2537550</v>
      </c>
      <c r="H19" s="204">
        <f t="shared" si="1"/>
        <v>3479250</v>
      </c>
      <c r="I19" s="204">
        <f t="shared" si="1"/>
        <v>3479250</v>
      </c>
      <c r="J19" s="204">
        <f t="shared" si="1"/>
        <v>4867800</v>
      </c>
      <c r="K19" s="204">
        <f t="shared" si="1"/>
        <v>6820275</v>
      </c>
      <c r="L19" s="204">
        <f t="shared" si="1"/>
        <v>8353852.5000000009</v>
      </c>
      <c r="M19" s="204">
        <f t="shared" si="1"/>
        <v>9873930</v>
      </c>
      <c r="N19" s="204">
        <f t="shared" si="1"/>
        <v>10896315</v>
      </c>
      <c r="O19" s="204">
        <f t="shared" si="1"/>
        <v>12071994.000000002</v>
      </c>
      <c r="P19" s="204">
        <f t="shared" si="1"/>
        <v>13113523.275000002</v>
      </c>
      <c r="Q19" s="204">
        <f t="shared" si="1"/>
        <v>14027541.971250003</v>
      </c>
      <c r="R19" s="204">
        <f t="shared" si="1"/>
        <v>15127335.855562506</v>
      </c>
    </row>
    <row r="22" spans="2:18">
      <c r="B22" s="27" t="s">
        <v>151</v>
      </c>
    </row>
  </sheetData>
  <mergeCells count="16">
    <mergeCell ref="B5:B6"/>
    <mergeCell ref="C5:F5"/>
    <mergeCell ref="G5:J5"/>
    <mergeCell ref="K5:N5"/>
    <mergeCell ref="O5:O6"/>
    <mergeCell ref="B14:B15"/>
    <mergeCell ref="C14:F14"/>
    <mergeCell ref="G14:J14"/>
    <mergeCell ref="K14:N14"/>
    <mergeCell ref="O14:O15"/>
    <mergeCell ref="P14:P15"/>
    <mergeCell ref="Q14:Q15"/>
    <mergeCell ref="R14:R15"/>
    <mergeCell ref="Q5:Q6"/>
    <mergeCell ref="R5:R6"/>
    <mergeCell ref="P5:P6"/>
  </mergeCells>
  <hyperlinks>
    <hyperlink ref="B22" location="Index!A1" display="Back to Index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6">
    <tabColor rgb="FFC00000"/>
  </sheetPr>
  <dimension ref="A1:R55"/>
  <sheetViews>
    <sheetView showGridLines="0" zoomScale="86" zoomScaleNormal="86" workbookViewId="0">
      <selection activeCell="B16" sqref="B16"/>
    </sheetView>
  </sheetViews>
  <sheetFormatPr defaultRowHeight="15"/>
  <cols>
    <col min="1" max="1" width="6.5703125" customWidth="1"/>
    <col min="2" max="2" width="41.85546875" bestFit="1" customWidth="1"/>
    <col min="3" max="3" width="21.140625" bestFit="1" customWidth="1"/>
    <col min="4" max="6" width="14.5703125" bestFit="1" customWidth="1"/>
    <col min="7" max="7" width="15.85546875" bestFit="1" customWidth="1"/>
    <col min="8" max="14" width="14.42578125" bestFit="1" customWidth="1"/>
    <col min="15" max="17" width="12.7109375" bestFit="1" customWidth="1"/>
    <col min="18" max="18" width="12.140625" bestFit="1" customWidth="1"/>
  </cols>
  <sheetData>
    <row r="1" spans="1:18" ht="23.25">
      <c r="A1" s="79" t="s">
        <v>348</v>
      </c>
    </row>
    <row r="2" spans="1:18" ht="15" customHeight="1"/>
    <row r="3" spans="1:18" ht="20.25" thickBot="1">
      <c r="A3" s="36" t="s">
        <v>313</v>
      </c>
    </row>
    <row r="4" spans="1:18" ht="15.75" thickTop="1">
      <c r="B4" s="357" t="s">
        <v>216</v>
      </c>
      <c r="C4" s="357" t="s">
        <v>6</v>
      </c>
      <c r="D4" s="357"/>
      <c r="E4" s="357"/>
      <c r="F4" s="357"/>
      <c r="G4" s="357" t="s">
        <v>7</v>
      </c>
      <c r="H4" s="357"/>
      <c r="I4" s="357"/>
      <c r="J4" s="357"/>
      <c r="K4" s="358" t="s">
        <v>8</v>
      </c>
      <c r="L4" s="359"/>
      <c r="M4" s="359"/>
      <c r="N4" s="360"/>
      <c r="O4" s="357" t="s">
        <v>9</v>
      </c>
      <c r="P4" s="357" t="s">
        <v>10</v>
      </c>
      <c r="Q4" s="357" t="s">
        <v>11</v>
      </c>
      <c r="R4" s="357" t="s">
        <v>12</v>
      </c>
    </row>
    <row r="5" spans="1:18">
      <c r="B5" s="357"/>
      <c r="C5" s="128" t="s">
        <v>13</v>
      </c>
      <c r="D5" s="128" t="s">
        <v>14</v>
      </c>
      <c r="E5" s="128" t="s">
        <v>15</v>
      </c>
      <c r="F5" s="128" t="s">
        <v>16</v>
      </c>
      <c r="G5" s="128" t="s">
        <v>13</v>
      </c>
      <c r="H5" s="128" t="s">
        <v>14</v>
      </c>
      <c r="I5" s="128" t="s">
        <v>15</v>
      </c>
      <c r="J5" s="128" t="s">
        <v>16</v>
      </c>
      <c r="K5" s="160" t="s">
        <v>13</v>
      </c>
      <c r="L5" s="160" t="s">
        <v>14</v>
      </c>
      <c r="M5" s="160" t="s">
        <v>15</v>
      </c>
      <c r="N5" s="160" t="s">
        <v>16</v>
      </c>
      <c r="O5" s="357"/>
      <c r="P5" s="357"/>
      <c r="Q5" s="357"/>
      <c r="R5" s="357"/>
    </row>
    <row r="6" spans="1:18">
      <c r="B6" s="28" t="s">
        <v>88</v>
      </c>
      <c r="C6" s="159">
        <v>30</v>
      </c>
      <c r="D6" s="159">
        <v>30</v>
      </c>
      <c r="E6" s="159">
        <v>30</v>
      </c>
      <c r="F6" s="159">
        <v>30</v>
      </c>
      <c r="G6" s="159">
        <v>30</v>
      </c>
      <c r="H6" s="159">
        <v>30</v>
      </c>
      <c r="I6" s="159">
        <v>30</v>
      </c>
      <c r="J6" s="159">
        <v>30</v>
      </c>
      <c r="K6" s="159">
        <v>30</v>
      </c>
      <c r="L6" s="159">
        <v>30</v>
      </c>
      <c r="M6" s="159">
        <v>30</v>
      </c>
      <c r="N6" s="159">
        <v>30</v>
      </c>
      <c r="O6" s="159">
        <v>30</v>
      </c>
      <c r="P6" s="159">
        <v>30</v>
      </c>
      <c r="Q6" s="159">
        <v>30</v>
      </c>
      <c r="R6" s="159">
        <v>30</v>
      </c>
    </row>
    <row r="7" spans="1:18">
      <c r="B7" s="28" t="s">
        <v>89</v>
      </c>
      <c r="C7" s="159">
        <v>45</v>
      </c>
      <c r="D7" s="159">
        <v>45</v>
      </c>
      <c r="E7" s="159">
        <v>45</v>
      </c>
      <c r="F7" s="159">
        <v>45</v>
      </c>
      <c r="G7" s="159">
        <v>45</v>
      </c>
      <c r="H7" s="159">
        <v>45</v>
      </c>
      <c r="I7" s="159">
        <v>45</v>
      </c>
      <c r="J7" s="159">
        <v>45</v>
      </c>
      <c r="K7" s="159">
        <v>45</v>
      </c>
      <c r="L7" s="159">
        <v>45</v>
      </c>
      <c r="M7" s="159">
        <v>45</v>
      </c>
      <c r="N7" s="159">
        <v>45</v>
      </c>
      <c r="O7" s="159">
        <v>45</v>
      </c>
      <c r="P7" s="159">
        <v>45</v>
      </c>
      <c r="Q7" s="159">
        <v>45</v>
      </c>
      <c r="R7" s="159">
        <v>45</v>
      </c>
    </row>
    <row r="9" spans="1:18" ht="20.25" thickBot="1">
      <c r="A9" s="36" t="s">
        <v>310</v>
      </c>
    </row>
    <row r="10" spans="1:18" ht="15.75" thickTop="1">
      <c r="B10" s="129" t="s">
        <v>191</v>
      </c>
      <c r="C10" s="82" t="s">
        <v>315</v>
      </c>
    </row>
    <row r="11" spans="1:18">
      <c r="B11" s="28" t="s">
        <v>228</v>
      </c>
      <c r="C11" s="321">
        <v>0.63160000000000005</v>
      </c>
      <c r="E11" s="1" t="s">
        <v>472</v>
      </c>
    </row>
    <row r="12" spans="1:18">
      <c r="B12" s="28" t="s">
        <v>5</v>
      </c>
      <c r="C12" s="321">
        <v>0.45069999999999999</v>
      </c>
      <c r="E12" s="1"/>
    </row>
    <row r="13" spans="1:18">
      <c r="B13" s="41" t="s">
        <v>192</v>
      </c>
      <c r="C13" s="321">
        <v>0.25890000000000002</v>
      </c>
    </row>
    <row r="14" spans="1:18">
      <c r="B14" s="28" t="s">
        <v>175</v>
      </c>
      <c r="C14" s="321">
        <v>0.25890000000000002</v>
      </c>
    </row>
    <row r="15" spans="1:18">
      <c r="B15" s="22"/>
      <c r="C15" s="22"/>
    </row>
    <row r="16" spans="1:18" ht="20.25" thickBot="1">
      <c r="A16" s="36" t="s">
        <v>311</v>
      </c>
    </row>
    <row r="17" spans="1:15" ht="30.75" thickTop="1">
      <c r="B17" s="29" t="s">
        <v>316</v>
      </c>
      <c r="C17" s="164">
        <v>0.4</v>
      </c>
    </row>
    <row r="19" spans="1:15" ht="20.25" thickBot="1">
      <c r="A19" s="36" t="s">
        <v>312</v>
      </c>
    </row>
    <row r="20" spans="1:15" ht="15.75" thickTop="1">
      <c r="B20" s="28" t="s">
        <v>317</v>
      </c>
      <c r="C20" s="164">
        <v>0</v>
      </c>
    </row>
    <row r="21" spans="1:15">
      <c r="B21" s="126"/>
    </row>
    <row r="22" spans="1:15" ht="20.25" thickBot="1">
      <c r="A22" s="36" t="s">
        <v>314</v>
      </c>
    </row>
    <row r="23" spans="1:15" ht="15.75" thickTop="1">
      <c r="B23" s="28" t="s">
        <v>157</v>
      </c>
      <c r="C23" s="155">
        <v>3</v>
      </c>
      <c r="E23" s="83"/>
      <c r="F23" s="83"/>
    </row>
    <row r="24" spans="1:15">
      <c r="B24" s="28" t="s">
        <v>158</v>
      </c>
      <c r="C24" s="155">
        <v>0</v>
      </c>
      <c r="E24" s="83"/>
      <c r="F24" s="83"/>
    </row>
    <row r="25" spans="1:15">
      <c r="B25" s="28" t="s">
        <v>302</v>
      </c>
      <c r="C25" s="155">
        <v>4</v>
      </c>
    </row>
    <row r="27" spans="1:15" ht="20.25" thickBot="1">
      <c r="A27" s="36" t="s">
        <v>161</v>
      </c>
    </row>
    <row r="28" spans="1:15" ht="15.75" thickTop="1">
      <c r="B28" s="357" t="s">
        <v>206</v>
      </c>
      <c r="C28" s="387" t="s">
        <v>6</v>
      </c>
      <c r="D28" s="388"/>
      <c r="E28" s="388"/>
      <c r="F28" s="389"/>
      <c r="G28" s="386" t="s">
        <v>7</v>
      </c>
      <c r="H28" s="386"/>
      <c r="I28" s="386"/>
      <c r="J28" s="386"/>
      <c r="K28" s="386" t="s">
        <v>8</v>
      </c>
      <c r="L28" s="386"/>
      <c r="M28" s="386"/>
      <c r="N28" s="386"/>
    </row>
    <row r="29" spans="1:15">
      <c r="B29" s="357"/>
      <c r="C29" s="70" t="s">
        <v>13</v>
      </c>
      <c r="D29" s="70" t="s">
        <v>14</v>
      </c>
      <c r="E29" s="70" t="s">
        <v>15</v>
      </c>
      <c r="F29" s="70" t="s">
        <v>16</v>
      </c>
      <c r="G29" s="70" t="s">
        <v>13</v>
      </c>
      <c r="H29" s="70" t="s">
        <v>14</v>
      </c>
      <c r="I29" s="70" t="s">
        <v>15</v>
      </c>
      <c r="J29" s="70" t="s">
        <v>16</v>
      </c>
      <c r="K29" s="70" t="s">
        <v>13</v>
      </c>
      <c r="L29" s="70" t="s">
        <v>14</v>
      </c>
      <c r="M29" s="70" t="s">
        <v>15</v>
      </c>
      <c r="N29" s="70" t="s">
        <v>16</v>
      </c>
    </row>
    <row r="30" spans="1:15">
      <c r="B30" s="28" t="s">
        <v>205</v>
      </c>
      <c r="C30" s="313">
        <v>4950000</v>
      </c>
      <c r="D30" s="313">
        <v>2400000</v>
      </c>
      <c r="E30" s="313"/>
      <c r="F30" s="313">
        <v>2400000</v>
      </c>
      <c r="G30" s="313">
        <v>2400000</v>
      </c>
      <c r="H30" s="313">
        <v>4800000</v>
      </c>
      <c r="I30" s="313"/>
      <c r="J30" s="313">
        <v>7200000</v>
      </c>
      <c r="K30" s="313">
        <v>7200000</v>
      </c>
      <c r="L30" s="313">
        <v>7200000</v>
      </c>
      <c r="M30" s="313">
        <v>7200000</v>
      </c>
      <c r="N30" s="313">
        <v>4800000</v>
      </c>
    </row>
    <row r="31" spans="1:15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</row>
    <row r="32" spans="1:15" ht="20.25" thickBot="1">
      <c r="A32" s="36" t="s">
        <v>61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</row>
    <row r="33" spans="1:18" ht="15.75" thickTop="1">
      <c r="B33" s="357" t="s">
        <v>206</v>
      </c>
      <c r="C33" s="387" t="s">
        <v>6</v>
      </c>
      <c r="D33" s="388"/>
      <c r="E33" s="388"/>
      <c r="F33" s="389"/>
      <c r="G33" s="387" t="s">
        <v>7</v>
      </c>
      <c r="H33" s="388"/>
      <c r="I33" s="388"/>
      <c r="J33" s="389"/>
      <c r="K33" s="386" t="s">
        <v>8</v>
      </c>
      <c r="L33" s="386"/>
      <c r="M33" s="386"/>
      <c r="N33" s="386"/>
      <c r="O33" s="384" t="s">
        <v>9</v>
      </c>
      <c r="P33" s="384" t="s">
        <v>10</v>
      </c>
      <c r="Q33" s="384" t="s">
        <v>11</v>
      </c>
      <c r="R33" s="384" t="s">
        <v>12</v>
      </c>
    </row>
    <row r="34" spans="1:18">
      <c r="B34" s="357"/>
      <c r="C34" s="70" t="s">
        <v>13</v>
      </c>
      <c r="D34" s="70" t="s">
        <v>14</v>
      </c>
      <c r="E34" s="70" t="s">
        <v>15</v>
      </c>
      <c r="F34" s="110" t="s">
        <v>16</v>
      </c>
      <c r="G34" s="70" t="s">
        <v>13</v>
      </c>
      <c r="H34" s="70" t="s">
        <v>14</v>
      </c>
      <c r="I34" s="70" t="s">
        <v>15</v>
      </c>
      <c r="J34" s="70" t="s">
        <v>16</v>
      </c>
      <c r="K34" s="70" t="s">
        <v>13</v>
      </c>
      <c r="L34" s="70" t="s">
        <v>14</v>
      </c>
      <c r="M34" s="70" t="s">
        <v>15</v>
      </c>
      <c r="N34" s="70" t="s">
        <v>16</v>
      </c>
      <c r="O34" s="385"/>
      <c r="P34" s="385"/>
      <c r="Q34" s="385"/>
      <c r="R34" s="385"/>
    </row>
    <row r="35" spans="1:18">
      <c r="B35" s="28" t="s">
        <v>156</v>
      </c>
      <c r="C35" s="313">
        <f>C30*25/75</f>
        <v>1650000</v>
      </c>
      <c r="D35" s="313">
        <f>D30*25/75</f>
        <v>800000</v>
      </c>
      <c r="E35" s="313"/>
      <c r="F35" s="313">
        <f>F30*25/75</f>
        <v>800000</v>
      </c>
      <c r="G35" s="313">
        <f t="shared" ref="G35:N35" si="0">G30*25/75</f>
        <v>800000</v>
      </c>
      <c r="H35" s="313">
        <f t="shared" si="0"/>
        <v>1600000</v>
      </c>
      <c r="I35" s="313"/>
      <c r="J35" s="313">
        <f t="shared" si="0"/>
        <v>2400000</v>
      </c>
      <c r="K35" s="313">
        <f t="shared" si="0"/>
        <v>2400000</v>
      </c>
      <c r="L35" s="313">
        <f t="shared" si="0"/>
        <v>2400000</v>
      </c>
      <c r="M35" s="313">
        <f t="shared" si="0"/>
        <v>2400000</v>
      </c>
      <c r="N35" s="313">
        <f t="shared" si="0"/>
        <v>1600000</v>
      </c>
      <c r="O35" s="143"/>
      <c r="P35" s="143"/>
      <c r="Q35" s="143"/>
      <c r="R35" s="143"/>
    </row>
    <row r="37" spans="1:18" ht="20.25" thickBot="1">
      <c r="A37" s="36" t="s">
        <v>318</v>
      </c>
    </row>
    <row r="38" spans="1:18" ht="15.75" thickTop="1">
      <c r="B38" s="129" t="s">
        <v>206</v>
      </c>
      <c r="C38" s="129" t="s">
        <v>6</v>
      </c>
      <c r="D38" s="129" t="s">
        <v>7</v>
      </c>
      <c r="E38" s="129" t="s">
        <v>8</v>
      </c>
      <c r="F38" s="129" t="s">
        <v>9</v>
      </c>
      <c r="G38" s="129" t="s">
        <v>10</v>
      </c>
      <c r="H38" s="129" t="s">
        <v>11</v>
      </c>
      <c r="I38" s="129" t="s">
        <v>12</v>
      </c>
    </row>
    <row r="39" spans="1:18">
      <c r="B39" s="28" t="s">
        <v>322</v>
      </c>
      <c r="C39" s="140"/>
      <c r="D39" s="143">
        <v>0</v>
      </c>
      <c r="E39" s="143">
        <v>0</v>
      </c>
      <c r="F39" s="163">
        <v>0.05</v>
      </c>
      <c r="G39" s="163">
        <v>0.05</v>
      </c>
      <c r="H39" s="163">
        <v>0.1</v>
      </c>
      <c r="I39" s="163">
        <v>0.1</v>
      </c>
    </row>
    <row r="40" spans="1:18">
      <c r="B40" s="28" t="s">
        <v>319</v>
      </c>
      <c r="C40" s="140"/>
      <c r="D40" s="163">
        <v>0.1</v>
      </c>
      <c r="E40" s="163">
        <v>0.1</v>
      </c>
      <c r="F40" s="163">
        <v>0.1</v>
      </c>
      <c r="G40" s="163">
        <v>0.1</v>
      </c>
      <c r="H40" s="163">
        <v>0.1</v>
      </c>
      <c r="I40" s="163">
        <v>0.1</v>
      </c>
    </row>
    <row r="41" spans="1:18">
      <c r="B41" s="28" t="s">
        <v>320</v>
      </c>
      <c r="C41" s="140"/>
      <c r="D41" s="163">
        <v>0.05</v>
      </c>
      <c r="E41" s="163">
        <v>0.05</v>
      </c>
      <c r="F41" s="163">
        <v>0.05</v>
      </c>
      <c r="G41" s="163">
        <v>0.05</v>
      </c>
      <c r="H41" s="163">
        <v>0.05</v>
      </c>
      <c r="I41" s="163">
        <v>0.05</v>
      </c>
    </row>
    <row r="42" spans="1:18">
      <c r="B42" s="28" t="s">
        <v>321</v>
      </c>
      <c r="C42" s="140"/>
      <c r="D42" s="258">
        <v>0</v>
      </c>
      <c r="E42" s="258">
        <v>0</v>
      </c>
      <c r="F42" s="258">
        <v>0.05</v>
      </c>
      <c r="G42" s="258">
        <v>0.05</v>
      </c>
      <c r="H42" s="258">
        <v>0.05</v>
      </c>
      <c r="I42" s="258">
        <v>0.05</v>
      </c>
    </row>
    <row r="43" spans="1:18">
      <c r="B43" s="28" t="s">
        <v>323</v>
      </c>
      <c r="C43" s="140"/>
      <c r="D43" s="259">
        <v>0</v>
      </c>
      <c r="E43" s="259">
        <v>0</v>
      </c>
      <c r="F43" s="259">
        <v>0</v>
      </c>
      <c r="G43" s="259">
        <v>0</v>
      </c>
      <c r="H43" s="259">
        <v>0</v>
      </c>
      <c r="I43" s="259">
        <v>0</v>
      </c>
      <c r="J43" s="1"/>
    </row>
    <row r="44" spans="1:18">
      <c r="B44" s="28" t="s">
        <v>324</v>
      </c>
      <c r="C44" s="140"/>
      <c r="D44" s="163">
        <v>0</v>
      </c>
      <c r="E44" s="163">
        <v>0</v>
      </c>
      <c r="F44" s="163">
        <v>0</v>
      </c>
      <c r="G44" s="163">
        <v>0</v>
      </c>
      <c r="H44" s="163">
        <v>0</v>
      </c>
      <c r="I44" s="163">
        <v>0</v>
      </c>
    </row>
    <row r="47" spans="1:18">
      <c r="B47" s="244" t="s">
        <v>206</v>
      </c>
      <c r="C47" s="244" t="s">
        <v>6</v>
      </c>
      <c r="D47" s="244" t="s">
        <v>7</v>
      </c>
      <c r="E47" s="244" t="s">
        <v>8</v>
      </c>
      <c r="F47" s="244" t="s">
        <v>9</v>
      </c>
      <c r="G47" s="244" t="s">
        <v>10</v>
      </c>
      <c r="H47" s="244" t="s">
        <v>11</v>
      </c>
      <c r="I47" s="244" t="s">
        <v>12</v>
      </c>
    </row>
    <row r="48" spans="1:18">
      <c r="B48" s="246" t="s">
        <v>442</v>
      </c>
      <c r="C48" s="253">
        <f>1</f>
        <v>1</v>
      </c>
      <c r="D48" s="253">
        <f t="shared" ref="D48:D53" si="1">C48*(1+D39)</f>
        <v>1</v>
      </c>
      <c r="E48" s="253">
        <f t="shared" ref="E48:I53" si="2">D48*(1+E39)</f>
        <v>1</v>
      </c>
      <c r="F48" s="253">
        <f t="shared" si="2"/>
        <v>1.05</v>
      </c>
      <c r="G48" s="253">
        <f t="shared" si="2"/>
        <v>1.1025</v>
      </c>
      <c r="H48" s="253">
        <f t="shared" si="2"/>
        <v>1.2127500000000002</v>
      </c>
      <c r="I48" s="253">
        <f t="shared" si="2"/>
        <v>1.3340250000000002</v>
      </c>
    </row>
    <row r="49" spans="2:9">
      <c r="B49" s="246" t="s">
        <v>454</v>
      </c>
      <c r="C49" s="253">
        <f>1</f>
        <v>1</v>
      </c>
      <c r="D49" s="253">
        <f t="shared" si="1"/>
        <v>1.1000000000000001</v>
      </c>
      <c r="E49" s="253">
        <f t="shared" si="2"/>
        <v>1.2100000000000002</v>
      </c>
      <c r="F49" s="253">
        <f t="shared" si="2"/>
        <v>1.3310000000000004</v>
      </c>
      <c r="G49" s="253">
        <f t="shared" si="2"/>
        <v>1.4641000000000006</v>
      </c>
      <c r="H49" s="253">
        <f t="shared" si="2"/>
        <v>1.6105100000000008</v>
      </c>
      <c r="I49" s="253">
        <f t="shared" si="2"/>
        <v>1.7715610000000011</v>
      </c>
    </row>
    <row r="50" spans="2:9">
      <c r="B50" s="246" t="s">
        <v>455</v>
      </c>
      <c r="C50" s="253">
        <f>1</f>
        <v>1</v>
      </c>
      <c r="D50" s="253">
        <f t="shared" si="1"/>
        <v>1.05</v>
      </c>
      <c r="E50" s="253">
        <f t="shared" si="2"/>
        <v>1.1025</v>
      </c>
      <c r="F50" s="253">
        <f t="shared" si="2"/>
        <v>1.1576250000000001</v>
      </c>
      <c r="G50" s="253">
        <f t="shared" si="2"/>
        <v>1.2155062500000002</v>
      </c>
      <c r="H50" s="253">
        <f t="shared" si="2"/>
        <v>1.2762815625000004</v>
      </c>
      <c r="I50" s="253">
        <f t="shared" si="2"/>
        <v>1.3400956406250004</v>
      </c>
    </row>
    <row r="51" spans="2:9">
      <c r="B51" s="246" t="s">
        <v>457</v>
      </c>
      <c r="C51" s="253">
        <f>1</f>
        <v>1</v>
      </c>
      <c r="D51" s="253">
        <f t="shared" si="1"/>
        <v>1</v>
      </c>
      <c r="E51" s="253">
        <f t="shared" si="2"/>
        <v>1</v>
      </c>
      <c r="F51" s="253">
        <f t="shared" si="2"/>
        <v>1.05</v>
      </c>
      <c r="G51" s="253">
        <f t="shared" si="2"/>
        <v>1.1025</v>
      </c>
      <c r="H51" s="253">
        <f t="shared" si="2"/>
        <v>1.1576250000000001</v>
      </c>
      <c r="I51" s="253">
        <f t="shared" si="2"/>
        <v>1.2155062500000002</v>
      </c>
    </row>
    <row r="52" spans="2:9">
      <c r="B52" s="246" t="s">
        <v>456</v>
      </c>
      <c r="C52" s="253">
        <f>1</f>
        <v>1</v>
      </c>
      <c r="D52" s="253">
        <f t="shared" si="1"/>
        <v>1</v>
      </c>
      <c r="E52" s="253">
        <f t="shared" si="2"/>
        <v>1</v>
      </c>
      <c r="F52" s="253">
        <f t="shared" si="2"/>
        <v>1</v>
      </c>
      <c r="G52" s="253">
        <f t="shared" si="2"/>
        <v>1</v>
      </c>
      <c r="H52" s="253">
        <f t="shared" si="2"/>
        <v>1</v>
      </c>
      <c r="I52" s="253">
        <f t="shared" si="2"/>
        <v>1</v>
      </c>
    </row>
    <row r="53" spans="2:9">
      <c r="B53" s="246" t="s">
        <v>324</v>
      </c>
      <c r="C53" s="253">
        <v>1</v>
      </c>
      <c r="D53" s="253">
        <f t="shared" si="1"/>
        <v>1</v>
      </c>
      <c r="E53" s="253">
        <f t="shared" si="2"/>
        <v>1</v>
      </c>
      <c r="F53" s="253">
        <f t="shared" si="2"/>
        <v>1</v>
      </c>
      <c r="G53" s="253">
        <f t="shared" si="2"/>
        <v>1</v>
      </c>
      <c r="H53" s="253">
        <f t="shared" si="2"/>
        <v>1</v>
      </c>
      <c r="I53" s="253">
        <f t="shared" si="2"/>
        <v>1</v>
      </c>
    </row>
    <row r="55" spans="2:9">
      <c r="B55" s="27" t="s">
        <v>151</v>
      </c>
    </row>
  </sheetData>
  <sheetProtection insertRows="0" deleteRows="0"/>
  <mergeCells count="20">
    <mergeCell ref="B4:B5"/>
    <mergeCell ref="C4:F4"/>
    <mergeCell ref="B33:B34"/>
    <mergeCell ref="K33:N33"/>
    <mergeCell ref="C33:F33"/>
    <mergeCell ref="C28:F28"/>
    <mergeCell ref="B28:B29"/>
    <mergeCell ref="K28:N28"/>
    <mergeCell ref="G4:J4"/>
    <mergeCell ref="R33:R34"/>
    <mergeCell ref="Q33:Q34"/>
    <mergeCell ref="G28:J28"/>
    <mergeCell ref="O4:O5"/>
    <mergeCell ref="Q4:Q5"/>
    <mergeCell ref="R4:R5"/>
    <mergeCell ref="P4:P5"/>
    <mergeCell ref="P33:P34"/>
    <mergeCell ref="O33:O34"/>
    <mergeCell ref="G33:J33"/>
    <mergeCell ref="K4:N4"/>
  </mergeCells>
  <conditionalFormatting sqref="C31:O31 C30:N30">
    <cfRule type="cellIs" dxfId="1" priority="2" operator="lessThan">
      <formula>0</formula>
    </cfRule>
  </conditionalFormatting>
  <conditionalFormatting sqref="C35:N35">
    <cfRule type="cellIs" dxfId="0" priority="1" operator="lessThan">
      <formula>0</formula>
    </cfRule>
  </conditionalFormatting>
  <dataValidations count="7">
    <dataValidation type="custom" allowBlank="1" showInputMessage="1" showErrorMessage="1" error="Please enter only numbers" sqref="C17 D39:I44">
      <formula1>ISNUMBER(C17)</formula1>
    </dataValidation>
    <dataValidation type="custom" allowBlank="1" showInputMessage="1" showErrorMessage="1" error="Plese enter only numbers" sqref="C20">
      <formula1>ISNUMBER(C20)</formula1>
    </dataValidation>
    <dataValidation type="custom" allowBlank="1" showInputMessage="1" showErrorMessage="1" error="Please enter only numbers" sqref="C23:C25">
      <formula1>ISNUMBER($C$23)</formula1>
    </dataValidation>
    <dataValidation type="custom" allowBlank="1" showInputMessage="1" showErrorMessage="1" error="Please enter only numbers" sqref="C11:C14">
      <formula1>ISNUMBER(C11:C14)</formula1>
    </dataValidation>
    <dataValidation type="custom" allowBlank="1" showInputMessage="1" showErrorMessage="1" sqref="C7:R7 C6:N6">
      <formula1>ISNUMBER(C6:R7)</formula1>
    </dataValidation>
    <dataValidation type="custom" allowBlank="1" showInputMessage="1" showErrorMessage="1" error="Please enter only numbers" sqref="O35:R35">
      <formula1>"isnumber(C44)"</formula1>
    </dataValidation>
    <dataValidation type="custom" allowBlank="1" showInputMessage="1" showErrorMessage="1" sqref="O6:R6">
      <formula1>ISNUMBER(O6:AA7)</formula1>
    </dataValidation>
  </dataValidations>
  <hyperlinks>
    <hyperlink ref="B55" location="Index!A1" display="Back to Index"/>
  </hyperlinks>
  <pageMargins left="0.7" right="0.7" top="0.75" bottom="0.75" header="0.3" footer="0.3"/>
  <pageSetup orientation="portrait" horizontalDpi="200" verticalDpi="200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7">
    <tabColor rgb="FFFF0000"/>
  </sheetPr>
  <dimension ref="A1:X216"/>
  <sheetViews>
    <sheetView zoomScale="84" zoomScaleNormal="84" workbookViewId="0">
      <pane xSplit="3" ySplit="8" topLeftCell="F9" activePane="bottomRight" state="frozen"/>
      <selection pane="topRight" activeCell="D1" sqref="D1"/>
      <selection pane="bottomLeft" activeCell="A9" sqref="A9"/>
      <selection pane="bottomRight" activeCell="J16" sqref="F16:J16"/>
    </sheetView>
  </sheetViews>
  <sheetFormatPr defaultRowHeight="15"/>
  <cols>
    <col min="2" max="2" width="16.140625" style="3" customWidth="1"/>
    <col min="3" max="3" width="31.5703125" customWidth="1"/>
    <col min="4" max="4" width="20.5703125" customWidth="1"/>
    <col min="5" max="5" width="10.85546875" customWidth="1"/>
    <col min="6" max="6" width="10.140625" customWidth="1"/>
    <col min="19" max="19" width="15" bestFit="1" customWidth="1"/>
    <col min="24" max="24" width="9.140625" customWidth="1"/>
  </cols>
  <sheetData>
    <row r="1" spans="1:19" ht="23.25">
      <c r="A1" s="84" t="s">
        <v>209</v>
      </c>
    </row>
    <row r="3" spans="1:19" ht="20.25" thickBot="1">
      <c r="A3" s="36" t="s">
        <v>131</v>
      </c>
    </row>
    <row r="4" spans="1:19" ht="15.75" thickTop="1">
      <c r="C4" s="384" t="s">
        <v>171</v>
      </c>
      <c r="D4" s="357" t="s">
        <v>6</v>
      </c>
      <c r="E4" s="357"/>
      <c r="F4" s="357"/>
      <c r="G4" s="357"/>
      <c r="H4" s="357" t="s">
        <v>7</v>
      </c>
      <c r="I4" s="357"/>
      <c r="J4" s="357"/>
      <c r="K4" s="357"/>
      <c r="L4" s="358" t="s">
        <v>8</v>
      </c>
      <c r="M4" s="359"/>
      <c r="N4" s="359"/>
      <c r="O4" s="360"/>
      <c r="P4" s="357" t="s">
        <v>9</v>
      </c>
      <c r="Q4" s="357" t="s">
        <v>10</v>
      </c>
      <c r="R4" s="357" t="s">
        <v>11</v>
      </c>
      <c r="S4" s="357" t="s">
        <v>12</v>
      </c>
    </row>
    <row r="5" spans="1:19">
      <c r="C5" s="385"/>
      <c r="D5" s="75" t="s">
        <v>13</v>
      </c>
      <c r="E5" s="75" t="s">
        <v>14</v>
      </c>
      <c r="F5" s="75" t="s">
        <v>15</v>
      </c>
      <c r="G5" s="75" t="s">
        <v>16</v>
      </c>
      <c r="H5" s="75" t="s">
        <v>13</v>
      </c>
      <c r="I5" s="75" t="s">
        <v>14</v>
      </c>
      <c r="J5" s="75" t="s">
        <v>15</v>
      </c>
      <c r="K5" s="75" t="s">
        <v>16</v>
      </c>
      <c r="L5" s="156" t="s">
        <v>13</v>
      </c>
      <c r="M5" s="156" t="s">
        <v>14</v>
      </c>
      <c r="N5" s="156" t="s">
        <v>15</v>
      </c>
      <c r="O5" s="156" t="s">
        <v>16</v>
      </c>
      <c r="P5" s="357"/>
      <c r="Q5" s="357"/>
      <c r="R5" s="357"/>
      <c r="S5" s="357"/>
    </row>
    <row r="6" spans="1:19">
      <c r="C6" s="28" t="s">
        <v>108</v>
      </c>
      <c r="D6" s="28">
        <v>1</v>
      </c>
      <c r="E6" s="28">
        <v>1</v>
      </c>
      <c r="F6" s="28"/>
      <c r="G6" s="28">
        <v>1</v>
      </c>
      <c r="H6" s="28">
        <v>1</v>
      </c>
      <c r="I6" s="28">
        <v>2</v>
      </c>
      <c r="J6" s="28"/>
      <c r="K6" s="28">
        <v>3</v>
      </c>
      <c r="L6" s="158">
        <v>3</v>
      </c>
      <c r="M6" s="158">
        <v>3</v>
      </c>
      <c r="N6" s="158">
        <v>3</v>
      </c>
      <c r="O6" s="28">
        <v>2</v>
      </c>
      <c r="P6" s="28"/>
      <c r="Q6" s="28"/>
      <c r="R6" s="28"/>
      <c r="S6" s="28"/>
    </row>
    <row r="7" spans="1:19">
      <c r="C7" s="28" t="s">
        <v>79</v>
      </c>
      <c r="D7" s="28">
        <f>D6</f>
        <v>1</v>
      </c>
      <c r="E7" s="28">
        <f>D7+E6</f>
        <v>2</v>
      </c>
      <c r="F7" s="28">
        <f t="shared" ref="F7:S7" si="0">E7+F6</f>
        <v>2</v>
      </c>
      <c r="G7" s="28">
        <f t="shared" si="0"/>
        <v>3</v>
      </c>
      <c r="H7" s="28">
        <f t="shared" si="0"/>
        <v>4</v>
      </c>
      <c r="I7" s="28">
        <f t="shared" si="0"/>
        <v>6</v>
      </c>
      <c r="J7" s="28">
        <f t="shared" si="0"/>
        <v>6</v>
      </c>
      <c r="K7" s="28">
        <f t="shared" si="0"/>
        <v>9</v>
      </c>
      <c r="L7" s="158">
        <f>K7+L6</f>
        <v>12</v>
      </c>
      <c r="M7" s="158">
        <f>L7+M6</f>
        <v>15</v>
      </c>
      <c r="N7" s="158">
        <f>M7+N6</f>
        <v>18</v>
      </c>
      <c r="O7" s="158">
        <f>N7+O6</f>
        <v>20</v>
      </c>
      <c r="P7" s="28">
        <f t="shared" si="0"/>
        <v>20</v>
      </c>
      <c r="Q7" s="28">
        <f t="shared" si="0"/>
        <v>20</v>
      </c>
      <c r="R7" s="28">
        <f t="shared" si="0"/>
        <v>20</v>
      </c>
      <c r="S7" s="28">
        <f t="shared" si="0"/>
        <v>20</v>
      </c>
    </row>
    <row r="9" spans="1:19" ht="20.25" thickBot="1">
      <c r="A9" s="36" t="s">
        <v>112</v>
      </c>
    </row>
    <row r="10" spans="1:19" ht="15.75" thickTop="1">
      <c r="C10" s="50" t="s">
        <v>111</v>
      </c>
      <c r="D10" s="82" t="s">
        <v>132</v>
      </c>
    </row>
    <row r="11" spans="1:19">
      <c r="C11" s="33" t="s">
        <v>473</v>
      </c>
      <c r="D11" s="28">
        <v>30</v>
      </c>
    </row>
    <row r="12" spans="1:19">
      <c r="C12" s="33" t="s">
        <v>474</v>
      </c>
      <c r="D12" s="28">
        <v>30</v>
      </c>
    </row>
    <row r="13" spans="1:19">
      <c r="C13" s="33" t="s">
        <v>475</v>
      </c>
      <c r="D13" s="28">
        <v>30</v>
      </c>
    </row>
    <row r="14" spans="1:19">
      <c r="C14" s="33" t="s">
        <v>476</v>
      </c>
      <c r="D14" s="28">
        <v>30</v>
      </c>
    </row>
    <row r="16" spans="1:19" ht="20.25" thickBot="1">
      <c r="A16" s="36" t="s">
        <v>130</v>
      </c>
      <c r="E16">
        <f>195*2</f>
        <v>390</v>
      </c>
    </row>
    <row r="17" spans="2:24" ht="15.75" thickTop="1">
      <c r="B17" s="392" t="s">
        <v>109</v>
      </c>
      <c r="C17" s="357" t="s">
        <v>111</v>
      </c>
      <c r="D17" s="357" t="s">
        <v>6</v>
      </c>
      <c r="E17" s="357"/>
      <c r="F17" s="357"/>
      <c r="G17" s="357"/>
      <c r="H17" s="357" t="s">
        <v>7</v>
      </c>
      <c r="I17" s="357"/>
      <c r="J17" s="357"/>
      <c r="K17" s="357"/>
      <c r="L17" s="358" t="s">
        <v>8</v>
      </c>
      <c r="M17" s="359"/>
      <c r="N17" s="359"/>
      <c r="O17" s="360"/>
      <c r="P17" s="357" t="s">
        <v>9</v>
      </c>
      <c r="Q17" s="357" t="s">
        <v>10</v>
      </c>
      <c r="R17" s="357" t="s">
        <v>11</v>
      </c>
      <c r="S17" s="357" t="s">
        <v>12</v>
      </c>
    </row>
    <row r="18" spans="2:24">
      <c r="B18" s="392"/>
      <c r="C18" s="357"/>
      <c r="D18" s="156" t="s">
        <v>13</v>
      </c>
      <c r="E18" s="156" t="s">
        <v>14</v>
      </c>
      <c r="F18" s="156" t="s">
        <v>15</v>
      </c>
      <c r="G18" s="156" t="s">
        <v>16</v>
      </c>
      <c r="H18" s="156" t="s">
        <v>13</v>
      </c>
      <c r="I18" s="156" t="s">
        <v>14</v>
      </c>
      <c r="J18" s="156" t="s">
        <v>15</v>
      </c>
      <c r="K18" s="156" t="s">
        <v>16</v>
      </c>
      <c r="L18" s="156" t="s">
        <v>13</v>
      </c>
      <c r="M18" s="156" t="s">
        <v>14</v>
      </c>
      <c r="N18" s="156" t="s">
        <v>15</v>
      </c>
      <c r="O18" s="156" t="s">
        <v>16</v>
      </c>
      <c r="P18" s="357"/>
      <c r="Q18" s="357"/>
      <c r="R18" s="357"/>
      <c r="S18" s="357"/>
    </row>
    <row r="19" spans="2:24">
      <c r="B19" s="29" t="s">
        <v>477</v>
      </c>
      <c r="C19" s="33" t="s">
        <v>473</v>
      </c>
      <c r="D19" s="158">
        <v>2</v>
      </c>
      <c r="E19" s="158">
        <f>D19</f>
        <v>2</v>
      </c>
      <c r="F19" s="246">
        <f t="shared" ref="F19:O19" si="1">E19</f>
        <v>2</v>
      </c>
      <c r="G19" s="246">
        <f t="shared" si="1"/>
        <v>2</v>
      </c>
      <c r="H19" s="246">
        <f t="shared" si="1"/>
        <v>2</v>
      </c>
      <c r="I19" s="246">
        <f t="shared" si="1"/>
        <v>2</v>
      </c>
      <c r="J19" s="246">
        <f t="shared" si="1"/>
        <v>2</v>
      </c>
      <c r="K19" s="246">
        <f t="shared" si="1"/>
        <v>2</v>
      </c>
      <c r="L19" s="246">
        <f t="shared" si="1"/>
        <v>2</v>
      </c>
      <c r="M19" s="246">
        <f t="shared" si="1"/>
        <v>2</v>
      </c>
      <c r="N19" s="246">
        <f t="shared" si="1"/>
        <v>2</v>
      </c>
      <c r="O19" s="246">
        <f t="shared" si="1"/>
        <v>2</v>
      </c>
      <c r="P19" s="158">
        <f>O19*4</f>
        <v>8</v>
      </c>
      <c r="Q19" s="246">
        <f>P19</f>
        <v>8</v>
      </c>
      <c r="R19" s="246">
        <f t="shared" ref="R19:S19" si="2">Q19</f>
        <v>8</v>
      </c>
      <c r="S19" s="246">
        <f t="shared" si="2"/>
        <v>8</v>
      </c>
    </row>
    <row r="20" spans="2:24">
      <c r="B20" s="29"/>
      <c r="C20" s="33" t="s">
        <v>474</v>
      </c>
      <c r="D20" s="158">
        <v>2</v>
      </c>
      <c r="E20" s="246">
        <f t="shared" ref="E20:O22" si="3">D20</f>
        <v>2</v>
      </c>
      <c r="F20" s="246">
        <f t="shared" si="3"/>
        <v>2</v>
      </c>
      <c r="G20" s="246">
        <f t="shared" si="3"/>
        <v>2</v>
      </c>
      <c r="H20" s="246">
        <f t="shared" si="3"/>
        <v>2</v>
      </c>
      <c r="I20" s="246">
        <f t="shared" si="3"/>
        <v>2</v>
      </c>
      <c r="J20" s="246">
        <f t="shared" si="3"/>
        <v>2</v>
      </c>
      <c r="K20" s="246">
        <f t="shared" si="3"/>
        <v>2</v>
      </c>
      <c r="L20" s="246">
        <f t="shared" si="3"/>
        <v>2</v>
      </c>
      <c r="M20" s="246">
        <f t="shared" si="3"/>
        <v>2</v>
      </c>
      <c r="N20" s="246">
        <f t="shared" si="3"/>
        <v>2</v>
      </c>
      <c r="O20" s="246">
        <f t="shared" si="3"/>
        <v>2</v>
      </c>
      <c r="P20" s="246">
        <f t="shared" ref="P20:P83" si="4">O20*4</f>
        <v>8</v>
      </c>
      <c r="Q20" s="246">
        <f t="shared" ref="Q20:S22" si="5">P20</f>
        <v>8</v>
      </c>
      <c r="R20" s="246">
        <f t="shared" si="5"/>
        <v>8</v>
      </c>
      <c r="S20" s="246">
        <f t="shared" si="5"/>
        <v>8</v>
      </c>
    </row>
    <row r="21" spans="2:24">
      <c r="B21" s="29"/>
      <c r="C21" s="33" t="s">
        <v>475</v>
      </c>
      <c r="D21" s="158">
        <v>1</v>
      </c>
      <c r="E21" s="246">
        <f t="shared" si="3"/>
        <v>1</v>
      </c>
      <c r="F21" s="246">
        <f t="shared" si="3"/>
        <v>1</v>
      </c>
      <c r="G21" s="246">
        <f t="shared" si="3"/>
        <v>1</v>
      </c>
      <c r="H21" s="246">
        <f t="shared" si="3"/>
        <v>1</v>
      </c>
      <c r="I21" s="246">
        <f t="shared" si="3"/>
        <v>1</v>
      </c>
      <c r="J21" s="246">
        <f t="shared" si="3"/>
        <v>1</v>
      </c>
      <c r="K21" s="246">
        <f t="shared" si="3"/>
        <v>1</v>
      </c>
      <c r="L21" s="246">
        <f t="shared" si="3"/>
        <v>1</v>
      </c>
      <c r="M21" s="246">
        <f t="shared" si="3"/>
        <v>1</v>
      </c>
      <c r="N21" s="246">
        <f t="shared" si="3"/>
        <v>1</v>
      </c>
      <c r="O21" s="246">
        <f t="shared" si="3"/>
        <v>1</v>
      </c>
      <c r="P21" s="246">
        <f t="shared" si="4"/>
        <v>4</v>
      </c>
      <c r="Q21" s="246">
        <f t="shared" si="5"/>
        <v>4</v>
      </c>
      <c r="R21" s="246">
        <f t="shared" si="5"/>
        <v>4</v>
      </c>
      <c r="S21" s="246">
        <f t="shared" si="5"/>
        <v>4</v>
      </c>
    </row>
    <row r="22" spans="2:24">
      <c r="B22" s="29"/>
      <c r="C22" s="33" t="s">
        <v>476</v>
      </c>
      <c r="D22" s="246">
        <v>2</v>
      </c>
      <c r="E22" s="246">
        <f t="shared" si="3"/>
        <v>2</v>
      </c>
      <c r="F22" s="246">
        <f t="shared" si="3"/>
        <v>2</v>
      </c>
      <c r="G22" s="246">
        <f t="shared" si="3"/>
        <v>2</v>
      </c>
      <c r="H22" s="246">
        <f t="shared" si="3"/>
        <v>2</v>
      </c>
      <c r="I22" s="246">
        <f t="shared" si="3"/>
        <v>2</v>
      </c>
      <c r="J22" s="246">
        <f t="shared" si="3"/>
        <v>2</v>
      </c>
      <c r="K22" s="246">
        <f t="shared" si="3"/>
        <v>2</v>
      </c>
      <c r="L22" s="246">
        <f t="shared" si="3"/>
        <v>2</v>
      </c>
      <c r="M22" s="246">
        <f t="shared" si="3"/>
        <v>2</v>
      </c>
      <c r="N22" s="246">
        <f t="shared" si="3"/>
        <v>2</v>
      </c>
      <c r="O22" s="246">
        <f t="shared" si="3"/>
        <v>2</v>
      </c>
      <c r="P22" s="246">
        <f t="shared" si="4"/>
        <v>8</v>
      </c>
      <c r="Q22" s="246">
        <f t="shared" si="5"/>
        <v>8</v>
      </c>
      <c r="R22" s="246">
        <f t="shared" si="5"/>
        <v>8</v>
      </c>
      <c r="S22" s="246">
        <f t="shared" si="5"/>
        <v>8</v>
      </c>
    </row>
    <row r="23" spans="2:24">
      <c r="B23" s="29" t="s">
        <v>478</v>
      </c>
      <c r="C23" s="33" t="s">
        <v>473</v>
      </c>
      <c r="D23" s="158"/>
      <c r="E23" s="158">
        <v>1</v>
      </c>
      <c r="F23" s="246">
        <f t="shared" ref="F23:O23" si="6">E23</f>
        <v>1</v>
      </c>
      <c r="G23" s="246">
        <f t="shared" si="6"/>
        <v>1</v>
      </c>
      <c r="H23" s="246">
        <f t="shared" si="6"/>
        <v>1</v>
      </c>
      <c r="I23" s="246">
        <f t="shared" si="6"/>
        <v>1</v>
      </c>
      <c r="J23" s="246">
        <f t="shared" si="6"/>
        <v>1</v>
      </c>
      <c r="K23" s="246">
        <f t="shared" si="6"/>
        <v>1</v>
      </c>
      <c r="L23" s="246">
        <f t="shared" si="6"/>
        <v>1</v>
      </c>
      <c r="M23" s="246">
        <f t="shared" si="6"/>
        <v>1</v>
      </c>
      <c r="N23" s="246">
        <f t="shared" si="6"/>
        <v>1</v>
      </c>
      <c r="O23" s="246">
        <f t="shared" si="6"/>
        <v>1</v>
      </c>
      <c r="P23" s="246">
        <f t="shared" si="4"/>
        <v>4</v>
      </c>
      <c r="Q23" s="246">
        <f t="shared" ref="Q23:S23" si="7">P23</f>
        <v>4</v>
      </c>
      <c r="R23" s="246">
        <f t="shared" si="7"/>
        <v>4</v>
      </c>
      <c r="S23" s="246">
        <f t="shared" si="7"/>
        <v>4</v>
      </c>
    </row>
    <row r="24" spans="2:24">
      <c r="B24" s="29"/>
      <c r="C24" s="33" t="s">
        <v>474</v>
      </c>
      <c r="D24" s="158"/>
      <c r="E24" s="158">
        <v>1</v>
      </c>
      <c r="F24" s="246">
        <f t="shared" ref="F24:O24" si="8">E24</f>
        <v>1</v>
      </c>
      <c r="G24" s="246">
        <f t="shared" si="8"/>
        <v>1</v>
      </c>
      <c r="H24" s="246">
        <f t="shared" si="8"/>
        <v>1</v>
      </c>
      <c r="I24" s="246">
        <f t="shared" si="8"/>
        <v>1</v>
      </c>
      <c r="J24" s="246">
        <f t="shared" si="8"/>
        <v>1</v>
      </c>
      <c r="K24" s="246">
        <f t="shared" si="8"/>
        <v>1</v>
      </c>
      <c r="L24" s="246">
        <f t="shared" si="8"/>
        <v>1</v>
      </c>
      <c r="M24" s="246">
        <f t="shared" si="8"/>
        <v>1</v>
      </c>
      <c r="N24" s="246">
        <f t="shared" si="8"/>
        <v>1</v>
      </c>
      <c r="O24" s="246">
        <f t="shared" si="8"/>
        <v>1</v>
      </c>
      <c r="P24" s="246">
        <f t="shared" si="4"/>
        <v>4</v>
      </c>
      <c r="Q24" s="246">
        <f t="shared" ref="Q24:S24" si="9">P24</f>
        <v>4</v>
      </c>
      <c r="R24" s="246">
        <f t="shared" si="9"/>
        <v>4</v>
      </c>
      <c r="S24" s="246">
        <f t="shared" si="9"/>
        <v>4</v>
      </c>
    </row>
    <row r="25" spans="2:24">
      <c r="B25" s="29"/>
      <c r="C25" s="33" t="s">
        <v>475</v>
      </c>
      <c r="D25" s="158"/>
      <c r="E25" s="158">
        <v>2</v>
      </c>
      <c r="F25" s="246">
        <f t="shared" ref="F25:O25" si="10">E25</f>
        <v>2</v>
      </c>
      <c r="G25" s="246">
        <f t="shared" si="10"/>
        <v>2</v>
      </c>
      <c r="H25" s="246">
        <f t="shared" si="10"/>
        <v>2</v>
      </c>
      <c r="I25" s="246">
        <f t="shared" si="10"/>
        <v>2</v>
      </c>
      <c r="J25" s="246">
        <f t="shared" si="10"/>
        <v>2</v>
      </c>
      <c r="K25" s="246">
        <f t="shared" si="10"/>
        <v>2</v>
      </c>
      <c r="L25" s="246">
        <f t="shared" si="10"/>
        <v>2</v>
      </c>
      <c r="M25" s="246">
        <f t="shared" si="10"/>
        <v>2</v>
      </c>
      <c r="N25" s="246">
        <f t="shared" si="10"/>
        <v>2</v>
      </c>
      <c r="O25" s="246">
        <f t="shared" si="10"/>
        <v>2</v>
      </c>
      <c r="P25" s="246">
        <f t="shared" si="4"/>
        <v>8</v>
      </c>
      <c r="Q25" s="246">
        <f t="shared" ref="Q25:S25" si="11">P25</f>
        <v>8</v>
      </c>
      <c r="R25" s="246">
        <f t="shared" si="11"/>
        <v>8</v>
      </c>
      <c r="S25" s="246">
        <f t="shared" si="11"/>
        <v>8</v>
      </c>
    </row>
    <row r="26" spans="2:24">
      <c r="B26" s="29"/>
      <c r="C26" s="33" t="s">
        <v>476</v>
      </c>
      <c r="D26" s="246"/>
      <c r="E26" s="246">
        <v>2</v>
      </c>
      <c r="F26" s="246">
        <f t="shared" ref="F26:O26" si="12">E26</f>
        <v>2</v>
      </c>
      <c r="G26" s="246">
        <f t="shared" si="12"/>
        <v>2</v>
      </c>
      <c r="H26" s="246">
        <f t="shared" si="12"/>
        <v>2</v>
      </c>
      <c r="I26" s="246">
        <f t="shared" si="12"/>
        <v>2</v>
      </c>
      <c r="J26" s="246">
        <f t="shared" si="12"/>
        <v>2</v>
      </c>
      <c r="K26" s="246">
        <f t="shared" si="12"/>
        <v>2</v>
      </c>
      <c r="L26" s="246">
        <f t="shared" si="12"/>
        <v>2</v>
      </c>
      <c r="M26" s="246">
        <f t="shared" si="12"/>
        <v>2</v>
      </c>
      <c r="N26" s="246">
        <f t="shared" si="12"/>
        <v>2</v>
      </c>
      <c r="O26" s="246">
        <f t="shared" si="12"/>
        <v>2</v>
      </c>
      <c r="P26" s="246">
        <f t="shared" si="4"/>
        <v>8</v>
      </c>
      <c r="Q26" s="246">
        <f t="shared" ref="Q26:S28" si="13">P26</f>
        <v>8</v>
      </c>
      <c r="R26" s="246">
        <f t="shared" si="13"/>
        <v>8</v>
      </c>
      <c r="S26" s="246">
        <f t="shared" si="13"/>
        <v>8</v>
      </c>
      <c r="W26" s="80"/>
      <c r="X26" s="80"/>
    </row>
    <row r="27" spans="2:24">
      <c r="B27" s="29" t="s">
        <v>479</v>
      </c>
      <c r="C27" s="33" t="s">
        <v>473</v>
      </c>
      <c r="D27" s="158"/>
      <c r="E27" s="158"/>
      <c r="F27" s="158"/>
      <c r="G27" s="158">
        <v>2</v>
      </c>
      <c r="H27" s="246">
        <f t="shared" ref="H27:O27" si="14">G27</f>
        <v>2</v>
      </c>
      <c r="I27" s="246">
        <f t="shared" si="14"/>
        <v>2</v>
      </c>
      <c r="J27" s="246">
        <f t="shared" si="14"/>
        <v>2</v>
      </c>
      <c r="K27" s="246">
        <f t="shared" si="14"/>
        <v>2</v>
      </c>
      <c r="L27" s="246">
        <f t="shared" si="14"/>
        <v>2</v>
      </c>
      <c r="M27" s="246">
        <f t="shared" si="14"/>
        <v>2</v>
      </c>
      <c r="N27" s="246">
        <f t="shared" si="14"/>
        <v>2</v>
      </c>
      <c r="O27" s="246">
        <f t="shared" si="14"/>
        <v>2</v>
      </c>
      <c r="P27" s="246">
        <f t="shared" si="4"/>
        <v>8</v>
      </c>
      <c r="Q27" s="246">
        <f t="shared" si="13"/>
        <v>8</v>
      </c>
      <c r="R27" s="246">
        <f t="shared" si="13"/>
        <v>8</v>
      </c>
      <c r="S27" s="246">
        <f t="shared" si="13"/>
        <v>8</v>
      </c>
    </row>
    <row r="28" spans="2:24">
      <c r="B28" s="29"/>
      <c r="C28" s="33" t="s">
        <v>474</v>
      </c>
      <c r="D28" s="158"/>
      <c r="E28" s="158"/>
      <c r="F28" s="158"/>
      <c r="G28" s="158">
        <v>1</v>
      </c>
      <c r="H28" s="246">
        <f t="shared" ref="H28:O28" si="15">G28</f>
        <v>1</v>
      </c>
      <c r="I28" s="246">
        <f t="shared" si="15"/>
        <v>1</v>
      </c>
      <c r="J28" s="246">
        <f t="shared" si="15"/>
        <v>1</v>
      </c>
      <c r="K28" s="246">
        <f t="shared" si="15"/>
        <v>1</v>
      </c>
      <c r="L28" s="246">
        <f t="shared" si="15"/>
        <v>1</v>
      </c>
      <c r="M28" s="246">
        <f t="shared" si="15"/>
        <v>1</v>
      </c>
      <c r="N28" s="246">
        <f t="shared" si="15"/>
        <v>1</v>
      </c>
      <c r="O28" s="246">
        <f t="shared" si="15"/>
        <v>1</v>
      </c>
      <c r="P28" s="246">
        <f t="shared" si="4"/>
        <v>4</v>
      </c>
      <c r="Q28" s="246">
        <f t="shared" si="13"/>
        <v>4</v>
      </c>
      <c r="R28" s="246">
        <f t="shared" si="13"/>
        <v>4</v>
      </c>
      <c r="S28" s="246">
        <f t="shared" si="13"/>
        <v>4</v>
      </c>
    </row>
    <row r="29" spans="2:24">
      <c r="B29" s="29"/>
      <c r="C29" s="33" t="s">
        <v>475</v>
      </c>
      <c r="D29" s="158"/>
      <c r="E29" s="158"/>
      <c r="F29" s="158"/>
      <c r="G29" s="158">
        <v>2</v>
      </c>
      <c r="H29" s="246">
        <f t="shared" ref="H29:O29" si="16">G29</f>
        <v>2</v>
      </c>
      <c r="I29" s="246">
        <f t="shared" si="16"/>
        <v>2</v>
      </c>
      <c r="J29" s="246">
        <f t="shared" si="16"/>
        <v>2</v>
      </c>
      <c r="K29" s="246">
        <f t="shared" si="16"/>
        <v>2</v>
      </c>
      <c r="L29" s="246">
        <f t="shared" si="16"/>
        <v>2</v>
      </c>
      <c r="M29" s="246">
        <f t="shared" si="16"/>
        <v>2</v>
      </c>
      <c r="N29" s="246">
        <f t="shared" si="16"/>
        <v>2</v>
      </c>
      <c r="O29" s="246">
        <f t="shared" si="16"/>
        <v>2</v>
      </c>
      <c r="P29" s="246">
        <f t="shared" si="4"/>
        <v>8</v>
      </c>
      <c r="Q29" s="246">
        <f t="shared" ref="Q29:S29" si="17">P29</f>
        <v>8</v>
      </c>
      <c r="R29" s="246">
        <f t="shared" si="17"/>
        <v>8</v>
      </c>
      <c r="S29" s="246">
        <f t="shared" si="17"/>
        <v>8</v>
      </c>
    </row>
    <row r="30" spans="2:24">
      <c r="B30" s="29"/>
      <c r="C30" s="33" t="s">
        <v>476</v>
      </c>
      <c r="D30" s="158"/>
      <c r="E30" s="158"/>
      <c r="F30" s="158"/>
      <c r="G30" s="158">
        <v>2</v>
      </c>
      <c r="H30" s="246">
        <f t="shared" ref="H30:O30" si="18">G30</f>
        <v>2</v>
      </c>
      <c r="I30" s="246">
        <f t="shared" si="18"/>
        <v>2</v>
      </c>
      <c r="J30" s="246">
        <f t="shared" si="18"/>
        <v>2</v>
      </c>
      <c r="K30" s="246">
        <f t="shared" si="18"/>
        <v>2</v>
      </c>
      <c r="L30" s="246">
        <f t="shared" si="18"/>
        <v>2</v>
      </c>
      <c r="M30" s="246">
        <f t="shared" si="18"/>
        <v>2</v>
      </c>
      <c r="N30" s="246">
        <f t="shared" si="18"/>
        <v>2</v>
      </c>
      <c r="O30" s="246">
        <f t="shared" si="18"/>
        <v>2</v>
      </c>
      <c r="P30" s="246">
        <f t="shared" si="4"/>
        <v>8</v>
      </c>
      <c r="Q30" s="246">
        <f t="shared" ref="Q30:S30" si="19">P30</f>
        <v>8</v>
      </c>
      <c r="R30" s="246">
        <f t="shared" si="19"/>
        <v>8</v>
      </c>
      <c r="S30" s="246">
        <f t="shared" si="19"/>
        <v>8</v>
      </c>
    </row>
    <row r="31" spans="2:24">
      <c r="B31" s="29" t="s">
        <v>353</v>
      </c>
      <c r="C31" s="33" t="s">
        <v>473</v>
      </c>
      <c r="D31" s="158"/>
      <c r="E31" s="158"/>
      <c r="F31" s="158"/>
      <c r="G31" s="158"/>
      <c r="H31" s="158">
        <v>2</v>
      </c>
      <c r="I31" s="246">
        <f t="shared" ref="I31:O31" si="20">H31</f>
        <v>2</v>
      </c>
      <c r="J31" s="246">
        <f t="shared" si="20"/>
        <v>2</v>
      </c>
      <c r="K31" s="246">
        <f t="shared" si="20"/>
        <v>2</v>
      </c>
      <c r="L31" s="246">
        <f t="shared" si="20"/>
        <v>2</v>
      </c>
      <c r="M31" s="246">
        <f t="shared" si="20"/>
        <v>2</v>
      </c>
      <c r="N31" s="246">
        <f t="shared" si="20"/>
        <v>2</v>
      </c>
      <c r="O31" s="246">
        <f t="shared" si="20"/>
        <v>2</v>
      </c>
      <c r="P31" s="246">
        <f t="shared" si="4"/>
        <v>8</v>
      </c>
      <c r="Q31" s="246">
        <f t="shared" ref="Q31:S31" si="21">P31</f>
        <v>8</v>
      </c>
      <c r="R31" s="246">
        <f t="shared" si="21"/>
        <v>8</v>
      </c>
      <c r="S31" s="246">
        <f t="shared" si="21"/>
        <v>8</v>
      </c>
    </row>
    <row r="32" spans="2:24">
      <c r="B32" s="29"/>
      <c r="C32" s="33" t="s">
        <v>474</v>
      </c>
      <c r="D32" s="158"/>
      <c r="E32" s="158"/>
      <c r="F32" s="158"/>
      <c r="G32" s="158"/>
      <c r="H32" s="158">
        <v>2</v>
      </c>
      <c r="I32" s="246">
        <f t="shared" ref="I32:O32" si="22">H32</f>
        <v>2</v>
      </c>
      <c r="J32" s="246">
        <f t="shared" si="22"/>
        <v>2</v>
      </c>
      <c r="K32" s="246">
        <f t="shared" si="22"/>
        <v>2</v>
      </c>
      <c r="L32" s="246">
        <f t="shared" si="22"/>
        <v>2</v>
      </c>
      <c r="M32" s="246">
        <f t="shared" si="22"/>
        <v>2</v>
      </c>
      <c r="N32" s="246">
        <f t="shared" si="22"/>
        <v>2</v>
      </c>
      <c r="O32" s="246">
        <f t="shared" si="22"/>
        <v>2</v>
      </c>
      <c r="P32" s="246">
        <f t="shared" si="4"/>
        <v>8</v>
      </c>
      <c r="Q32" s="246">
        <f t="shared" ref="Q32:S32" si="23">P32</f>
        <v>8</v>
      </c>
      <c r="R32" s="246">
        <f t="shared" si="23"/>
        <v>8</v>
      </c>
      <c r="S32" s="246">
        <f t="shared" si="23"/>
        <v>8</v>
      </c>
    </row>
    <row r="33" spans="2:19">
      <c r="B33" s="29"/>
      <c r="C33" s="33" t="s">
        <v>475</v>
      </c>
      <c r="D33" s="158"/>
      <c r="E33" s="158"/>
      <c r="F33" s="158"/>
      <c r="G33" s="158"/>
      <c r="H33" s="158">
        <v>2</v>
      </c>
      <c r="I33" s="246">
        <f t="shared" ref="I33:O33" si="24">H33</f>
        <v>2</v>
      </c>
      <c r="J33" s="246">
        <f t="shared" si="24"/>
        <v>2</v>
      </c>
      <c r="K33" s="246">
        <f t="shared" si="24"/>
        <v>2</v>
      </c>
      <c r="L33" s="246">
        <f t="shared" si="24"/>
        <v>2</v>
      </c>
      <c r="M33" s="246">
        <f t="shared" si="24"/>
        <v>2</v>
      </c>
      <c r="N33" s="246">
        <f t="shared" si="24"/>
        <v>2</v>
      </c>
      <c r="O33" s="246">
        <f t="shared" si="24"/>
        <v>2</v>
      </c>
      <c r="P33" s="246">
        <f t="shared" si="4"/>
        <v>8</v>
      </c>
      <c r="Q33" s="246">
        <f t="shared" ref="Q33:S33" si="25">P33</f>
        <v>8</v>
      </c>
      <c r="R33" s="246">
        <f t="shared" si="25"/>
        <v>8</v>
      </c>
      <c r="S33" s="246">
        <f t="shared" si="25"/>
        <v>8</v>
      </c>
    </row>
    <row r="34" spans="2:19">
      <c r="B34" s="29"/>
      <c r="C34" s="33" t="s">
        <v>476</v>
      </c>
      <c r="D34" s="246"/>
      <c r="E34" s="246"/>
      <c r="F34" s="246"/>
      <c r="G34" s="246"/>
      <c r="H34" s="246">
        <v>1</v>
      </c>
      <c r="I34" s="246">
        <f t="shared" ref="I34:O34" si="26">H34</f>
        <v>1</v>
      </c>
      <c r="J34" s="246">
        <f t="shared" si="26"/>
        <v>1</v>
      </c>
      <c r="K34" s="246">
        <f t="shared" si="26"/>
        <v>1</v>
      </c>
      <c r="L34" s="246">
        <f t="shared" si="26"/>
        <v>1</v>
      </c>
      <c r="M34" s="246">
        <f t="shared" si="26"/>
        <v>1</v>
      </c>
      <c r="N34" s="246">
        <f t="shared" si="26"/>
        <v>1</v>
      </c>
      <c r="O34" s="246">
        <f t="shared" si="26"/>
        <v>1</v>
      </c>
      <c r="P34" s="246">
        <f t="shared" si="4"/>
        <v>4</v>
      </c>
      <c r="Q34" s="246">
        <f t="shared" ref="Q34:S34" si="27">P34</f>
        <v>4</v>
      </c>
      <c r="R34" s="246">
        <f t="shared" si="27"/>
        <v>4</v>
      </c>
      <c r="S34" s="246">
        <f t="shared" si="27"/>
        <v>4</v>
      </c>
    </row>
    <row r="35" spans="2:19">
      <c r="B35" s="29" t="s">
        <v>481</v>
      </c>
      <c r="C35" s="33" t="s">
        <v>473</v>
      </c>
      <c r="D35" s="158"/>
      <c r="E35" s="158"/>
      <c r="F35" s="158"/>
      <c r="G35" s="158"/>
      <c r="H35" s="158"/>
      <c r="I35" s="158">
        <v>2</v>
      </c>
      <c r="J35" s="246">
        <f t="shared" ref="J35:O35" si="28">I35</f>
        <v>2</v>
      </c>
      <c r="K35" s="246">
        <f t="shared" si="28"/>
        <v>2</v>
      </c>
      <c r="L35" s="246">
        <f t="shared" si="28"/>
        <v>2</v>
      </c>
      <c r="M35" s="246">
        <f t="shared" si="28"/>
        <v>2</v>
      </c>
      <c r="N35" s="246">
        <f t="shared" si="28"/>
        <v>2</v>
      </c>
      <c r="O35" s="246">
        <f t="shared" si="28"/>
        <v>2</v>
      </c>
      <c r="P35" s="246">
        <f t="shared" si="4"/>
        <v>8</v>
      </c>
      <c r="Q35" s="246">
        <f t="shared" ref="Q35:S35" si="29">P35</f>
        <v>8</v>
      </c>
      <c r="R35" s="246">
        <f t="shared" si="29"/>
        <v>8</v>
      </c>
      <c r="S35" s="246">
        <f t="shared" si="29"/>
        <v>8</v>
      </c>
    </row>
    <row r="36" spans="2:19">
      <c r="B36" s="29"/>
      <c r="C36" s="33" t="s">
        <v>474</v>
      </c>
      <c r="D36" s="158"/>
      <c r="E36" s="158"/>
      <c r="F36" s="158"/>
      <c r="G36" s="158"/>
      <c r="H36" s="158"/>
      <c r="I36" s="158">
        <v>2</v>
      </c>
      <c r="J36" s="246">
        <f t="shared" ref="J36:O36" si="30">I36</f>
        <v>2</v>
      </c>
      <c r="K36" s="246">
        <f t="shared" si="30"/>
        <v>2</v>
      </c>
      <c r="L36" s="246">
        <f t="shared" si="30"/>
        <v>2</v>
      </c>
      <c r="M36" s="246">
        <f t="shared" si="30"/>
        <v>2</v>
      </c>
      <c r="N36" s="246">
        <f t="shared" si="30"/>
        <v>2</v>
      </c>
      <c r="O36" s="246">
        <f t="shared" si="30"/>
        <v>2</v>
      </c>
      <c r="P36" s="246">
        <f t="shared" si="4"/>
        <v>8</v>
      </c>
      <c r="Q36" s="246">
        <f t="shared" ref="Q36:S36" si="31">P36</f>
        <v>8</v>
      </c>
      <c r="R36" s="246">
        <f t="shared" si="31"/>
        <v>8</v>
      </c>
      <c r="S36" s="246">
        <f t="shared" si="31"/>
        <v>8</v>
      </c>
    </row>
    <row r="37" spans="2:19">
      <c r="B37" s="29"/>
      <c r="C37" s="33" t="s">
        <v>475</v>
      </c>
      <c r="D37" s="158"/>
      <c r="E37" s="158"/>
      <c r="F37" s="158"/>
      <c r="G37" s="158"/>
      <c r="H37" s="158"/>
      <c r="I37" s="158">
        <v>1</v>
      </c>
      <c r="J37" s="246">
        <f t="shared" ref="J37:O37" si="32">I37</f>
        <v>1</v>
      </c>
      <c r="K37" s="246">
        <f t="shared" si="32"/>
        <v>1</v>
      </c>
      <c r="L37" s="246">
        <f t="shared" si="32"/>
        <v>1</v>
      </c>
      <c r="M37" s="246">
        <f t="shared" si="32"/>
        <v>1</v>
      </c>
      <c r="N37" s="246">
        <f t="shared" si="32"/>
        <v>1</v>
      </c>
      <c r="O37" s="246">
        <f t="shared" si="32"/>
        <v>1</v>
      </c>
      <c r="P37" s="246">
        <f t="shared" si="4"/>
        <v>4</v>
      </c>
      <c r="Q37" s="246">
        <f t="shared" ref="Q37:S37" si="33">P37</f>
        <v>4</v>
      </c>
      <c r="R37" s="246">
        <f t="shared" si="33"/>
        <v>4</v>
      </c>
      <c r="S37" s="246">
        <f t="shared" si="33"/>
        <v>4</v>
      </c>
    </row>
    <row r="38" spans="2:19">
      <c r="B38" s="29"/>
      <c r="C38" s="33" t="s">
        <v>476</v>
      </c>
      <c r="D38" s="246"/>
      <c r="E38" s="246"/>
      <c r="F38" s="246"/>
      <c r="G38" s="246"/>
      <c r="H38" s="246"/>
      <c r="I38" s="246">
        <v>2</v>
      </c>
      <c r="J38" s="246">
        <f t="shared" ref="J38:O38" si="34">I38</f>
        <v>2</v>
      </c>
      <c r="K38" s="246">
        <f t="shared" si="34"/>
        <v>2</v>
      </c>
      <c r="L38" s="246">
        <f t="shared" si="34"/>
        <v>2</v>
      </c>
      <c r="M38" s="246">
        <f t="shared" si="34"/>
        <v>2</v>
      </c>
      <c r="N38" s="246">
        <f t="shared" si="34"/>
        <v>2</v>
      </c>
      <c r="O38" s="246">
        <f t="shared" si="34"/>
        <v>2</v>
      </c>
      <c r="P38" s="246">
        <f t="shared" si="4"/>
        <v>8</v>
      </c>
      <c r="Q38" s="246">
        <f t="shared" ref="Q38:S38" si="35">P38</f>
        <v>8</v>
      </c>
      <c r="R38" s="246">
        <f t="shared" si="35"/>
        <v>8</v>
      </c>
      <c r="S38" s="246">
        <f t="shared" si="35"/>
        <v>8</v>
      </c>
    </row>
    <row r="39" spans="2:19">
      <c r="B39" s="29" t="s">
        <v>482</v>
      </c>
      <c r="C39" s="33" t="s">
        <v>473</v>
      </c>
      <c r="D39" s="158"/>
      <c r="E39" s="158"/>
      <c r="F39" s="158"/>
      <c r="G39" s="158"/>
      <c r="H39" s="158"/>
      <c r="I39" s="158">
        <v>2</v>
      </c>
      <c r="J39" s="246">
        <f t="shared" ref="J39:O39" si="36">I39</f>
        <v>2</v>
      </c>
      <c r="K39" s="246">
        <f t="shared" si="36"/>
        <v>2</v>
      </c>
      <c r="L39" s="246">
        <f t="shared" si="36"/>
        <v>2</v>
      </c>
      <c r="M39" s="246">
        <f t="shared" si="36"/>
        <v>2</v>
      </c>
      <c r="N39" s="246">
        <f t="shared" si="36"/>
        <v>2</v>
      </c>
      <c r="O39" s="246">
        <f t="shared" si="36"/>
        <v>2</v>
      </c>
      <c r="P39" s="246">
        <f t="shared" si="4"/>
        <v>8</v>
      </c>
      <c r="Q39" s="246">
        <f t="shared" ref="Q39:S39" si="37">P39</f>
        <v>8</v>
      </c>
      <c r="R39" s="246">
        <f t="shared" si="37"/>
        <v>8</v>
      </c>
      <c r="S39" s="246">
        <f t="shared" si="37"/>
        <v>8</v>
      </c>
    </row>
    <row r="40" spans="2:19">
      <c r="B40" s="29"/>
      <c r="C40" s="33" t="s">
        <v>474</v>
      </c>
      <c r="D40" s="158"/>
      <c r="E40" s="158"/>
      <c r="F40" s="158"/>
      <c r="G40" s="158"/>
      <c r="H40" s="158"/>
      <c r="I40" s="158">
        <v>1</v>
      </c>
      <c r="J40" s="246">
        <f t="shared" ref="J40:O40" si="38">I40</f>
        <v>1</v>
      </c>
      <c r="K40" s="246">
        <f t="shared" si="38"/>
        <v>1</v>
      </c>
      <c r="L40" s="246">
        <f t="shared" si="38"/>
        <v>1</v>
      </c>
      <c r="M40" s="246">
        <f t="shared" si="38"/>
        <v>1</v>
      </c>
      <c r="N40" s="246">
        <f t="shared" si="38"/>
        <v>1</v>
      </c>
      <c r="O40" s="246">
        <f t="shared" si="38"/>
        <v>1</v>
      </c>
      <c r="P40" s="246">
        <f t="shared" si="4"/>
        <v>4</v>
      </c>
      <c r="Q40" s="246">
        <f t="shared" ref="Q40:S40" si="39">P40</f>
        <v>4</v>
      </c>
      <c r="R40" s="246">
        <f t="shared" si="39"/>
        <v>4</v>
      </c>
      <c r="S40" s="246">
        <f t="shared" si="39"/>
        <v>4</v>
      </c>
    </row>
    <row r="41" spans="2:19">
      <c r="B41" s="29"/>
      <c r="C41" s="33" t="s">
        <v>475</v>
      </c>
      <c r="D41" s="158"/>
      <c r="E41" s="158"/>
      <c r="F41" s="158"/>
      <c r="G41" s="158"/>
      <c r="H41" s="158"/>
      <c r="I41" s="158">
        <v>2</v>
      </c>
      <c r="J41" s="246">
        <f t="shared" ref="J41:O41" si="40">I41</f>
        <v>2</v>
      </c>
      <c r="K41" s="246">
        <f t="shared" si="40"/>
        <v>2</v>
      </c>
      <c r="L41" s="246">
        <f t="shared" si="40"/>
        <v>2</v>
      </c>
      <c r="M41" s="246">
        <f t="shared" si="40"/>
        <v>2</v>
      </c>
      <c r="N41" s="246">
        <f t="shared" si="40"/>
        <v>2</v>
      </c>
      <c r="O41" s="246">
        <f t="shared" si="40"/>
        <v>2</v>
      </c>
      <c r="P41" s="246">
        <f t="shared" si="4"/>
        <v>8</v>
      </c>
      <c r="Q41" s="246">
        <f t="shared" ref="Q41:S41" si="41">P41</f>
        <v>8</v>
      </c>
      <c r="R41" s="246">
        <f t="shared" si="41"/>
        <v>8</v>
      </c>
      <c r="S41" s="246">
        <f t="shared" si="41"/>
        <v>8</v>
      </c>
    </row>
    <row r="42" spans="2:19">
      <c r="B42" s="29"/>
      <c r="C42" s="33" t="s">
        <v>476</v>
      </c>
      <c r="D42" s="246"/>
      <c r="E42" s="246"/>
      <c r="F42" s="246"/>
      <c r="G42" s="246"/>
      <c r="H42" s="246"/>
      <c r="I42" s="246">
        <v>2</v>
      </c>
      <c r="J42" s="246">
        <f t="shared" ref="J42:O43" si="42">I42</f>
        <v>2</v>
      </c>
      <c r="K42" s="246">
        <f t="shared" si="42"/>
        <v>2</v>
      </c>
      <c r="L42" s="246">
        <f t="shared" si="42"/>
        <v>2</v>
      </c>
      <c r="M42" s="246">
        <f t="shared" si="42"/>
        <v>2</v>
      </c>
      <c r="N42" s="246">
        <f t="shared" si="42"/>
        <v>2</v>
      </c>
      <c r="O42" s="246">
        <f t="shared" si="42"/>
        <v>2</v>
      </c>
      <c r="P42" s="246">
        <f t="shared" si="4"/>
        <v>8</v>
      </c>
      <c r="Q42" s="246">
        <f t="shared" ref="Q42:S43" si="43">P42</f>
        <v>8</v>
      </c>
      <c r="R42" s="246">
        <f t="shared" si="43"/>
        <v>8</v>
      </c>
      <c r="S42" s="246">
        <f t="shared" si="43"/>
        <v>8</v>
      </c>
    </row>
    <row r="43" spans="2:19">
      <c r="B43" s="29" t="s">
        <v>483</v>
      </c>
      <c r="C43" s="33" t="s">
        <v>473</v>
      </c>
      <c r="D43" s="158"/>
      <c r="E43" s="158"/>
      <c r="F43" s="158"/>
      <c r="G43" s="158"/>
      <c r="H43" s="158"/>
      <c r="I43" s="158"/>
      <c r="J43" s="158"/>
      <c r="K43" s="158">
        <v>1</v>
      </c>
      <c r="L43" s="158">
        <f t="shared" si="42"/>
        <v>1</v>
      </c>
      <c r="M43" s="158">
        <f t="shared" si="42"/>
        <v>1</v>
      </c>
      <c r="N43" s="158">
        <f t="shared" si="42"/>
        <v>1</v>
      </c>
      <c r="O43" s="158">
        <f t="shared" si="42"/>
        <v>1</v>
      </c>
      <c r="P43" s="158">
        <f t="shared" si="4"/>
        <v>4</v>
      </c>
      <c r="Q43" s="246">
        <f t="shared" si="43"/>
        <v>4</v>
      </c>
      <c r="R43" s="246">
        <f t="shared" si="43"/>
        <v>4</v>
      </c>
      <c r="S43" s="246">
        <f t="shared" si="43"/>
        <v>4</v>
      </c>
    </row>
    <row r="44" spans="2:19">
      <c r="B44" s="29"/>
      <c r="C44" s="33" t="s">
        <v>474</v>
      </c>
      <c r="D44" s="158"/>
      <c r="E44" s="158"/>
      <c r="F44" s="158"/>
      <c r="G44" s="158"/>
      <c r="H44" s="158"/>
      <c r="I44" s="158"/>
      <c r="J44" s="158"/>
      <c r="K44" s="158">
        <v>2</v>
      </c>
      <c r="L44" s="246">
        <f t="shared" ref="L44:O44" si="44">K44</f>
        <v>2</v>
      </c>
      <c r="M44" s="246">
        <f t="shared" si="44"/>
        <v>2</v>
      </c>
      <c r="N44" s="246">
        <f t="shared" si="44"/>
        <v>2</v>
      </c>
      <c r="O44" s="246">
        <f t="shared" si="44"/>
        <v>2</v>
      </c>
      <c r="P44" s="246">
        <f t="shared" si="4"/>
        <v>8</v>
      </c>
      <c r="Q44" s="246">
        <f t="shared" ref="Q44:S44" si="45">P44</f>
        <v>8</v>
      </c>
      <c r="R44" s="246">
        <f t="shared" si="45"/>
        <v>8</v>
      </c>
      <c r="S44" s="246">
        <f t="shared" si="45"/>
        <v>8</v>
      </c>
    </row>
    <row r="45" spans="2:19">
      <c r="B45" s="29"/>
      <c r="C45" s="33" t="s">
        <v>475</v>
      </c>
      <c r="D45" s="158"/>
      <c r="E45" s="158"/>
      <c r="F45" s="158"/>
      <c r="G45" s="158"/>
      <c r="H45" s="158"/>
      <c r="I45" s="158"/>
      <c r="J45" s="158"/>
      <c r="K45" s="158">
        <v>1</v>
      </c>
      <c r="L45" s="246">
        <f t="shared" ref="L45:O45" si="46">K45</f>
        <v>1</v>
      </c>
      <c r="M45" s="246">
        <f t="shared" si="46"/>
        <v>1</v>
      </c>
      <c r="N45" s="246">
        <f t="shared" si="46"/>
        <v>1</v>
      </c>
      <c r="O45" s="246">
        <f t="shared" si="46"/>
        <v>1</v>
      </c>
      <c r="P45" s="246">
        <f t="shared" si="4"/>
        <v>4</v>
      </c>
      <c r="Q45" s="246">
        <f t="shared" ref="Q45:S45" si="47">P45</f>
        <v>4</v>
      </c>
      <c r="R45" s="246">
        <f t="shared" si="47"/>
        <v>4</v>
      </c>
      <c r="S45" s="246">
        <f t="shared" si="47"/>
        <v>4</v>
      </c>
    </row>
    <row r="46" spans="2:19">
      <c r="B46" s="29"/>
      <c r="C46" s="33" t="s">
        <v>476</v>
      </c>
      <c r="D46" s="246"/>
      <c r="E46" s="246"/>
      <c r="F46" s="246"/>
      <c r="G46" s="246"/>
      <c r="H46" s="246"/>
      <c r="I46" s="246"/>
      <c r="J46" s="246"/>
      <c r="K46" s="246">
        <v>2</v>
      </c>
      <c r="L46" s="246">
        <f t="shared" ref="L46:O46" si="48">K46</f>
        <v>2</v>
      </c>
      <c r="M46" s="246">
        <f t="shared" si="48"/>
        <v>2</v>
      </c>
      <c r="N46" s="246">
        <f t="shared" si="48"/>
        <v>2</v>
      </c>
      <c r="O46" s="246">
        <f t="shared" si="48"/>
        <v>2</v>
      </c>
      <c r="P46" s="246">
        <f t="shared" si="4"/>
        <v>8</v>
      </c>
      <c r="Q46" s="246">
        <f t="shared" ref="Q46:S46" si="49">P46</f>
        <v>8</v>
      </c>
      <c r="R46" s="246">
        <f t="shared" si="49"/>
        <v>8</v>
      </c>
      <c r="S46" s="246">
        <f t="shared" si="49"/>
        <v>8</v>
      </c>
    </row>
    <row r="47" spans="2:19">
      <c r="B47" s="29" t="s">
        <v>484</v>
      </c>
      <c r="C47" s="33" t="s">
        <v>473</v>
      </c>
      <c r="D47" s="158"/>
      <c r="E47" s="158"/>
      <c r="F47" s="158"/>
      <c r="G47" s="158"/>
      <c r="H47" s="158"/>
      <c r="I47" s="158"/>
      <c r="J47" s="158"/>
      <c r="K47" s="158">
        <v>2</v>
      </c>
      <c r="L47" s="246">
        <f t="shared" ref="L47:O47" si="50">K47</f>
        <v>2</v>
      </c>
      <c r="M47" s="246">
        <f t="shared" si="50"/>
        <v>2</v>
      </c>
      <c r="N47" s="246">
        <f t="shared" si="50"/>
        <v>2</v>
      </c>
      <c r="O47" s="246">
        <f t="shared" si="50"/>
        <v>2</v>
      </c>
      <c r="P47" s="246">
        <f t="shared" si="4"/>
        <v>8</v>
      </c>
      <c r="Q47" s="246">
        <f t="shared" ref="Q47:S47" si="51">P47</f>
        <v>8</v>
      </c>
      <c r="R47" s="246">
        <f t="shared" si="51"/>
        <v>8</v>
      </c>
      <c r="S47" s="246">
        <f t="shared" si="51"/>
        <v>8</v>
      </c>
    </row>
    <row r="48" spans="2:19">
      <c r="B48" s="29"/>
      <c r="C48" s="33" t="s">
        <v>474</v>
      </c>
      <c r="D48" s="158"/>
      <c r="E48" s="158"/>
      <c r="F48" s="158"/>
      <c r="G48" s="158"/>
      <c r="H48" s="158"/>
      <c r="I48" s="158"/>
      <c r="J48" s="158"/>
      <c r="K48" s="158">
        <v>2</v>
      </c>
      <c r="L48" s="246">
        <f t="shared" ref="L48:O48" si="52">K48</f>
        <v>2</v>
      </c>
      <c r="M48" s="246">
        <f t="shared" si="52"/>
        <v>2</v>
      </c>
      <c r="N48" s="246">
        <f t="shared" si="52"/>
        <v>2</v>
      </c>
      <c r="O48" s="246">
        <f t="shared" si="52"/>
        <v>2</v>
      </c>
      <c r="P48" s="246">
        <f t="shared" si="4"/>
        <v>8</v>
      </c>
      <c r="Q48" s="246">
        <f t="shared" ref="Q48:S48" si="53">P48</f>
        <v>8</v>
      </c>
      <c r="R48" s="246">
        <f t="shared" si="53"/>
        <v>8</v>
      </c>
      <c r="S48" s="246">
        <f t="shared" si="53"/>
        <v>8</v>
      </c>
    </row>
    <row r="49" spans="2:19">
      <c r="B49" s="29"/>
      <c r="C49" s="33" t="s">
        <v>475</v>
      </c>
      <c r="D49" s="158"/>
      <c r="E49" s="158"/>
      <c r="F49" s="158"/>
      <c r="G49" s="158"/>
      <c r="H49" s="158"/>
      <c r="I49" s="158"/>
      <c r="J49" s="158"/>
      <c r="K49" s="158">
        <v>1</v>
      </c>
      <c r="L49" s="246">
        <f t="shared" ref="L49:O49" si="54">K49</f>
        <v>1</v>
      </c>
      <c r="M49" s="246">
        <f t="shared" si="54"/>
        <v>1</v>
      </c>
      <c r="N49" s="246">
        <f t="shared" si="54"/>
        <v>1</v>
      </c>
      <c r="O49" s="246">
        <f t="shared" si="54"/>
        <v>1</v>
      </c>
      <c r="P49" s="246">
        <f t="shared" si="4"/>
        <v>4</v>
      </c>
      <c r="Q49" s="246">
        <f t="shared" ref="Q49:S49" si="55">P49</f>
        <v>4</v>
      </c>
      <c r="R49" s="246">
        <f t="shared" si="55"/>
        <v>4</v>
      </c>
      <c r="S49" s="246">
        <f t="shared" si="55"/>
        <v>4</v>
      </c>
    </row>
    <row r="50" spans="2:19">
      <c r="B50" s="29"/>
      <c r="C50" s="33" t="s">
        <v>476</v>
      </c>
      <c r="D50" s="158"/>
      <c r="E50" s="158"/>
      <c r="F50" s="158"/>
      <c r="G50" s="158"/>
      <c r="H50" s="158"/>
      <c r="I50" s="158"/>
      <c r="J50" s="158"/>
      <c r="K50" s="158">
        <v>2</v>
      </c>
      <c r="L50" s="246">
        <f t="shared" ref="L50:O54" si="56">K50</f>
        <v>2</v>
      </c>
      <c r="M50" s="246">
        <f t="shared" si="56"/>
        <v>2</v>
      </c>
      <c r="N50" s="246">
        <f t="shared" si="56"/>
        <v>2</v>
      </c>
      <c r="O50" s="246">
        <f t="shared" si="56"/>
        <v>2</v>
      </c>
      <c r="P50" s="246">
        <f t="shared" si="4"/>
        <v>8</v>
      </c>
      <c r="Q50" s="246">
        <f t="shared" ref="Q50:S54" si="57">P50</f>
        <v>8</v>
      </c>
      <c r="R50" s="246">
        <f t="shared" si="57"/>
        <v>8</v>
      </c>
      <c r="S50" s="246">
        <f t="shared" si="57"/>
        <v>8</v>
      </c>
    </row>
    <row r="51" spans="2:19">
      <c r="B51" s="29" t="s">
        <v>354</v>
      </c>
      <c r="C51" s="33" t="s">
        <v>473</v>
      </c>
      <c r="D51" s="246"/>
      <c r="E51" s="246"/>
      <c r="F51" s="246"/>
      <c r="G51" s="246"/>
      <c r="H51" s="246"/>
      <c r="I51" s="246"/>
      <c r="J51" s="246"/>
      <c r="K51" s="246">
        <v>2</v>
      </c>
      <c r="L51" s="246">
        <f t="shared" si="56"/>
        <v>2</v>
      </c>
      <c r="M51" s="246">
        <f t="shared" si="56"/>
        <v>2</v>
      </c>
      <c r="N51" s="246">
        <f t="shared" si="56"/>
        <v>2</v>
      </c>
      <c r="O51" s="246">
        <f t="shared" si="56"/>
        <v>2</v>
      </c>
      <c r="P51" s="246">
        <f t="shared" si="4"/>
        <v>8</v>
      </c>
      <c r="Q51" s="246">
        <f t="shared" si="57"/>
        <v>8</v>
      </c>
      <c r="R51" s="246">
        <f t="shared" si="57"/>
        <v>8</v>
      </c>
      <c r="S51" s="246">
        <f t="shared" si="57"/>
        <v>8</v>
      </c>
    </row>
    <row r="52" spans="2:19">
      <c r="B52" s="29"/>
      <c r="C52" s="33" t="s">
        <v>474</v>
      </c>
      <c r="D52" s="246"/>
      <c r="E52" s="246"/>
      <c r="F52" s="246"/>
      <c r="G52" s="246"/>
      <c r="H52" s="246"/>
      <c r="I52" s="246"/>
      <c r="J52" s="246"/>
      <c r="K52" s="246">
        <v>1</v>
      </c>
      <c r="L52" s="246">
        <f t="shared" si="56"/>
        <v>1</v>
      </c>
      <c r="M52" s="246">
        <f t="shared" si="56"/>
        <v>1</v>
      </c>
      <c r="N52" s="246">
        <f t="shared" si="56"/>
        <v>1</v>
      </c>
      <c r="O52" s="246">
        <f t="shared" si="56"/>
        <v>1</v>
      </c>
      <c r="P52" s="246">
        <f t="shared" si="4"/>
        <v>4</v>
      </c>
      <c r="Q52" s="246">
        <f t="shared" si="57"/>
        <v>4</v>
      </c>
      <c r="R52" s="246">
        <f t="shared" si="57"/>
        <v>4</v>
      </c>
      <c r="S52" s="246">
        <f t="shared" si="57"/>
        <v>4</v>
      </c>
    </row>
    <row r="53" spans="2:19">
      <c r="B53" s="29"/>
      <c r="C53" s="33" t="s">
        <v>475</v>
      </c>
      <c r="D53" s="246"/>
      <c r="E53" s="246"/>
      <c r="F53" s="246"/>
      <c r="G53" s="246"/>
      <c r="H53" s="246"/>
      <c r="I53" s="246"/>
      <c r="J53" s="246"/>
      <c r="K53" s="246">
        <v>2</v>
      </c>
      <c r="L53" s="246">
        <f t="shared" si="56"/>
        <v>2</v>
      </c>
      <c r="M53" s="246">
        <f t="shared" si="56"/>
        <v>2</v>
      </c>
      <c r="N53" s="246">
        <f t="shared" si="56"/>
        <v>2</v>
      </c>
      <c r="O53" s="246">
        <f t="shared" si="56"/>
        <v>2</v>
      </c>
      <c r="P53" s="246">
        <f t="shared" si="4"/>
        <v>8</v>
      </c>
      <c r="Q53" s="246">
        <f t="shared" si="57"/>
        <v>8</v>
      </c>
      <c r="R53" s="246">
        <f t="shared" si="57"/>
        <v>8</v>
      </c>
      <c r="S53" s="246">
        <f t="shared" si="57"/>
        <v>8</v>
      </c>
    </row>
    <row r="54" spans="2:19">
      <c r="B54" s="29"/>
      <c r="C54" s="33" t="s">
        <v>476</v>
      </c>
      <c r="D54" s="246"/>
      <c r="E54" s="246"/>
      <c r="F54" s="246"/>
      <c r="G54" s="246"/>
      <c r="H54" s="246"/>
      <c r="I54" s="246"/>
      <c r="J54" s="246"/>
      <c r="K54" s="246">
        <v>1</v>
      </c>
      <c r="L54" s="246">
        <f t="shared" si="56"/>
        <v>1</v>
      </c>
      <c r="M54" s="246">
        <f t="shared" si="56"/>
        <v>1</v>
      </c>
      <c r="N54" s="246">
        <f t="shared" si="56"/>
        <v>1</v>
      </c>
      <c r="O54" s="246">
        <f t="shared" si="56"/>
        <v>1</v>
      </c>
      <c r="P54" s="246">
        <f t="shared" si="4"/>
        <v>4</v>
      </c>
      <c r="Q54" s="246">
        <f t="shared" si="57"/>
        <v>4</v>
      </c>
      <c r="R54" s="246">
        <f t="shared" si="57"/>
        <v>4</v>
      </c>
      <c r="S54" s="246">
        <f t="shared" si="57"/>
        <v>4</v>
      </c>
    </row>
    <row r="55" spans="2:19">
      <c r="B55" s="29" t="s">
        <v>485</v>
      </c>
      <c r="C55" s="33" t="s">
        <v>473</v>
      </c>
      <c r="D55" s="246"/>
      <c r="E55" s="246"/>
      <c r="F55" s="246"/>
      <c r="G55" s="246"/>
      <c r="H55" s="246"/>
      <c r="I55" s="246"/>
      <c r="J55" s="246"/>
      <c r="K55" s="246"/>
      <c r="L55" s="246">
        <v>2</v>
      </c>
      <c r="M55" s="246">
        <f t="shared" ref="M55:O55" si="58">L55</f>
        <v>2</v>
      </c>
      <c r="N55" s="246">
        <f t="shared" si="58"/>
        <v>2</v>
      </c>
      <c r="O55" s="246">
        <f t="shared" si="58"/>
        <v>2</v>
      </c>
      <c r="P55" s="246">
        <f t="shared" si="4"/>
        <v>8</v>
      </c>
      <c r="Q55" s="246">
        <f t="shared" ref="Q55:S55" si="59">P55</f>
        <v>8</v>
      </c>
      <c r="R55" s="246">
        <f t="shared" si="59"/>
        <v>8</v>
      </c>
      <c r="S55" s="246">
        <f t="shared" si="59"/>
        <v>8</v>
      </c>
    </row>
    <row r="56" spans="2:19">
      <c r="B56" s="29"/>
      <c r="C56" s="33" t="s">
        <v>474</v>
      </c>
      <c r="D56" s="246"/>
      <c r="E56" s="246"/>
      <c r="F56" s="246"/>
      <c r="G56" s="246"/>
      <c r="H56" s="246"/>
      <c r="I56" s="246"/>
      <c r="J56" s="246"/>
      <c r="K56" s="246"/>
      <c r="L56" s="246">
        <v>1</v>
      </c>
      <c r="M56" s="246">
        <f t="shared" ref="M56:O56" si="60">L56</f>
        <v>1</v>
      </c>
      <c r="N56" s="246">
        <f t="shared" si="60"/>
        <v>1</v>
      </c>
      <c r="O56" s="246">
        <f t="shared" si="60"/>
        <v>1</v>
      </c>
      <c r="P56" s="246">
        <f t="shared" si="4"/>
        <v>4</v>
      </c>
      <c r="Q56" s="246">
        <f t="shared" ref="Q56:S56" si="61">P56</f>
        <v>4</v>
      </c>
      <c r="R56" s="246">
        <f t="shared" si="61"/>
        <v>4</v>
      </c>
      <c r="S56" s="246">
        <f t="shared" si="61"/>
        <v>4</v>
      </c>
    </row>
    <row r="57" spans="2:19">
      <c r="B57" s="29"/>
      <c r="C57" s="33" t="s">
        <v>475</v>
      </c>
      <c r="D57" s="246"/>
      <c r="E57" s="246"/>
      <c r="F57" s="246"/>
      <c r="G57" s="246"/>
      <c r="H57" s="246"/>
      <c r="I57" s="246"/>
      <c r="J57" s="246"/>
      <c r="K57" s="246"/>
      <c r="L57" s="246">
        <v>2</v>
      </c>
      <c r="M57" s="246">
        <f t="shared" ref="M57:O57" si="62">L57</f>
        <v>2</v>
      </c>
      <c r="N57" s="246">
        <f t="shared" si="62"/>
        <v>2</v>
      </c>
      <c r="O57" s="246">
        <f t="shared" si="62"/>
        <v>2</v>
      </c>
      <c r="P57" s="246">
        <f t="shared" si="4"/>
        <v>8</v>
      </c>
      <c r="Q57" s="246">
        <f t="shared" ref="Q57:S57" si="63">P57</f>
        <v>8</v>
      </c>
      <c r="R57" s="246">
        <f t="shared" si="63"/>
        <v>8</v>
      </c>
      <c r="S57" s="246">
        <f t="shared" si="63"/>
        <v>8</v>
      </c>
    </row>
    <row r="58" spans="2:19">
      <c r="B58" s="29"/>
      <c r="C58" s="33" t="s">
        <v>476</v>
      </c>
      <c r="D58" s="246"/>
      <c r="E58" s="246"/>
      <c r="F58" s="246"/>
      <c r="G58" s="246"/>
      <c r="H58" s="246"/>
      <c r="I58" s="246"/>
      <c r="J58" s="246"/>
      <c r="K58" s="246"/>
      <c r="L58" s="246">
        <v>2</v>
      </c>
      <c r="M58" s="246">
        <f t="shared" ref="M58:O58" si="64">L58</f>
        <v>2</v>
      </c>
      <c r="N58" s="246">
        <f t="shared" si="64"/>
        <v>2</v>
      </c>
      <c r="O58" s="246">
        <f t="shared" si="64"/>
        <v>2</v>
      </c>
      <c r="P58" s="246">
        <f t="shared" si="4"/>
        <v>8</v>
      </c>
      <c r="Q58" s="246">
        <f t="shared" ref="Q58:S58" si="65">P58</f>
        <v>8</v>
      </c>
      <c r="R58" s="246">
        <f t="shared" si="65"/>
        <v>8</v>
      </c>
      <c r="S58" s="246">
        <f t="shared" si="65"/>
        <v>8</v>
      </c>
    </row>
    <row r="59" spans="2:19">
      <c r="B59" s="322" t="s">
        <v>486</v>
      </c>
      <c r="C59" s="33" t="s">
        <v>473</v>
      </c>
      <c r="D59" s="246"/>
      <c r="E59" s="246"/>
      <c r="F59" s="246"/>
      <c r="G59" s="246"/>
      <c r="H59" s="246"/>
      <c r="I59" s="246"/>
      <c r="J59" s="246"/>
      <c r="K59" s="246"/>
      <c r="L59" s="246">
        <v>1</v>
      </c>
      <c r="M59" s="246">
        <f t="shared" ref="M59:O59" si="66">L59</f>
        <v>1</v>
      </c>
      <c r="N59" s="246">
        <f t="shared" si="66"/>
        <v>1</v>
      </c>
      <c r="O59" s="246">
        <f t="shared" si="66"/>
        <v>1</v>
      </c>
      <c r="P59" s="246">
        <f t="shared" si="4"/>
        <v>4</v>
      </c>
      <c r="Q59" s="246">
        <f t="shared" ref="Q59:S59" si="67">P59</f>
        <v>4</v>
      </c>
      <c r="R59" s="246">
        <f t="shared" si="67"/>
        <v>4</v>
      </c>
      <c r="S59" s="246">
        <f t="shared" si="67"/>
        <v>4</v>
      </c>
    </row>
    <row r="60" spans="2:19">
      <c r="B60" s="29"/>
      <c r="C60" s="33" t="s">
        <v>474</v>
      </c>
      <c r="D60" s="246"/>
      <c r="E60" s="246"/>
      <c r="F60" s="246"/>
      <c r="G60" s="246"/>
      <c r="H60" s="246"/>
      <c r="I60" s="246"/>
      <c r="J60" s="246"/>
      <c r="K60" s="246"/>
      <c r="L60" s="246">
        <v>2</v>
      </c>
      <c r="M60" s="246">
        <f t="shared" ref="M60:O60" si="68">L60</f>
        <v>2</v>
      </c>
      <c r="N60" s="246">
        <f t="shared" si="68"/>
        <v>2</v>
      </c>
      <c r="O60" s="246">
        <f t="shared" si="68"/>
        <v>2</v>
      </c>
      <c r="P60" s="246">
        <f t="shared" si="4"/>
        <v>8</v>
      </c>
      <c r="Q60" s="246">
        <f t="shared" ref="Q60:S60" si="69">P60</f>
        <v>8</v>
      </c>
      <c r="R60" s="246">
        <f t="shared" si="69"/>
        <v>8</v>
      </c>
      <c r="S60" s="246">
        <f t="shared" si="69"/>
        <v>8</v>
      </c>
    </row>
    <row r="61" spans="2:19">
      <c r="B61" s="29"/>
      <c r="C61" s="33" t="s">
        <v>475</v>
      </c>
      <c r="D61" s="246"/>
      <c r="E61" s="246"/>
      <c r="F61" s="246"/>
      <c r="G61" s="246"/>
      <c r="H61" s="246"/>
      <c r="I61" s="246"/>
      <c r="J61" s="246"/>
      <c r="K61" s="246"/>
      <c r="L61" s="246">
        <v>2</v>
      </c>
      <c r="M61" s="246">
        <f t="shared" ref="M61:O61" si="70">L61</f>
        <v>2</v>
      </c>
      <c r="N61" s="246">
        <f t="shared" si="70"/>
        <v>2</v>
      </c>
      <c r="O61" s="246">
        <f t="shared" si="70"/>
        <v>2</v>
      </c>
      <c r="P61" s="246">
        <f t="shared" si="4"/>
        <v>8</v>
      </c>
      <c r="Q61" s="246">
        <f t="shared" ref="Q61:S61" si="71">P61</f>
        <v>8</v>
      </c>
      <c r="R61" s="246">
        <f t="shared" si="71"/>
        <v>8</v>
      </c>
      <c r="S61" s="246">
        <f t="shared" si="71"/>
        <v>8</v>
      </c>
    </row>
    <row r="62" spans="2:19">
      <c r="B62" s="29"/>
      <c r="C62" s="33" t="s">
        <v>476</v>
      </c>
      <c r="D62" s="246"/>
      <c r="E62" s="246"/>
      <c r="F62" s="246"/>
      <c r="G62" s="246"/>
      <c r="H62" s="246"/>
      <c r="I62" s="246"/>
      <c r="J62" s="246"/>
      <c r="K62" s="246"/>
      <c r="L62" s="246">
        <v>1</v>
      </c>
      <c r="M62" s="246">
        <f t="shared" ref="M62:O62" si="72">L62</f>
        <v>1</v>
      </c>
      <c r="N62" s="246">
        <f t="shared" si="72"/>
        <v>1</v>
      </c>
      <c r="O62" s="246">
        <f t="shared" si="72"/>
        <v>1</v>
      </c>
      <c r="P62" s="246">
        <f t="shared" si="4"/>
        <v>4</v>
      </c>
      <c r="Q62" s="246">
        <f t="shared" ref="Q62:S62" si="73">P62</f>
        <v>4</v>
      </c>
      <c r="R62" s="246">
        <f t="shared" si="73"/>
        <v>4</v>
      </c>
      <c r="S62" s="246">
        <f t="shared" si="73"/>
        <v>4</v>
      </c>
    </row>
    <row r="63" spans="2:19">
      <c r="B63" s="29" t="s">
        <v>487</v>
      </c>
      <c r="C63" s="33" t="s">
        <v>473</v>
      </c>
      <c r="D63" s="246"/>
      <c r="E63" s="246"/>
      <c r="F63" s="246"/>
      <c r="G63" s="246"/>
      <c r="H63" s="246"/>
      <c r="I63" s="246"/>
      <c r="J63" s="246"/>
      <c r="K63" s="246"/>
      <c r="L63" s="246">
        <v>2</v>
      </c>
      <c r="M63" s="246">
        <f t="shared" ref="M63:O63" si="74">L63</f>
        <v>2</v>
      </c>
      <c r="N63" s="246">
        <f t="shared" si="74"/>
        <v>2</v>
      </c>
      <c r="O63" s="246">
        <f t="shared" si="74"/>
        <v>2</v>
      </c>
      <c r="P63" s="246">
        <f t="shared" si="4"/>
        <v>8</v>
      </c>
      <c r="Q63" s="246">
        <f t="shared" ref="Q63:S63" si="75">P63</f>
        <v>8</v>
      </c>
      <c r="R63" s="246">
        <f t="shared" si="75"/>
        <v>8</v>
      </c>
      <c r="S63" s="246">
        <f t="shared" si="75"/>
        <v>8</v>
      </c>
    </row>
    <row r="64" spans="2:19">
      <c r="B64" s="29"/>
      <c r="C64" s="33" t="s">
        <v>474</v>
      </c>
      <c r="D64" s="246"/>
      <c r="E64" s="246"/>
      <c r="F64" s="246"/>
      <c r="G64" s="246"/>
      <c r="H64" s="246"/>
      <c r="I64" s="246"/>
      <c r="J64" s="246"/>
      <c r="K64" s="246"/>
      <c r="L64" s="246">
        <v>2</v>
      </c>
      <c r="M64" s="246">
        <f t="shared" ref="M64:O64" si="76">L64</f>
        <v>2</v>
      </c>
      <c r="N64" s="246">
        <f t="shared" si="76"/>
        <v>2</v>
      </c>
      <c r="O64" s="246">
        <f t="shared" si="76"/>
        <v>2</v>
      </c>
      <c r="P64" s="246">
        <f t="shared" si="4"/>
        <v>8</v>
      </c>
      <c r="Q64" s="246">
        <f t="shared" ref="Q64:S64" si="77">P64</f>
        <v>8</v>
      </c>
      <c r="R64" s="246">
        <f t="shared" si="77"/>
        <v>8</v>
      </c>
      <c r="S64" s="246">
        <f t="shared" si="77"/>
        <v>8</v>
      </c>
    </row>
    <row r="65" spans="2:19">
      <c r="B65" s="29"/>
      <c r="C65" s="33" t="s">
        <v>475</v>
      </c>
      <c r="D65" s="246"/>
      <c r="E65" s="246"/>
      <c r="F65" s="246"/>
      <c r="G65" s="246"/>
      <c r="H65" s="246"/>
      <c r="I65" s="246"/>
      <c r="J65" s="246"/>
      <c r="K65" s="246"/>
      <c r="L65" s="246">
        <v>2</v>
      </c>
      <c r="M65" s="246">
        <f t="shared" ref="M65:O65" si="78">L65</f>
        <v>2</v>
      </c>
      <c r="N65" s="246">
        <f t="shared" si="78"/>
        <v>2</v>
      </c>
      <c r="O65" s="246">
        <f t="shared" si="78"/>
        <v>2</v>
      </c>
      <c r="P65" s="246">
        <f t="shared" si="4"/>
        <v>8</v>
      </c>
      <c r="Q65" s="246">
        <f t="shared" ref="Q65:S65" si="79">P65</f>
        <v>8</v>
      </c>
      <c r="R65" s="246">
        <f t="shared" si="79"/>
        <v>8</v>
      </c>
      <c r="S65" s="246">
        <f t="shared" si="79"/>
        <v>8</v>
      </c>
    </row>
    <row r="66" spans="2:19">
      <c r="B66" s="29"/>
      <c r="C66" s="33" t="s">
        <v>476</v>
      </c>
      <c r="D66" s="246"/>
      <c r="E66" s="246"/>
      <c r="F66" s="246"/>
      <c r="G66" s="246"/>
      <c r="H66" s="246"/>
      <c r="I66" s="246"/>
      <c r="J66" s="246"/>
      <c r="K66" s="246"/>
      <c r="L66" s="246">
        <v>2</v>
      </c>
      <c r="M66" s="246">
        <f t="shared" ref="M66:O66" si="80">L66</f>
        <v>2</v>
      </c>
      <c r="N66" s="246">
        <f t="shared" si="80"/>
        <v>2</v>
      </c>
      <c r="O66" s="246">
        <f t="shared" si="80"/>
        <v>2</v>
      </c>
      <c r="P66" s="246">
        <f t="shared" si="4"/>
        <v>8</v>
      </c>
      <c r="Q66" s="246">
        <f t="shared" ref="Q66:S66" si="81">P66</f>
        <v>8</v>
      </c>
      <c r="R66" s="246">
        <f t="shared" si="81"/>
        <v>8</v>
      </c>
      <c r="S66" s="246">
        <f t="shared" si="81"/>
        <v>8</v>
      </c>
    </row>
    <row r="67" spans="2:19">
      <c r="B67" s="29" t="s">
        <v>488</v>
      </c>
      <c r="C67" s="33" t="s">
        <v>473</v>
      </c>
      <c r="D67" s="246"/>
      <c r="E67" s="246"/>
      <c r="F67" s="246"/>
      <c r="G67" s="246"/>
      <c r="H67" s="246"/>
      <c r="I67" s="246"/>
      <c r="J67" s="246"/>
      <c r="K67" s="246"/>
      <c r="L67" s="246"/>
      <c r="M67" s="246">
        <v>2</v>
      </c>
      <c r="N67" s="246">
        <f t="shared" ref="N67:O67" si="82">M67</f>
        <v>2</v>
      </c>
      <c r="O67" s="246">
        <f t="shared" si="82"/>
        <v>2</v>
      </c>
      <c r="P67" s="246">
        <f t="shared" si="4"/>
        <v>8</v>
      </c>
      <c r="Q67" s="246">
        <f t="shared" ref="Q67:S67" si="83">P67</f>
        <v>8</v>
      </c>
      <c r="R67" s="246">
        <f t="shared" si="83"/>
        <v>8</v>
      </c>
      <c r="S67" s="246">
        <f t="shared" si="83"/>
        <v>8</v>
      </c>
    </row>
    <row r="68" spans="2:19">
      <c r="B68" s="29"/>
      <c r="C68" s="33" t="s">
        <v>474</v>
      </c>
      <c r="D68" s="246"/>
      <c r="E68" s="246"/>
      <c r="F68" s="246"/>
      <c r="G68" s="246"/>
      <c r="H68" s="246"/>
      <c r="I68" s="246"/>
      <c r="J68" s="246"/>
      <c r="K68" s="246"/>
      <c r="L68" s="246"/>
      <c r="M68" s="246">
        <v>1</v>
      </c>
      <c r="N68" s="246">
        <f t="shared" ref="N68:O68" si="84">M68</f>
        <v>1</v>
      </c>
      <c r="O68" s="246">
        <f t="shared" si="84"/>
        <v>1</v>
      </c>
      <c r="P68" s="246">
        <f t="shared" si="4"/>
        <v>4</v>
      </c>
      <c r="Q68" s="246">
        <f t="shared" ref="Q68:S68" si="85">P68</f>
        <v>4</v>
      </c>
      <c r="R68" s="246">
        <f t="shared" si="85"/>
        <v>4</v>
      </c>
      <c r="S68" s="246">
        <f t="shared" si="85"/>
        <v>4</v>
      </c>
    </row>
    <row r="69" spans="2:19">
      <c r="B69" s="29"/>
      <c r="C69" s="33" t="s">
        <v>475</v>
      </c>
      <c r="D69" s="246"/>
      <c r="E69" s="246"/>
      <c r="F69" s="246"/>
      <c r="G69" s="246"/>
      <c r="H69" s="246"/>
      <c r="I69" s="246"/>
      <c r="J69" s="246"/>
      <c r="K69" s="246"/>
      <c r="L69" s="246"/>
      <c r="M69" s="246">
        <v>2</v>
      </c>
      <c r="N69" s="246">
        <f t="shared" ref="N69:O69" si="86">M69</f>
        <v>2</v>
      </c>
      <c r="O69" s="246">
        <f t="shared" si="86"/>
        <v>2</v>
      </c>
      <c r="P69" s="246">
        <f t="shared" si="4"/>
        <v>8</v>
      </c>
      <c r="Q69" s="246">
        <f t="shared" ref="Q69:S69" si="87">P69</f>
        <v>8</v>
      </c>
      <c r="R69" s="246">
        <f t="shared" si="87"/>
        <v>8</v>
      </c>
      <c r="S69" s="246">
        <f t="shared" si="87"/>
        <v>8</v>
      </c>
    </row>
    <row r="70" spans="2:19">
      <c r="B70" s="29"/>
      <c r="C70" s="33" t="s">
        <v>476</v>
      </c>
      <c r="D70" s="246"/>
      <c r="E70" s="246"/>
      <c r="F70" s="246"/>
      <c r="G70" s="246"/>
      <c r="H70" s="246"/>
      <c r="I70" s="246"/>
      <c r="J70" s="246"/>
      <c r="K70" s="246"/>
      <c r="L70" s="246"/>
      <c r="M70" s="246">
        <v>2</v>
      </c>
      <c r="N70" s="246">
        <f t="shared" ref="N70:O70" si="88">M70</f>
        <v>2</v>
      </c>
      <c r="O70" s="246">
        <f t="shared" si="88"/>
        <v>2</v>
      </c>
      <c r="P70" s="246">
        <f t="shared" si="4"/>
        <v>8</v>
      </c>
      <c r="Q70" s="246">
        <f t="shared" ref="Q70:S70" si="89">P70</f>
        <v>8</v>
      </c>
      <c r="R70" s="246">
        <f t="shared" si="89"/>
        <v>8</v>
      </c>
      <c r="S70" s="246">
        <f t="shared" si="89"/>
        <v>8</v>
      </c>
    </row>
    <row r="71" spans="2:19">
      <c r="B71" s="29" t="s">
        <v>489</v>
      </c>
      <c r="C71" s="33" t="s">
        <v>473</v>
      </c>
      <c r="D71" s="246"/>
      <c r="E71" s="246"/>
      <c r="F71" s="246"/>
      <c r="G71" s="246"/>
      <c r="H71" s="246"/>
      <c r="I71" s="246"/>
      <c r="J71" s="246"/>
      <c r="K71" s="246"/>
      <c r="L71" s="246"/>
      <c r="M71" s="246">
        <v>2</v>
      </c>
      <c r="N71" s="246">
        <f t="shared" ref="N71:O71" si="90">M71</f>
        <v>2</v>
      </c>
      <c r="O71" s="246">
        <f t="shared" si="90"/>
        <v>2</v>
      </c>
      <c r="P71" s="246">
        <f t="shared" si="4"/>
        <v>8</v>
      </c>
      <c r="Q71" s="246">
        <f t="shared" ref="Q71:S71" si="91">P71</f>
        <v>8</v>
      </c>
      <c r="R71" s="246">
        <f t="shared" si="91"/>
        <v>8</v>
      </c>
      <c r="S71" s="246">
        <f t="shared" si="91"/>
        <v>8</v>
      </c>
    </row>
    <row r="72" spans="2:19">
      <c r="B72" s="29"/>
      <c r="C72" s="33" t="s">
        <v>474</v>
      </c>
      <c r="D72" s="246"/>
      <c r="E72" s="246"/>
      <c r="F72" s="246"/>
      <c r="G72" s="246"/>
      <c r="H72" s="246"/>
      <c r="I72" s="246"/>
      <c r="J72" s="246"/>
      <c r="K72" s="246"/>
      <c r="L72" s="246"/>
      <c r="M72" s="246">
        <v>2</v>
      </c>
      <c r="N72" s="246">
        <f t="shared" ref="N72:O72" si="92">M72</f>
        <v>2</v>
      </c>
      <c r="O72" s="246">
        <f t="shared" si="92"/>
        <v>2</v>
      </c>
      <c r="P72" s="246">
        <f t="shared" si="4"/>
        <v>8</v>
      </c>
      <c r="Q72" s="246">
        <f t="shared" ref="Q72:S72" si="93">P72</f>
        <v>8</v>
      </c>
      <c r="R72" s="246">
        <f t="shared" si="93"/>
        <v>8</v>
      </c>
      <c r="S72" s="246">
        <f t="shared" si="93"/>
        <v>8</v>
      </c>
    </row>
    <row r="73" spans="2:19">
      <c r="B73" s="29"/>
      <c r="C73" s="33" t="s">
        <v>475</v>
      </c>
      <c r="D73" s="246"/>
      <c r="E73" s="246"/>
      <c r="F73" s="246"/>
      <c r="G73" s="246"/>
      <c r="H73" s="246"/>
      <c r="I73" s="246"/>
      <c r="J73" s="246"/>
      <c r="K73" s="246"/>
      <c r="L73" s="246"/>
      <c r="M73" s="246">
        <v>2</v>
      </c>
      <c r="N73" s="246">
        <f t="shared" ref="N73:O73" si="94">M73</f>
        <v>2</v>
      </c>
      <c r="O73" s="246">
        <f t="shared" si="94"/>
        <v>2</v>
      </c>
      <c r="P73" s="246">
        <f t="shared" si="4"/>
        <v>8</v>
      </c>
      <c r="Q73" s="246">
        <f t="shared" ref="Q73:S73" si="95">P73</f>
        <v>8</v>
      </c>
      <c r="R73" s="246">
        <f t="shared" si="95"/>
        <v>8</v>
      </c>
      <c r="S73" s="246">
        <f t="shared" si="95"/>
        <v>8</v>
      </c>
    </row>
    <row r="74" spans="2:19">
      <c r="B74" s="29"/>
      <c r="C74" s="33" t="s">
        <v>476</v>
      </c>
      <c r="D74" s="246"/>
      <c r="E74" s="246"/>
      <c r="F74" s="246"/>
      <c r="G74" s="246"/>
      <c r="H74" s="246"/>
      <c r="I74" s="246"/>
      <c r="J74" s="246"/>
      <c r="K74" s="246"/>
      <c r="L74" s="246"/>
      <c r="M74" s="246">
        <v>1</v>
      </c>
      <c r="N74" s="246">
        <f t="shared" ref="N74:O74" si="96">M74</f>
        <v>1</v>
      </c>
      <c r="O74" s="246">
        <f t="shared" si="96"/>
        <v>1</v>
      </c>
      <c r="P74" s="246">
        <f t="shared" si="4"/>
        <v>4</v>
      </c>
      <c r="Q74" s="246">
        <f t="shared" ref="Q74:S74" si="97">P74</f>
        <v>4</v>
      </c>
      <c r="R74" s="246">
        <f t="shared" si="97"/>
        <v>4</v>
      </c>
      <c r="S74" s="246">
        <f t="shared" si="97"/>
        <v>4</v>
      </c>
    </row>
    <row r="75" spans="2:19">
      <c r="B75" s="29" t="s">
        <v>490</v>
      </c>
      <c r="C75" s="33" t="s">
        <v>473</v>
      </c>
      <c r="D75" s="246"/>
      <c r="E75" s="246"/>
      <c r="F75" s="246"/>
      <c r="G75" s="246"/>
      <c r="H75" s="246"/>
      <c r="I75" s="246"/>
      <c r="J75" s="246"/>
      <c r="K75" s="246"/>
      <c r="L75" s="246"/>
      <c r="M75" s="246">
        <v>2</v>
      </c>
      <c r="N75" s="246">
        <f t="shared" ref="N75:O75" si="98">M75</f>
        <v>2</v>
      </c>
      <c r="O75" s="246">
        <f t="shared" si="98"/>
        <v>2</v>
      </c>
      <c r="P75" s="246">
        <f t="shared" si="4"/>
        <v>8</v>
      </c>
      <c r="Q75" s="246">
        <f t="shared" ref="Q75:S75" si="99">P75</f>
        <v>8</v>
      </c>
      <c r="R75" s="246">
        <f t="shared" si="99"/>
        <v>8</v>
      </c>
      <c r="S75" s="246">
        <f t="shared" si="99"/>
        <v>8</v>
      </c>
    </row>
    <row r="76" spans="2:19">
      <c r="B76" s="29"/>
      <c r="C76" s="33" t="s">
        <v>474</v>
      </c>
      <c r="D76" s="246"/>
      <c r="E76" s="246"/>
      <c r="F76" s="246"/>
      <c r="G76" s="246"/>
      <c r="H76" s="246"/>
      <c r="I76" s="246"/>
      <c r="J76" s="246"/>
      <c r="K76" s="246"/>
      <c r="L76" s="246"/>
      <c r="M76" s="246">
        <v>2</v>
      </c>
      <c r="N76" s="246">
        <f t="shared" ref="N76:O76" si="100">M76</f>
        <v>2</v>
      </c>
      <c r="O76" s="246">
        <f t="shared" si="100"/>
        <v>2</v>
      </c>
      <c r="P76" s="246">
        <f t="shared" si="4"/>
        <v>8</v>
      </c>
      <c r="Q76" s="246">
        <f t="shared" ref="Q76:S76" si="101">P76</f>
        <v>8</v>
      </c>
      <c r="R76" s="246">
        <f t="shared" si="101"/>
        <v>8</v>
      </c>
      <c r="S76" s="246">
        <f t="shared" si="101"/>
        <v>8</v>
      </c>
    </row>
    <row r="77" spans="2:19">
      <c r="B77" s="29"/>
      <c r="C77" s="33" t="s">
        <v>475</v>
      </c>
      <c r="D77" s="246"/>
      <c r="E77" s="246"/>
      <c r="F77" s="246"/>
      <c r="G77" s="246"/>
      <c r="H77" s="246"/>
      <c r="I77" s="246"/>
      <c r="J77" s="246"/>
      <c r="K77" s="246"/>
      <c r="L77" s="246"/>
      <c r="M77" s="246">
        <v>1</v>
      </c>
      <c r="N77" s="246">
        <f t="shared" ref="N77:O77" si="102">M77</f>
        <v>1</v>
      </c>
      <c r="O77" s="246">
        <f t="shared" si="102"/>
        <v>1</v>
      </c>
      <c r="P77" s="246">
        <f t="shared" si="4"/>
        <v>4</v>
      </c>
      <c r="Q77" s="246">
        <f t="shared" ref="Q77:S77" si="103">P77</f>
        <v>4</v>
      </c>
      <c r="R77" s="246">
        <f t="shared" si="103"/>
        <v>4</v>
      </c>
      <c r="S77" s="246">
        <f t="shared" si="103"/>
        <v>4</v>
      </c>
    </row>
    <row r="78" spans="2:19">
      <c r="B78" s="29"/>
      <c r="C78" s="33" t="s">
        <v>476</v>
      </c>
      <c r="D78" s="246"/>
      <c r="E78" s="246"/>
      <c r="F78" s="246"/>
      <c r="G78" s="246"/>
      <c r="H78" s="246"/>
      <c r="I78" s="246"/>
      <c r="J78" s="246"/>
      <c r="K78" s="246"/>
      <c r="L78" s="246"/>
      <c r="M78" s="246">
        <v>2</v>
      </c>
      <c r="N78" s="246">
        <f t="shared" ref="N78:O78" si="104">M78</f>
        <v>2</v>
      </c>
      <c r="O78" s="246">
        <f t="shared" si="104"/>
        <v>2</v>
      </c>
      <c r="P78" s="246">
        <f t="shared" si="4"/>
        <v>8</v>
      </c>
      <c r="Q78" s="246">
        <f t="shared" ref="Q78:S78" si="105">P78</f>
        <v>8</v>
      </c>
      <c r="R78" s="246">
        <f t="shared" si="105"/>
        <v>8</v>
      </c>
      <c r="S78" s="246">
        <f t="shared" si="105"/>
        <v>8</v>
      </c>
    </row>
    <row r="79" spans="2:19">
      <c r="B79" s="29" t="s">
        <v>491</v>
      </c>
      <c r="C79" s="33" t="s">
        <v>473</v>
      </c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>
        <v>2</v>
      </c>
      <c r="O79" s="246">
        <f t="shared" ref="O79" si="106">N79</f>
        <v>2</v>
      </c>
      <c r="P79" s="246">
        <f t="shared" si="4"/>
        <v>8</v>
      </c>
      <c r="Q79" s="246">
        <f t="shared" ref="Q79:S79" si="107">P79</f>
        <v>8</v>
      </c>
      <c r="R79" s="246">
        <f t="shared" si="107"/>
        <v>8</v>
      </c>
      <c r="S79" s="246">
        <f t="shared" si="107"/>
        <v>8</v>
      </c>
    </row>
    <row r="80" spans="2:19">
      <c r="B80" s="29"/>
      <c r="C80" s="33" t="s">
        <v>474</v>
      </c>
      <c r="D80" s="246"/>
      <c r="E80" s="246"/>
      <c r="F80" s="246"/>
      <c r="G80" s="246"/>
      <c r="H80" s="246"/>
      <c r="I80" s="246"/>
      <c r="J80" s="246"/>
      <c r="K80" s="246"/>
      <c r="L80" s="246"/>
      <c r="M80" s="246"/>
      <c r="N80" s="246">
        <v>2</v>
      </c>
      <c r="O80" s="246">
        <f t="shared" ref="O80" si="108">N80</f>
        <v>2</v>
      </c>
      <c r="P80" s="246">
        <f t="shared" si="4"/>
        <v>8</v>
      </c>
      <c r="Q80" s="246">
        <f t="shared" ref="Q80:S80" si="109">P80</f>
        <v>8</v>
      </c>
      <c r="R80" s="246">
        <f t="shared" si="109"/>
        <v>8</v>
      </c>
      <c r="S80" s="246">
        <f t="shared" si="109"/>
        <v>8</v>
      </c>
    </row>
    <row r="81" spans="2:19">
      <c r="B81" s="29"/>
      <c r="C81" s="33" t="s">
        <v>475</v>
      </c>
      <c r="D81" s="246"/>
      <c r="E81" s="246"/>
      <c r="F81" s="246"/>
      <c r="G81" s="246"/>
      <c r="H81" s="246"/>
      <c r="I81" s="246"/>
      <c r="J81" s="246"/>
      <c r="K81" s="246"/>
      <c r="L81" s="246"/>
      <c r="M81" s="246"/>
      <c r="N81" s="246">
        <v>2</v>
      </c>
      <c r="O81" s="246">
        <f t="shared" ref="O81" si="110">N81</f>
        <v>2</v>
      </c>
      <c r="P81" s="246">
        <f t="shared" si="4"/>
        <v>8</v>
      </c>
      <c r="Q81" s="246">
        <f t="shared" ref="Q81:S81" si="111">P81</f>
        <v>8</v>
      </c>
      <c r="R81" s="246">
        <f t="shared" si="111"/>
        <v>8</v>
      </c>
      <c r="S81" s="246">
        <f t="shared" si="111"/>
        <v>8</v>
      </c>
    </row>
    <row r="82" spans="2:19">
      <c r="B82" s="29"/>
      <c r="C82" s="33" t="s">
        <v>476</v>
      </c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>
        <v>1</v>
      </c>
      <c r="O82" s="246">
        <f t="shared" ref="O82" si="112">N82</f>
        <v>1</v>
      </c>
      <c r="P82" s="246">
        <f t="shared" si="4"/>
        <v>4</v>
      </c>
      <c r="Q82" s="246">
        <f t="shared" ref="Q82:S82" si="113">P82</f>
        <v>4</v>
      </c>
      <c r="R82" s="246">
        <f t="shared" si="113"/>
        <v>4</v>
      </c>
      <c r="S82" s="246">
        <f t="shared" si="113"/>
        <v>4</v>
      </c>
    </row>
    <row r="83" spans="2:19">
      <c r="B83" s="29" t="s">
        <v>492</v>
      </c>
      <c r="C83" s="33" t="s">
        <v>473</v>
      </c>
      <c r="D83" s="246"/>
      <c r="E83" s="246"/>
      <c r="F83" s="246"/>
      <c r="G83" s="246"/>
      <c r="H83" s="246"/>
      <c r="I83" s="246"/>
      <c r="J83" s="246"/>
      <c r="K83" s="246"/>
      <c r="L83" s="246"/>
      <c r="M83" s="246"/>
      <c r="N83" s="246">
        <v>2</v>
      </c>
      <c r="O83" s="246">
        <f t="shared" ref="O83" si="114">N83</f>
        <v>2</v>
      </c>
      <c r="P83" s="246">
        <f t="shared" si="4"/>
        <v>8</v>
      </c>
      <c r="Q83" s="246">
        <f t="shared" ref="Q83:S83" si="115">P83</f>
        <v>8</v>
      </c>
      <c r="R83" s="246">
        <f t="shared" si="115"/>
        <v>8</v>
      </c>
      <c r="S83" s="246">
        <f t="shared" si="115"/>
        <v>8</v>
      </c>
    </row>
    <row r="84" spans="2:19">
      <c r="B84" s="29"/>
      <c r="C84" s="33" t="s">
        <v>474</v>
      </c>
      <c r="D84" s="246"/>
      <c r="E84" s="246"/>
      <c r="F84" s="246"/>
      <c r="G84" s="246"/>
      <c r="H84" s="246"/>
      <c r="I84" s="246"/>
      <c r="J84" s="246"/>
      <c r="K84" s="246"/>
      <c r="L84" s="246"/>
      <c r="M84" s="246"/>
      <c r="N84" s="246">
        <v>1</v>
      </c>
      <c r="O84" s="246">
        <f t="shared" ref="O84" si="116">N84</f>
        <v>1</v>
      </c>
      <c r="P84" s="246">
        <f t="shared" ref="P84:P98" si="117">O84*4</f>
        <v>4</v>
      </c>
      <c r="Q84" s="246">
        <f t="shared" ref="Q84:S84" si="118">P84</f>
        <v>4</v>
      </c>
      <c r="R84" s="246">
        <f t="shared" si="118"/>
        <v>4</v>
      </c>
      <c r="S84" s="246">
        <f t="shared" si="118"/>
        <v>4</v>
      </c>
    </row>
    <row r="85" spans="2:19">
      <c r="B85" s="29"/>
      <c r="C85" s="33" t="s">
        <v>475</v>
      </c>
      <c r="D85" s="246"/>
      <c r="E85" s="246"/>
      <c r="F85" s="246"/>
      <c r="G85" s="246"/>
      <c r="H85" s="246"/>
      <c r="I85" s="246"/>
      <c r="J85" s="246"/>
      <c r="K85" s="246"/>
      <c r="L85" s="246"/>
      <c r="M85" s="246"/>
      <c r="N85" s="246">
        <v>1</v>
      </c>
      <c r="O85" s="246">
        <f t="shared" ref="O85" si="119">N85</f>
        <v>1</v>
      </c>
      <c r="P85" s="246">
        <f t="shared" si="117"/>
        <v>4</v>
      </c>
      <c r="Q85" s="246">
        <f t="shared" ref="Q85:S85" si="120">P85</f>
        <v>4</v>
      </c>
      <c r="R85" s="246">
        <f t="shared" si="120"/>
        <v>4</v>
      </c>
      <c r="S85" s="246">
        <f t="shared" si="120"/>
        <v>4</v>
      </c>
    </row>
    <row r="86" spans="2:19">
      <c r="B86" s="29"/>
      <c r="C86" s="33" t="s">
        <v>476</v>
      </c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>
        <v>2</v>
      </c>
      <c r="O86" s="246">
        <f t="shared" ref="O86" si="121">N86</f>
        <v>2</v>
      </c>
      <c r="P86" s="246">
        <f t="shared" si="117"/>
        <v>8</v>
      </c>
      <c r="Q86" s="246">
        <f t="shared" ref="Q86:S86" si="122">P86</f>
        <v>8</v>
      </c>
      <c r="R86" s="246">
        <f t="shared" si="122"/>
        <v>8</v>
      </c>
      <c r="S86" s="246">
        <f t="shared" si="122"/>
        <v>8</v>
      </c>
    </row>
    <row r="87" spans="2:19">
      <c r="B87" s="29" t="s">
        <v>355</v>
      </c>
      <c r="C87" s="33" t="s">
        <v>473</v>
      </c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46">
        <v>2</v>
      </c>
      <c r="O87" s="246">
        <f t="shared" ref="O87" si="123">N87</f>
        <v>2</v>
      </c>
      <c r="P87" s="246">
        <f t="shared" si="117"/>
        <v>8</v>
      </c>
      <c r="Q87" s="246">
        <f t="shared" ref="Q87:S87" si="124">P87</f>
        <v>8</v>
      </c>
      <c r="R87" s="246">
        <f t="shared" si="124"/>
        <v>8</v>
      </c>
      <c r="S87" s="246">
        <f t="shared" si="124"/>
        <v>8</v>
      </c>
    </row>
    <row r="88" spans="2:19">
      <c r="B88" s="29"/>
      <c r="C88" s="33" t="s">
        <v>474</v>
      </c>
      <c r="D88" s="246"/>
      <c r="E88" s="246"/>
      <c r="F88" s="246"/>
      <c r="G88" s="246"/>
      <c r="H88" s="246"/>
      <c r="I88" s="246"/>
      <c r="J88" s="246"/>
      <c r="K88" s="246"/>
      <c r="L88" s="246"/>
      <c r="M88" s="246"/>
      <c r="N88" s="246">
        <v>2</v>
      </c>
      <c r="O88" s="246">
        <f t="shared" ref="O88" si="125">N88</f>
        <v>2</v>
      </c>
      <c r="P88" s="246">
        <f t="shared" si="117"/>
        <v>8</v>
      </c>
      <c r="Q88" s="246">
        <f t="shared" ref="Q88:S88" si="126">P88</f>
        <v>8</v>
      </c>
      <c r="R88" s="246">
        <f t="shared" si="126"/>
        <v>8</v>
      </c>
      <c r="S88" s="246">
        <f t="shared" si="126"/>
        <v>8</v>
      </c>
    </row>
    <row r="89" spans="2:19">
      <c r="B89" s="29"/>
      <c r="C89" s="33" t="s">
        <v>475</v>
      </c>
      <c r="D89" s="246"/>
      <c r="E89" s="246"/>
      <c r="F89" s="246"/>
      <c r="G89" s="246"/>
      <c r="H89" s="246"/>
      <c r="I89" s="246"/>
      <c r="J89" s="246"/>
      <c r="K89" s="246"/>
      <c r="L89" s="246"/>
      <c r="M89" s="246"/>
      <c r="N89" s="246">
        <v>1</v>
      </c>
      <c r="O89" s="246">
        <f t="shared" ref="O89" si="127">N89</f>
        <v>1</v>
      </c>
      <c r="P89" s="246">
        <f t="shared" si="117"/>
        <v>4</v>
      </c>
      <c r="Q89" s="246">
        <f t="shared" ref="Q89:S89" si="128">P89</f>
        <v>4</v>
      </c>
      <c r="R89" s="246">
        <f t="shared" si="128"/>
        <v>4</v>
      </c>
      <c r="S89" s="246">
        <f t="shared" si="128"/>
        <v>4</v>
      </c>
    </row>
    <row r="90" spans="2:19">
      <c r="B90" s="29"/>
      <c r="C90" s="33" t="s">
        <v>476</v>
      </c>
      <c r="D90" s="246"/>
      <c r="E90" s="246"/>
      <c r="F90" s="246"/>
      <c r="G90" s="246"/>
      <c r="H90" s="246"/>
      <c r="I90" s="246"/>
      <c r="J90" s="246"/>
      <c r="K90" s="246"/>
      <c r="L90" s="246"/>
      <c r="M90" s="246"/>
      <c r="N90" s="246">
        <v>2</v>
      </c>
      <c r="O90" s="246">
        <f t="shared" ref="O90" si="129">N90</f>
        <v>2</v>
      </c>
      <c r="P90" s="246">
        <f t="shared" si="117"/>
        <v>8</v>
      </c>
      <c r="Q90" s="246">
        <f t="shared" ref="Q90:S90" si="130">P90</f>
        <v>8</v>
      </c>
      <c r="R90" s="246">
        <f t="shared" si="130"/>
        <v>8</v>
      </c>
      <c r="S90" s="246">
        <f t="shared" si="130"/>
        <v>8</v>
      </c>
    </row>
    <row r="91" spans="2:19">
      <c r="B91" s="29" t="s">
        <v>493</v>
      </c>
      <c r="C91" s="33" t="s">
        <v>473</v>
      </c>
      <c r="D91" s="246"/>
      <c r="E91" s="246"/>
      <c r="F91" s="246"/>
      <c r="G91" s="246"/>
      <c r="H91" s="246"/>
      <c r="I91" s="246"/>
      <c r="J91" s="246"/>
      <c r="K91" s="246"/>
      <c r="L91" s="246"/>
      <c r="M91" s="246"/>
      <c r="N91" s="246"/>
      <c r="O91" s="246">
        <v>2</v>
      </c>
      <c r="P91" s="246">
        <f t="shared" si="117"/>
        <v>8</v>
      </c>
      <c r="Q91" s="246">
        <f t="shared" ref="Q91:S91" si="131">P91</f>
        <v>8</v>
      </c>
      <c r="R91" s="246">
        <f t="shared" si="131"/>
        <v>8</v>
      </c>
      <c r="S91" s="246">
        <f t="shared" si="131"/>
        <v>8</v>
      </c>
    </row>
    <row r="92" spans="2:19">
      <c r="B92" s="29"/>
      <c r="C92" s="33" t="s">
        <v>474</v>
      </c>
      <c r="D92" s="246"/>
      <c r="E92" s="246"/>
      <c r="F92" s="246"/>
      <c r="G92" s="246"/>
      <c r="H92" s="246"/>
      <c r="I92" s="246"/>
      <c r="J92" s="246"/>
      <c r="K92" s="246"/>
      <c r="L92" s="246"/>
      <c r="M92" s="246"/>
      <c r="N92" s="246"/>
      <c r="O92" s="246">
        <v>2</v>
      </c>
      <c r="P92" s="246">
        <f t="shared" si="117"/>
        <v>8</v>
      </c>
      <c r="Q92" s="246">
        <f t="shared" ref="Q92:S92" si="132">P92</f>
        <v>8</v>
      </c>
      <c r="R92" s="246">
        <f t="shared" si="132"/>
        <v>8</v>
      </c>
      <c r="S92" s="246">
        <f t="shared" si="132"/>
        <v>8</v>
      </c>
    </row>
    <row r="93" spans="2:19">
      <c r="B93" s="29"/>
      <c r="C93" s="33" t="s">
        <v>475</v>
      </c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>
        <v>1</v>
      </c>
      <c r="P93" s="246">
        <f t="shared" si="117"/>
        <v>4</v>
      </c>
      <c r="Q93" s="246">
        <f t="shared" ref="Q93:S93" si="133">P93</f>
        <v>4</v>
      </c>
      <c r="R93" s="246">
        <f t="shared" si="133"/>
        <v>4</v>
      </c>
      <c r="S93" s="246">
        <f t="shared" si="133"/>
        <v>4</v>
      </c>
    </row>
    <row r="94" spans="2:19">
      <c r="B94" s="29"/>
      <c r="C94" s="33" t="s">
        <v>476</v>
      </c>
      <c r="D94" s="246"/>
      <c r="E94" s="246"/>
      <c r="F94" s="246"/>
      <c r="G94" s="246"/>
      <c r="H94" s="246"/>
      <c r="I94" s="246"/>
      <c r="J94" s="246"/>
      <c r="K94" s="246"/>
      <c r="L94" s="246"/>
      <c r="M94" s="246"/>
      <c r="N94" s="246"/>
      <c r="O94" s="246">
        <v>2</v>
      </c>
      <c r="P94" s="246">
        <f t="shared" si="117"/>
        <v>8</v>
      </c>
      <c r="Q94" s="246">
        <f t="shared" ref="Q94:S94" si="134">P94</f>
        <v>8</v>
      </c>
      <c r="R94" s="246">
        <f t="shared" si="134"/>
        <v>8</v>
      </c>
      <c r="S94" s="246">
        <f t="shared" si="134"/>
        <v>8</v>
      </c>
    </row>
    <row r="95" spans="2:19">
      <c r="B95" s="29" t="s">
        <v>494</v>
      </c>
      <c r="C95" s="33" t="s">
        <v>473</v>
      </c>
      <c r="D95" s="246"/>
      <c r="E95" s="246"/>
      <c r="F95" s="246"/>
      <c r="G95" s="246"/>
      <c r="H95" s="246"/>
      <c r="I95" s="246"/>
      <c r="J95" s="246"/>
      <c r="K95" s="246"/>
      <c r="L95" s="246"/>
      <c r="M95" s="246"/>
      <c r="N95" s="246"/>
      <c r="O95" s="246">
        <v>2</v>
      </c>
      <c r="P95" s="246">
        <f t="shared" si="117"/>
        <v>8</v>
      </c>
      <c r="Q95" s="246">
        <f t="shared" ref="Q95:S95" si="135">P95</f>
        <v>8</v>
      </c>
      <c r="R95" s="246">
        <f t="shared" si="135"/>
        <v>8</v>
      </c>
      <c r="S95" s="246">
        <f t="shared" si="135"/>
        <v>8</v>
      </c>
    </row>
    <row r="96" spans="2:19">
      <c r="B96" s="29"/>
      <c r="C96" s="33" t="s">
        <v>474</v>
      </c>
      <c r="D96" s="246"/>
      <c r="E96" s="246"/>
      <c r="F96" s="246"/>
      <c r="G96" s="246"/>
      <c r="H96" s="246"/>
      <c r="I96" s="246"/>
      <c r="J96" s="246"/>
      <c r="K96" s="246"/>
      <c r="L96" s="246"/>
      <c r="M96" s="246"/>
      <c r="N96" s="246"/>
      <c r="O96" s="246">
        <v>2</v>
      </c>
      <c r="P96" s="246">
        <f t="shared" si="117"/>
        <v>8</v>
      </c>
      <c r="Q96" s="246">
        <f t="shared" ref="Q96:S96" si="136">P96</f>
        <v>8</v>
      </c>
      <c r="R96" s="246">
        <f t="shared" si="136"/>
        <v>8</v>
      </c>
      <c r="S96" s="246">
        <f t="shared" si="136"/>
        <v>8</v>
      </c>
    </row>
    <row r="97" spans="1:21">
      <c r="B97" s="29"/>
      <c r="C97" s="33" t="s">
        <v>475</v>
      </c>
      <c r="D97" s="246"/>
      <c r="E97" s="246"/>
      <c r="F97" s="246"/>
      <c r="G97" s="246"/>
      <c r="H97" s="246"/>
      <c r="I97" s="246"/>
      <c r="J97" s="246"/>
      <c r="K97" s="246"/>
      <c r="L97" s="246"/>
      <c r="M97" s="246"/>
      <c r="N97" s="246"/>
      <c r="O97" s="246">
        <v>2</v>
      </c>
      <c r="P97" s="246">
        <f t="shared" si="117"/>
        <v>8</v>
      </c>
      <c r="Q97" s="246">
        <f t="shared" ref="Q97:S97" si="137">P97</f>
        <v>8</v>
      </c>
      <c r="R97" s="246">
        <f t="shared" si="137"/>
        <v>8</v>
      </c>
      <c r="S97" s="246">
        <f t="shared" si="137"/>
        <v>8</v>
      </c>
    </row>
    <row r="98" spans="1:21">
      <c r="B98" s="29"/>
      <c r="C98" s="33" t="s">
        <v>476</v>
      </c>
      <c r="D98" s="246"/>
      <c r="E98" s="246"/>
      <c r="F98" s="246"/>
      <c r="G98" s="246"/>
      <c r="H98" s="246"/>
      <c r="I98" s="246"/>
      <c r="J98" s="246"/>
      <c r="K98" s="246"/>
      <c r="L98" s="246"/>
      <c r="M98" s="246"/>
      <c r="N98" s="246"/>
      <c r="O98" s="246">
        <v>1</v>
      </c>
      <c r="P98" s="246">
        <f t="shared" si="117"/>
        <v>4</v>
      </c>
      <c r="Q98" s="246">
        <f t="shared" ref="Q98:S98" si="138">P98</f>
        <v>4</v>
      </c>
      <c r="R98" s="246">
        <f t="shared" si="138"/>
        <v>4</v>
      </c>
      <c r="S98" s="246">
        <f t="shared" si="138"/>
        <v>4</v>
      </c>
    </row>
    <row r="101" spans="1:21" ht="20.25" thickBot="1">
      <c r="A101" s="36" t="s">
        <v>126</v>
      </c>
      <c r="C101" s="165"/>
    </row>
    <row r="102" spans="1:21" ht="15.75" thickTop="1">
      <c r="A102" s="1" t="s">
        <v>128</v>
      </c>
    </row>
    <row r="103" spans="1:21">
      <c r="C103" s="384" t="s">
        <v>206</v>
      </c>
      <c r="D103" s="357" t="s">
        <v>6</v>
      </c>
      <c r="E103" s="357"/>
      <c r="F103" s="357"/>
      <c r="G103" s="357"/>
      <c r="H103" s="357" t="s">
        <v>7</v>
      </c>
      <c r="I103" s="357"/>
      <c r="J103" s="357"/>
      <c r="K103" s="357"/>
      <c r="L103" s="358" t="s">
        <v>8</v>
      </c>
      <c r="M103" s="359"/>
      <c r="N103" s="359"/>
      <c r="O103" s="360"/>
      <c r="P103" s="357" t="s">
        <v>9</v>
      </c>
      <c r="Q103" s="357" t="s">
        <v>10</v>
      </c>
      <c r="R103" s="357" t="s">
        <v>11</v>
      </c>
      <c r="S103" s="357" t="s">
        <v>12</v>
      </c>
    </row>
    <row r="104" spans="1:21">
      <c r="C104" s="385"/>
      <c r="D104" s="75" t="s">
        <v>13</v>
      </c>
      <c r="E104" s="75" t="s">
        <v>14</v>
      </c>
      <c r="F104" s="75" t="s">
        <v>15</v>
      </c>
      <c r="G104" s="75" t="s">
        <v>16</v>
      </c>
      <c r="H104" s="75" t="s">
        <v>13</v>
      </c>
      <c r="I104" s="75" t="s">
        <v>14</v>
      </c>
      <c r="J104" s="75" t="s">
        <v>15</v>
      </c>
      <c r="K104" s="75" t="s">
        <v>16</v>
      </c>
      <c r="L104" s="156" t="s">
        <v>13</v>
      </c>
      <c r="M104" s="156" t="s">
        <v>14</v>
      </c>
      <c r="N104" s="156" t="s">
        <v>15</v>
      </c>
      <c r="O104" s="156" t="s">
        <v>16</v>
      </c>
      <c r="P104" s="357"/>
      <c r="Q104" s="357"/>
      <c r="R104" s="357"/>
      <c r="S104" s="357"/>
    </row>
    <row r="105" spans="1:21">
      <c r="C105" s="28" t="s">
        <v>127</v>
      </c>
      <c r="D105" s="166">
        <v>0.5</v>
      </c>
      <c r="E105" s="166">
        <v>0.5</v>
      </c>
      <c r="F105" s="166">
        <v>0.5</v>
      </c>
      <c r="G105" s="166">
        <v>0.5</v>
      </c>
      <c r="H105" s="166">
        <v>0.53</v>
      </c>
      <c r="I105" s="166">
        <v>0.53</v>
      </c>
      <c r="J105" s="166">
        <v>0.53</v>
      </c>
      <c r="K105" s="166">
        <v>0.53</v>
      </c>
      <c r="L105" s="166">
        <v>0.6</v>
      </c>
      <c r="M105" s="166">
        <v>0.6</v>
      </c>
      <c r="N105" s="166">
        <v>0.6</v>
      </c>
      <c r="O105" s="166">
        <v>0.6</v>
      </c>
      <c r="P105" s="166">
        <v>0.73</v>
      </c>
      <c r="Q105" s="166">
        <v>0.8</v>
      </c>
      <c r="R105" s="166">
        <v>0.8</v>
      </c>
      <c r="S105" s="166">
        <v>0.83</v>
      </c>
    </row>
    <row r="106" spans="1:21">
      <c r="I106" s="324"/>
    </row>
    <row r="107" spans="1:21" ht="20.25" thickBot="1">
      <c r="A107" s="36" t="s">
        <v>129</v>
      </c>
    </row>
    <row r="108" spans="1:21" ht="15.75" thickTop="1">
      <c r="A108" s="1" t="s">
        <v>276</v>
      </c>
    </row>
    <row r="109" spans="1:21">
      <c r="B109" s="390" t="s">
        <v>109</v>
      </c>
      <c r="C109" s="384" t="s">
        <v>111</v>
      </c>
      <c r="D109" s="357" t="s">
        <v>6</v>
      </c>
      <c r="E109" s="357"/>
      <c r="F109" s="357"/>
      <c r="G109" s="357"/>
      <c r="H109" s="357" t="s">
        <v>7</v>
      </c>
      <c r="I109" s="357"/>
      <c r="J109" s="357"/>
      <c r="K109" s="357"/>
      <c r="L109" s="358" t="s">
        <v>8</v>
      </c>
      <c r="M109" s="359"/>
      <c r="N109" s="359"/>
      <c r="O109" s="360"/>
      <c r="P109" s="357" t="s">
        <v>9</v>
      </c>
      <c r="Q109" s="357" t="s">
        <v>10</v>
      </c>
      <c r="R109" s="357" t="s">
        <v>11</v>
      </c>
      <c r="S109" s="357" t="s">
        <v>12</v>
      </c>
    </row>
    <row r="110" spans="1:21">
      <c r="B110" s="391"/>
      <c r="C110" s="385"/>
      <c r="D110" s="75" t="s">
        <v>13</v>
      </c>
      <c r="E110" s="75" t="s">
        <v>14</v>
      </c>
      <c r="F110" s="75" t="s">
        <v>15</v>
      </c>
      <c r="G110" s="75" t="s">
        <v>16</v>
      </c>
      <c r="H110" s="75" t="s">
        <v>13</v>
      </c>
      <c r="I110" s="75" t="s">
        <v>14</v>
      </c>
      <c r="J110" s="75" t="s">
        <v>15</v>
      </c>
      <c r="K110" s="75" t="s">
        <v>16</v>
      </c>
      <c r="L110" s="156" t="s">
        <v>13</v>
      </c>
      <c r="M110" s="156" t="s">
        <v>14</v>
      </c>
      <c r="N110" s="156" t="s">
        <v>15</v>
      </c>
      <c r="O110" s="156" t="s">
        <v>16</v>
      </c>
      <c r="P110" s="357"/>
      <c r="Q110" s="357"/>
      <c r="R110" s="357"/>
      <c r="S110" s="357"/>
    </row>
    <row r="111" spans="1:21">
      <c r="B111" s="29" t="s">
        <v>477</v>
      </c>
      <c r="C111" s="33" t="s">
        <v>473</v>
      </c>
      <c r="D111" s="158">
        <f t="shared" ref="D111:S111" si="139">ROUNDUP(D19*D$105*VLOOKUP($C111,$C$11:$D$14,2,FALSE),0)</f>
        <v>30</v>
      </c>
      <c r="E111" s="158">
        <f t="shared" si="139"/>
        <v>30</v>
      </c>
      <c r="F111" s="158">
        <f t="shared" si="139"/>
        <v>30</v>
      </c>
      <c r="G111" s="158">
        <f t="shared" si="139"/>
        <v>30</v>
      </c>
      <c r="H111" s="158">
        <f t="shared" si="139"/>
        <v>32</v>
      </c>
      <c r="I111" s="158">
        <f t="shared" si="139"/>
        <v>32</v>
      </c>
      <c r="J111" s="158">
        <f t="shared" si="139"/>
        <v>32</v>
      </c>
      <c r="K111" s="158">
        <f t="shared" si="139"/>
        <v>32</v>
      </c>
      <c r="L111" s="158">
        <f t="shared" si="139"/>
        <v>36</v>
      </c>
      <c r="M111" s="158">
        <f t="shared" si="139"/>
        <v>36</v>
      </c>
      <c r="N111" s="158">
        <f t="shared" si="139"/>
        <v>36</v>
      </c>
      <c r="O111" s="158">
        <f t="shared" si="139"/>
        <v>36</v>
      </c>
      <c r="P111" s="158">
        <f t="shared" si="139"/>
        <v>176</v>
      </c>
      <c r="Q111" s="158">
        <f t="shared" si="139"/>
        <v>192</v>
      </c>
      <c r="R111" s="246">
        <f t="shared" si="139"/>
        <v>192</v>
      </c>
      <c r="S111" s="158">
        <f t="shared" si="139"/>
        <v>200</v>
      </c>
      <c r="T111" s="323"/>
      <c r="U111" s="22"/>
    </row>
    <row r="112" spans="1:21">
      <c r="B112" s="29"/>
      <c r="C112" s="33" t="s">
        <v>474</v>
      </c>
      <c r="D112" s="158">
        <f t="shared" ref="D112:Q112" si="140">ROUNDUP(D20*D$105*VLOOKUP($C112,$C$11:$D$14,2,FALSE),0)</f>
        <v>30</v>
      </c>
      <c r="E112" s="158">
        <f t="shared" si="140"/>
        <v>30</v>
      </c>
      <c r="F112" s="158">
        <f t="shared" si="140"/>
        <v>30</v>
      </c>
      <c r="G112" s="158">
        <f t="shared" si="140"/>
        <v>30</v>
      </c>
      <c r="H112" s="158">
        <f t="shared" si="140"/>
        <v>32</v>
      </c>
      <c r="I112" s="158">
        <f t="shared" si="140"/>
        <v>32</v>
      </c>
      <c r="J112" s="158">
        <f t="shared" si="140"/>
        <v>32</v>
      </c>
      <c r="K112" s="158">
        <f t="shared" si="140"/>
        <v>32</v>
      </c>
      <c r="L112" s="158">
        <f t="shared" si="140"/>
        <v>36</v>
      </c>
      <c r="M112" s="158">
        <f t="shared" si="140"/>
        <v>36</v>
      </c>
      <c r="N112" s="158">
        <f t="shared" si="140"/>
        <v>36</v>
      </c>
      <c r="O112" s="158">
        <f t="shared" si="140"/>
        <v>36</v>
      </c>
      <c r="P112" s="158">
        <f t="shared" si="140"/>
        <v>176</v>
      </c>
      <c r="Q112" s="158">
        <f t="shared" si="140"/>
        <v>192</v>
      </c>
      <c r="R112" s="246">
        <f t="shared" ref="R112:R175" si="141">ROUNDUP(R20*R$105*VLOOKUP($C112,$C$11:$D$14,2,FALSE),0)</f>
        <v>192</v>
      </c>
      <c r="S112" s="158">
        <f t="shared" ref="S112:S142" si="142">ROUNDUP(S20*S$105*VLOOKUP($C112,$C$11:$D$14,2,FALSE),0)</f>
        <v>200</v>
      </c>
      <c r="T112" s="323"/>
      <c r="U112" s="22"/>
    </row>
    <row r="113" spans="2:21">
      <c r="B113" s="29"/>
      <c r="C113" s="33" t="s">
        <v>475</v>
      </c>
      <c r="D113" s="158">
        <f t="shared" ref="D113:Q113" si="143">ROUNDUP(D21*D$105*VLOOKUP($C113,$C$11:$D$14,2,FALSE),0)</f>
        <v>15</v>
      </c>
      <c r="E113" s="158">
        <f t="shared" si="143"/>
        <v>15</v>
      </c>
      <c r="F113" s="158">
        <f t="shared" si="143"/>
        <v>15</v>
      </c>
      <c r="G113" s="158">
        <f t="shared" si="143"/>
        <v>15</v>
      </c>
      <c r="H113" s="158">
        <f t="shared" si="143"/>
        <v>16</v>
      </c>
      <c r="I113" s="158">
        <f t="shared" si="143"/>
        <v>16</v>
      </c>
      <c r="J113" s="158">
        <f t="shared" si="143"/>
        <v>16</v>
      </c>
      <c r="K113" s="158">
        <f t="shared" si="143"/>
        <v>16</v>
      </c>
      <c r="L113" s="158">
        <f t="shared" si="143"/>
        <v>18</v>
      </c>
      <c r="M113" s="158">
        <f t="shared" si="143"/>
        <v>18</v>
      </c>
      <c r="N113" s="158">
        <f t="shared" si="143"/>
        <v>18</v>
      </c>
      <c r="O113" s="158">
        <f t="shared" si="143"/>
        <v>18</v>
      </c>
      <c r="P113" s="158">
        <f t="shared" si="143"/>
        <v>88</v>
      </c>
      <c r="Q113" s="158">
        <f t="shared" si="143"/>
        <v>96</v>
      </c>
      <c r="R113" s="246">
        <f t="shared" si="141"/>
        <v>96</v>
      </c>
      <c r="S113" s="158">
        <f t="shared" si="142"/>
        <v>100</v>
      </c>
      <c r="T113" s="323"/>
      <c r="U113" s="22"/>
    </row>
    <row r="114" spans="2:21">
      <c r="B114" s="29"/>
      <c r="C114" s="33" t="s">
        <v>476</v>
      </c>
      <c r="D114" s="246">
        <f t="shared" ref="D114:Q114" si="144">ROUNDUP(D22*D$105*VLOOKUP($C114,$C$11:$D$14,2,FALSE),0)</f>
        <v>30</v>
      </c>
      <c r="E114" s="246">
        <f t="shared" si="144"/>
        <v>30</v>
      </c>
      <c r="F114" s="246">
        <f t="shared" si="144"/>
        <v>30</v>
      </c>
      <c r="G114" s="246">
        <f t="shared" si="144"/>
        <v>30</v>
      </c>
      <c r="H114" s="246">
        <f t="shared" si="144"/>
        <v>32</v>
      </c>
      <c r="I114" s="246">
        <f t="shared" si="144"/>
        <v>32</v>
      </c>
      <c r="J114" s="246">
        <f t="shared" si="144"/>
        <v>32</v>
      </c>
      <c r="K114" s="246">
        <f t="shared" si="144"/>
        <v>32</v>
      </c>
      <c r="L114" s="246">
        <f t="shared" si="144"/>
        <v>36</v>
      </c>
      <c r="M114" s="246">
        <f t="shared" si="144"/>
        <v>36</v>
      </c>
      <c r="N114" s="246">
        <f t="shared" si="144"/>
        <v>36</v>
      </c>
      <c r="O114" s="246">
        <f t="shared" si="144"/>
        <v>36</v>
      </c>
      <c r="P114" s="246">
        <f t="shared" si="144"/>
        <v>176</v>
      </c>
      <c r="Q114" s="246">
        <f t="shared" si="144"/>
        <v>192</v>
      </c>
      <c r="R114" s="246">
        <f t="shared" si="141"/>
        <v>192</v>
      </c>
      <c r="S114" s="246">
        <f t="shared" si="142"/>
        <v>200</v>
      </c>
      <c r="T114" s="323"/>
      <c r="U114" s="22"/>
    </row>
    <row r="115" spans="2:21">
      <c r="B115" s="29" t="s">
        <v>478</v>
      </c>
      <c r="C115" s="33" t="s">
        <v>473</v>
      </c>
      <c r="D115" s="158">
        <f t="shared" ref="D115:Q115" si="145">ROUNDUP(D23*D$105*VLOOKUP($C115,$C$11:$D$14,2,FALSE),0)</f>
        <v>0</v>
      </c>
      <c r="E115" s="158">
        <f t="shared" si="145"/>
        <v>15</v>
      </c>
      <c r="F115" s="158">
        <f t="shared" si="145"/>
        <v>15</v>
      </c>
      <c r="G115" s="158">
        <f t="shared" si="145"/>
        <v>15</v>
      </c>
      <c r="H115" s="158">
        <f t="shared" si="145"/>
        <v>16</v>
      </c>
      <c r="I115" s="158">
        <f t="shared" si="145"/>
        <v>16</v>
      </c>
      <c r="J115" s="158">
        <f t="shared" si="145"/>
        <v>16</v>
      </c>
      <c r="K115" s="158">
        <f t="shared" si="145"/>
        <v>16</v>
      </c>
      <c r="L115" s="158">
        <f t="shared" si="145"/>
        <v>18</v>
      </c>
      <c r="M115" s="158">
        <f t="shared" si="145"/>
        <v>18</v>
      </c>
      <c r="N115" s="158">
        <f t="shared" si="145"/>
        <v>18</v>
      </c>
      <c r="O115" s="158">
        <f t="shared" si="145"/>
        <v>18</v>
      </c>
      <c r="P115" s="158">
        <f t="shared" si="145"/>
        <v>88</v>
      </c>
      <c r="Q115" s="158">
        <f t="shared" si="145"/>
        <v>96</v>
      </c>
      <c r="R115" s="246">
        <f t="shared" si="141"/>
        <v>96</v>
      </c>
      <c r="S115" s="158">
        <f t="shared" si="142"/>
        <v>100</v>
      </c>
      <c r="T115" s="323"/>
      <c r="U115" s="22"/>
    </row>
    <row r="116" spans="2:21">
      <c r="B116" s="29"/>
      <c r="C116" s="33" t="s">
        <v>474</v>
      </c>
      <c r="D116" s="158">
        <f t="shared" ref="D116:Q116" si="146">ROUNDUP(D24*D$105*VLOOKUP($C116,$C$11:$D$14,2,FALSE),0)</f>
        <v>0</v>
      </c>
      <c r="E116" s="158">
        <f t="shared" si="146"/>
        <v>15</v>
      </c>
      <c r="F116" s="158">
        <f t="shared" si="146"/>
        <v>15</v>
      </c>
      <c r="G116" s="158">
        <f t="shared" si="146"/>
        <v>15</v>
      </c>
      <c r="H116" s="158">
        <f t="shared" si="146"/>
        <v>16</v>
      </c>
      <c r="I116" s="158">
        <f t="shared" si="146"/>
        <v>16</v>
      </c>
      <c r="J116" s="158">
        <f t="shared" si="146"/>
        <v>16</v>
      </c>
      <c r="K116" s="158">
        <f t="shared" si="146"/>
        <v>16</v>
      </c>
      <c r="L116" s="158">
        <f t="shared" si="146"/>
        <v>18</v>
      </c>
      <c r="M116" s="158">
        <f t="shared" si="146"/>
        <v>18</v>
      </c>
      <c r="N116" s="158">
        <f t="shared" si="146"/>
        <v>18</v>
      </c>
      <c r="O116" s="158">
        <f t="shared" si="146"/>
        <v>18</v>
      </c>
      <c r="P116" s="158">
        <f t="shared" si="146"/>
        <v>88</v>
      </c>
      <c r="Q116" s="158">
        <f t="shared" si="146"/>
        <v>96</v>
      </c>
      <c r="R116" s="246">
        <f t="shared" si="141"/>
        <v>96</v>
      </c>
      <c r="S116" s="158">
        <f t="shared" si="142"/>
        <v>100</v>
      </c>
      <c r="T116" s="323"/>
      <c r="U116" s="22"/>
    </row>
    <row r="117" spans="2:21">
      <c r="B117" s="29"/>
      <c r="C117" s="33" t="s">
        <v>475</v>
      </c>
      <c r="D117" s="158">
        <f t="shared" ref="D117:Q117" si="147">ROUNDUP(D25*D$105*VLOOKUP($C117,$C$11:$D$14,2,FALSE),0)</f>
        <v>0</v>
      </c>
      <c r="E117" s="158">
        <f t="shared" si="147"/>
        <v>30</v>
      </c>
      <c r="F117" s="158">
        <f t="shared" si="147"/>
        <v>30</v>
      </c>
      <c r="G117" s="158">
        <f t="shared" si="147"/>
        <v>30</v>
      </c>
      <c r="H117" s="158">
        <f t="shared" si="147"/>
        <v>32</v>
      </c>
      <c r="I117" s="158">
        <f t="shared" si="147"/>
        <v>32</v>
      </c>
      <c r="J117" s="158">
        <f t="shared" si="147"/>
        <v>32</v>
      </c>
      <c r="K117" s="158">
        <f t="shared" si="147"/>
        <v>32</v>
      </c>
      <c r="L117" s="158">
        <f t="shared" si="147"/>
        <v>36</v>
      </c>
      <c r="M117" s="158">
        <f t="shared" si="147"/>
        <v>36</v>
      </c>
      <c r="N117" s="158">
        <f t="shared" si="147"/>
        <v>36</v>
      </c>
      <c r="O117" s="158">
        <f t="shared" si="147"/>
        <v>36</v>
      </c>
      <c r="P117" s="158">
        <f t="shared" si="147"/>
        <v>176</v>
      </c>
      <c r="Q117" s="158">
        <f t="shared" si="147"/>
        <v>192</v>
      </c>
      <c r="R117" s="246">
        <f t="shared" si="141"/>
        <v>192</v>
      </c>
      <c r="S117" s="158">
        <f t="shared" si="142"/>
        <v>200</v>
      </c>
      <c r="T117" s="323"/>
      <c r="U117" s="22"/>
    </row>
    <row r="118" spans="2:21">
      <c r="B118" s="29"/>
      <c r="C118" s="33" t="s">
        <v>476</v>
      </c>
      <c r="D118" s="246">
        <f t="shared" ref="D118:Q118" si="148">ROUNDUP(D26*D$105*VLOOKUP($C118,$C$11:$D$14,2,FALSE),0)</f>
        <v>0</v>
      </c>
      <c r="E118" s="246">
        <f t="shared" si="148"/>
        <v>30</v>
      </c>
      <c r="F118" s="246">
        <f t="shared" si="148"/>
        <v>30</v>
      </c>
      <c r="G118" s="246">
        <f t="shared" si="148"/>
        <v>30</v>
      </c>
      <c r="H118" s="246">
        <f t="shared" si="148"/>
        <v>32</v>
      </c>
      <c r="I118" s="246">
        <f t="shared" si="148"/>
        <v>32</v>
      </c>
      <c r="J118" s="246">
        <f t="shared" si="148"/>
        <v>32</v>
      </c>
      <c r="K118" s="246">
        <f t="shared" si="148"/>
        <v>32</v>
      </c>
      <c r="L118" s="246">
        <f t="shared" si="148"/>
        <v>36</v>
      </c>
      <c r="M118" s="246">
        <f t="shared" si="148"/>
        <v>36</v>
      </c>
      <c r="N118" s="246">
        <f t="shared" si="148"/>
        <v>36</v>
      </c>
      <c r="O118" s="246">
        <f t="shared" si="148"/>
        <v>36</v>
      </c>
      <c r="P118" s="246">
        <f t="shared" si="148"/>
        <v>176</v>
      </c>
      <c r="Q118" s="246">
        <f t="shared" si="148"/>
        <v>192</v>
      </c>
      <c r="R118" s="246">
        <f t="shared" si="141"/>
        <v>192</v>
      </c>
      <c r="S118" s="246">
        <f t="shared" si="142"/>
        <v>200</v>
      </c>
      <c r="T118" s="323"/>
      <c r="U118" s="22"/>
    </row>
    <row r="119" spans="2:21">
      <c r="B119" s="29" t="s">
        <v>479</v>
      </c>
      <c r="C119" s="33" t="s">
        <v>473</v>
      </c>
      <c r="D119" s="158">
        <f t="shared" ref="D119:Q119" si="149">ROUNDUP(D27*D$105*VLOOKUP($C119,$C$11:$D$14,2,FALSE),0)</f>
        <v>0</v>
      </c>
      <c r="E119" s="158">
        <f t="shared" si="149"/>
        <v>0</v>
      </c>
      <c r="F119" s="158">
        <f t="shared" si="149"/>
        <v>0</v>
      </c>
      <c r="G119" s="158">
        <f t="shared" si="149"/>
        <v>30</v>
      </c>
      <c r="H119" s="158">
        <f t="shared" si="149"/>
        <v>32</v>
      </c>
      <c r="I119" s="158">
        <f t="shared" si="149"/>
        <v>32</v>
      </c>
      <c r="J119" s="158">
        <f t="shared" si="149"/>
        <v>32</v>
      </c>
      <c r="K119" s="158">
        <f t="shared" si="149"/>
        <v>32</v>
      </c>
      <c r="L119" s="158">
        <f t="shared" si="149"/>
        <v>36</v>
      </c>
      <c r="M119" s="158">
        <f t="shared" si="149"/>
        <v>36</v>
      </c>
      <c r="N119" s="158">
        <f t="shared" si="149"/>
        <v>36</v>
      </c>
      <c r="O119" s="158">
        <f t="shared" si="149"/>
        <v>36</v>
      </c>
      <c r="P119" s="158">
        <f t="shared" si="149"/>
        <v>176</v>
      </c>
      <c r="Q119" s="158">
        <f t="shared" si="149"/>
        <v>192</v>
      </c>
      <c r="R119" s="246">
        <f t="shared" si="141"/>
        <v>192</v>
      </c>
      <c r="S119" s="158">
        <f t="shared" si="142"/>
        <v>200</v>
      </c>
      <c r="T119" s="323"/>
      <c r="U119" s="22"/>
    </row>
    <row r="120" spans="2:21">
      <c r="B120" s="29"/>
      <c r="C120" s="33" t="s">
        <v>474</v>
      </c>
      <c r="D120" s="158">
        <f t="shared" ref="D120:Q120" si="150">ROUNDUP(D28*D$105*VLOOKUP($C120,$C$11:$D$14,2,FALSE),0)</f>
        <v>0</v>
      </c>
      <c r="E120" s="158">
        <f t="shared" si="150"/>
        <v>0</v>
      </c>
      <c r="F120" s="158">
        <f t="shared" si="150"/>
        <v>0</v>
      </c>
      <c r="G120" s="158">
        <f t="shared" si="150"/>
        <v>15</v>
      </c>
      <c r="H120" s="158">
        <f t="shared" si="150"/>
        <v>16</v>
      </c>
      <c r="I120" s="158">
        <f t="shared" si="150"/>
        <v>16</v>
      </c>
      <c r="J120" s="158">
        <f t="shared" si="150"/>
        <v>16</v>
      </c>
      <c r="K120" s="158">
        <f t="shared" si="150"/>
        <v>16</v>
      </c>
      <c r="L120" s="158">
        <f t="shared" si="150"/>
        <v>18</v>
      </c>
      <c r="M120" s="158">
        <f t="shared" si="150"/>
        <v>18</v>
      </c>
      <c r="N120" s="158">
        <f t="shared" si="150"/>
        <v>18</v>
      </c>
      <c r="O120" s="158">
        <f t="shared" si="150"/>
        <v>18</v>
      </c>
      <c r="P120" s="158">
        <f t="shared" si="150"/>
        <v>88</v>
      </c>
      <c r="Q120" s="158">
        <f t="shared" si="150"/>
        <v>96</v>
      </c>
      <c r="R120" s="246">
        <f t="shared" si="141"/>
        <v>96</v>
      </c>
      <c r="S120" s="158">
        <f t="shared" si="142"/>
        <v>100</v>
      </c>
      <c r="T120" s="323"/>
      <c r="U120" s="22"/>
    </row>
    <row r="121" spans="2:21">
      <c r="B121" s="29"/>
      <c r="C121" s="33" t="s">
        <v>475</v>
      </c>
      <c r="D121" s="158">
        <f t="shared" ref="D121:Q121" si="151">ROUNDUP(D29*D$105*VLOOKUP($C121,$C$11:$D$14,2,FALSE),0)</f>
        <v>0</v>
      </c>
      <c r="E121" s="158">
        <f t="shared" si="151"/>
        <v>0</v>
      </c>
      <c r="F121" s="158">
        <f t="shared" si="151"/>
        <v>0</v>
      </c>
      <c r="G121" s="158">
        <f t="shared" si="151"/>
        <v>30</v>
      </c>
      <c r="H121" s="158">
        <f t="shared" si="151"/>
        <v>32</v>
      </c>
      <c r="I121" s="158">
        <f t="shared" si="151"/>
        <v>32</v>
      </c>
      <c r="J121" s="158">
        <f t="shared" si="151"/>
        <v>32</v>
      </c>
      <c r="K121" s="158">
        <f t="shared" si="151"/>
        <v>32</v>
      </c>
      <c r="L121" s="158">
        <f t="shared" si="151"/>
        <v>36</v>
      </c>
      <c r="M121" s="158">
        <f t="shared" si="151"/>
        <v>36</v>
      </c>
      <c r="N121" s="158">
        <f t="shared" si="151"/>
        <v>36</v>
      </c>
      <c r="O121" s="158">
        <f t="shared" si="151"/>
        <v>36</v>
      </c>
      <c r="P121" s="158">
        <f t="shared" si="151"/>
        <v>176</v>
      </c>
      <c r="Q121" s="158">
        <f t="shared" si="151"/>
        <v>192</v>
      </c>
      <c r="R121" s="246">
        <f t="shared" si="141"/>
        <v>192</v>
      </c>
      <c r="S121" s="158">
        <f t="shared" si="142"/>
        <v>200</v>
      </c>
      <c r="T121" s="323"/>
      <c r="U121" s="22"/>
    </row>
    <row r="122" spans="2:21">
      <c r="B122" s="29"/>
      <c r="C122" s="33" t="s">
        <v>476</v>
      </c>
      <c r="D122" s="158">
        <f t="shared" ref="D122:Q122" si="152">ROUNDUP(D30*D$105*VLOOKUP($C122,$C$11:$D$14,2,FALSE),0)</f>
        <v>0</v>
      </c>
      <c r="E122" s="158">
        <f t="shared" si="152"/>
        <v>0</v>
      </c>
      <c r="F122" s="158">
        <f t="shared" si="152"/>
        <v>0</v>
      </c>
      <c r="G122" s="158">
        <f t="shared" si="152"/>
        <v>30</v>
      </c>
      <c r="H122" s="158">
        <f t="shared" si="152"/>
        <v>32</v>
      </c>
      <c r="I122" s="158">
        <f t="shared" si="152"/>
        <v>32</v>
      </c>
      <c r="J122" s="158">
        <f t="shared" si="152"/>
        <v>32</v>
      </c>
      <c r="K122" s="158">
        <f t="shared" si="152"/>
        <v>32</v>
      </c>
      <c r="L122" s="158">
        <f t="shared" si="152"/>
        <v>36</v>
      </c>
      <c r="M122" s="158">
        <f t="shared" si="152"/>
        <v>36</v>
      </c>
      <c r="N122" s="158">
        <f t="shared" si="152"/>
        <v>36</v>
      </c>
      <c r="O122" s="158">
        <f t="shared" si="152"/>
        <v>36</v>
      </c>
      <c r="P122" s="158">
        <f t="shared" si="152"/>
        <v>176</v>
      </c>
      <c r="Q122" s="158">
        <f t="shared" si="152"/>
        <v>192</v>
      </c>
      <c r="R122" s="246">
        <f t="shared" si="141"/>
        <v>192</v>
      </c>
      <c r="S122" s="158">
        <f t="shared" si="142"/>
        <v>200</v>
      </c>
      <c r="T122" s="323"/>
      <c r="U122" s="22"/>
    </row>
    <row r="123" spans="2:21">
      <c r="B123" s="29" t="s">
        <v>353</v>
      </c>
      <c r="C123" s="33" t="s">
        <v>473</v>
      </c>
      <c r="D123" s="158">
        <f t="shared" ref="D123:Q123" si="153">ROUNDUP(D31*D$105*VLOOKUP($C123,$C$11:$D$14,2,FALSE),0)</f>
        <v>0</v>
      </c>
      <c r="E123" s="158">
        <f t="shared" si="153"/>
        <v>0</v>
      </c>
      <c r="F123" s="158">
        <f t="shared" si="153"/>
        <v>0</v>
      </c>
      <c r="G123" s="158">
        <f t="shared" si="153"/>
        <v>0</v>
      </c>
      <c r="H123" s="158">
        <f t="shared" si="153"/>
        <v>32</v>
      </c>
      <c r="I123" s="158">
        <f t="shared" si="153"/>
        <v>32</v>
      </c>
      <c r="J123" s="158">
        <f t="shared" si="153"/>
        <v>32</v>
      </c>
      <c r="K123" s="158">
        <f t="shared" si="153"/>
        <v>32</v>
      </c>
      <c r="L123" s="158">
        <f t="shared" si="153"/>
        <v>36</v>
      </c>
      <c r="M123" s="158">
        <f t="shared" si="153"/>
        <v>36</v>
      </c>
      <c r="N123" s="158">
        <f t="shared" si="153"/>
        <v>36</v>
      </c>
      <c r="O123" s="158">
        <f t="shared" si="153"/>
        <v>36</v>
      </c>
      <c r="P123" s="158">
        <f t="shared" si="153"/>
        <v>176</v>
      </c>
      <c r="Q123" s="158">
        <f t="shared" si="153"/>
        <v>192</v>
      </c>
      <c r="R123" s="246">
        <f t="shared" si="141"/>
        <v>192</v>
      </c>
      <c r="S123" s="158">
        <f t="shared" si="142"/>
        <v>200</v>
      </c>
      <c r="T123" s="323"/>
      <c r="U123" s="22"/>
    </row>
    <row r="124" spans="2:21">
      <c r="B124" s="29"/>
      <c r="C124" s="33" t="s">
        <v>474</v>
      </c>
      <c r="D124" s="158">
        <f t="shared" ref="D124:Q124" si="154">ROUNDUP(D32*D$105*VLOOKUP($C124,$C$11:$D$14,2,FALSE),0)</f>
        <v>0</v>
      </c>
      <c r="E124" s="158">
        <f t="shared" si="154"/>
        <v>0</v>
      </c>
      <c r="F124" s="158">
        <f t="shared" si="154"/>
        <v>0</v>
      </c>
      <c r="G124" s="158">
        <f t="shared" si="154"/>
        <v>0</v>
      </c>
      <c r="H124" s="158">
        <f t="shared" si="154"/>
        <v>32</v>
      </c>
      <c r="I124" s="158">
        <f t="shared" si="154"/>
        <v>32</v>
      </c>
      <c r="J124" s="158">
        <f t="shared" si="154"/>
        <v>32</v>
      </c>
      <c r="K124" s="158">
        <f t="shared" si="154"/>
        <v>32</v>
      </c>
      <c r="L124" s="158">
        <f t="shared" si="154"/>
        <v>36</v>
      </c>
      <c r="M124" s="158">
        <f t="shared" si="154"/>
        <v>36</v>
      </c>
      <c r="N124" s="158">
        <f t="shared" si="154"/>
        <v>36</v>
      </c>
      <c r="O124" s="158">
        <f t="shared" si="154"/>
        <v>36</v>
      </c>
      <c r="P124" s="158">
        <f t="shared" si="154"/>
        <v>176</v>
      </c>
      <c r="Q124" s="158">
        <f t="shared" si="154"/>
        <v>192</v>
      </c>
      <c r="R124" s="246">
        <f t="shared" si="141"/>
        <v>192</v>
      </c>
      <c r="S124" s="158">
        <f t="shared" si="142"/>
        <v>200</v>
      </c>
      <c r="T124" s="323"/>
      <c r="U124" s="22"/>
    </row>
    <row r="125" spans="2:21">
      <c r="B125" s="29"/>
      <c r="C125" s="33" t="s">
        <v>475</v>
      </c>
      <c r="D125" s="158">
        <f t="shared" ref="D125:Q125" si="155">ROUNDUP(D33*D$105*VLOOKUP($C125,$C$11:$D$14,2,FALSE),0)</f>
        <v>0</v>
      </c>
      <c r="E125" s="158">
        <f t="shared" si="155"/>
        <v>0</v>
      </c>
      <c r="F125" s="158">
        <f t="shared" si="155"/>
        <v>0</v>
      </c>
      <c r="G125" s="158">
        <f t="shared" si="155"/>
        <v>0</v>
      </c>
      <c r="H125" s="158">
        <f t="shared" si="155"/>
        <v>32</v>
      </c>
      <c r="I125" s="158">
        <f t="shared" si="155"/>
        <v>32</v>
      </c>
      <c r="J125" s="158">
        <f t="shared" si="155"/>
        <v>32</v>
      </c>
      <c r="K125" s="158">
        <f t="shared" si="155"/>
        <v>32</v>
      </c>
      <c r="L125" s="158">
        <f t="shared" si="155"/>
        <v>36</v>
      </c>
      <c r="M125" s="158">
        <f t="shared" si="155"/>
        <v>36</v>
      </c>
      <c r="N125" s="158">
        <f t="shared" si="155"/>
        <v>36</v>
      </c>
      <c r="O125" s="158">
        <f t="shared" si="155"/>
        <v>36</v>
      </c>
      <c r="P125" s="158">
        <f t="shared" si="155"/>
        <v>176</v>
      </c>
      <c r="Q125" s="158">
        <f t="shared" si="155"/>
        <v>192</v>
      </c>
      <c r="R125" s="246">
        <f t="shared" si="141"/>
        <v>192</v>
      </c>
      <c r="S125" s="158">
        <f t="shared" si="142"/>
        <v>200</v>
      </c>
      <c r="T125" s="323"/>
      <c r="U125" s="22"/>
    </row>
    <row r="126" spans="2:21">
      <c r="B126" s="29"/>
      <c r="C126" s="33" t="s">
        <v>476</v>
      </c>
      <c r="D126" s="246">
        <f t="shared" ref="D126:Q126" si="156">ROUNDUP(D34*D$105*VLOOKUP($C126,$C$11:$D$14,2,FALSE),0)</f>
        <v>0</v>
      </c>
      <c r="E126" s="246">
        <f t="shared" si="156"/>
        <v>0</v>
      </c>
      <c r="F126" s="246">
        <f t="shared" si="156"/>
        <v>0</v>
      </c>
      <c r="G126" s="246">
        <f t="shared" si="156"/>
        <v>0</v>
      </c>
      <c r="H126" s="246">
        <f t="shared" si="156"/>
        <v>16</v>
      </c>
      <c r="I126" s="246">
        <f t="shared" si="156"/>
        <v>16</v>
      </c>
      <c r="J126" s="246">
        <f t="shared" si="156"/>
        <v>16</v>
      </c>
      <c r="K126" s="246">
        <f t="shared" si="156"/>
        <v>16</v>
      </c>
      <c r="L126" s="246">
        <f t="shared" si="156"/>
        <v>18</v>
      </c>
      <c r="M126" s="246">
        <f t="shared" si="156"/>
        <v>18</v>
      </c>
      <c r="N126" s="246">
        <f t="shared" si="156"/>
        <v>18</v>
      </c>
      <c r="O126" s="246">
        <f t="shared" si="156"/>
        <v>18</v>
      </c>
      <c r="P126" s="246">
        <f t="shared" si="156"/>
        <v>88</v>
      </c>
      <c r="Q126" s="246">
        <f t="shared" si="156"/>
        <v>96</v>
      </c>
      <c r="R126" s="246">
        <f t="shared" si="141"/>
        <v>96</v>
      </c>
      <c r="S126" s="246">
        <f t="shared" si="142"/>
        <v>100</v>
      </c>
      <c r="T126" s="323"/>
      <c r="U126" s="22"/>
    </row>
    <row r="127" spans="2:21">
      <c r="B127" s="29" t="s">
        <v>481</v>
      </c>
      <c r="C127" s="33" t="s">
        <v>473</v>
      </c>
      <c r="D127" s="158">
        <f t="shared" ref="D127:Q127" si="157">ROUNDUP(D35*D$105*VLOOKUP($C127,$C$11:$D$14,2,FALSE),0)</f>
        <v>0</v>
      </c>
      <c r="E127" s="158">
        <f t="shared" si="157"/>
        <v>0</v>
      </c>
      <c r="F127" s="158">
        <f t="shared" si="157"/>
        <v>0</v>
      </c>
      <c r="G127" s="158">
        <f t="shared" si="157"/>
        <v>0</v>
      </c>
      <c r="H127" s="158">
        <f t="shared" si="157"/>
        <v>0</v>
      </c>
      <c r="I127" s="158">
        <f t="shared" si="157"/>
        <v>32</v>
      </c>
      <c r="J127" s="158">
        <f t="shared" si="157"/>
        <v>32</v>
      </c>
      <c r="K127" s="246">
        <f t="shared" si="157"/>
        <v>32</v>
      </c>
      <c r="L127" s="158">
        <f t="shared" si="157"/>
        <v>36</v>
      </c>
      <c r="M127" s="158">
        <f t="shared" si="157"/>
        <v>36</v>
      </c>
      <c r="N127" s="158">
        <f t="shared" si="157"/>
        <v>36</v>
      </c>
      <c r="O127" s="158">
        <f t="shared" si="157"/>
        <v>36</v>
      </c>
      <c r="P127" s="158">
        <f t="shared" si="157"/>
        <v>176</v>
      </c>
      <c r="Q127" s="158">
        <f t="shared" si="157"/>
        <v>192</v>
      </c>
      <c r="R127" s="246">
        <f t="shared" si="141"/>
        <v>192</v>
      </c>
      <c r="S127" s="158">
        <f t="shared" si="142"/>
        <v>200</v>
      </c>
      <c r="T127" s="323"/>
      <c r="U127" s="22"/>
    </row>
    <row r="128" spans="2:21">
      <c r="B128" s="29"/>
      <c r="C128" s="33" t="s">
        <v>474</v>
      </c>
      <c r="D128" s="158">
        <f t="shared" ref="D128:Q128" si="158">ROUNDUP(D36*D$105*VLOOKUP($C128,$C$11:$D$14,2,FALSE),0)</f>
        <v>0</v>
      </c>
      <c r="E128" s="158">
        <f t="shared" si="158"/>
        <v>0</v>
      </c>
      <c r="F128" s="158">
        <f t="shared" si="158"/>
        <v>0</v>
      </c>
      <c r="G128" s="158">
        <f t="shared" si="158"/>
        <v>0</v>
      </c>
      <c r="H128" s="158">
        <f t="shared" si="158"/>
        <v>0</v>
      </c>
      <c r="I128" s="158">
        <f t="shared" si="158"/>
        <v>32</v>
      </c>
      <c r="J128" s="158">
        <f t="shared" si="158"/>
        <v>32</v>
      </c>
      <c r="K128" s="246">
        <f t="shared" si="158"/>
        <v>32</v>
      </c>
      <c r="L128" s="158">
        <f t="shared" si="158"/>
        <v>36</v>
      </c>
      <c r="M128" s="158">
        <f t="shared" si="158"/>
        <v>36</v>
      </c>
      <c r="N128" s="158">
        <f t="shared" si="158"/>
        <v>36</v>
      </c>
      <c r="O128" s="158">
        <f t="shared" si="158"/>
        <v>36</v>
      </c>
      <c r="P128" s="158">
        <f t="shared" si="158"/>
        <v>176</v>
      </c>
      <c r="Q128" s="158">
        <f t="shared" si="158"/>
        <v>192</v>
      </c>
      <c r="R128" s="246">
        <f t="shared" si="141"/>
        <v>192</v>
      </c>
      <c r="S128" s="158">
        <f t="shared" si="142"/>
        <v>200</v>
      </c>
      <c r="T128" s="323"/>
      <c r="U128" s="22"/>
    </row>
    <row r="129" spans="2:21">
      <c r="B129" s="29"/>
      <c r="C129" s="33" t="s">
        <v>475</v>
      </c>
      <c r="D129" s="158">
        <f t="shared" ref="D129:Q129" si="159">ROUNDUP(D37*D$105*VLOOKUP($C129,$C$11:$D$14,2,FALSE),0)</f>
        <v>0</v>
      </c>
      <c r="E129" s="158">
        <f t="shared" si="159"/>
        <v>0</v>
      </c>
      <c r="F129" s="158">
        <f t="shared" si="159"/>
        <v>0</v>
      </c>
      <c r="G129" s="158">
        <f t="shared" si="159"/>
        <v>0</v>
      </c>
      <c r="H129" s="158">
        <f t="shared" si="159"/>
        <v>0</v>
      </c>
      <c r="I129" s="158">
        <f t="shared" si="159"/>
        <v>16</v>
      </c>
      <c r="J129" s="158">
        <f t="shared" si="159"/>
        <v>16</v>
      </c>
      <c r="K129" s="246">
        <f t="shared" si="159"/>
        <v>16</v>
      </c>
      <c r="L129" s="158">
        <f t="shared" si="159"/>
        <v>18</v>
      </c>
      <c r="M129" s="158">
        <f t="shared" si="159"/>
        <v>18</v>
      </c>
      <c r="N129" s="158">
        <f t="shared" si="159"/>
        <v>18</v>
      </c>
      <c r="O129" s="158">
        <f t="shared" si="159"/>
        <v>18</v>
      </c>
      <c r="P129" s="158">
        <f t="shared" si="159"/>
        <v>88</v>
      </c>
      <c r="Q129" s="158">
        <f t="shared" si="159"/>
        <v>96</v>
      </c>
      <c r="R129" s="246">
        <f t="shared" si="141"/>
        <v>96</v>
      </c>
      <c r="S129" s="158">
        <f t="shared" si="142"/>
        <v>100</v>
      </c>
      <c r="T129" s="323"/>
      <c r="U129" s="22"/>
    </row>
    <row r="130" spans="2:21">
      <c r="B130" s="29"/>
      <c r="C130" s="33" t="s">
        <v>476</v>
      </c>
      <c r="D130" s="246">
        <f t="shared" ref="D130:Q130" si="160">ROUNDUP(D38*D$105*VLOOKUP($C130,$C$11:$D$14,2,FALSE),0)</f>
        <v>0</v>
      </c>
      <c r="E130" s="246">
        <f t="shared" si="160"/>
        <v>0</v>
      </c>
      <c r="F130" s="246">
        <f t="shared" si="160"/>
        <v>0</v>
      </c>
      <c r="G130" s="246">
        <f t="shared" si="160"/>
        <v>0</v>
      </c>
      <c r="H130" s="246">
        <f t="shared" si="160"/>
        <v>0</v>
      </c>
      <c r="I130" s="246">
        <f t="shared" si="160"/>
        <v>32</v>
      </c>
      <c r="J130" s="246">
        <f t="shared" si="160"/>
        <v>32</v>
      </c>
      <c r="K130" s="246">
        <f t="shared" si="160"/>
        <v>32</v>
      </c>
      <c r="L130" s="246">
        <f t="shared" si="160"/>
        <v>36</v>
      </c>
      <c r="M130" s="246">
        <f t="shared" si="160"/>
        <v>36</v>
      </c>
      <c r="N130" s="246">
        <f t="shared" si="160"/>
        <v>36</v>
      </c>
      <c r="O130" s="246">
        <f t="shared" si="160"/>
        <v>36</v>
      </c>
      <c r="P130" s="246">
        <f t="shared" si="160"/>
        <v>176</v>
      </c>
      <c r="Q130" s="246">
        <f t="shared" si="160"/>
        <v>192</v>
      </c>
      <c r="R130" s="246">
        <f t="shared" si="141"/>
        <v>192</v>
      </c>
      <c r="S130" s="246">
        <f t="shared" si="142"/>
        <v>200</v>
      </c>
      <c r="T130" s="323"/>
      <c r="U130" s="22"/>
    </row>
    <row r="131" spans="2:21">
      <c r="B131" s="29" t="s">
        <v>482</v>
      </c>
      <c r="C131" s="33" t="s">
        <v>473</v>
      </c>
      <c r="D131" s="158">
        <f t="shared" ref="D131:Q131" si="161">ROUNDUP(D39*D$105*VLOOKUP($C131,$C$11:$D$14,2,FALSE),0)</f>
        <v>0</v>
      </c>
      <c r="E131" s="158">
        <f t="shared" si="161"/>
        <v>0</v>
      </c>
      <c r="F131" s="158">
        <f t="shared" si="161"/>
        <v>0</v>
      </c>
      <c r="G131" s="158">
        <f t="shared" si="161"/>
        <v>0</v>
      </c>
      <c r="H131" s="158">
        <f t="shared" si="161"/>
        <v>0</v>
      </c>
      <c r="I131" s="158">
        <f t="shared" si="161"/>
        <v>32</v>
      </c>
      <c r="J131" s="158">
        <f t="shared" si="161"/>
        <v>32</v>
      </c>
      <c r="K131" s="158">
        <f t="shared" si="161"/>
        <v>32</v>
      </c>
      <c r="L131" s="158">
        <f t="shared" si="161"/>
        <v>36</v>
      </c>
      <c r="M131" s="158">
        <f t="shared" si="161"/>
        <v>36</v>
      </c>
      <c r="N131" s="158">
        <f t="shared" si="161"/>
        <v>36</v>
      </c>
      <c r="O131" s="158">
        <f t="shared" si="161"/>
        <v>36</v>
      </c>
      <c r="P131" s="158">
        <f t="shared" si="161"/>
        <v>176</v>
      </c>
      <c r="Q131" s="158">
        <f t="shared" si="161"/>
        <v>192</v>
      </c>
      <c r="R131" s="246">
        <f t="shared" si="141"/>
        <v>192</v>
      </c>
      <c r="S131" s="158">
        <f t="shared" si="142"/>
        <v>200</v>
      </c>
      <c r="T131" s="323"/>
      <c r="U131" s="22"/>
    </row>
    <row r="132" spans="2:21">
      <c r="B132" s="29"/>
      <c r="C132" s="33" t="s">
        <v>474</v>
      </c>
      <c r="D132" s="158">
        <f t="shared" ref="D132:Q132" si="162">ROUNDUP(D40*D$105*VLOOKUP($C132,$C$11:$D$14,2,FALSE),0)</f>
        <v>0</v>
      </c>
      <c r="E132" s="158">
        <f t="shared" si="162"/>
        <v>0</v>
      </c>
      <c r="F132" s="158">
        <f t="shared" si="162"/>
        <v>0</v>
      </c>
      <c r="G132" s="158">
        <f t="shared" si="162"/>
        <v>0</v>
      </c>
      <c r="H132" s="158">
        <f t="shared" si="162"/>
        <v>0</v>
      </c>
      <c r="I132" s="158">
        <f t="shared" si="162"/>
        <v>16</v>
      </c>
      <c r="J132" s="158">
        <f t="shared" si="162"/>
        <v>16</v>
      </c>
      <c r="K132" s="158">
        <f t="shared" si="162"/>
        <v>16</v>
      </c>
      <c r="L132" s="158">
        <f t="shared" si="162"/>
        <v>18</v>
      </c>
      <c r="M132" s="158">
        <f t="shared" si="162"/>
        <v>18</v>
      </c>
      <c r="N132" s="158">
        <f t="shared" si="162"/>
        <v>18</v>
      </c>
      <c r="O132" s="158">
        <f t="shared" si="162"/>
        <v>18</v>
      </c>
      <c r="P132" s="158">
        <f t="shared" si="162"/>
        <v>88</v>
      </c>
      <c r="Q132" s="158">
        <f t="shared" si="162"/>
        <v>96</v>
      </c>
      <c r="R132" s="246">
        <f t="shared" si="141"/>
        <v>96</v>
      </c>
      <c r="S132" s="158">
        <f t="shared" si="142"/>
        <v>100</v>
      </c>
      <c r="T132" s="323"/>
      <c r="U132" s="22"/>
    </row>
    <row r="133" spans="2:21">
      <c r="B133" s="29"/>
      <c r="C133" s="33" t="s">
        <v>475</v>
      </c>
      <c r="D133" s="158">
        <f t="shared" ref="D133:Q133" si="163">ROUNDUP(D41*D$105*VLOOKUP($C133,$C$11:$D$14,2,FALSE),0)</f>
        <v>0</v>
      </c>
      <c r="E133" s="158">
        <f t="shared" si="163"/>
        <v>0</v>
      </c>
      <c r="F133" s="158">
        <f t="shared" si="163"/>
        <v>0</v>
      </c>
      <c r="G133" s="158">
        <f t="shared" si="163"/>
        <v>0</v>
      </c>
      <c r="H133" s="158">
        <f t="shared" si="163"/>
        <v>0</v>
      </c>
      <c r="I133" s="158">
        <f t="shared" si="163"/>
        <v>32</v>
      </c>
      <c r="J133" s="158">
        <f t="shared" si="163"/>
        <v>32</v>
      </c>
      <c r="K133" s="158">
        <f t="shared" si="163"/>
        <v>32</v>
      </c>
      <c r="L133" s="158">
        <f t="shared" si="163"/>
        <v>36</v>
      </c>
      <c r="M133" s="158">
        <f t="shared" si="163"/>
        <v>36</v>
      </c>
      <c r="N133" s="158">
        <f t="shared" si="163"/>
        <v>36</v>
      </c>
      <c r="O133" s="158">
        <f t="shared" si="163"/>
        <v>36</v>
      </c>
      <c r="P133" s="158">
        <f t="shared" si="163"/>
        <v>176</v>
      </c>
      <c r="Q133" s="158">
        <f t="shared" si="163"/>
        <v>192</v>
      </c>
      <c r="R133" s="246">
        <f t="shared" si="141"/>
        <v>192</v>
      </c>
      <c r="S133" s="158">
        <f t="shared" si="142"/>
        <v>200</v>
      </c>
      <c r="T133" s="323"/>
      <c r="U133" s="22"/>
    </row>
    <row r="134" spans="2:21">
      <c r="B134" s="29"/>
      <c r="C134" s="33" t="s">
        <v>476</v>
      </c>
      <c r="D134" s="246">
        <f t="shared" ref="D134:Q134" si="164">ROUNDUP(D42*D$105*VLOOKUP($C134,$C$11:$D$14,2,FALSE),0)</f>
        <v>0</v>
      </c>
      <c r="E134" s="246">
        <f t="shared" si="164"/>
        <v>0</v>
      </c>
      <c r="F134" s="246">
        <f t="shared" si="164"/>
        <v>0</v>
      </c>
      <c r="G134" s="246">
        <f t="shared" si="164"/>
        <v>0</v>
      </c>
      <c r="H134" s="246">
        <f t="shared" si="164"/>
        <v>0</v>
      </c>
      <c r="I134" s="246">
        <f t="shared" si="164"/>
        <v>32</v>
      </c>
      <c r="J134" s="246">
        <f t="shared" si="164"/>
        <v>32</v>
      </c>
      <c r="K134" s="246">
        <f t="shared" si="164"/>
        <v>32</v>
      </c>
      <c r="L134" s="246">
        <f t="shared" si="164"/>
        <v>36</v>
      </c>
      <c r="M134" s="246">
        <f t="shared" si="164"/>
        <v>36</v>
      </c>
      <c r="N134" s="246">
        <f t="shared" si="164"/>
        <v>36</v>
      </c>
      <c r="O134" s="246">
        <f t="shared" si="164"/>
        <v>36</v>
      </c>
      <c r="P134" s="246">
        <f t="shared" si="164"/>
        <v>176</v>
      </c>
      <c r="Q134" s="246">
        <f t="shared" si="164"/>
        <v>192</v>
      </c>
      <c r="R134" s="246">
        <f t="shared" si="141"/>
        <v>192</v>
      </c>
      <c r="S134" s="246">
        <f t="shared" si="142"/>
        <v>200</v>
      </c>
      <c r="T134" s="323"/>
      <c r="U134" s="22"/>
    </row>
    <row r="135" spans="2:21">
      <c r="B135" s="29" t="s">
        <v>483</v>
      </c>
      <c r="C135" s="33" t="s">
        <v>473</v>
      </c>
      <c r="D135" s="158">
        <f t="shared" ref="D135:Q135" si="165">ROUNDUP(D43*D$105*VLOOKUP($C135,$C$11:$D$14,2,FALSE),0)</f>
        <v>0</v>
      </c>
      <c r="E135" s="158">
        <f t="shared" si="165"/>
        <v>0</v>
      </c>
      <c r="F135" s="158">
        <f t="shared" si="165"/>
        <v>0</v>
      </c>
      <c r="G135" s="158">
        <f t="shared" si="165"/>
        <v>0</v>
      </c>
      <c r="H135" s="158">
        <f t="shared" si="165"/>
        <v>0</v>
      </c>
      <c r="I135" s="158">
        <f t="shared" si="165"/>
        <v>0</v>
      </c>
      <c r="J135" s="158">
        <f t="shared" si="165"/>
        <v>0</v>
      </c>
      <c r="K135" s="158">
        <f t="shared" si="165"/>
        <v>16</v>
      </c>
      <c r="L135" s="158">
        <f t="shared" si="165"/>
        <v>18</v>
      </c>
      <c r="M135" s="158">
        <f t="shared" si="165"/>
        <v>18</v>
      </c>
      <c r="N135" s="158">
        <f t="shared" si="165"/>
        <v>18</v>
      </c>
      <c r="O135" s="158">
        <f t="shared" si="165"/>
        <v>18</v>
      </c>
      <c r="P135" s="158">
        <f t="shared" si="165"/>
        <v>88</v>
      </c>
      <c r="Q135" s="158">
        <f t="shared" si="165"/>
        <v>96</v>
      </c>
      <c r="R135" s="246">
        <f t="shared" si="141"/>
        <v>96</v>
      </c>
      <c r="S135" s="158">
        <f t="shared" si="142"/>
        <v>100</v>
      </c>
      <c r="T135" s="323"/>
      <c r="U135" s="22"/>
    </row>
    <row r="136" spans="2:21">
      <c r="B136" s="29"/>
      <c r="C136" s="33" t="s">
        <v>474</v>
      </c>
      <c r="D136" s="158">
        <f t="shared" ref="D136:Q136" si="166">ROUNDUP(D44*D$105*VLOOKUP($C136,$C$11:$D$14,2,FALSE),0)</f>
        <v>0</v>
      </c>
      <c r="E136" s="158">
        <f t="shared" si="166"/>
        <v>0</v>
      </c>
      <c r="F136" s="158">
        <f t="shared" si="166"/>
        <v>0</v>
      </c>
      <c r="G136" s="158">
        <f t="shared" si="166"/>
        <v>0</v>
      </c>
      <c r="H136" s="158">
        <f t="shared" si="166"/>
        <v>0</v>
      </c>
      <c r="I136" s="158">
        <f t="shared" si="166"/>
        <v>0</v>
      </c>
      <c r="J136" s="158">
        <f t="shared" si="166"/>
        <v>0</v>
      </c>
      <c r="K136" s="158">
        <f t="shared" si="166"/>
        <v>32</v>
      </c>
      <c r="L136" s="158">
        <f t="shared" si="166"/>
        <v>36</v>
      </c>
      <c r="M136" s="158">
        <f t="shared" si="166"/>
        <v>36</v>
      </c>
      <c r="N136" s="158">
        <f t="shared" si="166"/>
        <v>36</v>
      </c>
      <c r="O136" s="158">
        <f t="shared" si="166"/>
        <v>36</v>
      </c>
      <c r="P136" s="158">
        <f t="shared" si="166"/>
        <v>176</v>
      </c>
      <c r="Q136" s="158">
        <f t="shared" si="166"/>
        <v>192</v>
      </c>
      <c r="R136" s="246">
        <f t="shared" si="141"/>
        <v>192</v>
      </c>
      <c r="S136" s="158">
        <f t="shared" si="142"/>
        <v>200</v>
      </c>
      <c r="T136" s="323"/>
      <c r="U136" s="22"/>
    </row>
    <row r="137" spans="2:21">
      <c r="B137" s="29"/>
      <c r="C137" s="33" t="s">
        <v>475</v>
      </c>
      <c r="D137" s="158">
        <f t="shared" ref="D137:Q137" si="167">ROUNDUP(D45*D$105*VLOOKUP($C137,$C$11:$D$14,2,FALSE),0)</f>
        <v>0</v>
      </c>
      <c r="E137" s="158">
        <f t="shared" si="167"/>
        <v>0</v>
      </c>
      <c r="F137" s="158">
        <f t="shared" si="167"/>
        <v>0</v>
      </c>
      <c r="G137" s="158">
        <f t="shared" si="167"/>
        <v>0</v>
      </c>
      <c r="H137" s="158">
        <f t="shared" si="167"/>
        <v>0</v>
      </c>
      <c r="I137" s="158">
        <f t="shared" si="167"/>
        <v>0</v>
      </c>
      <c r="J137" s="158">
        <f t="shared" si="167"/>
        <v>0</v>
      </c>
      <c r="K137" s="158">
        <f t="shared" si="167"/>
        <v>16</v>
      </c>
      <c r="L137" s="158">
        <f t="shared" si="167"/>
        <v>18</v>
      </c>
      <c r="M137" s="158">
        <f t="shared" si="167"/>
        <v>18</v>
      </c>
      <c r="N137" s="158">
        <f t="shared" si="167"/>
        <v>18</v>
      </c>
      <c r="O137" s="158">
        <f t="shared" si="167"/>
        <v>18</v>
      </c>
      <c r="P137" s="158">
        <f t="shared" si="167"/>
        <v>88</v>
      </c>
      <c r="Q137" s="158">
        <f t="shared" si="167"/>
        <v>96</v>
      </c>
      <c r="R137" s="246">
        <f t="shared" si="141"/>
        <v>96</v>
      </c>
      <c r="S137" s="158">
        <f t="shared" si="142"/>
        <v>100</v>
      </c>
      <c r="T137" s="323"/>
      <c r="U137" s="22"/>
    </row>
    <row r="138" spans="2:21">
      <c r="B138" s="29"/>
      <c r="C138" s="33" t="s">
        <v>476</v>
      </c>
      <c r="D138" s="246">
        <f t="shared" ref="D138:Q138" si="168">ROUNDUP(D46*D$105*VLOOKUP($C138,$C$11:$D$14,2,FALSE),0)</f>
        <v>0</v>
      </c>
      <c r="E138" s="246">
        <f t="shared" si="168"/>
        <v>0</v>
      </c>
      <c r="F138" s="246">
        <f t="shared" si="168"/>
        <v>0</v>
      </c>
      <c r="G138" s="246">
        <f t="shared" si="168"/>
        <v>0</v>
      </c>
      <c r="H138" s="246">
        <f t="shared" si="168"/>
        <v>0</v>
      </c>
      <c r="I138" s="246">
        <f t="shared" si="168"/>
        <v>0</v>
      </c>
      <c r="J138" s="246">
        <f t="shared" si="168"/>
        <v>0</v>
      </c>
      <c r="K138" s="246">
        <f t="shared" si="168"/>
        <v>32</v>
      </c>
      <c r="L138" s="246">
        <f t="shared" si="168"/>
        <v>36</v>
      </c>
      <c r="M138" s="246">
        <f t="shared" si="168"/>
        <v>36</v>
      </c>
      <c r="N138" s="246">
        <f t="shared" si="168"/>
        <v>36</v>
      </c>
      <c r="O138" s="246">
        <f t="shared" si="168"/>
        <v>36</v>
      </c>
      <c r="P138" s="246">
        <f t="shared" si="168"/>
        <v>176</v>
      </c>
      <c r="Q138" s="246">
        <f t="shared" si="168"/>
        <v>192</v>
      </c>
      <c r="R138" s="246">
        <f t="shared" si="141"/>
        <v>192</v>
      </c>
      <c r="S138" s="246">
        <f t="shared" si="142"/>
        <v>200</v>
      </c>
      <c r="T138" s="323"/>
      <c r="U138" s="22"/>
    </row>
    <row r="139" spans="2:21">
      <c r="B139" s="29" t="s">
        <v>484</v>
      </c>
      <c r="C139" s="33" t="s">
        <v>473</v>
      </c>
      <c r="D139" s="158">
        <f t="shared" ref="D139:Q139" si="169">ROUNDUP(D47*D$105*VLOOKUP($C139,$C$11:$D$14,2,FALSE),0)</f>
        <v>0</v>
      </c>
      <c r="E139" s="158">
        <f t="shared" si="169"/>
        <v>0</v>
      </c>
      <c r="F139" s="158">
        <f t="shared" si="169"/>
        <v>0</v>
      </c>
      <c r="G139" s="158">
        <f t="shared" si="169"/>
        <v>0</v>
      </c>
      <c r="H139" s="158">
        <f t="shared" si="169"/>
        <v>0</v>
      </c>
      <c r="I139" s="158">
        <f t="shared" si="169"/>
        <v>0</v>
      </c>
      <c r="J139" s="158">
        <f t="shared" si="169"/>
        <v>0</v>
      </c>
      <c r="K139" s="158">
        <f t="shared" si="169"/>
        <v>32</v>
      </c>
      <c r="L139" s="158">
        <f t="shared" si="169"/>
        <v>36</v>
      </c>
      <c r="M139" s="158">
        <f t="shared" si="169"/>
        <v>36</v>
      </c>
      <c r="N139" s="158">
        <f t="shared" si="169"/>
        <v>36</v>
      </c>
      <c r="O139" s="158">
        <f t="shared" si="169"/>
        <v>36</v>
      </c>
      <c r="P139" s="158">
        <f t="shared" si="169"/>
        <v>176</v>
      </c>
      <c r="Q139" s="158">
        <f t="shared" si="169"/>
        <v>192</v>
      </c>
      <c r="R139" s="246">
        <f t="shared" si="141"/>
        <v>192</v>
      </c>
      <c r="S139" s="158">
        <f t="shared" si="142"/>
        <v>200</v>
      </c>
      <c r="T139" s="323"/>
      <c r="U139" s="22"/>
    </row>
    <row r="140" spans="2:21">
      <c r="B140" s="29"/>
      <c r="C140" s="33" t="s">
        <v>474</v>
      </c>
      <c r="D140" s="158">
        <f t="shared" ref="D140:Q140" si="170">ROUNDUP(D48*D$105*VLOOKUP($C140,$C$11:$D$14,2,FALSE),0)</f>
        <v>0</v>
      </c>
      <c r="E140" s="158">
        <f t="shared" si="170"/>
        <v>0</v>
      </c>
      <c r="F140" s="158">
        <f t="shared" si="170"/>
        <v>0</v>
      </c>
      <c r="G140" s="158">
        <f t="shared" si="170"/>
        <v>0</v>
      </c>
      <c r="H140" s="158">
        <f t="shared" si="170"/>
        <v>0</v>
      </c>
      <c r="I140" s="158">
        <f t="shared" si="170"/>
        <v>0</v>
      </c>
      <c r="J140" s="158">
        <f t="shared" si="170"/>
        <v>0</v>
      </c>
      <c r="K140" s="158">
        <f t="shared" si="170"/>
        <v>32</v>
      </c>
      <c r="L140" s="158">
        <f t="shared" si="170"/>
        <v>36</v>
      </c>
      <c r="M140" s="158">
        <f t="shared" si="170"/>
        <v>36</v>
      </c>
      <c r="N140" s="158">
        <f t="shared" si="170"/>
        <v>36</v>
      </c>
      <c r="O140" s="158">
        <f t="shared" si="170"/>
        <v>36</v>
      </c>
      <c r="P140" s="158">
        <f t="shared" si="170"/>
        <v>176</v>
      </c>
      <c r="Q140" s="158">
        <f t="shared" si="170"/>
        <v>192</v>
      </c>
      <c r="R140" s="246">
        <f t="shared" si="141"/>
        <v>192</v>
      </c>
      <c r="S140" s="158">
        <f t="shared" si="142"/>
        <v>200</v>
      </c>
      <c r="T140" s="323"/>
      <c r="U140" s="22"/>
    </row>
    <row r="141" spans="2:21">
      <c r="B141" s="29"/>
      <c r="C141" s="33" t="s">
        <v>475</v>
      </c>
      <c r="D141" s="158">
        <f t="shared" ref="D141:Q141" si="171">ROUNDUP(D49*D$105*VLOOKUP($C141,$C$11:$D$14,2,FALSE),0)</f>
        <v>0</v>
      </c>
      <c r="E141" s="158">
        <f t="shared" si="171"/>
        <v>0</v>
      </c>
      <c r="F141" s="158">
        <f t="shared" si="171"/>
        <v>0</v>
      </c>
      <c r="G141" s="158">
        <f t="shared" si="171"/>
        <v>0</v>
      </c>
      <c r="H141" s="158">
        <f t="shared" si="171"/>
        <v>0</v>
      </c>
      <c r="I141" s="158">
        <f t="shared" si="171"/>
        <v>0</v>
      </c>
      <c r="J141" s="158">
        <f t="shared" si="171"/>
        <v>0</v>
      </c>
      <c r="K141" s="158">
        <f t="shared" si="171"/>
        <v>16</v>
      </c>
      <c r="L141" s="158">
        <f t="shared" si="171"/>
        <v>18</v>
      </c>
      <c r="M141" s="158">
        <f t="shared" si="171"/>
        <v>18</v>
      </c>
      <c r="N141" s="158">
        <f t="shared" si="171"/>
        <v>18</v>
      </c>
      <c r="O141" s="158">
        <f t="shared" si="171"/>
        <v>18</v>
      </c>
      <c r="P141" s="158">
        <f t="shared" si="171"/>
        <v>88</v>
      </c>
      <c r="Q141" s="158">
        <f t="shared" si="171"/>
        <v>96</v>
      </c>
      <c r="R141" s="246">
        <f t="shared" si="141"/>
        <v>96</v>
      </c>
      <c r="S141" s="158">
        <f t="shared" si="142"/>
        <v>100</v>
      </c>
      <c r="T141" s="323"/>
      <c r="U141" s="22"/>
    </row>
    <row r="142" spans="2:21">
      <c r="B142" s="29"/>
      <c r="C142" s="33" t="s">
        <v>476</v>
      </c>
      <c r="D142" s="158">
        <f t="shared" ref="D142:Q142" si="172">ROUNDUP(D50*D$105*VLOOKUP($C142,$C$11:$D$14,2,FALSE),0)</f>
        <v>0</v>
      </c>
      <c r="E142" s="158">
        <f t="shared" si="172"/>
        <v>0</v>
      </c>
      <c r="F142" s="158">
        <f t="shared" si="172"/>
        <v>0</v>
      </c>
      <c r="G142" s="158">
        <f t="shared" si="172"/>
        <v>0</v>
      </c>
      <c r="H142" s="158">
        <f t="shared" si="172"/>
        <v>0</v>
      </c>
      <c r="I142" s="158">
        <f t="shared" si="172"/>
        <v>0</v>
      </c>
      <c r="J142" s="158">
        <f t="shared" si="172"/>
        <v>0</v>
      </c>
      <c r="K142" s="158">
        <f t="shared" si="172"/>
        <v>32</v>
      </c>
      <c r="L142" s="158">
        <f t="shared" si="172"/>
        <v>36</v>
      </c>
      <c r="M142" s="158">
        <f t="shared" si="172"/>
        <v>36</v>
      </c>
      <c r="N142" s="158">
        <f t="shared" si="172"/>
        <v>36</v>
      </c>
      <c r="O142" s="158">
        <f t="shared" si="172"/>
        <v>36</v>
      </c>
      <c r="P142" s="158">
        <f t="shared" si="172"/>
        <v>176</v>
      </c>
      <c r="Q142" s="158">
        <f t="shared" si="172"/>
        <v>192</v>
      </c>
      <c r="R142" s="246">
        <f t="shared" si="141"/>
        <v>192</v>
      </c>
      <c r="S142" s="158">
        <f t="shared" si="142"/>
        <v>200</v>
      </c>
      <c r="T142" s="323"/>
      <c r="U142" s="22"/>
    </row>
    <row r="143" spans="2:21">
      <c r="B143" s="29" t="s">
        <v>354</v>
      </c>
      <c r="C143" s="33" t="s">
        <v>473</v>
      </c>
      <c r="D143" s="246">
        <f t="shared" ref="D143:S143" si="173">ROUNDUP(D51*D$105*VLOOKUP($C143,$C$11:$D$14,2,FALSE),0)</f>
        <v>0</v>
      </c>
      <c r="E143" s="246">
        <f t="shared" si="173"/>
        <v>0</v>
      </c>
      <c r="F143" s="246">
        <f t="shared" si="173"/>
        <v>0</v>
      </c>
      <c r="G143" s="246">
        <f t="shared" si="173"/>
        <v>0</v>
      </c>
      <c r="H143" s="246">
        <f t="shared" si="173"/>
        <v>0</v>
      </c>
      <c r="I143" s="246">
        <f t="shared" si="173"/>
        <v>0</v>
      </c>
      <c r="J143" s="246">
        <f t="shared" si="173"/>
        <v>0</v>
      </c>
      <c r="K143" s="246">
        <f t="shared" si="173"/>
        <v>32</v>
      </c>
      <c r="L143" s="246">
        <f t="shared" si="173"/>
        <v>36</v>
      </c>
      <c r="M143" s="246">
        <f t="shared" si="173"/>
        <v>36</v>
      </c>
      <c r="N143" s="246">
        <f t="shared" si="173"/>
        <v>36</v>
      </c>
      <c r="O143" s="246">
        <f t="shared" si="173"/>
        <v>36</v>
      </c>
      <c r="P143" s="246">
        <f t="shared" si="173"/>
        <v>176</v>
      </c>
      <c r="Q143" s="246">
        <f t="shared" si="173"/>
        <v>192</v>
      </c>
      <c r="R143" s="246">
        <f t="shared" si="141"/>
        <v>192</v>
      </c>
      <c r="S143" s="246">
        <f t="shared" si="173"/>
        <v>200</v>
      </c>
      <c r="T143" s="323"/>
      <c r="U143" s="22"/>
    </row>
    <row r="144" spans="2:21">
      <c r="B144" s="29"/>
      <c r="C144" s="33" t="s">
        <v>474</v>
      </c>
      <c r="D144" s="246">
        <f t="shared" ref="D144:S144" si="174">ROUNDUP(D52*D$105*VLOOKUP($C144,$C$11:$D$14,2,FALSE),0)</f>
        <v>0</v>
      </c>
      <c r="E144" s="246">
        <f t="shared" si="174"/>
        <v>0</v>
      </c>
      <c r="F144" s="246">
        <f t="shared" si="174"/>
        <v>0</v>
      </c>
      <c r="G144" s="246">
        <f t="shared" si="174"/>
        <v>0</v>
      </c>
      <c r="H144" s="246">
        <f t="shared" si="174"/>
        <v>0</v>
      </c>
      <c r="I144" s="246">
        <f t="shared" si="174"/>
        <v>0</v>
      </c>
      <c r="J144" s="246">
        <f t="shared" si="174"/>
        <v>0</v>
      </c>
      <c r="K144" s="246">
        <f t="shared" si="174"/>
        <v>16</v>
      </c>
      <c r="L144" s="246">
        <f t="shared" si="174"/>
        <v>18</v>
      </c>
      <c r="M144" s="246">
        <f t="shared" si="174"/>
        <v>18</v>
      </c>
      <c r="N144" s="246">
        <f t="shared" si="174"/>
        <v>18</v>
      </c>
      <c r="O144" s="246">
        <f t="shared" si="174"/>
        <v>18</v>
      </c>
      <c r="P144" s="246">
        <f t="shared" si="174"/>
        <v>88</v>
      </c>
      <c r="Q144" s="246">
        <f t="shared" si="174"/>
        <v>96</v>
      </c>
      <c r="R144" s="246">
        <f t="shared" si="141"/>
        <v>96</v>
      </c>
      <c r="S144" s="246">
        <f t="shared" si="174"/>
        <v>100</v>
      </c>
      <c r="T144" s="323"/>
      <c r="U144" s="22"/>
    </row>
    <row r="145" spans="2:21">
      <c r="B145" s="29"/>
      <c r="C145" s="33" t="s">
        <v>475</v>
      </c>
      <c r="D145" s="246">
        <f t="shared" ref="D145:S145" si="175">ROUNDUP(D53*D$105*VLOOKUP($C145,$C$11:$D$14,2,FALSE),0)</f>
        <v>0</v>
      </c>
      <c r="E145" s="246">
        <f t="shared" si="175"/>
        <v>0</v>
      </c>
      <c r="F145" s="246">
        <f t="shared" si="175"/>
        <v>0</v>
      </c>
      <c r="G145" s="246">
        <f t="shared" si="175"/>
        <v>0</v>
      </c>
      <c r="H145" s="246">
        <f t="shared" si="175"/>
        <v>0</v>
      </c>
      <c r="I145" s="246">
        <f t="shared" si="175"/>
        <v>0</v>
      </c>
      <c r="J145" s="246">
        <f t="shared" si="175"/>
        <v>0</v>
      </c>
      <c r="K145" s="246">
        <f t="shared" si="175"/>
        <v>32</v>
      </c>
      <c r="L145" s="246">
        <f t="shared" si="175"/>
        <v>36</v>
      </c>
      <c r="M145" s="246">
        <f t="shared" si="175"/>
        <v>36</v>
      </c>
      <c r="N145" s="246">
        <f t="shared" si="175"/>
        <v>36</v>
      </c>
      <c r="O145" s="246">
        <f t="shared" si="175"/>
        <v>36</v>
      </c>
      <c r="P145" s="246">
        <f t="shared" si="175"/>
        <v>176</v>
      </c>
      <c r="Q145" s="246">
        <f t="shared" si="175"/>
        <v>192</v>
      </c>
      <c r="R145" s="246">
        <f t="shared" si="141"/>
        <v>192</v>
      </c>
      <c r="S145" s="246">
        <f t="shared" si="175"/>
        <v>200</v>
      </c>
      <c r="T145" s="323"/>
      <c r="U145" s="22"/>
    </row>
    <row r="146" spans="2:21">
      <c r="B146" s="29"/>
      <c r="C146" s="33" t="s">
        <v>476</v>
      </c>
      <c r="D146" s="246">
        <f t="shared" ref="D146:S146" si="176">ROUNDUP(D54*D$105*VLOOKUP($C146,$C$11:$D$14,2,FALSE),0)</f>
        <v>0</v>
      </c>
      <c r="E146" s="246">
        <f t="shared" si="176"/>
        <v>0</v>
      </c>
      <c r="F146" s="246">
        <f t="shared" si="176"/>
        <v>0</v>
      </c>
      <c r="G146" s="246">
        <f t="shared" si="176"/>
        <v>0</v>
      </c>
      <c r="H146" s="246">
        <f t="shared" si="176"/>
        <v>0</v>
      </c>
      <c r="I146" s="246">
        <f t="shared" si="176"/>
        <v>0</v>
      </c>
      <c r="J146" s="246">
        <f t="shared" si="176"/>
        <v>0</v>
      </c>
      <c r="K146" s="246">
        <f t="shared" si="176"/>
        <v>16</v>
      </c>
      <c r="L146" s="246">
        <f t="shared" si="176"/>
        <v>18</v>
      </c>
      <c r="M146" s="246">
        <f t="shared" si="176"/>
        <v>18</v>
      </c>
      <c r="N146" s="246">
        <f t="shared" si="176"/>
        <v>18</v>
      </c>
      <c r="O146" s="246">
        <f t="shared" si="176"/>
        <v>18</v>
      </c>
      <c r="P146" s="246">
        <f t="shared" si="176"/>
        <v>88</v>
      </c>
      <c r="Q146" s="246">
        <f t="shared" si="176"/>
        <v>96</v>
      </c>
      <c r="R146" s="246">
        <f t="shared" si="141"/>
        <v>96</v>
      </c>
      <c r="S146" s="246">
        <f t="shared" si="176"/>
        <v>100</v>
      </c>
      <c r="T146" s="323"/>
      <c r="U146" s="22"/>
    </row>
    <row r="147" spans="2:21">
      <c r="B147" s="29" t="s">
        <v>485</v>
      </c>
      <c r="C147" s="33" t="s">
        <v>473</v>
      </c>
      <c r="D147" s="246">
        <f t="shared" ref="D147:S147" si="177">ROUNDUP(D55*D$105*VLOOKUP($C147,$C$11:$D$14,2,FALSE),0)</f>
        <v>0</v>
      </c>
      <c r="E147" s="246">
        <f t="shared" si="177"/>
        <v>0</v>
      </c>
      <c r="F147" s="246">
        <f t="shared" si="177"/>
        <v>0</v>
      </c>
      <c r="G147" s="246">
        <f t="shared" si="177"/>
        <v>0</v>
      </c>
      <c r="H147" s="246">
        <f t="shared" si="177"/>
        <v>0</v>
      </c>
      <c r="I147" s="246">
        <f t="shared" si="177"/>
        <v>0</v>
      </c>
      <c r="J147" s="246">
        <f t="shared" si="177"/>
        <v>0</v>
      </c>
      <c r="K147" s="246">
        <f t="shared" si="177"/>
        <v>0</v>
      </c>
      <c r="L147" s="246">
        <f t="shared" si="177"/>
        <v>36</v>
      </c>
      <c r="M147" s="246">
        <f t="shared" si="177"/>
        <v>36</v>
      </c>
      <c r="N147" s="246">
        <f t="shared" si="177"/>
        <v>36</v>
      </c>
      <c r="O147" s="246">
        <f t="shared" si="177"/>
        <v>36</v>
      </c>
      <c r="P147" s="246">
        <f t="shared" si="177"/>
        <v>176</v>
      </c>
      <c r="Q147" s="246">
        <f t="shared" si="177"/>
        <v>192</v>
      </c>
      <c r="R147" s="246">
        <f t="shared" si="141"/>
        <v>192</v>
      </c>
      <c r="S147" s="246">
        <f t="shared" si="177"/>
        <v>200</v>
      </c>
      <c r="T147" s="323"/>
      <c r="U147" s="22"/>
    </row>
    <row r="148" spans="2:21">
      <c r="B148" s="29"/>
      <c r="C148" s="33" t="s">
        <v>474</v>
      </c>
      <c r="D148" s="246">
        <f t="shared" ref="D148:S148" si="178">ROUNDUP(D56*D$105*VLOOKUP($C148,$C$11:$D$14,2,FALSE),0)</f>
        <v>0</v>
      </c>
      <c r="E148" s="246">
        <f t="shared" si="178"/>
        <v>0</v>
      </c>
      <c r="F148" s="246">
        <f t="shared" si="178"/>
        <v>0</v>
      </c>
      <c r="G148" s="246">
        <f t="shared" si="178"/>
        <v>0</v>
      </c>
      <c r="H148" s="246">
        <f t="shared" si="178"/>
        <v>0</v>
      </c>
      <c r="I148" s="246">
        <f t="shared" si="178"/>
        <v>0</v>
      </c>
      <c r="J148" s="246">
        <f t="shared" si="178"/>
        <v>0</v>
      </c>
      <c r="K148" s="246">
        <f t="shared" si="178"/>
        <v>0</v>
      </c>
      <c r="L148" s="246">
        <f t="shared" si="178"/>
        <v>18</v>
      </c>
      <c r="M148" s="246">
        <f t="shared" si="178"/>
        <v>18</v>
      </c>
      <c r="N148" s="246">
        <f t="shared" si="178"/>
        <v>18</v>
      </c>
      <c r="O148" s="246">
        <f t="shared" si="178"/>
        <v>18</v>
      </c>
      <c r="P148" s="246">
        <f t="shared" si="178"/>
        <v>88</v>
      </c>
      <c r="Q148" s="246">
        <f t="shared" si="178"/>
        <v>96</v>
      </c>
      <c r="R148" s="246">
        <f t="shared" si="141"/>
        <v>96</v>
      </c>
      <c r="S148" s="246">
        <f t="shared" si="178"/>
        <v>100</v>
      </c>
      <c r="T148" s="323"/>
      <c r="U148" s="22"/>
    </row>
    <row r="149" spans="2:21">
      <c r="B149" s="29"/>
      <c r="C149" s="33" t="s">
        <v>475</v>
      </c>
      <c r="D149" s="246">
        <f t="shared" ref="D149:S149" si="179">ROUNDUP(D57*D$105*VLOOKUP($C149,$C$11:$D$14,2,FALSE),0)</f>
        <v>0</v>
      </c>
      <c r="E149" s="246">
        <f t="shared" si="179"/>
        <v>0</v>
      </c>
      <c r="F149" s="246">
        <f t="shared" si="179"/>
        <v>0</v>
      </c>
      <c r="G149" s="246">
        <f t="shared" si="179"/>
        <v>0</v>
      </c>
      <c r="H149" s="246">
        <f t="shared" si="179"/>
        <v>0</v>
      </c>
      <c r="I149" s="246">
        <f t="shared" si="179"/>
        <v>0</v>
      </c>
      <c r="J149" s="246">
        <f t="shared" si="179"/>
        <v>0</v>
      </c>
      <c r="K149" s="246">
        <f t="shared" si="179"/>
        <v>0</v>
      </c>
      <c r="L149" s="246">
        <f t="shared" si="179"/>
        <v>36</v>
      </c>
      <c r="M149" s="246">
        <f t="shared" si="179"/>
        <v>36</v>
      </c>
      <c r="N149" s="246">
        <f t="shared" si="179"/>
        <v>36</v>
      </c>
      <c r="O149" s="246">
        <f t="shared" si="179"/>
        <v>36</v>
      </c>
      <c r="P149" s="246">
        <f t="shared" si="179"/>
        <v>176</v>
      </c>
      <c r="Q149" s="246">
        <f t="shared" si="179"/>
        <v>192</v>
      </c>
      <c r="R149" s="246">
        <f t="shared" si="141"/>
        <v>192</v>
      </c>
      <c r="S149" s="246">
        <f t="shared" si="179"/>
        <v>200</v>
      </c>
      <c r="T149" s="323"/>
      <c r="U149" s="22"/>
    </row>
    <row r="150" spans="2:21">
      <c r="B150" s="29"/>
      <c r="C150" s="33" t="s">
        <v>476</v>
      </c>
      <c r="D150" s="246">
        <f t="shared" ref="D150:S150" si="180">ROUNDUP(D58*D$105*VLOOKUP($C150,$C$11:$D$14,2,FALSE),0)</f>
        <v>0</v>
      </c>
      <c r="E150" s="246">
        <f t="shared" si="180"/>
        <v>0</v>
      </c>
      <c r="F150" s="246">
        <f t="shared" si="180"/>
        <v>0</v>
      </c>
      <c r="G150" s="246">
        <f t="shared" si="180"/>
        <v>0</v>
      </c>
      <c r="H150" s="246">
        <f t="shared" si="180"/>
        <v>0</v>
      </c>
      <c r="I150" s="246">
        <f t="shared" si="180"/>
        <v>0</v>
      </c>
      <c r="J150" s="246">
        <f t="shared" si="180"/>
        <v>0</v>
      </c>
      <c r="K150" s="246">
        <f t="shared" si="180"/>
        <v>0</v>
      </c>
      <c r="L150" s="246">
        <f t="shared" si="180"/>
        <v>36</v>
      </c>
      <c r="M150" s="246">
        <f t="shared" si="180"/>
        <v>36</v>
      </c>
      <c r="N150" s="246">
        <f t="shared" si="180"/>
        <v>36</v>
      </c>
      <c r="O150" s="246">
        <f t="shared" si="180"/>
        <v>36</v>
      </c>
      <c r="P150" s="246">
        <f t="shared" si="180"/>
        <v>176</v>
      </c>
      <c r="Q150" s="246">
        <f t="shared" si="180"/>
        <v>192</v>
      </c>
      <c r="R150" s="246">
        <f t="shared" si="141"/>
        <v>192</v>
      </c>
      <c r="S150" s="246">
        <f t="shared" si="180"/>
        <v>200</v>
      </c>
      <c r="T150" s="323"/>
      <c r="U150" s="22"/>
    </row>
    <row r="151" spans="2:21">
      <c r="B151" s="29" t="s">
        <v>495</v>
      </c>
      <c r="C151" s="33" t="s">
        <v>473</v>
      </c>
      <c r="D151" s="246">
        <f t="shared" ref="D151:S151" si="181">ROUNDUP(D59*D$105*VLOOKUP($C151,$C$11:$D$14,2,FALSE),0)</f>
        <v>0</v>
      </c>
      <c r="E151" s="246">
        <f t="shared" si="181"/>
        <v>0</v>
      </c>
      <c r="F151" s="246">
        <f t="shared" si="181"/>
        <v>0</v>
      </c>
      <c r="G151" s="246">
        <f t="shared" si="181"/>
        <v>0</v>
      </c>
      <c r="H151" s="246">
        <f t="shared" si="181"/>
        <v>0</v>
      </c>
      <c r="I151" s="246">
        <f t="shared" si="181"/>
        <v>0</v>
      </c>
      <c r="J151" s="246">
        <f t="shared" si="181"/>
        <v>0</v>
      </c>
      <c r="K151" s="246">
        <f t="shared" si="181"/>
        <v>0</v>
      </c>
      <c r="L151" s="246">
        <f t="shared" si="181"/>
        <v>18</v>
      </c>
      <c r="M151" s="246">
        <f t="shared" si="181"/>
        <v>18</v>
      </c>
      <c r="N151" s="246">
        <f t="shared" si="181"/>
        <v>18</v>
      </c>
      <c r="O151" s="246">
        <f t="shared" si="181"/>
        <v>18</v>
      </c>
      <c r="P151" s="246">
        <f t="shared" si="181"/>
        <v>88</v>
      </c>
      <c r="Q151" s="246">
        <f t="shared" si="181"/>
        <v>96</v>
      </c>
      <c r="R151" s="246">
        <f t="shared" si="141"/>
        <v>96</v>
      </c>
      <c r="S151" s="246">
        <f t="shared" si="181"/>
        <v>100</v>
      </c>
      <c r="T151" s="323"/>
      <c r="U151" s="22"/>
    </row>
    <row r="152" spans="2:21">
      <c r="B152" s="29"/>
      <c r="C152" s="33" t="s">
        <v>474</v>
      </c>
      <c r="D152" s="246">
        <f t="shared" ref="D152:S152" si="182">ROUNDUP(D60*D$105*VLOOKUP($C152,$C$11:$D$14,2,FALSE),0)</f>
        <v>0</v>
      </c>
      <c r="E152" s="246">
        <f t="shared" si="182"/>
        <v>0</v>
      </c>
      <c r="F152" s="246">
        <f t="shared" si="182"/>
        <v>0</v>
      </c>
      <c r="G152" s="246">
        <f t="shared" si="182"/>
        <v>0</v>
      </c>
      <c r="H152" s="246">
        <f t="shared" si="182"/>
        <v>0</v>
      </c>
      <c r="I152" s="246">
        <f t="shared" si="182"/>
        <v>0</v>
      </c>
      <c r="J152" s="246">
        <f t="shared" si="182"/>
        <v>0</v>
      </c>
      <c r="K152" s="246">
        <f t="shared" si="182"/>
        <v>0</v>
      </c>
      <c r="L152" s="246">
        <f t="shared" si="182"/>
        <v>36</v>
      </c>
      <c r="M152" s="246">
        <f t="shared" si="182"/>
        <v>36</v>
      </c>
      <c r="N152" s="246">
        <f t="shared" si="182"/>
        <v>36</v>
      </c>
      <c r="O152" s="246">
        <f t="shared" si="182"/>
        <v>36</v>
      </c>
      <c r="P152" s="246">
        <f t="shared" si="182"/>
        <v>176</v>
      </c>
      <c r="Q152" s="246">
        <f t="shared" si="182"/>
        <v>192</v>
      </c>
      <c r="R152" s="246">
        <f t="shared" si="141"/>
        <v>192</v>
      </c>
      <c r="S152" s="246">
        <f t="shared" si="182"/>
        <v>200</v>
      </c>
      <c r="T152" s="323"/>
      <c r="U152" s="22"/>
    </row>
    <row r="153" spans="2:21">
      <c r="B153" s="29"/>
      <c r="C153" s="33" t="s">
        <v>475</v>
      </c>
      <c r="D153" s="246">
        <f t="shared" ref="D153:S153" si="183">ROUNDUP(D61*D$105*VLOOKUP($C153,$C$11:$D$14,2,FALSE),0)</f>
        <v>0</v>
      </c>
      <c r="E153" s="246">
        <f t="shared" si="183"/>
        <v>0</v>
      </c>
      <c r="F153" s="246">
        <f t="shared" si="183"/>
        <v>0</v>
      </c>
      <c r="G153" s="246">
        <f t="shared" si="183"/>
        <v>0</v>
      </c>
      <c r="H153" s="246">
        <f t="shared" si="183"/>
        <v>0</v>
      </c>
      <c r="I153" s="246">
        <f t="shared" si="183"/>
        <v>0</v>
      </c>
      <c r="J153" s="246">
        <f t="shared" si="183"/>
        <v>0</v>
      </c>
      <c r="K153" s="246">
        <f t="shared" si="183"/>
        <v>0</v>
      </c>
      <c r="L153" s="246">
        <f t="shared" si="183"/>
        <v>36</v>
      </c>
      <c r="M153" s="246">
        <f t="shared" si="183"/>
        <v>36</v>
      </c>
      <c r="N153" s="246">
        <f t="shared" si="183"/>
        <v>36</v>
      </c>
      <c r="O153" s="246">
        <f t="shared" si="183"/>
        <v>36</v>
      </c>
      <c r="P153" s="246">
        <f t="shared" si="183"/>
        <v>176</v>
      </c>
      <c r="Q153" s="246">
        <f t="shared" si="183"/>
        <v>192</v>
      </c>
      <c r="R153" s="246">
        <f t="shared" si="141"/>
        <v>192</v>
      </c>
      <c r="S153" s="246">
        <f t="shared" si="183"/>
        <v>200</v>
      </c>
      <c r="T153" s="323"/>
      <c r="U153" s="22"/>
    </row>
    <row r="154" spans="2:21">
      <c r="B154" s="29"/>
      <c r="C154" s="33" t="s">
        <v>476</v>
      </c>
      <c r="D154" s="246">
        <f t="shared" ref="D154:S154" si="184">ROUNDUP(D62*D$105*VLOOKUP($C154,$C$11:$D$14,2,FALSE),0)</f>
        <v>0</v>
      </c>
      <c r="E154" s="246">
        <f t="shared" si="184"/>
        <v>0</v>
      </c>
      <c r="F154" s="246">
        <f t="shared" si="184"/>
        <v>0</v>
      </c>
      <c r="G154" s="246">
        <f t="shared" si="184"/>
        <v>0</v>
      </c>
      <c r="H154" s="246">
        <f t="shared" si="184"/>
        <v>0</v>
      </c>
      <c r="I154" s="246">
        <f t="shared" si="184"/>
        <v>0</v>
      </c>
      <c r="J154" s="246">
        <f t="shared" si="184"/>
        <v>0</v>
      </c>
      <c r="K154" s="246">
        <f t="shared" si="184"/>
        <v>0</v>
      </c>
      <c r="L154" s="246">
        <f t="shared" si="184"/>
        <v>18</v>
      </c>
      <c r="M154" s="246">
        <f t="shared" si="184"/>
        <v>18</v>
      </c>
      <c r="N154" s="246">
        <f t="shared" si="184"/>
        <v>18</v>
      </c>
      <c r="O154" s="246">
        <f t="shared" si="184"/>
        <v>18</v>
      </c>
      <c r="P154" s="246">
        <f t="shared" si="184"/>
        <v>88</v>
      </c>
      <c r="Q154" s="246">
        <f t="shared" si="184"/>
        <v>96</v>
      </c>
      <c r="R154" s="246">
        <f t="shared" si="141"/>
        <v>96</v>
      </c>
      <c r="S154" s="246">
        <f t="shared" si="184"/>
        <v>100</v>
      </c>
      <c r="T154" s="323"/>
      <c r="U154" s="22"/>
    </row>
    <row r="155" spans="2:21">
      <c r="B155" s="29" t="s">
        <v>487</v>
      </c>
      <c r="C155" s="33" t="s">
        <v>473</v>
      </c>
      <c r="D155" s="246">
        <f t="shared" ref="D155:S155" si="185">ROUNDUP(D63*D$105*VLOOKUP($C155,$C$11:$D$14,2,FALSE),0)</f>
        <v>0</v>
      </c>
      <c r="E155" s="246">
        <f t="shared" si="185"/>
        <v>0</v>
      </c>
      <c r="F155" s="246">
        <f t="shared" si="185"/>
        <v>0</v>
      </c>
      <c r="G155" s="246">
        <f t="shared" si="185"/>
        <v>0</v>
      </c>
      <c r="H155" s="246">
        <f t="shared" si="185"/>
        <v>0</v>
      </c>
      <c r="I155" s="246">
        <f t="shared" si="185"/>
        <v>0</v>
      </c>
      <c r="J155" s="246">
        <f t="shared" si="185"/>
        <v>0</v>
      </c>
      <c r="K155" s="246">
        <f t="shared" si="185"/>
        <v>0</v>
      </c>
      <c r="L155" s="246">
        <f t="shared" si="185"/>
        <v>36</v>
      </c>
      <c r="M155" s="246">
        <f t="shared" si="185"/>
        <v>36</v>
      </c>
      <c r="N155" s="246">
        <f t="shared" si="185"/>
        <v>36</v>
      </c>
      <c r="O155" s="246">
        <f t="shared" si="185"/>
        <v>36</v>
      </c>
      <c r="P155" s="246">
        <f t="shared" si="185"/>
        <v>176</v>
      </c>
      <c r="Q155" s="246">
        <f t="shared" si="185"/>
        <v>192</v>
      </c>
      <c r="R155" s="246">
        <f t="shared" si="141"/>
        <v>192</v>
      </c>
      <c r="S155" s="246">
        <f t="shared" si="185"/>
        <v>200</v>
      </c>
      <c r="T155" s="323"/>
      <c r="U155" s="22"/>
    </row>
    <row r="156" spans="2:21">
      <c r="B156" s="29"/>
      <c r="C156" s="33" t="s">
        <v>474</v>
      </c>
      <c r="D156" s="246">
        <f t="shared" ref="D156:S156" si="186">ROUNDUP(D64*D$105*VLOOKUP($C156,$C$11:$D$14,2,FALSE),0)</f>
        <v>0</v>
      </c>
      <c r="E156" s="246">
        <f t="shared" si="186"/>
        <v>0</v>
      </c>
      <c r="F156" s="246">
        <f t="shared" si="186"/>
        <v>0</v>
      </c>
      <c r="G156" s="246">
        <f t="shared" si="186"/>
        <v>0</v>
      </c>
      <c r="H156" s="246">
        <f t="shared" si="186"/>
        <v>0</v>
      </c>
      <c r="I156" s="246">
        <f t="shared" si="186"/>
        <v>0</v>
      </c>
      <c r="J156" s="246">
        <f t="shared" si="186"/>
        <v>0</v>
      </c>
      <c r="K156" s="246">
        <f t="shared" si="186"/>
        <v>0</v>
      </c>
      <c r="L156" s="246">
        <f t="shared" si="186"/>
        <v>36</v>
      </c>
      <c r="M156" s="246">
        <f t="shared" si="186"/>
        <v>36</v>
      </c>
      <c r="N156" s="246">
        <f t="shared" si="186"/>
        <v>36</v>
      </c>
      <c r="O156" s="246">
        <f t="shared" si="186"/>
        <v>36</v>
      </c>
      <c r="P156" s="246">
        <f t="shared" si="186"/>
        <v>176</v>
      </c>
      <c r="Q156" s="246">
        <f t="shared" si="186"/>
        <v>192</v>
      </c>
      <c r="R156" s="246">
        <f t="shared" si="141"/>
        <v>192</v>
      </c>
      <c r="S156" s="246">
        <f t="shared" si="186"/>
        <v>200</v>
      </c>
      <c r="T156" s="323"/>
      <c r="U156" s="22"/>
    </row>
    <row r="157" spans="2:21">
      <c r="B157" s="29"/>
      <c r="C157" s="33" t="s">
        <v>475</v>
      </c>
      <c r="D157" s="246">
        <f t="shared" ref="D157:S157" si="187">ROUNDUP(D65*D$105*VLOOKUP($C157,$C$11:$D$14,2,FALSE),0)</f>
        <v>0</v>
      </c>
      <c r="E157" s="246">
        <f t="shared" si="187"/>
        <v>0</v>
      </c>
      <c r="F157" s="246">
        <f t="shared" si="187"/>
        <v>0</v>
      </c>
      <c r="G157" s="246">
        <f t="shared" si="187"/>
        <v>0</v>
      </c>
      <c r="H157" s="246">
        <f t="shared" si="187"/>
        <v>0</v>
      </c>
      <c r="I157" s="246">
        <f t="shared" si="187"/>
        <v>0</v>
      </c>
      <c r="J157" s="246">
        <f t="shared" si="187"/>
        <v>0</v>
      </c>
      <c r="K157" s="246">
        <f t="shared" si="187"/>
        <v>0</v>
      </c>
      <c r="L157" s="246">
        <f t="shared" si="187"/>
        <v>36</v>
      </c>
      <c r="M157" s="246">
        <f t="shared" si="187"/>
        <v>36</v>
      </c>
      <c r="N157" s="246">
        <f t="shared" si="187"/>
        <v>36</v>
      </c>
      <c r="O157" s="246">
        <f t="shared" si="187"/>
        <v>36</v>
      </c>
      <c r="P157" s="246">
        <f t="shared" si="187"/>
        <v>176</v>
      </c>
      <c r="Q157" s="246">
        <f t="shared" si="187"/>
        <v>192</v>
      </c>
      <c r="R157" s="246">
        <f t="shared" si="141"/>
        <v>192</v>
      </c>
      <c r="S157" s="246">
        <f t="shared" si="187"/>
        <v>200</v>
      </c>
      <c r="T157" s="323"/>
      <c r="U157" s="22"/>
    </row>
    <row r="158" spans="2:21">
      <c r="B158" s="29"/>
      <c r="C158" s="33" t="s">
        <v>476</v>
      </c>
      <c r="D158" s="246">
        <f t="shared" ref="D158:S158" si="188">ROUNDUP(D66*D$105*VLOOKUP($C158,$C$11:$D$14,2,FALSE),0)</f>
        <v>0</v>
      </c>
      <c r="E158" s="246">
        <f t="shared" si="188"/>
        <v>0</v>
      </c>
      <c r="F158" s="246">
        <f t="shared" si="188"/>
        <v>0</v>
      </c>
      <c r="G158" s="246">
        <f t="shared" si="188"/>
        <v>0</v>
      </c>
      <c r="H158" s="246">
        <f t="shared" si="188"/>
        <v>0</v>
      </c>
      <c r="I158" s="246">
        <f t="shared" si="188"/>
        <v>0</v>
      </c>
      <c r="J158" s="246">
        <f t="shared" si="188"/>
        <v>0</v>
      </c>
      <c r="K158" s="246">
        <f t="shared" si="188"/>
        <v>0</v>
      </c>
      <c r="L158" s="246">
        <f t="shared" si="188"/>
        <v>36</v>
      </c>
      <c r="M158" s="246">
        <f t="shared" si="188"/>
        <v>36</v>
      </c>
      <c r="N158" s="246">
        <f t="shared" si="188"/>
        <v>36</v>
      </c>
      <c r="O158" s="246">
        <f t="shared" si="188"/>
        <v>36</v>
      </c>
      <c r="P158" s="246">
        <f t="shared" si="188"/>
        <v>176</v>
      </c>
      <c r="Q158" s="246">
        <f t="shared" si="188"/>
        <v>192</v>
      </c>
      <c r="R158" s="246">
        <f t="shared" si="141"/>
        <v>192</v>
      </c>
      <c r="S158" s="246">
        <f t="shared" si="188"/>
        <v>200</v>
      </c>
      <c r="T158" s="323"/>
      <c r="U158" s="22"/>
    </row>
    <row r="159" spans="2:21">
      <c r="B159" s="29" t="s">
        <v>488</v>
      </c>
      <c r="C159" s="33" t="s">
        <v>473</v>
      </c>
      <c r="D159" s="246">
        <f t="shared" ref="D159:S159" si="189">ROUNDUP(D67*D$105*VLOOKUP($C159,$C$11:$D$14,2,FALSE),0)</f>
        <v>0</v>
      </c>
      <c r="E159" s="246">
        <f t="shared" si="189"/>
        <v>0</v>
      </c>
      <c r="F159" s="246">
        <f t="shared" si="189"/>
        <v>0</v>
      </c>
      <c r="G159" s="246">
        <f t="shared" si="189"/>
        <v>0</v>
      </c>
      <c r="H159" s="246">
        <f t="shared" si="189"/>
        <v>0</v>
      </c>
      <c r="I159" s="246">
        <f t="shared" si="189"/>
        <v>0</v>
      </c>
      <c r="J159" s="246">
        <f t="shared" si="189"/>
        <v>0</v>
      </c>
      <c r="K159" s="246">
        <f t="shared" si="189"/>
        <v>0</v>
      </c>
      <c r="L159" s="246">
        <f t="shared" si="189"/>
        <v>0</v>
      </c>
      <c r="M159" s="246">
        <f t="shared" si="189"/>
        <v>36</v>
      </c>
      <c r="N159" s="246">
        <f t="shared" si="189"/>
        <v>36</v>
      </c>
      <c r="O159" s="246">
        <f t="shared" si="189"/>
        <v>36</v>
      </c>
      <c r="P159" s="246">
        <f t="shared" si="189"/>
        <v>176</v>
      </c>
      <c r="Q159" s="246">
        <f t="shared" si="189"/>
        <v>192</v>
      </c>
      <c r="R159" s="246">
        <f t="shared" si="141"/>
        <v>192</v>
      </c>
      <c r="S159" s="246">
        <f t="shared" si="189"/>
        <v>200</v>
      </c>
      <c r="T159" s="323"/>
      <c r="U159" s="22"/>
    </row>
    <row r="160" spans="2:21">
      <c r="B160" s="29"/>
      <c r="C160" s="33" t="s">
        <v>474</v>
      </c>
      <c r="D160" s="246">
        <f t="shared" ref="D160:S160" si="190">ROUNDUP(D68*D$105*VLOOKUP($C160,$C$11:$D$14,2,FALSE),0)</f>
        <v>0</v>
      </c>
      <c r="E160" s="246">
        <f t="shared" si="190"/>
        <v>0</v>
      </c>
      <c r="F160" s="246">
        <f t="shared" si="190"/>
        <v>0</v>
      </c>
      <c r="G160" s="246">
        <f t="shared" si="190"/>
        <v>0</v>
      </c>
      <c r="H160" s="246">
        <f t="shared" si="190"/>
        <v>0</v>
      </c>
      <c r="I160" s="246">
        <f t="shared" si="190"/>
        <v>0</v>
      </c>
      <c r="J160" s="246">
        <f t="shared" si="190"/>
        <v>0</v>
      </c>
      <c r="K160" s="246">
        <f t="shared" si="190"/>
        <v>0</v>
      </c>
      <c r="L160" s="246">
        <f t="shared" si="190"/>
        <v>0</v>
      </c>
      <c r="M160" s="246">
        <f t="shared" si="190"/>
        <v>18</v>
      </c>
      <c r="N160" s="246">
        <f t="shared" si="190"/>
        <v>18</v>
      </c>
      <c r="O160" s="246">
        <f t="shared" si="190"/>
        <v>18</v>
      </c>
      <c r="P160" s="246">
        <f t="shared" si="190"/>
        <v>88</v>
      </c>
      <c r="Q160" s="246">
        <f t="shared" si="190"/>
        <v>96</v>
      </c>
      <c r="R160" s="246">
        <f t="shared" si="141"/>
        <v>96</v>
      </c>
      <c r="S160" s="246">
        <f t="shared" si="190"/>
        <v>100</v>
      </c>
      <c r="T160" s="323"/>
      <c r="U160" s="22"/>
    </row>
    <row r="161" spans="2:21">
      <c r="B161" s="29"/>
      <c r="C161" s="33" t="s">
        <v>475</v>
      </c>
      <c r="D161" s="246">
        <f t="shared" ref="D161:S161" si="191">ROUNDUP(D69*D$105*VLOOKUP($C161,$C$11:$D$14,2,FALSE),0)</f>
        <v>0</v>
      </c>
      <c r="E161" s="246">
        <f t="shared" si="191"/>
        <v>0</v>
      </c>
      <c r="F161" s="246">
        <f t="shared" si="191"/>
        <v>0</v>
      </c>
      <c r="G161" s="246">
        <f t="shared" si="191"/>
        <v>0</v>
      </c>
      <c r="H161" s="246">
        <f t="shared" si="191"/>
        <v>0</v>
      </c>
      <c r="I161" s="246">
        <f t="shared" si="191"/>
        <v>0</v>
      </c>
      <c r="J161" s="246">
        <f t="shared" si="191"/>
        <v>0</v>
      </c>
      <c r="K161" s="246">
        <f t="shared" si="191"/>
        <v>0</v>
      </c>
      <c r="L161" s="246">
        <f t="shared" si="191"/>
        <v>0</v>
      </c>
      <c r="M161" s="246">
        <f t="shared" si="191"/>
        <v>36</v>
      </c>
      <c r="N161" s="246">
        <f t="shared" si="191"/>
        <v>36</v>
      </c>
      <c r="O161" s="246">
        <f t="shared" si="191"/>
        <v>36</v>
      </c>
      <c r="P161" s="246">
        <f t="shared" si="191"/>
        <v>176</v>
      </c>
      <c r="Q161" s="246">
        <f t="shared" si="191"/>
        <v>192</v>
      </c>
      <c r="R161" s="246">
        <f t="shared" si="141"/>
        <v>192</v>
      </c>
      <c r="S161" s="246">
        <f t="shared" si="191"/>
        <v>200</v>
      </c>
      <c r="T161" s="323"/>
      <c r="U161" s="22"/>
    </row>
    <row r="162" spans="2:21">
      <c r="B162" s="29"/>
      <c r="C162" s="33" t="s">
        <v>476</v>
      </c>
      <c r="D162" s="246">
        <f t="shared" ref="D162:S162" si="192">ROUNDUP(D70*D$105*VLOOKUP($C162,$C$11:$D$14,2,FALSE),0)</f>
        <v>0</v>
      </c>
      <c r="E162" s="246">
        <f t="shared" si="192"/>
        <v>0</v>
      </c>
      <c r="F162" s="246">
        <f t="shared" si="192"/>
        <v>0</v>
      </c>
      <c r="G162" s="246">
        <f t="shared" si="192"/>
        <v>0</v>
      </c>
      <c r="H162" s="246">
        <f t="shared" si="192"/>
        <v>0</v>
      </c>
      <c r="I162" s="246">
        <f t="shared" si="192"/>
        <v>0</v>
      </c>
      <c r="J162" s="246">
        <f t="shared" si="192"/>
        <v>0</v>
      </c>
      <c r="K162" s="246">
        <f t="shared" si="192"/>
        <v>0</v>
      </c>
      <c r="L162" s="246">
        <f t="shared" si="192"/>
        <v>0</v>
      </c>
      <c r="M162" s="246">
        <f t="shared" si="192"/>
        <v>36</v>
      </c>
      <c r="N162" s="246">
        <f t="shared" si="192"/>
        <v>36</v>
      </c>
      <c r="O162" s="246">
        <f t="shared" si="192"/>
        <v>36</v>
      </c>
      <c r="P162" s="246">
        <f t="shared" si="192"/>
        <v>176</v>
      </c>
      <c r="Q162" s="246">
        <f t="shared" si="192"/>
        <v>192</v>
      </c>
      <c r="R162" s="246">
        <f t="shared" si="141"/>
        <v>192</v>
      </c>
      <c r="S162" s="246">
        <f t="shared" si="192"/>
        <v>200</v>
      </c>
      <c r="T162" s="323"/>
      <c r="U162" s="22"/>
    </row>
    <row r="163" spans="2:21">
      <c r="B163" s="29" t="s">
        <v>489</v>
      </c>
      <c r="C163" s="33" t="s">
        <v>473</v>
      </c>
      <c r="D163" s="246">
        <f t="shared" ref="D163:S163" si="193">ROUNDUP(D71*D$105*VLOOKUP($C163,$C$11:$D$14,2,FALSE),0)</f>
        <v>0</v>
      </c>
      <c r="E163" s="246">
        <f t="shared" si="193"/>
        <v>0</v>
      </c>
      <c r="F163" s="246">
        <f t="shared" si="193"/>
        <v>0</v>
      </c>
      <c r="G163" s="246">
        <f t="shared" si="193"/>
        <v>0</v>
      </c>
      <c r="H163" s="246">
        <f t="shared" si="193"/>
        <v>0</v>
      </c>
      <c r="I163" s="246">
        <f t="shared" si="193"/>
        <v>0</v>
      </c>
      <c r="J163" s="246">
        <f t="shared" si="193"/>
        <v>0</v>
      </c>
      <c r="K163" s="246">
        <f t="shared" si="193"/>
        <v>0</v>
      </c>
      <c r="L163" s="246">
        <f t="shared" si="193"/>
        <v>0</v>
      </c>
      <c r="M163" s="246">
        <f t="shared" si="193"/>
        <v>36</v>
      </c>
      <c r="N163" s="246">
        <f t="shared" si="193"/>
        <v>36</v>
      </c>
      <c r="O163" s="246">
        <f t="shared" si="193"/>
        <v>36</v>
      </c>
      <c r="P163" s="246">
        <f t="shared" si="193"/>
        <v>176</v>
      </c>
      <c r="Q163" s="246">
        <f t="shared" si="193"/>
        <v>192</v>
      </c>
      <c r="R163" s="246">
        <f t="shared" si="141"/>
        <v>192</v>
      </c>
      <c r="S163" s="246">
        <f t="shared" si="193"/>
        <v>200</v>
      </c>
      <c r="T163" s="323"/>
      <c r="U163" s="22"/>
    </row>
    <row r="164" spans="2:21">
      <c r="B164" s="29"/>
      <c r="C164" s="33" t="s">
        <v>474</v>
      </c>
      <c r="D164" s="246">
        <f t="shared" ref="D164:S164" si="194">ROUNDUP(D72*D$105*VLOOKUP($C164,$C$11:$D$14,2,FALSE),0)</f>
        <v>0</v>
      </c>
      <c r="E164" s="246">
        <f t="shared" si="194"/>
        <v>0</v>
      </c>
      <c r="F164" s="246">
        <f t="shared" si="194"/>
        <v>0</v>
      </c>
      <c r="G164" s="246">
        <f t="shared" si="194"/>
        <v>0</v>
      </c>
      <c r="H164" s="246">
        <f t="shared" si="194"/>
        <v>0</v>
      </c>
      <c r="I164" s="246">
        <f t="shared" si="194"/>
        <v>0</v>
      </c>
      <c r="J164" s="246">
        <f t="shared" si="194"/>
        <v>0</v>
      </c>
      <c r="K164" s="246">
        <f t="shared" si="194"/>
        <v>0</v>
      </c>
      <c r="L164" s="246">
        <f t="shared" si="194"/>
        <v>0</v>
      </c>
      <c r="M164" s="246">
        <f t="shared" si="194"/>
        <v>36</v>
      </c>
      <c r="N164" s="246">
        <f t="shared" si="194"/>
        <v>36</v>
      </c>
      <c r="O164" s="246">
        <f t="shared" si="194"/>
        <v>36</v>
      </c>
      <c r="P164" s="246">
        <f t="shared" si="194"/>
        <v>176</v>
      </c>
      <c r="Q164" s="246">
        <f t="shared" si="194"/>
        <v>192</v>
      </c>
      <c r="R164" s="246">
        <f t="shared" si="141"/>
        <v>192</v>
      </c>
      <c r="S164" s="246">
        <f t="shared" si="194"/>
        <v>200</v>
      </c>
      <c r="T164" s="323"/>
      <c r="U164" s="22"/>
    </row>
    <row r="165" spans="2:21">
      <c r="B165" s="29"/>
      <c r="C165" s="33" t="s">
        <v>475</v>
      </c>
      <c r="D165" s="246">
        <f t="shared" ref="D165:S165" si="195">ROUNDUP(D73*D$105*VLOOKUP($C165,$C$11:$D$14,2,FALSE),0)</f>
        <v>0</v>
      </c>
      <c r="E165" s="246">
        <f t="shared" si="195"/>
        <v>0</v>
      </c>
      <c r="F165" s="246">
        <f t="shared" si="195"/>
        <v>0</v>
      </c>
      <c r="G165" s="246">
        <f t="shared" si="195"/>
        <v>0</v>
      </c>
      <c r="H165" s="246">
        <f t="shared" si="195"/>
        <v>0</v>
      </c>
      <c r="I165" s="246">
        <f t="shared" si="195"/>
        <v>0</v>
      </c>
      <c r="J165" s="246">
        <f t="shared" si="195"/>
        <v>0</v>
      </c>
      <c r="K165" s="246">
        <f t="shared" si="195"/>
        <v>0</v>
      </c>
      <c r="L165" s="246">
        <f t="shared" si="195"/>
        <v>0</v>
      </c>
      <c r="M165" s="246">
        <f t="shared" si="195"/>
        <v>36</v>
      </c>
      <c r="N165" s="246">
        <f t="shared" si="195"/>
        <v>36</v>
      </c>
      <c r="O165" s="246">
        <f t="shared" si="195"/>
        <v>36</v>
      </c>
      <c r="P165" s="246">
        <f t="shared" si="195"/>
        <v>176</v>
      </c>
      <c r="Q165" s="246">
        <f t="shared" si="195"/>
        <v>192</v>
      </c>
      <c r="R165" s="246">
        <f t="shared" si="141"/>
        <v>192</v>
      </c>
      <c r="S165" s="246">
        <f t="shared" si="195"/>
        <v>200</v>
      </c>
      <c r="T165" s="323"/>
      <c r="U165" s="22"/>
    </row>
    <row r="166" spans="2:21">
      <c r="B166" s="29"/>
      <c r="C166" s="33" t="s">
        <v>476</v>
      </c>
      <c r="D166" s="246">
        <f t="shared" ref="D166:S166" si="196">ROUNDUP(D74*D$105*VLOOKUP($C166,$C$11:$D$14,2,FALSE),0)</f>
        <v>0</v>
      </c>
      <c r="E166" s="246">
        <f t="shared" si="196"/>
        <v>0</v>
      </c>
      <c r="F166" s="246">
        <f t="shared" si="196"/>
        <v>0</v>
      </c>
      <c r="G166" s="246">
        <f t="shared" si="196"/>
        <v>0</v>
      </c>
      <c r="H166" s="246">
        <f t="shared" si="196"/>
        <v>0</v>
      </c>
      <c r="I166" s="246">
        <f t="shared" si="196"/>
        <v>0</v>
      </c>
      <c r="J166" s="246">
        <f t="shared" si="196"/>
        <v>0</v>
      </c>
      <c r="K166" s="246">
        <f t="shared" si="196"/>
        <v>0</v>
      </c>
      <c r="L166" s="246">
        <f t="shared" si="196"/>
        <v>0</v>
      </c>
      <c r="M166" s="246">
        <f t="shared" si="196"/>
        <v>18</v>
      </c>
      <c r="N166" s="246">
        <f t="shared" si="196"/>
        <v>18</v>
      </c>
      <c r="O166" s="246">
        <f t="shared" si="196"/>
        <v>18</v>
      </c>
      <c r="P166" s="246">
        <f t="shared" si="196"/>
        <v>88</v>
      </c>
      <c r="Q166" s="246">
        <f t="shared" si="196"/>
        <v>96</v>
      </c>
      <c r="R166" s="246">
        <f t="shared" si="141"/>
        <v>96</v>
      </c>
      <c r="S166" s="246">
        <f t="shared" si="196"/>
        <v>100</v>
      </c>
      <c r="T166" s="323"/>
      <c r="U166" s="22"/>
    </row>
    <row r="167" spans="2:21">
      <c r="B167" s="29" t="s">
        <v>490</v>
      </c>
      <c r="C167" s="33" t="s">
        <v>473</v>
      </c>
      <c r="D167" s="246">
        <f t="shared" ref="D167:S167" si="197">ROUNDUP(D75*D$105*VLOOKUP($C167,$C$11:$D$14,2,FALSE),0)</f>
        <v>0</v>
      </c>
      <c r="E167" s="246">
        <f t="shared" si="197"/>
        <v>0</v>
      </c>
      <c r="F167" s="246">
        <f t="shared" si="197"/>
        <v>0</v>
      </c>
      <c r="G167" s="246">
        <f t="shared" si="197"/>
        <v>0</v>
      </c>
      <c r="H167" s="246">
        <f t="shared" si="197"/>
        <v>0</v>
      </c>
      <c r="I167" s="246">
        <f t="shared" si="197"/>
        <v>0</v>
      </c>
      <c r="J167" s="246">
        <f t="shared" si="197"/>
        <v>0</v>
      </c>
      <c r="K167" s="246">
        <f t="shared" si="197"/>
        <v>0</v>
      </c>
      <c r="L167" s="246">
        <f t="shared" si="197"/>
        <v>0</v>
      </c>
      <c r="M167" s="246">
        <f t="shared" si="197"/>
        <v>36</v>
      </c>
      <c r="N167" s="246">
        <f t="shared" si="197"/>
        <v>36</v>
      </c>
      <c r="O167" s="246">
        <f t="shared" si="197"/>
        <v>36</v>
      </c>
      <c r="P167" s="246">
        <f t="shared" si="197"/>
        <v>176</v>
      </c>
      <c r="Q167" s="246">
        <f t="shared" si="197"/>
        <v>192</v>
      </c>
      <c r="R167" s="246">
        <f t="shared" si="141"/>
        <v>192</v>
      </c>
      <c r="S167" s="246">
        <f t="shared" si="197"/>
        <v>200</v>
      </c>
      <c r="U167" s="22"/>
    </row>
    <row r="168" spans="2:21">
      <c r="B168" s="29"/>
      <c r="C168" s="33" t="s">
        <v>474</v>
      </c>
      <c r="D168" s="246">
        <f t="shared" ref="D168:S168" si="198">ROUNDUP(D76*D$105*VLOOKUP($C168,$C$11:$D$14,2,FALSE),0)</f>
        <v>0</v>
      </c>
      <c r="E168" s="246">
        <f t="shared" si="198"/>
        <v>0</v>
      </c>
      <c r="F168" s="246">
        <f t="shared" si="198"/>
        <v>0</v>
      </c>
      <c r="G168" s="246">
        <f t="shared" si="198"/>
        <v>0</v>
      </c>
      <c r="H168" s="246">
        <f t="shared" si="198"/>
        <v>0</v>
      </c>
      <c r="I168" s="246">
        <f t="shared" si="198"/>
        <v>0</v>
      </c>
      <c r="J168" s="246">
        <f t="shared" si="198"/>
        <v>0</v>
      </c>
      <c r="K168" s="246">
        <f t="shared" si="198"/>
        <v>0</v>
      </c>
      <c r="L168" s="246">
        <f t="shared" si="198"/>
        <v>0</v>
      </c>
      <c r="M168" s="246">
        <f t="shared" si="198"/>
        <v>36</v>
      </c>
      <c r="N168" s="246">
        <f t="shared" si="198"/>
        <v>36</v>
      </c>
      <c r="O168" s="246">
        <f t="shared" si="198"/>
        <v>36</v>
      </c>
      <c r="P168" s="246">
        <f t="shared" si="198"/>
        <v>176</v>
      </c>
      <c r="Q168" s="246">
        <f t="shared" si="198"/>
        <v>192</v>
      </c>
      <c r="R168" s="246">
        <f t="shared" si="141"/>
        <v>192</v>
      </c>
      <c r="S168" s="246">
        <f t="shared" si="198"/>
        <v>200</v>
      </c>
      <c r="U168" s="22"/>
    </row>
    <row r="169" spans="2:21">
      <c r="B169" s="29"/>
      <c r="C169" s="33" t="s">
        <v>475</v>
      </c>
      <c r="D169" s="246">
        <f t="shared" ref="D169:S169" si="199">ROUNDUP(D77*D$105*VLOOKUP($C169,$C$11:$D$14,2,FALSE),0)</f>
        <v>0</v>
      </c>
      <c r="E169" s="246">
        <f t="shared" si="199"/>
        <v>0</v>
      </c>
      <c r="F169" s="246">
        <f t="shared" si="199"/>
        <v>0</v>
      </c>
      <c r="G169" s="246">
        <f t="shared" si="199"/>
        <v>0</v>
      </c>
      <c r="H169" s="246">
        <f t="shared" si="199"/>
        <v>0</v>
      </c>
      <c r="I169" s="246">
        <f t="shared" si="199"/>
        <v>0</v>
      </c>
      <c r="J169" s="246">
        <f t="shared" si="199"/>
        <v>0</v>
      </c>
      <c r="K169" s="246">
        <f t="shared" si="199"/>
        <v>0</v>
      </c>
      <c r="L169" s="246">
        <f t="shared" si="199"/>
        <v>0</v>
      </c>
      <c r="M169" s="246">
        <f t="shared" si="199"/>
        <v>18</v>
      </c>
      <c r="N169" s="246">
        <f t="shared" si="199"/>
        <v>18</v>
      </c>
      <c r="O169" s="246">
        <f t="shared" si="199"/>
        <v>18</v>
      </c>
      <c r="P169" s="246">
        <f t="shared" si="199"/>
        <v>88</v>
      </c>
      <c r="Q169" s="246">
        <f t="shared" si="199"/>
        <v>96</v>
      </c>
      <c r="R169" s="246">
        <f t="shared" si="141"/>
        <v>96</v>
      </c>
      <c r="S169" s="246">
        <f t="shared" si="199"/>
        <v>100</v>
      </c>
      <c r="U169" s="22"/>
    </row>
    <row r="170" spans="2:21">
      <c r="B170" s="29"/>
      <c r="C170" s="33" t="s">
        <v>476</v>
      </c>
      <c r="D170" s="246">
        <f t="shared" ref="D170:S170" si="200">ROUNDUP(D78*D$105*VLOOKUP($C170,$C$11:$D$14,2,FALSE),0)</f>
        <v>0</v>
      </c>
      <c r="E170" s="246">
        <f t="shared" si="200"/>
        <v>0</v>
      </c>
      <c r="F170" s="246">
        <f t="shared" si="200"/>
        <v>0</v>
      </c>
      <c r="G170" s="246">
        <f t="shared" si="200"/>
        <v>0</v>
      </c>
      <c r="H170" s="246">
        <f t="shared" si="200"/>
        <v>0</v>
      </c>
      <c r="I170" s="246">
        <f t="shared" si="200"/>
        <v>0</v>
      </c>
      <c r="J170" s="246">
        <f t="shared" si="200"/>
        <v>0</v>
      </c>
      <c r="K170" s="246">
        <f t="shared" si="200"/>
        <v>0</v>
      </c>
      <c r="L170" s="246">
        <f t="shared" si="200"/>
        <v>0</v>
      </c>
      <c r="M170" s="246">
        <f t="shared" si="200"/>
        <v>36</v>
      </c>
      <c r="N170" s="246">
        <f t="shared" si="200"/>
        <v>36</v>
      </c>
      <c r="O170" s="246">
        <f t="shared" si="200"/>
        <v>36</v>
      </c>
      <c r="P170" s="246">
        <f t="shared" si="200"/>
        <v>176</v>
      </c>
      <c r="Q170" s="246">
        <f t="shared" si="200"/>
        <v>192</v>
      </c>
      <c r="R170" s="246">
        <f t="shared" si="141"/>
        <v>192</v>
      </c>
      <c r="S170" s="246">
        <f t="shared" si="200"/>
        <v>200</v>
      </c>
      <c r="U170" s="22"/>
    </row>
    <row r="171" spans="2:21">
      <c r="B171" s="29" t="s">
        <v>491</v>
      </c>
      <c r="C171" s="33" t="s">
        <v>473</v>
      </c>
      <c r="D171" s="246">
        <f t="shared" ref="D171:S171" si="201">ROUNDUP(D79*D$105*VLOOKUP($C171,$C$11:$D$14,2,FALSE),0)</f>
        <v>0</v>
      </c>
      <c r="E171" s="246">
        <f t="shared" si="201"/>
        <v>0</v>
      </c>
      <c r="F171" s="246">
        <f t="shared" si="201"/>
        <v>0</v>
      </c>
      <c r="G171" s="246">
        <f t="shared" si="201"/>
        <v>0</v>
      </c>
      <c r="H171" s="246">
        <f t="shared" si="201"/>
        <v>0</v>
      </c>
      <c r="I171" s="246">
        <f t="shared" si="201"/>
        <v>0</v>
      </c>
      <c r="J171" s="246">
        <f t="shared" si="201"/>
        <v>0</v>
      </c>
      <c r="K171" s="246">
        <f t="shared" si="201"/>
        <v>0</v>
      </c>
      <c r="L171" s="246">
        <f t="shared" si="201"/>
        <v>0</v>
      </c>
      <c r="M171" s="246">
        <f t="shared" si="201"/>
        <v>0</v>
      </c>
      <c r="N171" s="246">
        <f t="shared" si="201"/>
        <v>36</v>
      </c>
      <c r="O171" s="246">
        <f t="shared" si="201"/>
        <v>36</v>
      </c>
      <c r="P171" s="246">
        <f t="shared" si="201"/>
        <v>176</v>
      </c>
      <c r="Q171" s="246">
        <f t="shared" si="201"/>
        <v>192</v>
      </c>
      <c r="R171" s="246">
        <f t="shared" si="141"/>
        <v>192</v>
      </c>
      <c r="S171" s="246">
        <f t="shared" si="201"/>
        <v>200</v>
      </c>
      <c r="U171" s="22"/>
    </row>
    <row r="172" spans="2:21">
      <c r="B172" s="29"/>
      <c r="C172" s="33" t="s">
        <v>474</v>
      </c>
      <c r="D172" s="246">
        <f t="shared" ref="D172:S172" si="202">ROUNDUP(D80*D$105*VLOOKUP($C172,$C$11:$D$14,2,FALSE),0)</f>
        <v>0</v>
      </c>
      <c r="E172" s="246">
        <f t="shared" si="202"/>
        <v>0</v>
      </c>
      <c r="F172" s="246">
        <f t="shared" si="202"/>
        <v>0</v>
      </c>
      <c r="G172" s="246">
        <f t="shared" si="202"/>
        <v>0</v>
      </c>
      <c r="H172" s="246">
        <f t="shared" si="202"/>
        <v>0</v>
      </c>
      <c r="I172" s="246">
        <f t="shared" si="202"/>
        <v>0</v>
      </c>
      <c r="J172" s="246">
        <f t="shared" si="202"/>
        <v>0</v>
      </c>
      <c r="K172" s="246">
        <f t="shared" si="202"/>
        <v>0</v>
      </c>
      <c r="L172" s="246">
        <f t="shared" si="202"/>
        <v>0</v>
      </c>
      <c r="M172" s="246">
        <f t="shared" si="202"/>
        <v>0</v>
      </c>
      <c r="N172" s="246">
        <f t="shared" si="202"/>
        <v>36</v>
      </c>
      <c r="O172" s="246">
        <f t="shared" si="202"/>
        <v>36</v>
      </c>
      <c r="P172" s="246">
        <f t="shared" si="202"/>
        <v>176</v>
      </c>
      <c r="Q172" s="246">
        <f t="shared" si="202"/>
        <v>192</v>
      </c>
      <c r="R172" s="246">
        <f t="shared" si="141"/>
        <v>192</v>
      </c>
      <c r="S172" s="246">
        <f t="shared" si="202"/>
        <v>200</v>
      </c>
      <c r="U172" s="22"/>
    </row>
    <row r="173" spans="2:21">
      <c r="B173" s="29"/>
      <c r="C173" s="33" t="s">
        <v>475</v>
      </c>
      <c r="D173" s="246">
        <f t="shared" ref="D173:S173" si="203">ROUNDUP(D81*D$105*VLOOKUP($C173,$C$11:$D$14,2,FALSE),0)</f>
        <v>0</v>
      </c>
      <c r="E173" s="246">
        <f t="shared" si="203"/>
        <v>0</v>
      </c>
      <c r="F173" s="246">
        <f t="shared" si="203"/>
        <v>0</v>
      </c>
      <c r="G173" s="246">
        <f t="shared" si="203"/>
        <v>0</v>
      </c>
      <c r="H173" s="246">
        <f t="shared" si="203"/>
        <v>0</v>
      </c>
      <c r="I173" s="246">
        <f t="shared" si="203"/>
        <v>0</v>
      </c>
      <c r="J173" s="246">
        <f t="shared" si="203"/>
        <v>0</v>
      </c>
      <c r="K173" s="246">
        <f t="shared" si="203"/>
        <v>0</v>
      </c>
      <c r="L173" s="246">
        <f t="shared" si="203"/>
        <v>0</v>
      </c>
      <c r="M173" s="246">
        <f t="shared" si="203"/>
        <v>0</v>
      </c>
      <c r="N173" s="246">
        <f t="shared" si="203"/>
        <v>36</v>
      </c>
      <c r="O173" s="246">
        <f t="shared" si="203"/>
        <v>36</v>
      </c>
      <c r="P173" s="246">
        <f t="shared" si="203"/>
        <v>176</v>
      </c>
      <c r="Q173" s="246">
        <f t="shared" si="203"/>
        <v>192</v>
      </c>
      <c r="R173" s="246">
        <f t="shared" si="141"/>
        <v>192</v>
      </c>
      <c r="S173" s="246">
        <f t="shared" si="203"/>
        <v>200</v>
      </c>
    </row>
    <row r="174" spans="2:21">
      <c r="B174" s="29"/>
      <c r="C174" s="33" t="s">
        <v>476</v>
      </c>
      <c r="D174" s="246">
        <f t="shared" ref="D174:S174" si="204">ROUNDUP(D82*D$105*VLOOKUP($C174,$C$11:$D$14,2,FALSE),0)</f>
        <v>0</v>
      </c>
      <c r="E174" s="246">
        <f t="shared" si="204"/>
        <v>0</v>
      </c>
      <c r="F174" s="246">
        <f t="shared" si="204"/>
        <v>0</v>
      </c>
      <c r="G174" s="246">
        <f t="shared" si="204"/>
        <v>0</v>
      </c>
      <c r="H174" s="246">
        <f t="shared" si="204"/>
        <v>0</v>
      </c>
      <c r="I174" s="246">
        <f t="shared" si="204"/>
        <v>0</v>
      </c>
      <c r="J174" s="246">
        <f t="shared" si="204"/>
        <v>0</v>
      </c>
      <c r="K174" s="246">
        <f t="shared" si="204"/>
        <v>0</v>
      </c>
      <c r="L174" s="246">
        <f t="shared" si="204"/>
        <v>0</v>
      </c>
      <c r="M174" s="246">
        <f t="shared" si="204"/>
        <v>0</v>
      </c>
      <c r="N174" s="246">
        <f t="shared" si="204"/>
        <v>18</v>
      </c>
      <c r="O174" s="246">
        <f t="shared" si="204"/>
        <v>18</v>
      </c>
      <c r="P174" s="246">
        <f t="shared" si="204"/>
        <v>88</v>
      </c>
      <c r="Q174" s="246">
        <f t="shared" si="204"/>
        <v>96</v>
      </c>
      <c r="R174" s="246">
        <f t="shared" si="141"/>
        <v>96</v>
      </c>
      <c r="S174" s="246">
        <f t="shared" si="204"/>
        <v>100</v>
      </c>
    </row>
    <row r="175" spans="2:21">
      <c r="B175" s="29" t="s">
        <v>492</v>
      </c>
      <c r="C175" s="33" t="s">
        <v>473</v>
      </c>
      <c r="D175" s="246">
        <f t="shared" ref="D175:S175" si="205">ROUNDUP(D83*D$105*VLOOKUP($C175,$C$11:$D$14,2,FALSE),0)</f>
        <v>0</v>
      </c>
      <c r="E175" s="246">
        <f t="shared" si="205"/>
        <v>0</v>
      </c>
      <c r="F175" s="246">
        <f t="shared" si="205"/>
        <v>0</v>
      </c>
      <c r="G175" s="246">
        <f t="shared" si="205"/>
        <v>0</v>
      </c>
      <c r="H175" s="246">
        <f t="shared" si="205"/>
        <v>0</v>
      </c>
      <c r="I175" s="246">
        <f t="shared" si="205"/>
        <v>0</v>
      </c>
      <c r="J175" s="246">
        <f t="shared" si="205"/>
        <v>0</v>
      </c>
      <c r="K175" s="246">
        <f t="shared" si="205"/>
        <v>0</v>
      </c>
      <c r="L175" s="246">
        <f t="shared" si="205"/>
        <v>0</v>
      </c>
      <c r="M175" s="246">
        <f t="shared" si="205"/>
        <v>0</v>
      </c>
      <c r="N175" s="246">
        <f t="shared" si="205"/>
        <v>36</v>
      </c>
      <c r="O175" s="246">
        <f t="shared" si="205"/>
        <v>36</v>
      </c>
      <c r="P175" s="246">
        <f t="shared" si="205"/>
        <v>176</v>
      </c>
      <c r="Q175" s="246">
        <f t="shared" si="205"/>
        <v>192</v>
      </c>
      <c r="R175" s="246">
        <f t="shared" si="141"/>
        <v>192</v>
      </c>
      <c r="S175" s="246">
        <f t="shared" si="205"/>
        <v>200</v>
      </c>
    </row>
    <row r="176" spans="2:21">
      <c r="B176" s="29"/>
      <c r="C176" s="33" t="s">
        <v>474</v>
      </c>
      <c r="D176" s="246">
        <f t="shared" ref="D176:S176" si="206">ROUNDUP(D84*D$105*VLOOKUP($C176,$C$11:$D$14,2,FALSE),0)</f>
        <v>0</v>
      </c>
      <c r="E176" s="246">
        <f t="shared" si="206"/>
        <v>0</v>
      </c>
      <c r="F176" s="246">
        <f t="shared" si="206"/>
        <v>0</v>
      </c>
      <c r="G176" s="246">
        <f t="shared" si="206"/>
        <v>0</v>
      </c>
      <c r="H176" s="246">
        <f t="shared" si="206"/>
        <v>0</v>
      </c>
      <c r="I176" s="246">
        <f t="shared" si="206"/>
        <v>0</v>
      </c>
      <c r="J176" s="246">
        <f t="shared" si="206"/>
        <v>0</v>
      </c>
      <c r="K176" s="246">
        <f t="shared" si="206"/>
        <v>0</v>
      </c>
      <c r="L176" s="246">
        <f t="shared" si="206"/>
        <v>0</v>
      </c>
      <c r="M176" s="246">
        <f t="shared" si="206"/>
        <v>0</v>
      </c>
      <c r="N176" s="246">
        <f t="shared" si="206"/>
        <v>18</v>
      </c>
      <c r="O176" s="246">
        <f t="shared" si="206"/>
        <v>18</v>
      </c>
      <c r="P176" s="246">
        <f t="shared" si="206"/>
        <v>88</v>
      </c>
      <c r="Q176" s="246">
        <f t="shared" si="206"/>
        <v>96</v>
      </c>
      <c r="R176" s="246">
        <f t="shared" si="206"/>
        <v>96</v>
      </c>
      <c r="S176" s="246">
        <f t="shared" si="206"/>
        <v>100</v>
      </c>
    </row>
    <row r="177" spans="2:20">
      <c r="B177" s="29"/>
      <c r="C177" s="33" t="s">
        <v>475</v>
      </c>
      <c r="D177" s="246">
        <f t="shared" ref="D177:S177" si="207">ROUNDUP(D85*D$105*VLOOKUP($C177,$C$11:$D$14,2,FALSE),0)</f>
        <v>0</v>
      </c>
      <c r="E177" s="246">
        <f t="shared" si="207"/>
        <v>0</v>
      </c>
      <c r="F177" s="246">
        <f t="shared" si="207"/>
        <v>0</v>
      </c>
      <c r="G177" s="246">
        <f t="shared" si="207"/>
        <v>0</v>
      </c>
      <c r="H177" s="246">
        <f t="shared" si="207"/>
        <v>0</v>
      </c>
      <c r="I177" s="246">
        <f t="shared" si="207"/>
        <v>0</v>
      </c>
      <c r="J177" s="246">
        <f t="shared" si="207"/>
        <v>0</v>
      </c>
      <c r="K177" s="246">
        <f t="shared" si="207"/>
        <v>0</v>
      </c>
      <c r="L177" s="246">
        <f t="shared" si="207"/>
        <v>0</v>
      </c>
      <c r="M177" s="246">
        <f t="shared" si="207"/>
        <v>0</v>
      </c>
      <c r="N177" s="246">
        <f t="shared" si="207"/>
        <v>18</v>
      </c>
      <c r="O177" s="246">
        <f t="shared" si="207"/>
        <v>18</v>
      </c>
      <c r="P177" s="246">
        <f t="shared" si="207"/>
        <v>88</v>
      </c>
      <c r="Q177" s="246">
        <f t="shared" si="207"/>
        <v>96</v>
      </c>
      <c r="R177" s="246">
        <f t="shared" si="207"/>
        <v>96</v>
      </c>
      <c r="S177" s="246">
        <f t="shared" si="207"/>
        <v>100</v>
      </c>
    </row>
    <row r="178" spans="2:20">
      <c r="B178" s="29"/>
      <c r="C178" s="33" t="s">
        <v>476</v>
      </c>
      <c r="D178" s="246">
        <f t="shared" ref="D178:S178" si="208">ROUNDUP(D86*D$105*VLOOKUP($C178,$C$11:$D$14,2,FALSE),0)</f>
        <v>0</v>
      </c>
      <c r="E178" s="246">
        <f t="shared" si="208"/>
        <v>0</v>
      </c>
      <c r="F178" s="246">
        <f t="shared" si="208"/>
        <v>0</v>
      </c>
      <c r="G178" s="246">
        <f t="shared" si="208"/>
        <v>0</v>
      </c>
      <c r="H178" s="246">
        <f t="shared" si="208"/>
        <v>0</v>
      </c>
      <c r="I178" s="246">
        <f t="shared" si="208"/>
        <v>0</v>
      </c>
      <c r="J178" s="246">
        <f t="shared" si="208"/>
        <v>0</v>
      </c>
      <c r="K178" s="246">
        <f t="shared" si="208"/>
        <v>0</v>
      </c>
      <c r="L178" s="246">
        <f t="shared" si="208"/>
        <v>0</v>
      </c>
      <c r="M178" s="246">
        <f t="shared" si="208"/>
        <v>0</v>
      </c>
      <c r="N178" s="246">
        <f t="shared" si="208"/>
        <v>36</v>
      </c>
      <c r="O178" s="246">
        <f t="shared" si="208"/>
        <v>36</v>
      </c>
      <c r="P178" s="246">
        <f t="shared" si="208"/>
        <v>176</v>
      </c>
      <c r="Q178" s="246">
        <f t="shared" si="208"/>
        <v>192</v>
      </c>
      <c r="R178" s="246">
        <f t="shared" si="208"/>
        <v>192</v>
      </c>
      <c r="S178" s="246">
        <f t="shared" si="208"/>
        <v>200</v>
      </c>
    </row>
    <row r="179" spans="2:20">
      <c r="B179" s="29" t="s">
        <v>355</v>
      </c>
      <c r="C179" s="33" t="s">
        <v>473</v>
      </c>
      <c r="D179" s="246">
        <f t="shared" ref="D179:S179" si="209">ROUNDUP(D87*D$105*VLOOKUP($C179,$C$11:$D$14,2,FALSE),0)</f>
        <v>0</v>
      </c>
      <c r="E179" s="246">
        <f t="shared" si="209"/>
        <v>0</v>
      </c>
      <c r="F179" s="246">
        <f t="shared" si="209"/>
        <v>0</v>
      </c>
      <c r="G179" s="246">
        <f t="shared" si="209"/>
        <v>0</v>
      </c>
      <c r="H179" s="246">
        <f t="shared" si="209"/>
        <v>0</v>
      </c>
      <c r="I179" s="246">
        <f t="shared" si="209"/>
        <v>0</v>
      </c>
      <c r="J179" s="246">
        <f t="shared" si="209"/>
        <v>0</v>
      </c>
      <c r="K179" s="246">
        <f t="shared" si="209"/>
        <v>0</v>
      </c>
      <c r="L179" s="246">
        <f t="shared" si="209"/>
        <v>0</v>
      </c>
      <c r="M179" s="246">
        <f t="shared" si="209"/>
        <v>0</v>
      </c>
      <c r="N179" s="246">
        <f t="shared" si="209"/>
        <v>36</v>
      </c>
      <c r="O179" s="246">
        <f t="shared" si="209"/>
        <v>36</v>
      </c>
      <c r="P179" s="246">
        <f t="shared" si="209"/>
        <v>176</v>
      </c>
      <c r="Q179" s="246">
        <f t="shared" si="209"/>
        <v>192</v>
      </c>
      <c r="R179" s="246">
        <f t="shared" si="209"/>
        <v>192</v>
      </c>
      <c r="S179" s="246">
        <f t="shared" si="209"/>
        <v>200</v>
      </c>
    </row>
    <row r="180" spans="2:20">
      <c r="B180" s="29"/>
      <c r="C180" s="33" t="s">
        <v>474</v>
      </c>
      <c r="D180" s="246">
        <f t="shared" ref="D180:S180" si="210">ROUNDUP(D88*D$105*VLOOKUP($C180,$C$11:$D$14,2,FALSE),0)</f>
        <v>0</v>
      </c>
      <c r="E180" s="246">
        <f t="shared" si="210"/>
        <v>0</v>
      </c>
      <c r="F180" s="246">
        <f t="shared" si="210"/>
        <v>0</v>
      </c>
      <c r="G180" s="246">
        <f t="shared" si="210"/>
        <v>0</v>
      </c>
      <c r="H180" s="246">
        <f t="shared" si="210"/>
        <v>0</v>
      </c>
      <c r="I180" s="246">
        <f t="shared" si="210"/>
        <v>0</v>
      </c>
      <c r="J180" s="246">
        <f t="shared" si="210"/>
        <v>0</v>
      </c>
      <c r="K180" s="246">
        <f t="shared" si="210"/>
        <v>0</v>
      </c>
      <c r="L180" s="246">
        <f t="shared" si="210"/>
        <v>0</v>
      </c>
      <c r="M180" s="246">
        <f t="shared" si="210"/>
        <v>0</v>
      </c>
      <c r="N180" s="246">
        <f t="shared" si="210"/>
        <v>36</v>
      </c>
      <c r="O180" s="246">
        <f t="shared" si="210"/>
        <v>36</v>
      </c>
      <c r="P180" s="246">
        <f t="shared" si="210"/>
        <v>176</v>
      </c>
      <c r="Q180" s="246">
        <f t="shared" si="210"/>
        <v>192</v>
      </c>
      <c r="R180" s="246">
        <f t="shared" si="210"/>
        <v>192</v>
      </c>
      <c r="S180" s="246">
        <f t="shared" si="210"/>
        <v>200</v>
      </c>
    </row>
    <row r="181" spans="2:20">
      <c r="B181" s="29"/>
      <c r="C181" s="33" t="s">
        <v>475</v>
      </c>
      <c r="D181" s="246">
        <f t="shared" ref="D181:S181" si="211">ROUNDUP(D89*D$105*VLOOKUP($C181,$C$11:$D$14,2,FALSE),0)</f>
        <v>0</v>
      </c>
      <c r="E181" s="246">
        <f t="shared" si="211"/>
        <v>0</v>
      </c>
      <c r="F181" s="246">
        <f t="shared" si="211"/>
        <v>0</v>
      </c>
      <c r="G181" s="246">
        <f t="shared" si="211"/>
        <v>0</v>
      </c>
      <c r="H181" s="246">
        <f t="shared" si="211"/>
        <v>0</v>
      </c>
      <c r="I181" s="246">
        <f t="shared" si="211"/>
        <v>0</v>
      </c>
      <c r="J181" s="246">
        <f t="shared" si="211"/>
        <v>0</v>
      </c>
      <c r="K181" s="246">
        <f t="shared" si="211"/>
        <v>0</v>
      </c>
      <c r="L181" s="246">
        <f t="shared" si="211"/>
        <v>0</v>
      </c>
      <c r="M181" s="246">
        <f t="shared" si="211"/>
        <v>0</v>
      </c>
      <c r="N181" s="246">
        <f t="shared" si="211"/>
        <v>18</v>
      </c>
      <c r="O181" s="246">
        <f t="shared" si="211"/>
        <v>18</v>
      </c>
      <c r="P181" s="246">
        <f t="shared" si="211"/>
        <v>88</v>
      </c>
      <c r="Q181" s="246">
        <f t="shared" si="211"/>
        <v>96</v>
      </c>
      <c r="R181" s="246">
        <f t="shared" si="211"/>
        <v>96</v>
      </c>
      <c r="S181" s="246">
        <f t="shared" si="211"/>
        <v>100</v>
      </c>
    </row>
    <row r="182" spans="2:20">
      <c r="B182" s="29"/>
      <c r="C182" s="33" t="s">
        <v>476</v>
      </c>
      <c r="D182" s="246">
        <f t="shared" ref="D182:S182" si="212">ROUNDUP(D90*D$105*VLOOKUP($C182,$C$11:$D$14,2,FALSE),0)</f>
        <v>0</v>
      </c>
      <c r="E182" s="246">
        <f t="shared" si="212"/>
        <v>0</v>
      </c>
      <c r="F182" s="246">
        <f t="shared" si="212"/>
        <v>0</v>
      </c>
      <c r="G182" s="246">
        <f t="shared" si="212"/>
        <v>0</v>
      </c>
      <c r="H182" s="246">
        <f t="shared" si="212"/>
        <v>0</v>
      </c>
      <c r="I182" s="246">
        <f t="shared" si="212"/>
        <v>0</v>
      </c>
      <c r="J182" s="246">
        <f t="shared" si="212"/>
        <v>0</v>
      </c>
      <c r="K182" s="246">
        <f t="shared" si="212"/>
        <v>0</v>
      </c>
      <c r="L182" s="246">
        <f t="shared" si="212"/>
        <v>0</v>
      </c>
      <c r="M182" s="246">
        <f t="shared" si="212"/>
        <v>0</v>
      </c>
      <c r="N182" s="246">
        <f t="shared" si="212"/>
        <v>36</v>
      </c>
      <c r="O182" s="246">
        <f t="shared" si="212"/>
        <v>36</v>
      </c>
      <c r="P182" s="246">
        <f t="shared" si="212"/>
        <v>176</v>
      </c>
      <c r="Q182" s="246">
        <f t="shared" si="212"/>
        <v>192</v>
      </c>
      <c r="R182" s="246">
        <f t="shared" si="212"/>
        <v>192</v>
      </c>
      <c r="S182" s="246">
        <f t="shared" si="212"/>
        <v>200</v>
      </c>
    </row>
    <row r="183" spans="2:20">
      <c r="B183" s="29" t="s">
        <v>493</v>
      </c>
      <c r="C183" s="33" t="s">
        <v>473</v>
      </c>
      <c r="D183" s="246">
        <f t="shared" ref="D183:S183" si="213">ROUNDUP(D91*D$105*VLOOKUP($C183,$C$11:$D$14,2,FALSE),0)</f>
        <v>0</v>
      </c>
      <c r="E183" s="246">
        <f t="shared" si="213"/>
        <v>0</v>
      </c>
      <c r="F183" s="246">
        <f t="shared" si="213"/>
        <v>0</v>
      </c>
      <c r="G183" s="246">
        <f t="shared" si="213"/>
        <v>0</v>
      </c>
      <c r="H183" s="246">
        <f t="shared" si="213"/>
        <v>0</v>
      </c>
      <c r="I183" s="246">
        <f t="shared" si="213"/>
        <v>0</v>
      </c>
      <c r="J183" s="246">
        <f t="shared" si="213"/>
        <v>0</v>
      </c>
      <c r="K183" s="246">
        <f t="shared" si="213"/>
        <v>0</v>
      </c>
      <c r="L183" s="246">
        <f t="shared" si="213"/>
        <v>0</v>
      </c>
      <c r="M183" s="246">
        <f t="shared" si="213"/>
        <v>0</v>
      </c>
      <c r="N183" s="246">
        <f t="shared" si="213"/>
        <v>0</v>
      </c>
      <c r="O183" s="246">
        <f t="shared" si="213"/>
        <v>36</v>
      </c>
      <c r="P183" s="246">
        <f t="shared" si="213"/>
        <v>176</v>
      </c>
      <c r="Q183" s="246">
        <f t="shared" si="213"/>
        <v>192</v>
      </c>
      <c r="R183" s="246">
        <f t="shared" si="213"/>
        <v>192</v>
      </c>
      <c r="S183" s="246">
        <f t="shared" si="213"/>
        <v>200</v>
      </c>
    </row>
    <row r="184" spans="2:20">
      <c r="B184" s="29"/>
      <c r="C184" s="33" t="s">
        <v>474</v>
      </c>
      <c r="D184" s="246">
        <f t="shared" ref="D184:S184" si="214">ROUNDUP(D92*D$105*VLOOKUP($C184,$C$11:$D$14,2,FALSE),0)</f>
        <v>0</v>
      </c>
      <c r="E184" s="246">
        <f t="shared" si="214"/>
        <v>0</v>
      </c>
      <c r="F184" s="246">
        <f t="shared" si="214"/>
        <v>0</v>
      </c>
      <c r="G184" s="246">
        <f t="shared" si="214"/>
        <v>0</v>
      </c>
      <c r="H184" s="246">
        <f t="shared" si="214"/>
        <v>0</v>
      </c>
      <c r="I184" s="246">
        <f t="shared" si="214"/>
        <v>0</v>
      </c>
      <c r="J184" s="246">
        <f t="shared" si="214"/>
        <v>0</v>
      </c>
      <c r="K184" s="246">
        <f t="shared" si="214"/>
        <v>0</v>
      </c>
      <c r="L184" s="246">
        <f t="shared" si="214"/>
        <v>0</v>
      </c>
      <c r="M184" s="246">
        <f t="shared" si="214"/>
        <v>0</v>
      </c>
      <c r="N184" s="246">
        <f t="shared" si="214"/>
        <v>0</v>
      </c>
      <c r="O184" s="246">
        <f t="shared" si="214"/>
        <v>36</v>
      </c>
      <c r="P184" s="246">
        <f t="shared" si="214"/>
        <v>176</v>
      </c>
      <c r="Q184" s="246">
        <f t="shared" si="214"/>
        <v>192</v>
      </c>
      <c r="R184" s="246">
        <f t="shared" si="214"/>
        <v>192</v>
      </c>
      <c r="S184" s="246">
        <f t="shared" si="214"/>
        <v>200</v>
      </c>
    </row>
    <row r="185" spans="2:20">
      <c r="B185" s="29"/>
      <c r="C185" s="33" t="s">
        <v>475</v>
      </c>
      <c r="D185" s="246">
        <f t="shared" ref="D185:S185" si="215">ROUNDUP(D93*D$105*VLOOKUP($C185,$C$11:$D$14,2,FALSE),0)</f>
        <v>0</v>
      </c>
      <c r="E185" s="246">
        <f t="shared" si="215"/>
        <v>0</v>
      </c>
      <c r="F185" s="246">
        <f t="shared" si="215"/>
        <v>0</v>
      </c>
      <c r="G185" s="246">
        <f t="shared" si="215"/>
        <v>0</v>
      </c>
      <c r="H185" s="246">
        <f t="shared" si="215"/>
        <v>0</v>
      </c>
      <c r="I185" s="246">
        <f t="shared" si="215"/>
        <v>0</v>
      </c>
      <c r="J185" s="246">
        <f t="shared" si="215"/>
        <v>0</v>
      </c>
      <c r="K185" s="246">
        <f t="shared" si="215"/>
        <v>0</v>
      </c>
      <c r="L185" s="246">
        <f t="shared" si="215"/>
        <v>0</v>
      </c>
      <c r="M185" s="246">
        <f t="shared" si="215"/>
        <v>0</v>
      </c>
      <c r="N185" s="246">
        <f t="shared" si="215"/>
        <v>0</v>
      </c>
      <c r="O185" s="246">
        <f t="shared" si="215"/>
        <v>18</v>
      </c>
      <c r="P185" s="246">
        <f t="shared" si="215"/>
        <v>88</v>
      </c>
      <c r="Q185" s="246">
        <f t="shared" si="215"/>
        <v>96</v>
      </c>
      <c r="R185" s="246">
        <f t="shared" si="215"/>
        <v>96</v>
      </c>
      <c r="S185" s="246">
        <f t="shared" si="215"/>
        <v>100</v>
      </c>
    </row>
    <row r="186" spans="2:20">
      <c r="B186" s="29"/>
      <c r="C186" s="33" t="s">
        <v>476</v>
      </c>
      <c r="D186" s="246">
        <f t="shared" ref="D186:S186" si="216">ROUNDUP(D94*D$105*VLOOKUP($C186,$C$11:$D$14,2,FALSE),0)</f>
        <v>0</v>
      </c>
      <c r="E186" s="246">
        <f t="shared" si="216"/>
        <v>0</v>
      </c>
      <c r="F186" s="246">
        <f t="shared" si="216"/>
        <v>0</v>
      </c>
      <c r="G186" s="246">
        <f t="shared" si="216"/>
        <v>0</v>
      </c>
      <c r="H186" s="246">
        <f t="shared" si="216"/>
        <v>0</v>
      </c>
      <c r="I186" s="246">
        <f t="shared" si="216"/>
        <v>0</v>
      </c>
      <c r="J186" s="246">
        <f t="shared" si="216"/>
        <v>0</v>
      </c>
      <c r="K186" s="246">
        <f t="shared" si="216"/>
        <v>0</v>
      </c>
      <c r="L186" s="246">
        <f t="shared" si="216"/>
        <v>0</v>
      </c>
      <c r="M186" s="246">
        <f t="shared" si="216"/>
        <v>0</v>
      </c>
      <c r="N186" s="246">
        <f t="shared" si="216"/>
        <v>0</v>
      </c>
      <c r="O186" s="246">
        <f t="shared" si="216"/>
        <v>36</v>
      </c>
      <c r="P186" s="246">
        <f t="shared" si="216"/>
        <v>176</v>
      </c>
      <c r="Q186" s="246">
        <f t="shared" si="216"/>
        <v>192</v>
      </c>
      <c r="R186" s="246">
        <f t="shared" si="216"/>
        <v>192</v>
      </c>
      <c r="S186" s="246">
        <f t="shared" si="216"/>
        <v>200</v>
      </c>
    </row>
    <row r="187" spans="2:20">
      <c r="B187" s="29" t="s">
        <v>494</v>
      </c>
      <c r="C187" s="33" t="s">
        <v>473</v>
      </c>
      <c r="D187" s="246">
        <f t="shared" ref="D187:S187" si="217">ROUNDUP(D95*D$105*VLOOKUP($C187,$C$11:$D$14,2,FALSE),0)</f>
        <v>0</v>
      </c>
      <c r="E187" s="246">
        <f t="shared" si="217"/>
        <v>0</v>
      </c>
      <c r="F187" s="246">
        <f t="shared" si="217"/>
        <v>0</v>
      </c>
      <c r="G187" s="246">
        <f t="shared" si="217"/>
        <v>0</v>
      </c>
      <c r="H187" s="246">
        <f t="shared" si="217"/>
        <v>0</v>
      </c>
      <c r="I187" s="246">
        <f t="shared" si="217"/>
        <v>0</v>
      </c>
      <c r="J187" s="246">
        <f t="shared" si="217"/>
        <v>0</v>
      </c>
      <c r="K187" s="246">
        <f t="shared" si="217"/>
        <v>0</v>
      </c>
      <c r="L187" s="246">
        <f t="shared" si="217"/>
        <v>0</v>
      </c>
      <c r="M187" s="246">
        <f t="shared" si="217"/>
        <v>0</v>
      </c>
      <c r="N187" s="246">
        <f t="shared" si="217"/>
        <v>0</v>
      </c>
      <c r="O187" s="246">
        <f t="shared" si="217"/>
        <v>36</v>
      </c>
      <c r="P187" s="246">
        <f t="shared" si="217"/>
        <v>176</v>
      </c>
      <c r="Q187" s="246">
        <f t="shared" si="217"/>
        <v>192</v>
      </c>
      <c r="R187" s="246">
        <f t="shared" si="217"/>
        <v>192</v>
      </c>
      <c r="S187" s="246">
        <f t="shared" si="217"/>
        <v>200</v>
      </c>
    </row>
    <row r="188" spans="2:20">
      <c r="B188" s="29"/>
      <c r="C188" s="33" t="s">
        <v>474</v>
      </c>
      <c r="D188" s="246">
        <f t="shared" ref="D188:S188" si="218">ROUNDUP(D96*D$105*VLOOKUP($C188,$C$11:$D$14,2,FALSE),0)</f>
        <v>0</v>
      </c>
      <c r="E188" s="246">
        <f t="shared" si="218"/>
        <v>0</v>
      </c>
      <c r="F188" s="246">
        <f t="shared" si="218"/>
        <v>0</v>
      </c>
      <c r="G188" s="246">
        <f t="shared" si="218"/>
        <v>0</v>
      </c>
      <c r="H188" s="246">
        <f t="shared" si="218"/>
        <v>0</v>
      </c>
      <c r="I188" s="246">
        <f t="shared" si="218"/>
        <v>0</v>
      </c>
      <c r="J188" s="246">
        <f t="shared" si="218"/>
        <v>0</v>
      </c>
      <c r="K188" s="246">
        <f t="shared" si="218"/>
        <v>0</v>
      </c>
      <c r="L188" s="246">
        <f t="shared" si="218"/>
        <v>0</v>
      </c>
      <c r="M188" s="246">
        <f t="shared" si="218"/>
        <v>0</v>
      </c>
      <c r="N188" s="246">
        <f t="shared" si="218"/>
        <v>0</v>
      </c>
      <c r="O188" s="246">
        <f t="shared" si="218"/>
        <v>36</v>
      </c>
      <c r="P188" s="246">
        <f t="shared" si="218"/>
        <v>176</v>
      </c>
      <c r="Q188" s="246">
        <f t="shared" si="218"/>
        <v>192</v>
      </c>
      <c r="R188" s="246">
        <f t="shared" si="218"/>
        <v>192</v>
      </c>
      <c r="S188" s="246">
        <f t="shared" si="218"/>
        <v>200</v>
      </c>
    </row>
    <row r="189" spans="2:20">
      <c r="B189" s="29"/>
      <c r="C189" s="33" t="s">
        <v>475</v>
      </c>
      <c r="D189" s="246">
        <f t="shared" ref="D189:S189" si="219">ROUNDUP(D97*D$105*VLOOKUP($C189,$C$11:$D$14,2,FALSE),0)</f>
        <v>0</v>
      </c>
      <c r="E189" s="246">
        <f t="shared" si="219"/>
        <v>0</v>
      </c>
      <c r="F189" s="246">
        <f t="shared" si="219"/>
        <v>0</v>
      </c>
      <c r="G189" s="246">
        <f t="shared" si="219"/>
        <v>0</v>
      </c>
      <c r="H189" s="246">
        <f t="shared" si="219"/>
        <v>0</v>
      </c>
      <c r="I189" s="246">
        <f t="shared" si="219"/>
        <v>0</v>
      </c>
      <c r="J189" s="246">
        <f t="shared" si="219"/>
        <v>0</v>
      </c>
      <c r="K189" s="246">
        <f t="shared" si="219"/>
        <v>0</v>
      </c>
      <c r="L189" s="246">
        <f t="shared" si="219"/>
        <v>0</v>
      </c>
      <c r="M189" s="246">
        <f t="shared" si="219"/>
        <v>0</v>
      </c>
      <c r="N189" s="246">
        <f t="shared" si="219"/>
        <v>0</v>
      </c>
      <c r="O189" s="246">
        <f t="shared" si="219"/>
        <v>36</v>
      </c>
      <c r="P189" s="246">
        <f t="shared" si="219"/>
        <v>176</v>
      </c>
      <c r="Q189" s="246">
        <f t="shared" si="219"/>
        <v>192</v>
      </c>
      <c r="R189" s="246">
        <f t="shared" si="219"/>
        <v>192</v>
      </c>
      <c r="S189" s="246">
        <f t="shared" si="219"/>
        <v>200</v>
      </c>
    </row>
    <row r="190" spans="2:20">
      <c r="B190" s="29"/>
      <c r="C190" s="33" t="s">
        <v>476</v>
      </c>
      <c r="D190" s="246">
        <f t="shared" ref="D190:S190" si="220">ROUNDUP(D98*D$105*VLOOKUP($C190,$C$11:$D$14,2,FALSE),0)</f>
        <v>0</v>
      </c>
      <c r="E190" s="246">
        <f t="shared" si="220"/>
        <v>0</v>
      </c>
      <c r="F190" s="246">
        <f t="shared" si="220"/>
        <v>0</v>
      </c>
      <c r="G190" s="246">
        <f t="shared" si="220"/>
        <v>0</v>
      </c>
      <c r="H190" s="246">
        <f t="shared" si="220"/>
        <v>0</v>
      </c>
      <c r="I190" s="246">
        <f t="shared" si="220"/>
        <v>0</v>
      </c>
      <c r="J190" s="246">
        <f t="shared" si="220"/>
        <v>0</v>
      </c>
      <c r="K190" s="246">
        <f t="shared" si="220"/>
        <v>0</v>
      </c>
      <c r="L190" s="246">
        <f t="shared" si="220"/>
        <v>0</v>
      </c>
      <c r="M190" s="246">
        <f t="shared" si="220"/>
        <v>0</v>
      </c>
      <c r="N190" s="246">
        <f t="shared" si="220"/>
        <v>0</v>
      </c>
      <c r="O190" s="246">
        <f t="shared" si="220"/>
        <v>18</v>
      </c>
      <c r="P190" s="246">
        <f t="shared" si="220"/>
        <v>88</v>
      </c>
      <c r="Q190" s="246">
        <f t="shared" si="220"/>
        <v>96</v>
      </c>
      <c r="R190" s="246">
        <f t="shared" si="220"/>
        <v>96</v>
      </c>
      <c r="S190" s="246">
        <f t="shared" si="220"/>
        <v>100</v>
      </c>
    </row>
    <row r="191" spans="2:20" s="80" customFormat="1">
      <c r="B191" s="326"/>
      <c r="C191" s="325" t="s">
        <v>169</v>
      </c>
      <c r="D191" s="95">
        <f t="shared" ref="D191:S191" si="221">SUM(D111:D190)</f>
        <v>105</v>
      </c>
      <c r="E191" s="95">
        <f t="shared" si="221"/>
        <v>195</v>
      </c>
      <c r="F191" s="95">
        <f t="shared" si="221"/>
        <v>195</v>
      </c>
      <c r="G191" s="95">
        <f t="shared" si="221"/>
        <v>300</v>
      </c>
      <c r="H191" s="95">
        <f t="shared" si="221"/>
        <v>432</v>
      </c>
      <c r="I191" s="95">
        <f t="shared" si="221"/>
        <v>656</v>
      </c>
      <c r="J191" s="95">
        <f t="shared" si="221"/>
        <v>656</v>
      </c>
      <c r="K191" s="95">
        <f t="shared" si="221"/>
        <v>960</v>
      </c>
      <c r="L191" s="95">
        <f t="shared" si="221"/>
        <v>1458</v>
      </c>
      <c r="M191" s="95">
        <f t="shared" si="221"/>
        <v>1836</v>
      </c>
      <c r="N191" s="95">
        <f t="shared" si="221"/>
        <v>2196</v>
      </c>
      <c r="O191" s="95">
        <f t="shared" si="221"/>
        <v>2448</v>
      </c>
      <c r="P191" s="95">
        <f t="shared" si="221"/>
        <v>11968</v>
      </c>
      <c r="Q191" s="95">
        <f t="shared" si="221"/>
        <v>13056</v>
      </c>
      <c r="R191" s="95">
        <f t="shared" si="221"/>
        <v>13056</v>
      </c>
      <c r="S191" s="95">
        <f t="shared" si="221"/>
        <v>13600</v>
      </c>
    </row>
    <row r="192" spans="2:20">
      <c r="B192" s="39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</row>
    <row r="193" spans="1:20" ht="20.25" thickBot="1">
      <c r="A193" s="36" t="s">
        <v>164</v>
      </c>
      <c r="B193" s="39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</row>
    <row r="194" spans="1:20" ht="15.75" thickTop="1">
      <c r="C194" s="357" t="s">
        <v>111</v>
      </c>
      <c r="D194" s="357" t="s">
        <v>6</v>
      </c>
      <c r="E194" s="357"/>
      <c r="F194" s="357"/>
      <c r="G194" s="357"/>
      <c r="H194" s="357" t="s">
        <v>7</v>
      </c>
      <c r="I194" s="357"/>
      <c r="J194" s="357"/>
      <c r="K194" s="357"/>
      <c r="L194" s="358" t="s">
        <v>8</v>
      </c>
      <c r="M194" s="359"/>
      <c r="N194" s="359"/>
      <c r="O194" s="360"/>
      <c r="P194" s="357" t="s">
        <v>9</v>
      </c>
      <c r="Q194" s="357" t="s">
        <v>10</v>
      </c>
      <c r="R194" s="357" t="s">
        <v>11</v>
      </c>
      <c r="S194" s="357" t="s">
        <v>12</v>
      </c>
    </row>
    <row r="195" spans="1:20">
      <c r="C195" s="357"/>
      <c r="D195" s="156" t="s">
        <v>13</v>
      </c>
      <c r="E195" s="156" t="s">
        <v>14</v>
      </c>
      <c r="F195" s="156" t="s">
        <v>15</v>
      </c>
      <c r="G195" s="156" t="s">
        <v>16</v>
      </c>
      <c r="H195" s="156" t="s">
        <v>13</v>
      </c>
      <c r="I195" s="156" t="s">
        <v>14</v>
      </c>
      <c r="J195" s="156" t="s">
        <v>15</v>
      </c>
      <c r="K195" s="156" t="s">
        <v>16</v>
      </c>
      <c r="L195" s="156" t="s">
        <v>13</v>
      </c>
      <c r="M195" s="156" t="s">
        <v>14</v>
      </c>
      <c r="N195" s="156" t="s">
        <v>15</v>
      </c>
      <c r="O195" s="156" t="s">
        <v>16</v>
      </c>
      <c r="P195" s="357"/>
      <c r="Q195" s="357"/>
      <c r="R195" s="357"/>
      <c r="S195" s="357"/>
    </row>
    <row r="196" spans="1:20">
      <c r="C196" s="33" t="s">
        <v>473</v>
      </c>
      <c r="D196" s="246">
        <f t="shared" ref="D196:S199" si="222">SUMIF($C$111:$C$190,$C196 &amp;"*",D$111:D$190)</f>
        <v>30</v>
      </c>
      <c r="E196" s="158">
        <f t="shared" si="222"/>
        <v>45</v>
      </c>
      <c r="F196" s="158">
        <f t="shared" si="222"/>
        <v>45</v>
      </c>
      <c r="G196" s="158">
        <f t="shared" si="222"/>
        <v>75</v>
      </c>
      <c r="H196" s="158">
        <f t="shared" si="222"/>
        <v>112</v>
      </c>
      <c r="I196" s="158">
        <f t="shared" si="222"/>
        <v>176</v>
      </c>
      <c r="J196" s="158">
        <f t="shared" si="222"/>
        <v>176</v>
      </c>
      <c r="K196" s="158">
        <f t="shared" si="222"/>
        <v>256</v>
      </c>
      <c r="L196" s="158">
        <f t="shared" si="222"/>
        <v>378</v>
      </c>
      <c r="M196" s="158">
        <f t="shared" si="222"/>
        <v>486</v>
      </c>
      <c r="N196" s="158">
        <f t="shared" si="222"/>
        <v>594</v>
      </c>
      <c r="O196" s="158">
        <f t="shared" si="222"/>
        <v>666</v>
      </c>
      <c r="P196" s="158">
        <f t="shared" si="222"/>
        <v>3256</v>
      </c>
      <c r="Q196" s="158">
        <f t="shared" si="222"/>
        <v>3552</v>
      </c>
      <c r="R196" s="158">
        <f t="shared" si="222"/>
        <v>3552</v>
      </c>
      <c r="S196" s="158">
        <f t="shared" si="222"/>
        <v>3700</v>
      </c>
    </row>
    <row r="197" spans="1:20">
      <c r="C197" s="33" t="s">
        <v>474</v>
      </c>
      <c r="D197" s="158">
        <f t="shared" si="222"/>
        <v>30</v>
      </c>
      <c r="E197" s="158">
        <f t="shared" si="222"/>
        <v>45</v>
      </c>
      <c r="F197" s="158">
        <f t="shared" si="222"/>
        <v>45</v>
      </c>
      <c r="G197" s="158">
        <f t="shared" si="222"/>
        <v>60</v>
      </c>
      <c r="H197" s="158">
        <f t="shared" si="222"/>
        <v>96</v>
      </c>
      <c r="I197" s="158">
        <f t="shared" si="222"/>
        <v>144</v>
      </c>
      <c r="J197" s="158">
        <f t="shared" si="222"/>
        <v>144</v>
      </c>
      <c r="K197" s="158">
        <f t="shared" si="222"/>
        <v>224</v>
      </c>
      <c r="L197" s="158">
        <f t="shared" si="222"/>
        <v>342</v>
      </c>
      <c r="M197" s="158">
        <f t="shared" si="222"/>
        <v>432</v>
      </c>
      <c r="N197" s="158">
        <f t="shared" si="222"/>
        <v>522</v>
      </c>
      <c r="O197" s="158">
        <f t="shared" si="222"/>
        <v>594</v>
      </c>
      <c r="P197" s="158">
        <f t="shared" si="222"/>
        <v>2904</v>
      </c>
      <c r="Q197" s="158">
        <f t="shared" si="222"/>
        <v>3168</v>
      </c>
      <c r="R197" s="158">
        <f t="shared" si="222"/>
        <v>3168</v>
      </c>
      <c r="S197" s="158">
        <f t="shared" si="222"/>
        <v>3300</v>
      </c>
    </row>
    <row r="198" spans="1:20">
      <c r="C198" s="33" t="s">
        <v>475</v>
      </c>
      <c r="D198" s="158">
        <f t="shared" si="222"/>
        <v>15</v>
      </c>
      <c r="E198" s="158">
        <f t="shared" si="222"/>
        <v>45</v>
      </c>
      <c r="F198" s="158">
        <f t="shared" si="222"/>
        <v>45</v>
      </c>
      <c r="G198" s="158">
        <f t="shared" si="222"/>
        <v>75</v>
      </c>
      <c r="H198" s="158">
        <f t="shared" si="222"/>
        <v>112</v>
      </c>
      <c r="I198" s="158">
        <f t="shared" si="222"/>
        <v>160</v>
      </c>
      <c r="J198" s="158">
        <f t="shared" si="222"/>
        <v>160</v>
      </c>
      <c r="K198" s="158">
        <f t="shared" si="222"/>
        <v>224</v>
      </c>
      <c r="L198" s="158">
        <f t="shared" si="222"/>
        <v>360</v>
      </c>
      <c r="M198" s="158">
        <f t="shared" si="222"/>
        <v>450</v>
      </c>
      <c r="N198" s="158">
        <f t="shared" si="222"/>
        <v>522</v>
      </c>
      <c r="O198" s="158">
        <f t="shared" si="222"/>
        <v>576</v>
      </c>
      <c r="P198" s="158">
        <f t="shared" si="222"/>
        <v>2816</v>
      </c>
      <c r="Q198" s="158">
        <f t="shared" si="222"/>
        <v>3072</v>
      </c>
      <c r="R198" s="158">
        <f t="shared" si="222"/>
        <v>3072</v>
      </c>
      <c r="S198" s="158">
        <f t="shared" si="222"/>
        <v>3200</v>
      </c>
    </row>
    <row r="199" spans="1:20" ht="15.75" thickBot="1">
      <c r="C199" s="33" t="s">
        <v>476</v>
      </c>
      <c r="D199" s="158">
        <f t="shared" si="222"/>
        <v>30</v>
      </c>
      <c r="E199" s="158">
        <f t="shared" si="222"/>
        <v>60</v>
      </c>
      <c r="F199" s="158">
        <f t="shared" si="222"/>
        <v>60</v>
      </c>
      <c r="G199" s="158">
        <f t="shared" si="222"/>
        <v>90</v>
      </c>
      <c r="H199" s="158">
        <f t="shared" si="222"/>
        <v>112</v>
      </c>
      <c r="I199" s="158">
        <f t="shared" si="222"/>
        <v>176</v>
      </c>
      <c r="J199" s="158">
        <f t="shared" si="222"/>
        <v>176</v>
      </c>
      <c r="K199" s="158">
        <f t="shared" si="222"/>
        <v>256</v>
      </c>
      <c r="L199" s="158">
        <f t="shared" si="222"/>
        <v>378</v>
      </c>
      <c r="M199" s="158">
        <f t="shared" si="222"/>
        <v>468</v>
      </c>
      <c r="N199" s="158">
        <f t="shared" si="222"/>
        <v>558</v>
      </c>
      <c r="O199" s="158">
        <f t="shared" si="222"/>
        <v>612</v>
      </c>
      <c r="P199" s="158">
        <f t="shared" si="222"/>
        <v>2992</v>
      </c>
      <c r="Q199" s="158">
        <f t="shared" si="222"/>
        <v>3264</v>
      </c>
      <c r="R199" s="158">
        <f t="shared" si="222"/>
        <v>3264</v>
      </c>
      <c r="S199" s="158">
        <f t="shared" si="222"/>
        <v>3400</v>
      </c>
    </row>
    <row r="200" spans="1:20">
      <c r="C200" s="205" t="s">
        <v>169</v>
      </c>
      <c r="D200" s="207">
        <f t="shared" ref="D200:S200" si="223">SUM(D196:D199)</f>
        <v>105</v>
      </c>
      <c r="E200" s="207">
        <f t="shared" si="223"/>
        <v>195</v>
      </c>
      <c r="F200" s="207">
        <f t="shared" si="223"/>
        <v>195</v>
      </c>
      <c r="G200" s="207">
        <f t="shared" si="223"/>
        <v>300</v>
      </c>
      <c r="H200" s="207">
        <f t="shared" si="223"/>
        <v>432</v>
      </c>
      <c r="I200" s="207">
        <f t="shared" si="223"/>
        <v>656</v>
      </c>
      <c r="J200" s="207">
        <f t="shared" si="223"/>
        <v>656</v>
      </c>
      <c r="K200" s="207">
        <f t="shared" si="223"/>
        <v>960</v>
      </c>
      <c r="L200" s="207">
        <f t="shared" si="223"/>
        <v>1458</v>
      </c>
      <c r="M200" s="207">
        <f t="shared" si="223"/>
        <v>1836</v>
      </c>
      <c r="N200" s="207">
        <f t="shared" si="223"/>
        <v>2196</v>
      </c>
      <c r="O200" s="207">
        <f t="shared" si="223"/>
        <v>2448</v>
      </c>
      <c r="P200" s="207">
        <f t="shared" si="223"/>
        <v>11968</v>
      </c>
      <c r="Q200" s="207">
        <f t="shared" si="223"/>
        <v>13056</v>
      </c>
      <c r="R200" s="207">
        <f t="shared" si="223"/>
        <v>13056</v>
      </c>
      <c r="S200" s="207">
        <f t="shared" si="223"/>
        <v>13600</v>
      </c>
    </row>
    <row r="201" spans="1:20" ht="15.75" thickBot="1">
      <c r="C201" s="206" t="s">
        <v>441</v>
      </c>
      <c r="D201" s="208">
        <f>D200</f>
        <v>105</v>
      </c>
      <c r="E201" s="208">
        <f t="shared" ref="E201:S201" si="224">D201+E200</f>
        <v>300</v>
      </c>
      <c r="F201" s="208">
        <f t="shared" si="224"/>
        <v>495</v>
      </c>
      <c r="G201" s="208">
        <f t="shared" si="224"/>
        <v>795</v>
      </c>
      <c r="H201" s="208">
        <f t="shared" si="224"/>
        <v>1227</v>
      </c>
      <c r="I201" s="208">
        <f t="shared" si="224"/>
        <v>1883</v>
      </c>
      <c r="J201" s="208">
        <f t="shared" si="224"/>
        <v>2539</v>
      </c>
      <c r="K201" s="208">
        <f t="shared" si="224"/>
        <v>3499</v>
      </c>
      <c r="L201" s="208">
        <f t="shared" si="224"/>
        <v>4957</v>
      </c>
      <c r="M201" s="208">
        <f t="shared" si="224"/>
        <v>6793</v>
      </c>
      <c r="N201" s="208">
        <f t="shared" si="224"/>
        <v>8989</v>
      </c>
      <c r="O201" s="208">
        <f t="shared" si="224"/>
        <v>11437</v>
      </c>
      <c r="P201" s="208">
        <f t="shared" si="224"/>
        <v>23405</v>
      </c>
      <c r="Q201" s="208">
        <f t="shared" si="224"/>
        <v>36461</v>
      </c>
      <c r="R201" s="208">
        <f t="shared" si="224"/>
        <v>49517</v>
      </c>
      <c r="S201" s="208">
        <f t="shared" si="224"/>
        <v>63117</v>
      </c>
    </row>
    <row r="202" spans="1:20">
      <c r="C202" s="1" t="s">
        <v>298</v>
      </c>
    </row>
    <row r="203" spans="1:20">
      <c r="C203" s="114"/>
    </row>
    <row r="204" spans="1:20">
      <c r="C204" s="27" t="s">
        <v>151</v>
      </c>
    </row>
    <row r="205" spans="1:20">
      <c r="C205" s="328"/>
    </row>
    <row r="206" spans="1:20">
      <c r="C206" s="328"/>
      <c r="D206" s="328"/>
    </row>
    <row r="207" spans="1:20">
      <c r="C207" s="328"/>
      <c r="D207" s="328"/>
    </row>
    <row r="208" spans="1:20">
      <c r="C208" s="328"/>
      <c r="D208" s="328"/>
    </row>
    <row r="209" spans="3:4">
      <c r="C209" s="328"/>
      <c r="D209" s="328"/>
    </row>
    <row r="210" spans="3:4">
      <c r="C210" s="328"/>
      <c r="D210" s="328"/>
    </row>
    <row r="211" spans="3:4">
      <c r="C211" s="328"/>
      <c r="D211" s="328"/>
    </row>
    <row r="212" spans="3:4">
      <c r="C212" s="328"/>
      <c r="D212" s="328"/>
    </row>
    <row r="213" spans="3:4">
      <c r="D213" s="328"/>
    </row>
    <row r="214" spans="3:4">
      <c r="D214" s="328"/>
    </row>
    <row r="215" spans="3:4">
      <c r="D215" s="328"/>
    </row>
    <row r="216" spans="3:4">
      <c r="D216" s="329"/>
    </row>
  </sheetData>
  <sheetProtection formatCells="0" insertRows="0"/>
  <mergeCells count="42">
    <mergeCell ref="S4:S5"/>
    <mergeCell ref="C4:C5"/>
    <mergeCell ref="P4:P5"/>
    <mergeCell ref="Q4:Q5"/>
    <mergeCell ref="R4:R5"/>
    <mergeCell ref="D4:G4"/>
    <mergeCell ref="H4:K4"/>
    <mergeCell ref="L4:O4"/>
    <mergeCell ref="R17:R18"/>
    <mergeCell ref="S17:S18"/>
    <mergeCell ref="C103:C104"/>
    <mergeCell ref="B109:B110"/>
    <mergeCell ref="C109:C110"/>
    <mergeCell ref="D103:G103"/>
    <mergeCell ref="H103:K103"/>
    <mergeCell ref="B17:B18"/>
    <mergeCell ref="C17:C18"/>
    <mergeCell ref="P17:P18"/>
    <mergeCell ref="Q17:Q18"/>
    <mergeCell ref="D17:G17"/>
    <mergeCell ref="H17:K17"/>
    <mergeCell ref="L17:O17"/>
    <mergeCell ref="L103:O103"/>
    <mergeCell ref="C194:C195"/>
    <mergeCell ref="P194:P195"/>
    <mergeCell ref="D194:G194"/>
    <mergeCell ref="H194:K194"/>
    <mergeCell ref="Q109:Q110"/>
    <mergeCell ref="P109:P110"/>
    <mergeCell ref="D109:G109"/>
    <mergeCell ref="H109:K109"/>
    <mergeCell ref="L109:O109"/>
    <mergeCell ref="L194:O194"/>
    <mergeCell ref="S194:S195"/>
    <mergeCell ref="R109:R110"/>
    <mergeCell ref="S109:S110"/>
    <mergeCell ref="Q103:Q104"/>
    <mergeCell ref="P103:P104"/>
    <mergeCell ref="R103:R104"/>
    <mergeCell ref="S103:S104"/>
    <mergeCell ref="Q194:Q195"/>
    <mergeCell ref="R194:R195"/>
  </mergeCells>
  <hyperlinks>
    <hyperlink ref="C204" location="Index!A1" display="Back to Index"/>
  </hyperlinks>
  <pageMargins left="0.7" right="0.7" top="0.75" bottom="0.75" header="0.3" footer="0.3"/>
  <pageSetup paperSize="9" orientation="portrait" verticalDpi="200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8">
    <tabColor rgb="FFFF0000"/>
  </sheetPr>
  <dimension ref="A1:R31"/>
  <sheetViews>
    <sheetView topLeftCell="J1" zoomScale="86" zoomScaleNormal="86" workbookViewId="0">
      <selection activeCell="Y1" sqref="Y1"/>
    </sheetView>
  </sheetViews>
  <sheetFormatPr defaultRowHeight="15"/>
  <cols>
    <col min="1" max="1" width="4.7109375" customWidth="1"/>
    <col min="2" max="2" width="27.5703125" customWidth="1"/>
    <col min="3" max="3" width="23.42578125" customWidth="1"/>
    <col min="4" max="4" width="12.7109375" bestFit="1" customWidth="1"/>
    <col min="5" max="5" width="16" bestFit="1" customWidth="1"/>
    <col min="6" max="6" width="14.7109375" bestFit="1" customWidth="1"/>
    <col min="7" max="10" width="14.42578125" bestFit="1" customWidth="1"/>
    <col min="11" max="13" width="14.42578125" customWidth="1"/>
    <col min="14" max="18" width="15.7109375" bestFit="1" customWidth="1"/>
  </cols>
  <sheetData>
    <row r="1" spans="1:18" ht="23.25">
      <c r="A1" s="79" t="s">
        <v>212</v>
      </c>
    </row>
    <row r="3" spans="1:18" ht="20.25" thickBot="1">
      <c r="A3" s="36" t="s">
        <v>341</v>
      </c>
    </row>
    <row r="4" spans="1:18" ht="15.75" thickTop="1">
      <c r="B4" s="38" t="s">
        <v>110</v>
      </c>
      <c r="C4" s="38" t="s">
        <v>111</v>
      </c>
      <c r="D4" s="38" t="s">
        <v>265</v>
      </c>
      <c r="E4" s="38" t="s">
        <v>266</v>
      </c>
      <c r="F4" s="38" t="s">
        <v>267</v>
      </c>
      <c r="G4" s="38" t="s">
        <v>292</v>
      </c>
    </row>
    <row r="5" spans="1:18">
      <c r="B5" s="33" t="s">
        <v>356</v>
      </c>
      <c r="C5" s="33" t="s">
        <v>473</v>
      </c>
      <c r="D5" s="33">
        <v>6500</v>
      </c>
      <c r="E5" s="33">
        <v>1500</v>
      </c>
      <c r="F5" s="33" t="s">
        <v>357</v>
      </c>
      <c r="G5" s="33" t="s">
        <v>357</v>
      </c>
    </row>
    <row r="6" spans="1:18">
      <c r="B6" s="33"/>
      <c r="C6" s="33" t="s">
        <v>474</v>
      </c>
      <c r="D6" s="33">
        <v>8500</v>
      </c>
      <c r="E6" s="33">
        <v>1500</v>
      </c>
      <c r="F6" s="33" t="s">
        <v>357</v>
      </c>
      <c r="G6" s="33" t="s">
        <v>357</v>
      </c>
    </row>
    <row r="7" spans="1:18">
      <c r="B7" s="33" t="s">
        <v>496</v>
      </c>
      <c r="C7" s="33" t="s">
        <v>475</v>
      </c>
      <c r="D7" s="33">
        <v>8500</v>
      </c>
      <c r="E7" s="33">
        <v>1500</v>
      </c>
      <c r="F7" s="33" t="s">
        <v>357</v>
      </c>
      <c r="G7" s="33" t="s">
        <v>357</v>
      </c>
    </row>
    <row r="8" spans="1:18">
      <c r="B8" s="33"/>
      <c r="C8" s="33" t="s">
        <v>476</v>
      </c>
      <c r="D8" s="33">
        <v>8500</v>
      </c>
      <c r="E8" s="33">
        <v>1500</v>
      </c>
      <c r="F8" s="33" t="s">
        <v>357</v>
      </c>
      <c r="G8" s="33" t="s">
        <v>357</v>
      </c>
    </row>
    <row r="9" spans="1:18">
      <c r="B9" s="22"/>
      <c r="C9" s="22"/>
      <c r="D9" s="22"/>
      <c r="E9" s="22"/>
      <c r="F9" s="22"/>
      <c r="G9" s="22"/>
    </row>
    <row r="10" spans="1:18" ht="20.25" thickBot="1">
      <c r="A10" s="36" t="s">
        <v>342</v>
      </c>
      <c r="B10" s="22"/>
      <c r="C10" s="22"/>
      <c r="D10" s="22"/>
      <c r="E10" s="22"/>
      <c r="F10" s="22"/>
      <c r="G10" s="22"/>
    </row>
    <row r="11" spans="1:18" ht="15.75" thickTop="1">
      <c r="B11" s="357" t="s">
        <v>204</v>
      </c>
      <c r="C11" s="357" t="s">
        <v>6</v>
      </c>
      <c r="D11" s="357"/>
      <c r="E11" s="357"/>
      <c r="F11" s="357"/>
      <c r="G11" s="357" t="s">
        <v>7</v>
      </c>
      <c r="H11" s="357"/>
      <c r="I11" s="357"/>
      <c r="J11" s="357"/>
      <c r="K11" s="358" t="s">
        <v>8</v>
      </c>
      <c r="L11" s="359"/>
      <c r="M11" s="359"/>
      <c r="N11" s="360"/>
      <c r="O11" s="357" t="s">
        <v>9</v>
      </c>
      <c r="P11" s="357" t="s">
        <v>10</v>
      </c>
      <c r="Q11" s="357" t="s">
        <v>11</v>
      </c>
      <c r="R11" s="357" t="s">
        <v>12</v>
      </c>
    </row>
    <row r="12" spans="1:18">
      <c r="B12" s="357"/>
      <c r="C12" s="130" t="s">
        <v>13</v>
      </c>
      <c r="D12" s="130" t="s">
        <v>14</v>
      </c>
      <c r="E12" s="130" t="s">
        <v>15</v>
      </c>
      <c r="F12" s="130" t="s">
        <v>16</v>
      </c>
      <c r="G12" s="130" t="s">
        <v>13</v>
      </c>
      <c r="H12" s="130" t="s">
        <v>14</v>
      </c>
      <c r="I12" s="130" t="s">
        <v>15</v>
      </c>
      <c r="J12" s="130" t="s">
        <v>16</v>
      </c>
      <c r="K12" s="156" t="s">
        <v>13</v>
      </c>
      <c r="L12" s="156" t="s">
        <v>14</v>
      </c>
      <c r="M12" s="156" t="s">
        <v>15</v>
      </c>
      <c r="N12" s="156" t="s">
        <v>16</v>
      </c>
      <c r="O12" s="357"/>
      <c r="P12" s="357"/>
      <c r="Q12" s="357"/>
      <c r="R12" s="357"/>
    </row>
    <row r="13" spans="1:18">
      <c r="B13" s="132" t="s">
        <v>343</v>
      </c>
      <c r="C13" s="132" t="s">
        <v>357</v>
      </c>
      <c r="D13" s="158" t="s">
        <v>357</v>
      </c>
      <c r="E13" s="158" t="s">
        <v>357</v>
      </c>
      <c r="F13" s="158" t="s">
        <v>357</v>
      </c>
      <c r="G13" s="158" t="s">
        <v>357</v>
      </c>
      <c r="H13" s="158" t="s">
        <v>357</v>
      </c>
      <c r="I13" s="158" t="s">
        <v>357</v>
      </c>
      <c r="J13" s="158" t="s">
        <v>357</v>
      </c>
      <c r="K13" s="158" t="s">
        <v>357</v>
      </c>
      <c r="L13" s="158" t="s">
        <v>357</v>
      </c>
      <c r="M13" s="158" t="s">
        <v>357</v>
      </c>
      <c r="N13" s="158" t="s">
        <v>357</v>
      </c>
      <c r="O13" s="158" t="s">
        <v>357</v>
      </c>
      <c r="P13" s="158" t="s">
        <v>357</v>
      </c>
      <c r="Q13" s="158" t="s">
        <v>357</v>
      </c>
      <c r="R13" s="158" t="s">
        <v>357</v>
      </c>
    </row>
    <row r="14" spans="1:18">
      <c r="B14" s="132" t="s">
        <v>344</v>
      </c>
      <c r="C14" s="158" t="s">
        <v>357</v>
      </c>
      <c r="D14" s="158" t="s">
        <v>357</v>
      </c>
      <c r="E14" s="158" t="s">
        <v>357</v>
      </c>
      <c r="F14" s="158" t="s">
        <v>357</v>
      </c>
      <c r="G14" s="158" t="s">
        <v>357</v>
      </c>
      <c r="H14" s="158" t="s">
        <v>357</v>
      </c>
      <c r="I14" s="158" t="s">
        <v>357</v>
      </c>
      <c r="J14" s="158" t="s">
        <v>357</v>
      </c>
      <c r="K14" s="158" t="s">
        <v>357</v>
      </c>
      <c r="L14" s="158" t="s">
        <v>357</v>
      </c>
      <c r="M14" s="158" t="s">
        <v>357</v>
      </c>
      <c r="N14" s="158" t="s">
        <v>357</v>
      </c>
      <c r="O14" s="158" t="s">
        <v>357</v>
      </c>
      <c r="P14" s="158" t="s">
        <v>357</v>
      </c>
      <c r="Q14" s="158" t="s">
        <v>357</v>
      </c>
      <c r="R14" s="158" t="s">
        <v>357</v>
      </c>
    </row>
    <row r="15" spans="1:18" ht="15.75" thickBot="1">
      <c r="B15" s="103" t="s">
        <v>113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</row>
    <row r="16" spans="1:18" ht="15.75" thickBot="1">
      <c r="B16" s="125" t="s">
        <v>169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</row>
    <row r="17" spans="1:18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20.25" thickBot="1">
      <c r="A18" s="36" t="s">
        <v>345</v>
      </c>
    </row>
    <row r="19" spans="1:18" ht="15.75" thickTop="1">
      <c r="B19" s="384" t="s">
        <v>204</v>
      </c>
      <c r="C19" s="357" t="s">
        <v>6</v>
      </c>
      <c r="D19" s="357"/>
      <c r="E19" s="357"/>
      <c r="F19" s="357"/>
      <c r="G19" s="357" t="s">
        <v>7</v>
      </c>
      <c r="H19" s="357"/>
      <c r="I19" s="357"/>
      <c r="J19" s="357"/>
      <c r="K19" s="358" t="s">
        <v>8</v>
      </c>
      <c r="L19" s="359"/>
      <c r="M19" s="359"/>
      <c r="N19" s="360"/>
      <c r="O19" s="357" t="s">
        <v>9</v>
      </c>
      <c r="P19" s="357" t="s">
        <v>10</v>
      </c>
      <c r="Q19" s="357" t="s">
        <v>11</v>
      </c>
      <c r="R19" s="357" t="s">
        <v>12</v>
      </c>
    </row>
    <row r="20" spans="1:18">
      <c r="B20" s="385"/>
      <c r="C20" s="75" t="s">
        <v>13</v>
      </c>
      <c r="D20" s="75" t="s">
        <v>14</v>
      </c>
      <c r="E20" s="75" t="s">
        <v>15</v>
      </c>
      <c r="F20" s="75" t="s">
        <v>16</v>
      </c>
      <c r="G20" s="75" t="s">
        <v>13</v>
      </c>
      <c r="H20" s="75" t="s">
        <v>14</v>
      </c>
      <c r="I20" s="75" t="s">
        <v>15</v>
      </c>
      <c r="J20" s="75" t="s">
        <v>16</v>
      </c>
      <c r="K20" s="156" t="s">
        <v>13</v>
      </c>
      <c r="L20" s="156" t="s">
        <v>14</v>
      </c>
      <c r="M20" s="156" t="s">
        <v>15</v>
      </c>
      <c r="N20" s="156" t="s">
        <v>16</v>
      </c>
      <c r="O20" s="357"/>
      <c r="P20" s="357"/>
      <c r="Q20" s="357"/>
      <c r="R20" s="357"/>
    </row>
    <row r="21" spans="1:18">
      <c r="B21" s="28" t="s">
        <v>80</v>
      </c>
      <c r="C21" s="167">
        <f>SUMPRODUCT($D$5:$D$8,'No. of Students Trained'!D196:D199)</f>
        <v>832500</v>
      </c>
      <c r="D21" s="167">
        <f>SUMPRODUCT($D$5:$D$8,'No. of Students Trained'!E196:E199)</f>
        <v>1567500</v>
      </c>
      <c r="E21" s="167">
        <f>SUMPRODUCT($D$5:$D$8,'No. of Students Trained'!F196:F199)</f>
        <v>1567500</v>
      </c>
      <c r="F21" s="167">
        <f>SUMPRODUCT($D$5:$D$8,'No. of Students Trained'!G196:G199)</f>
        <v>2400000</v>
      </c>
      <c r="G21" s="167">
        <f>SUMPRODUCT($D$5:$D$8,'No. of Students Trained'!H196:H199)*('Key Assumptions'!$D$48)</f>
        <v>3448000</v>
      </c>
      <c r="H21" s="167">
        <f>SUMPRODUCT($D$5:$D$8,'No. of Students Trained'!I196:I199)*('Key Assumptions'!$D$48)</f>
        <v>5224000</v>
      </c>
      <c r="I21" s="167">
        <f>SUMPRODUCT($D$5:$D$8,'No. of Students Trained'!J196:J199)*('Key Assumptions'!$D$48)</f>
        <v>5224000</v>
      </c>
      <c r="J21" s="167">
        <f>SUMPRODUCT($D$5:$D$8,'No. of Students Trained'!K196:K199)*('Key Assumptions'!$D$48)</f>
        <v>7648000</v>
      </c>
      <c r="K21" s="167">
        <f>SUMPRODUCT($D$5:$D$8,'No. of Students Trained'!L196:L199)*('Key Assumptions'!$E$48)</f>
        <v>11637000</v>
      </c>
      <c r="L21" s="167">
        <f>SUMPRODUCT($D$5:$D$8,'No. of Students Trained'!M196:M199)*('Key Assumptions'!$E$48)</f>
        <v>14634000</v>
      </c>
      <c r="M21" s="167">
        <f>SUMPRODUCT($D$5:$D$8,'No. of Students Trained'!N196:N199)*('Key Assumptions'!$E$48)</f>
        <v>17478000</v>
      </c>
      <c r="N21" s="167">
        <f>SUMPRODUCT($D$5:$D$8,'No. of Students Trained'!O196:O199)*('Key Assumptions'!$E$48)</f>
        <v>19476000</v>
      </c>
      <c r="O21" s="167">
        <f>SUMPRODUCT($D$5:$D$8,'No. of Students Trained'!P196:P199)*('Key Assumptions'!F$48)</f>
        <v>99976800</v>
      </c>
      <c r="P21" s="167">
        <f>SUMPRODUCT($D$5:$D$8,'No. of Students Trained'!Q196:Q199)*('Key Assumptions'!G$48)</f>
        <v>114518880</v>
      </c>
      <c r="Q21" s="167">
        <f>SUMPRODUCT($D$5:$D$8,'No. of Students Trained'!R196:R199)*('Key Assumptions'!H$48)</f>
        <v>125970768.00000003</v>
      </c>
      <c r="R21" s="167">
        <f>SUMPRODUCT($D$5:$D$8,'No. of Students Trained'!S196:S199)*('Key Assumptions'!I$48)</f>
        <v>144341505.00000003</v>
      </c>
    </row>
    <row r="22" spans="1:18">
      <c r="B22" s="28" t="s">
        <v>81</v>
      </c>
      <c r="C22" s="167">
        <f>SUMPRODUCT($E$5:$E$8,'No. of Students Trained'!D196:D199)</f>
        <v>157500</v>
      </c>
      <c r="D22" s="167">
        <f>SUMPRODUCT($E$5:$E$8,'No. of Students Trained'!E196:E199)</f>
        <v>292500</v>
      </c>
      <c r="E22" s="167">
        <f>SUMPRODUCT($E$5:$E$8,'No. of Students Trained'!F196:F199)</f>
        <v>292500</v>
      </c>
      <c r="F22" s="167">
        <f>SUMPRODUCT($E$5:$E$8,'No. of Students Trained'!G196:G199)</f>
        <v>450000</v>
      </c>
      <c r="G22" s="167">
        <f>SUMPRODUCT($E$5:$E$8,'No. of Students Trained'!H196:H199)</f>
        <v>648000</v>
      </c>
      <c r="H22" s="167">
        <f>SUMPRODUCT($E$5:$E$8,'No. of Students Trained'!I196:I199)</f>
        <v>984000</v>
      </c>
      <c r="I22" s="167">
        <f>SUMPRODUCT($E$5:$E$8,'No. of Students Trained'!J196:J199)</f>
        <v>984000</v>
      </c>
      <c r="J22" s="167">
        <f>SUMPRODUCT($E$5:$E$8,'No. of Students Trained'!K196:K199)</f>
        <v>1440000</v>
      </c>
      <c r="K22" s="167">
        <f>SUMPRODUCT($E$5:$E$8,'No. of Students Trained'!L196:L199)</f>
        <v>2187000</v>
      </c>
      <c r="L22" s="167">
        <f>SUMPRODUCT($E$5:$E$8,'No. of Students Trained'!M196:M199)</f>
        <v>2754000</v>
      </c>
      <c r="M22" s="167">
        <f>SUMPRODUCT($E$5:$E$8,'No. of Students Trained'!N196:N199)</f>
        <v>3294000</v>
      </c>
      <c r="N22" s="167">
        <f>SUMPRODUCT($E$5:$E$8,'No. of Students Trained'!O196:O199)</f>
        <v>3672000</v>
      </c>
      <c r="O22" s="167">
        <f>SUMPRODUCT($E$5:$E$8,'No. of Students Trained'!P196:P199)</f>
        <v>17952000</v>
      </c>
      <c r="P22" s="167">
        <f>SUMPRODUCT($E$5:$E$8,'No. of Students Trained'!Q196:Q199)</f>
        <v>19584000</v>
      </c>
      <c r="Q22" s="167">
        <f>SUMPRODUCT($E$5:$E$8,'No. of Students Trained'!R196:R199)</f>
        <v>19584000</v>
      </c>
      <c r="R22" s="167">
        <f>SUMPRODUCT($E$5:$E$8,'No. of Students Trained'!S196:S199)</f>
        <v>20400000</v>
      </c>
    </row>
    <row r="23" spans="1:18">
      <c r="B23" s="28" t="s">
        <v>82</v>
      </c>
      <c r="C23" s="28" t="s">
        <v>357</v>
      </c>
      <c r="D23" s="158" t="s">
        <v>357</v>
      </c>
      <c r="E23" s="158" t="s">
        <v>357</v>
      </c>
      <c r="F23" s="158" t="s">
        <v>357</v>
      </c>
      <c r="G23" s="158" t="s">
        <v>357</v>
      </c>
      <c r="H23" s="158" t="s">
        <v>357</v>
      </c>
      <c r="I23" s="158" t="s">
        <v>357</v>
      </c>
      <c r="J23" s="158" t="s">
        <v>357</v>
      </c>
      <c r="K23" s="158" t="s">
        <v>357</v>
      </c>
      <c r="L23" s="158" t="s">
        <v>357</v>
      </c>
      <c r="M23" s="158" t="s">
        <v>357</v>
      </c>
      <c r="N23" s="158" t="s">
        <v>357</v>
      </c>
      <c r="O23" s="158" t="s">
        <v>357</v>
      </c>
      <c r="P23" s="158" t="s">
        <v>357</v>
      </c>
      <c r="Q23" s="158" t="s">
        <v>357</v>
      </c>
      <c r="R23" s="158" t="s">
        <v>357</v>
      </c>
    </row>
    <row r="24" spans="1:18">
      <c r="B24" s="28" t="s">
        <v>78</v>
      </c>
      <c r="C24" s="158" t="s">
        <v>357</v>
      </c>
      <c r="D24" s="158" t="s">
        <v>357</v>
      </c>
      <c r="E24" s="158" t="s">
        <v>357</v>
      </c>
      <c r="F24" s="158" t="s">
        <v>357</v>
      </c>
      <c r="G24" s="158" t="s">
        <v>357</v>
      </c>
      <c r="H24" s="158" t="s">
        <v>357</v>
      </c>
      <c r="I24" s="158" t="s">
        <v>357</v>
      </c>
      <c r="J24" s="158" t="s">
        <v>357</v>
      </c>
      <c r="K24" s="158" t="s">
        <v>357</v>
      </c>
      <c r="L24" s="158" t="s">
        <v>357</v>
      </c>
      <c r="M24" s="158" t="s">
        <v>357</v>
      </c>
      <c r="N24" s="158" t="s">
        <v>357</v>
      </c>
      <c r="O24" s="158" t="s">
        <v>357</v>
      </c>
      <c r="P24" s="158" t="s">
        <v>357</v>
      </c>
      <c r="Q24" s="158" t="s">
        <v>357</v>
      </c>
      <c r="R24" s="158" t="s">
        <v>357</v>
      </c>
    </row>
    <row r="25" spans="1:18">
      <c r="B25" s="28" t="s">
        <v>346</v>
      </c>
      <c r="C25" s="158" t="s">
        <v>357</v>
      </c>
      <c r="D25" s="158" t="s">
        <v>357</v>
      </c>
      <c r="E25" s="158" t="s">
        <v>357</v>
      </c>
      <c r="F25" s="158" t="s">
        <v>357</v>
      </c>
      <c r="G25" s="158" t="s">
        <v>357</v>
      </c>
      <c r="H25" s="158" t="s">
        <v>357</v>
      </c>
      <c r="I25" s="158" t="s">
        <v>357</v>
      </c>
      <c r="J25" s="158" t="s">
        <v>357</v>
      </c>
      <c r="K25" s="158" t="s">
        <v>357</v>
      </c>
      <c r="L25" s="158" t="s">
        <v>357</v>
      </c>
      <c r="M25" s="158" t="s">
        <v>357</v>
      </c>
      <c r="N25" s="158" t="s">
        <v>357</v>
      </c>
      <c r="O25" s="158" t="s">
        <v>357</v>
      </c>
      <c r="P25" s="158" t="s">
        <v>357</v>
      </c>
      <c r="Q25" s="158" t="s">
        <v>357</v>
      </c>
      <c r="R25" s="158" t="s">
        <v>357</v>
      </c>
    </row>
    <row r="26" spans="1:18">
      <c r="B26" s="22"/>
      <c r="C26" s="22"/>
      <c r="D26" s="22"/>
      <c r="E26" s="22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</row>
    <row r="27" spans="1:18">
      <c r="B27" s="1" t="s">
        <v>290</v>
      </c>
    </row>
    <row r="28" spans="1:18">
      <c r="B28" s="126" t="s">
        <v>299</v>
      </c>
    </row>
    <row r="29" spans="1:18">
      <c r="B29" s="126" t="s">
        <v>340</v>
      </c>
    </row>
    <row r="30" spans="1:18">
      <c r="B30" s="126"/>
    </row>
    <row r="31" spans="1:18">
      <c r="B31" s="27" t="s">
        <v>151</v>
      </c>
    </row>
  </sheetData>
  <mergeCells count="16">
    <mergeCell ref="B19:B20"/>
    <mergeCell ref="O19:O20"/>
    <mergeCell ref="K19:N19"/>
    <mergeCell ref="P19:P20"/>
    <mergeCell ref="Q19:Q20"/>
    <mergeCell ref="R19:R20"/>
    <mergeCell ref="C19:F19"/>
    <mergeCell ref="G19:J19"/>
    <mergeCell ref="P11:P12"/>
    <mergeCell ref="Q11:Q12"/>
    <mergeCell ref="R11:R12"/>
    <mergeCell ref="B11:B12"/>
    <mergeCell ref="C11:F11"/>
    <mergeCell ref="G11:J11"/>
    <mergeCell ref="O11:O12"/>
    <mergeCell ref="K11:N11"/>
  </mergeCells>
  <hyperlinks>
    <hyperlink ref="B31" location="Index!A1" display="Back to Index"/>
  </hyperlinks>
  <pageMargins left="0.7" right="0.7" top="0.75" bottom="0.75" header="0.3" footer="0.3"/>
  <pageSetup orientation="portrait" horizontalDpi="200" verticalDpi="200" copies="0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9">
    <tabColor rgb="FFFF0000"/>
  </sheetPr>
  <dimension ref="A1:S122"/>
  <sheetViews>
    <sheetView topLeftCell="D43" zoomScale="84" zoomScaleNormal="84" workbookViewId="0">
      <selection activeCell="P43" sqref="P43"/>
    </sheetView>
  </sheetViews>
  <sheetFormatPr defaultRowHeight="15"/>
  <cols>
    <col min="2" max="2" width="18.140625" customWidth="1"/>
    <col min="3" max="3" width="55.7109375" bestFit="1" customWidth="1"/>
    <col min="4" max="4" width="28.85546875" customWidth="1"/>
    <col min="5" max="5" width="26.85546875" customWidth="1"/>
    <col min="6" max="6" width="21.140625" customWidth="1"/>
    <col min="7" max="7" width="7.140625" bestFit="1" customWidth="1"/>
    <col min="8" max="9" width="9.7109375" customWidth="1"/>
    <col min="10" max="19" width="9.7109375" bestFit="1" customWidth="1"/>
  </cols>
  <sheetData>
    <row r="1" spans="1:7" ht="23.25">
      <c r="A1" s="79" t="s">
        <v>210</v>
      </c>
    </row>
    <row r="3" spans="1:7" s="18" customFormat="1" ht="20.25" thickBot="1">
      <c r="A3" s="40" t="s">
        <v>117</v>
      </c>
    </row>
    <row r="4" spans="1:7" s="18" customFormat="1" ht="20.25" customHeight="1" thickTop="1">
      <c r="B4" s="81" t="s">
        <v>110</v>
      </c>
      <c r="C4" s="81" t="s">
        <v>111</v>
      </c>
      <c r="D4" s="50" t="s">
        <v>115</v>
      </c>
      <c r="E4" s="50" t="s">
        <v>116</v>
      </c>
      <c r="F4" s="50" t="s">
        <v>114</v>
      </c>
      <c r="G4" s="19"/>
    </row>
    <row r="5" spans="1:7" s="18" customFormat="1">
      <c r="A5"/>
      <c r="B5" s="33" t="s">
        <v>356</v>
      </c>
      <c r="C5" s="33" t="s">
        <v>473</v>
      </c>
      <c r="D5" s="33">
        <v>280</v>
      </c>
      <c r="E5" s="33">
        <v>30</v>
      </c>
      <c r="F5" s="330">
        <f>D5/E5</f>
        <v>9.3333333333333339</v>
      </c>
      <c r="G5"/>
    </row>
    <row r="6" spans="1:7" s="18" customFormat="1">
      <c r="A6"/>
      <c r="B6" s="33"/>
      <c r="C6" s="33" t="s">
        <v>474</v>
      </c>
      <c r="D6" s="33">
        <v>350</v>
      </c>
      <c r="E6" s="33">
        <v>45</v>
      </c>
      <c r="F6" s="330">
        <f>D6/E6</f>
        <v>7.7777777777777777</v>
      </c>
      <c r="G6"/>
    </row>
    <row r="7" spans="1:7" s="18" customFormat="1">
      <c r="A7"/>
      <c r="B7" s="33" t="s">
        <v>496</v>
      </c>
      <c r="C7" s="33" t="s">
        <v>475</v>
      </c>
      <c r="D7" s="33">
        <v>400</v>
      </c>
      <c r="E7" s="33">
        <v>45</v>
      </c>
      <c r="F7" s="330">
        <f>D7/E7</f>
        <v>8.8888888888888893</v>
      </c>
      <c r="G7"/>
    </row>
    <row r="8" spans="1:7" s="18" customFormat="1">
      <c r="A8"/>
      <c r="B8" s="33"/>
      <c r="C8" s="33" t="s">
        <v>476</v>
      </c>
      <c r="D8" s="33">
        <v>400</v>
      </c>
      <c r="E8" s="33">
        <v>45</v>
      </c>
      <c r="F8" s="330">
        <f>D8/E8</f>
        <v>8.8888888888888893</v>
      </c>
      <c r="G8"/>
    </row>
    <row r="9" spans="1:7" s="18" customFormat="1">
      <c r="B9" s="114"/>
      <c r="C9" s="114"/>
      <c r="D9" s="114"/>
      <c r="E9" s="114"/>
      <c r="F9" s="114"/>
    </row>
    <row r="10" spans="1:7" s="18" customFormat="1" ht="20.25" thickBot="1">
      <c r="A10" s="40" t="s">
        <v>119</v>
      </c>
      <c r="E10" s="85"/>
      <c r="F10"/>
    </row>
    <row r="11" spans="1:7" s="18" customFormat="1" ht="15.75" thickTop="1">
      <c r="B11" s="50" t="s">
        <v>109</v>
      </c>
      <c r="C11" s="50" t="s">
        <v>118</v>
      </c>
      <c r="D11" s="50" t="s">
        <v>211</v>
      </c>
      <c r="E11" s="1"/>
      <c r="F11"/>
      <c r="G11"/>
    </row>
    <row r="12" spans="1:7" s="18" customFormat="1">
      <c r="B12" s="41" t="s">
        <v>477</v>
      </c>
      <c r="C12" s="41">
        <v>12</v>
      </c>
      <c r="D12" s="41">
        <f>C12/8</f>
        <v>1.5</v>
      </c>
      <c r="E12"/>
      <c r="F12"/>
    </row>
    <row r="13" spans="1:7" s="18" customFormat="1">
      <c r="B13" s="41" t="s">
        <v>478</v>
      </c>
      <c r="C13" s="41">
        <v>12</v>
      </c>
      <c r="D13" s="41">
        <f t="shared" ref="D13:D31" si="0">C13/8</f>
        <v>1.5</v>
      </c>
      <c r="E13"/>
      <c r="F13"/>
    </row>
    <row r="14" spans="1:7" s="18" customFormat="1">
      <c r="B14" s="41" t="s">
        <v>479</v>
      </c>
      <c r="C14" s="41">
        <v>12</v>
      </c>
      <c r="D14" s="41">
        <f t="shared" si="0"/>
        <v>1.5</v>
      </c>
      <c r="E14"/>
      <c r="F14"/>
    </row>
    <row r="15" spans="1:7" s="18" customFormat="1">
      <c r="B15" s="41" t="s">
        <v>353</v>
      </c>
      <c r="C15" s="41">
        <v>12</v>
      </c>
      <c r="D15" s="41">
        <f t="shared" si="0"/>
        <v>1.5</v>
      </c>
      <c r="E15"/>
      <c r="F15"/>
    </row>
    <row r="16" spans="1:7" s="18" customFormat="1">
      <c r="B16" s="41" t="s">
        <v>481</v>
      </c>
      <c r="C16" s="41">
        <v>12</v>
      </c>
      <c r="D16" s="41">
        <f t="shared" si="0"/>
        <v>1.5</v>
      </c>
      <c r="E16"/>
      <c r="F16"/>
    </row>
    <row r="17" spans="2:6" s="18" customFormat="1">
      <c r="B17" s="41" t="s">
        <v>482</v>
      </c>
      <c r="C17" s="41">
        <v>12</v>
      </c>
      <c r="D17" s="41">
        <f t="shared" si="0"/>
        <v>1.5</v>
      </c>
      <c r="E17"/>
      <c r="F17"/>
    </row>
    <row r="18" spans="2:6" s="18" customFormat="1">
      <c r="B18" s="41" t="s">
        <v>483</v>
      </c>
      <c r="C18" s="41">
        <v>12</v>
      </c>
      <c r="D18" s="41">
        <f t="shared" si="0"/>
        <v>1.5</v>
      </c>
      <c r="E18"/>
      <c r="F18"/>
    </row>
    <row r="19" spans="2:6" s="18" customFormat="1">
      <c r="B19" s="41" t="s">
        <v>484</v>
      </c>
      <c r="C19" s="41">
        <v>12</v>
      </c>
      <c r="D19" s="41">
        <f t="shared" si="0"/>
        <v>1.5</v>
      </c>
      <c r="E19"/>
      <c r="F19"/>
    </row>
    <row r="20" spans="2:6" s="18" customFormat="1">
      <c r="B20" s="41" t="s">
        <v>354</v>
      </c>
      <c r="C20" s="41">
        <v>12</v>
      </c>
      <c r="D20" s="41">
        <f t="shared" si="0"/>
        <v>1.5</v>
      </c>
      <c r="E20"/>
      <c r="F20"/>
    </row>
    <row r="21" spans="2:6" s="18" customFormat="1">
      <c r="B21" s="41" t="s">
        <v>485</v>
      </c>
      <c r="C21" s="41">
        <v>12</v>
      </c>
      <c r="D21" s="41">
        <f t="shared" si="0"/>
        <v>1.5</v>
      </c>
      <c r="E21"/>
      <c r="F21"/>
    </row>
    <row r="22" spans="2:6" s="18" customFormat="1">
      <c r="B22" s="41" t="s">
        <v>495</v>
      </c>
      <c r="C22" s="41">
        <v>12</v>
      </c>
      <c r="D22" s="41">
        <f t="shared" si="0"/>
        <v>1.5</v>
      </c>
      <c r="E22"/>
      <c r="F22"/>
    </row>
    <row r="23" spans="2:6" s="18" customFormat="1">
      <c r="B23" s="41" t="s">
        <v>487</v>
      </c>
      <c r="C23" s="41">
        <v>12</v>
      </c>
      <c r="D23" s="41">
        <f t="shared" si="0"/>
        <v>1.5</v>
      </c>
      <c r="E23"/>
      <c r="F23"/>
    </row>
    <row r="24" spans="2:6" s="18" customFormat="1">
      <c r="B24" s="41" t="s">
        <v>488</v>
      </c>
      <c r="C24" s="41">
        <v>12</v>
      </c>
      <c r="D24" s="41">
        <f t="shared" si="0"/>
        <v>1.5</v>
      </c>
      <c r="E24"/>
      <c r="F24"/>
    </row>
    <row r="25" spans="2:6" s="18" customFormat="1">
      <c r="B25" s="41" t="s">
        <v>489</v>
      </c>
      <c r="C25" s="41">
        <v>12</v>
      </c>
      <c r="D25" s="41">
        <f t="shared" si="0"/>
        <v>1.5</v>
      </c>
      <c r="E25"/>
      <c r="F25"/>
    </row>
    <row r="26" spans="2:6" s="18" customFormat="1">
      <c r="B26" s="41" t="s">
        <v>490</v>
      </c>
      <c r="C26" s="41">
        <v>12</v>
      </c>
      <c r="D26" s="41">
        <f t="shared" si="0"/>
        <v>1.5</v>
      </c>
      <c r="E26"/>
      <c r="F26"/>
    </row>
    <row r="27" spans="2:6" s="18" customFormat="1">
      <c r="B27" s="41" t="s">
        <v>491</v>
      </c>
      <c r="C27" s="41">
        <v>12</v>
      </c>
      <c r="D27" s="41">
        <f t="shared" si="0"/>
        <v>1.5</v>
      </c>
      <c r="E27"/>
      <c r="F27"/>
    </row>
    <row r="28" spans="2:6" s="18" customFormat="1">
      <c r="B28" s="41" t="s">
        <v>492</v>
      </c>
      <c r="C28" s="41">
        <v>12</v>
      </c>
      <c r="D28" s="41">
        <f t="shared" si="0"/>
        <v>1.5</v>
      </c>
      <c r="E28"/>
      <c r="F28"/>
    </row>
    <row r="29" spans="2:6" s="18" customFormat="1">
      <c r="B29" s="29" t="s">
        <v>355</v>
      </c>
      <c r="C29" s="41">
        <v>12</v>
      </c>
      <c r="D29" s="41">
        <f t="shared" si="0"/>
        <v>1.5</v>
      </c>
      <c r="E29"/>
      <c r="F29"/>
    </row>
    <row r="30" spans="2:6" s="18" customFormat="1">
      <c r="B30" s="41" t="s">
        <v>493</v>
      </c>
      <c r="C30" s="41">
        <v>12</v>
      </c>
      <c r="D30" s="41">
        <f t="shared" si="0"/>
        <v>1.5</v>
      </c>
      <c r="E30"/>
      <c r="F30"/>
    </row>
    <row r="31" spans="2:6" s="18" customFormat="1">
      <c r="B31" s="41" t="s">
        <v>494</v>
      </c>
      <c r="C31" s="41">
        <v>12</v>
      </c>
      <c r="D31" s="41">
        <f t="shared" si="0"/>
        <v>1.5</v>
      </c>
      <c r="E31"/>
      <c r="F31"/>
    </row>
    <row r="32" spans="2:6" s="18" customFormat="1"/>
    <row r="33" spans="1:6" s="18" customFormat="1" ht="20.25" thickBot="1">
      <c r="A33" s="40" t="s">
        <v>122</v>
      </c>
    </row>
    <row r="34" spans="1:6" s="18" customFormat="1" ht="15.75" thickTop="1">
      <c r="B34" s="50" t="s">
        <v>109</v>
      </c>
      <c r="C34" s="50" t="s">
        <v>120</v>
      </c>
      <c r="D34" s="50" t="s">
        <v>121</v>
      </c>
    </row>
    <row r="35" spans="1:6" s="18" customFormat="1">
      <c r="B35" s="41" t="s">
        <v>477</v>
      </c>
      <c r="C35" s="41">
        <v>2</v>
      </c>
      <c r="D35" s="41">
        <v>2</v>
      </c>
      <c r="E35"/>
      <c r="F35"/>
    </row>
    <row r="36" spans="1:6" s="18" customFormat="1">
      <c r="B36" s="41" t="s">
        <v>478</v>
      </c>
      <c r="C36" s="41">
        <v>2</v>
      </c>
      <c r="D36" s="41">
        <v>2</v>
      </c>
      <c r="E36"/>
      <c r="F36"/>
    </row>
    <row r="37" spans="1:6" s="18" customFormat="1">
      <c r="B37" s="41" t="s">
        <v>479</v>
      </c>
      <c r="C37" s="41">
        <v>2</v>
      </c>
      <c r="D37" s="41">
        <v>2</v>
      </c>
      <c r="E37"/>
      <c r="F37"/>
    </row>
    <row r="38" spans="1:6" s="18" customFormat="1">
      <c r="B38" s="41" t="s">
        <v>353</v>
      </c>
      <c r="C38" s="41">
        <v>2</v>
      </c>
      <c r="D38" s="41">
        <v>2</v>
      </c>
      <c r="E38"/>
      <c r="F38"/>
    </row>
    <row r="39" spans="1:6" s="18" customFormat="1">
      <c r="B39" s="41" t="s">
        <v>481</v>
      </c>
      <c r="C39" s="41">
        <v>2</v>
      </c>
      <c r="D39" s="41">
        <v>2</v>
      </c>
      <c r="E39"/>
      <c r="F39"/>
    </row>
    <row r="40" spans="1:6" s="18" customFormat="1">
      <c r="B40" s="41" t="s">
        <v>482</v>
      </c>
      <c r="C40" s="41">
        <v>2</v>
      </c>
      <c r="D40" s="41">
        <v>2</v>
      </c>
      <c r="E40"/>
      <c r="F40"/>
    </row>
    <row r="41" spans="1:6" s="18" customFormat="1">
      <c r="B41" s="41" t="s">
        <v>483</v>
      </c>
      <c r="C41" s="41">
        <v>2</v>
      </c>
      <c r="D41" s="41">
        <v>2</v>
      </c>
      <c r="E41"/>
      <c r="F41"/>
    </row>
    <row r="42" spans="1:6" s="18" customFormat="1">
      <c r="B42" s="41" t="s">
        <v>484</v>
      </c>
      <c r="C42" s="41">
        <v>2</v>
      </c>
      <c r="D42" s="41">
        <v>2</v>
      </c>
      <c r="E42"/>
      <c r="F42"/>
    </row>
    <row r="43" spans="1:6" s="18" customFormat="1">
      <c r="B43" s="41" t="s">
        <v>354</v>
      </c>
      <c r="C43" s="41">
        <v>2</v>
      </c>
      <c r="D43" s="41">
        <v>2</v>
      </c>
      <c r="E43"/>
      <c r="F43"/>
    </row>
    <row r="44" spans="1:6" s="18" customFormat="1">
      <c r="B44" s="41" t="s">
        <v>485</v>
      </c>
      <c r="C44" s="41">
        <v>2</v>
      </c>
      <c r="D44" s="41">
        <v>2</v>
      </c>
      <c r="E44"/>
      <c r="F44"/>
    </row>
    <row r="45" spans="1:6" s="18" customFormat="1">
      <c r="B45" s="41" t="s">
        <v>495</v>
      </c>
      <c r="C45" s="41">
        <v>2</v>
      </c>
      <c r="D45" s="41">
        <v>2</v>
      </c>
      <c r="E45"/>
      <c r="F45"/>
    </row>
    <row r="46" spans="1:6" s="18" customFormat="1">
      <c r="B46" s="41" t="s">
        <v>487</v>
      </c>
      <c r="C46" s="41">
        <v>2</v>
      </c>
      <c r="D46" s="41">
        <v>2</v>
      </c>
      <c r="E46"/>
      <c r="F46"/>
    </row>
    <row r="47" spans="1:6" s="18" customFormat="1">
      <c r="B47" s="41" t="s">
        <v>488</v>
      </c>
      <c r="C47" s="41">
        <v>2</v>
      </c>
      <c r="D47" s="41">
        <v>2</v>
      </c>
      <c r="E47"/>
      <c r="F47"/>
    </row>
    <row r="48" spans="1:6" s="18" customFormat="1">
      <c r="B48" s="41" t="s">
        <v>489</v>
      </c>
      <c r="C48" s="41">
        <v>2</v>
      </c>
      <c r="D48" s="41">
        <v>2</v>
      </c>
      <c r="E48"/>
      <c r="F48"/>
    </row>
    <row r="49" spans="1:19" s="18" customFormat="1">
      <c r="B49" s="41" t="s">
        <v>490</v>
      </c>
      <c r="C49" s="41">
        <v>2</v>
      </c>
      <c r="D49" s="41">
        <v>2</v>
      </c>
      <c r="E49"/>
      <c r="F49"/>
    </row>
    <row r="50" spans="1:19" s="18" customFormat="1">
      <c r="B50" s="41" t="s">
        <v>491</v>
      </c>
      <c r="C50" s="41">
        <v>2</v>
      </c>
      <c r="D50" s="41">
        <v>2</v>
      </c>
      <c r="E50"/>
      <c r="F50"/>
    </row>
    <row r="51" spans="1:19" s="18" customFormat="1">
      <c r="B51" s="41" t="s">
        <v>492</v>
      </c>
      <c r="C51" s="41">
        <v>2</v>
      </c>
      <c r="D51" s="41">
        <v>2</v>
      </c>
      <c r="E51"/>
      <c r="F51"/>
    </row>
    <row r="52" spans="1:19" s="18" customFormat="1">
      <c r="B52" s="29" t="s">
        <v>355</v>
      </c>
      <c r="C52" s="41">
        <v>2</v>
      </c>
      <c r="D52" s="41">
        <v>2</v>
      </c>
      <c r="E52"/>
      <c r="F52"/>
    </row>
    <row r="53" spans="1:19" s="18" customFormat="1">
      <c r="B53" s="41" t="s">
        <v>493</v>
      </c>
      <c r="C53" s="41">
        <v>2</v>
      </c>
      <c r="D53" s="41">
        <v>2</v>
      </c>
      <c r="E53"/>
      <c r="F53"/>
    </row>
    <row r="54" spans="1:19" s="18" customFormat="1">
      <c r="B54" s="41" t="s">
        <v>494</v>
      </c>
      <c r="C54" s="41">
        <v>2</v>
      </c>
      <c r="D54" s="41">
        <v>2</v>
      </c>
      <c r="E54"/>
      <c r="F54"/>
    </row>
    <row r="55" spans="1:19" s="18" customFormat="1"/>
    <row r="56" spans="1:19" s="18" customFormat="1" ht="20.25" thickBot="1">
      <c r="A56" s="40" t="s">
        <v>327</v>
      </c>
    </row>
    <row r="57" spans="1:19" s="18" customFormat="1" ht="16.5" thickTop="1" thickBot="1">
      <c r="B57" s="398" t="s">
        <v>109</v>
      </c>
      <c r="C57" s="398" t="s">
        <v>171</v>
      </c>
      <c r="D57" s="373" t="s">
        <v>6</v>
      </c>
      <c r="E57" s="374"/>
      <c r="F57" s="374"/>
      <c r="G57" s="375"/>
      <c r="H57" s="374" t="s">
        <v>7</v>
      </c>
      <c r="I57" s="374"/>
      <c r="J57" s="374"/>
      <c r="K57" s="375"/>
      <c r="L57" s="376" t="s">
        <v>8</v>
      </c>
      <c r="M57" s="377"/>
      <c r="N57" s="377"/>
      <c r="O57" s="378"/>
      <c r="P57" s="396" t="s">
        <v>9</v>
      </c>
      <c r="Q57" s="396" t="s">
        <v>10</v>
      </c>
      <c r="R57" s="396" t="s">
        <v>11</v>
      </c>
      <c r="S57" s="396" t="s">
        <v>12</v>
      </c>
    </row>
    <row r="58" spans="1:19" s="18" customFormat="1" ht="15.75" thickBot="1">
      <c r="B58" s="400"/>
      <c r="C58" s="399"/>
      <c r="D58" s="308" t="s">
        <v>13</v>
      </c>
      <c r="E58" s="245" t="s">
        <v>14</v>
      </c>
      <c r="F58" s="245" t="s">
        <v>15</v>
      </c>
      <c r="G58" s="309" t="s">
        <v>16</v>
      </c>
      <c r="H58" s="310" t="s">
        <v>13</v>
      </c>
      <c r="I58" s="245" t="s">
        <v>14</v>
      </c>
      <c r="J58" s="245" t="s">
        <v>15</v>
      </c>
      <c r="K58" s="309" t="s">
        <v>16</v>
      </c>
      <c r="L58" s="310" t="s">
        <v>13</v>
      </c>
      <c r="M58" s="245" t="s">
        <v>14</v>
      </c>
      <c r="N58" s="245" t="s">
        <v>15</v>
      </c>
      <c r="O58" s="309" t="s">
        <v>16</v>
      </c>
      <c r="P58" s="397"/>
      <c r="Q58" s="397"/>
      <c r="R58" s="397"/>
      <c r="S58" s="397"/>
    </row>
    <row r="59" spans="1:19" s="18" customFormat="1">
      <c r="B59" s="393" t="str">
        <f>B35</f>
        <v>Shimla</v>
      </c>
      <c r="C59" s="306" t="s">
        <v>123</v>
      </c>
      <c r="D59" s="288">
        <f>($C$35+$D$35)*$C$12*6*4*3</f>
        <v>3456</v>
      </c>
      <c r="E59" s="288">
        <f t="shared" ref="E59:G59" si="1">($C$35+$D$35)*$C$12*6*4*3</f>
        <v>3456</v>
      </c>
      <c r="F59" s="288">
        <f t="shared" si="1"/>
        <v>3456</v>
      </c>
      <c r="G59" s="288">
        <f t="shared" si="1"/>
        <v>3456</v>
      </c>
      <c r="H59" s="288">
        <f>($C$35+$D$35)*$C$12*6*4*3</f>
        <v>3456</v>
      </c>
      <c r="I59" s="288">
        <f t="shared" ref="I59:O59" si="2">($C$35+$D$35)*$C$12*6*4*3</f>
        <v>3456</v>
      </c>
      <c r="J59" s="288">
        <f t="shared" si="2"/>
        <v>3456</v>
      </c>
      <c r="K59" s="288">
        <f t="shared" si="2"/>
        <v>3456</v>
      </c>
      <c r="L59" s="288">
        <f t="shared" si="2"/>
        <v>3456</v>
      </c>
      <c r="M59" s="288">
        <f t="shared" si="2"/>
        <v>3456</v>
      </c>
      <c r="N59" s="288">
        <f t="shared" si="2"/>
        <v>3456</v>
      </c>
      <c r="O59" s="288">
        <f t="shared" si="2"/>
        <v>3456</v>
      </c>
      <c r="P59" s="288">
        <f>($C$35+$D$35)*$C$12*6*4*12</f>
        <v>13824</v>
      </c>
      <c r="Q59" s="288">
        <f t="shared" ref="Q59:S59" si="3">($C$35+$D$35)*$C$12*6*4*12</f>
        <v>13824</v>
      </c>
      <c r="R59" s="288">
        <f t="shared" si="3"/>
        <v>13824</v>
      </c>
      <c r="S59" s="288">
        <f t="shared" si="3"/>
        <v>13824</v>
      </c>
    </row>
    <row r="60" spans="1:19" s="18" customFormat="1">
      <c r="B60" s="394"/>
      <c r="C60" s="268" t="s">
        <v>124</v>
      </c>
      <c r="D60" s="296">
        <f>'No. of Students Trained'!D19*VLOOKUP('No. of Students Trained'!$C$19,'Capacity Utilization '!$C$5:$D$8,2,FALSE)+'No. of Students Trained'!D20*'Capacity Utilization '!$D$6+'No. of Students Trained'!D21*'Capacity Utilization '!$D$7+'No. of Students Trained'!D22*'Capacity Utilization '!$D$8</f>
        <v>2460</v>
      </c>
      <c r="E60" s="296">
        <f>'No. of Students Trained'!E19*VLOOKUP('No. of Students Trained'!$C$19,'Capacity Utilization '!$C$5:$D$8,2,FALSE)+'No. of Students Trained'!E20*'Capacity Utilization '!$D$6+'No. of Students Trained'!E21*'Capacity Utilization '!$D$7+'No. of Students Trained'!E22*'Capacity Utilization '!$D$8</f>
        <v>2460</v>
      </c>
      <c r="F60" s="296">
        <f>'No. of Students Trained'!F19*VLOOKUP('No. of Students Trained'!$C$19,'Capacity Utilization '!$C$5:$D$8,2,FALSE)+'No. of Students Trained'!F20*'Capacity Utilization '!$D$6+'No. of Students Trained'!F21*'Capacity Utilization '!$D$7+'No. of Students Trained'!F22*'Capacity Utilization '!$D$8</f>
        <v>2460</v>
      </c>
      <c r="G60" s="296">
        <f>'No. of Students Trained'!G19*VLOOKUP('No. of Students Trained'!$C$19,'Capacity Utilization '!$C$5:$D$8,2,FALSE)+'No. of Students Trained'!G20*'Capacity Utilization '!$D$6+'No. of Students Trained'!G21*'Capacity Utilization '!$D$7+'No. of Students Trained'!G22*'Capacity Utilization '!$D$8</f>
        <v>2460</v>
      </c>
      <c r="H60" s="296">
        <f>'No. of Students Trained'!H19*VLOOKUP('No. of Students Trained'!$C$19,'Capacity Utilization '!$C$5:$D$8,2,FALSE)+'No. of Students Trained'!H20*'Capacity Utilization '!$D$6+'No. of Students Trained'!H21*'Capacity Utilization '!$D$7+'No. of Students Trained'!H22*'Capacity Utilization '!$D$8</f>
        <v>2460</v>
      </c>
      <c r="I60" s="296">
        <f>'No. of Students Trained'!I19*VLOOKUP('No. of Students Trained'!$C$19,'Capacity Utilization '!$C$5:$D$8,2,FALSE)+'No. of Students Trained'!I20*'Capacity Utilization '!$D$6+'No. of Students Trained'!I21*'Capacity Utilization '!$D$7+'No. of Students Trained'!I22*'Capacity Utilization '!$D$8</f>
        <v>2460</v>
      </c>
      <c r="J60" s="296">
        <f>'No. of Students Trained'!J19*VLOOKUP('No. of Students Trained'!$C$19,'Capacity Utilization '!$C$5:$D$8,2,FALSE)+'No. of Students Trained'!J20*'Capacity Utilization '!$D$6+'No. of Students Trained'!J21*'Capacity Utilization '!$D$7+'No. of Students Trained'!J22*'Capacity Utilization '!$D$8</f>
        <v>2460</v>
      </c>
      <c r="K60" s="296">
        <f>'No. of Students Trained'!K19*VLOOKUP('No. of Students Trained'!$C$19,'Capacity Utilization '!$C$5:$D$8,2,FALSE)+'No. of Students Trained'!K20*'Capacity Utilization '!$D$6+'No. of Students Trained'!K21*'Capacity Utilization '!$D$7+'No. of Students Trained'!K22*'Capacity Utilization '!$D$8</f>
        <v>2460</v>
      </c>
      <c r="L60" s="296">
        <f>'No. of Students Trained'!L19*VLOOKUP('No. of Students Trained'!$C$19,'Capacity Utilization '!$C$5:$D$8,2,FALSE)+'No. of Students Trained'!L20*'Capacity Utilization '!$D$6+'No. of Students Trained'!L21*'Capacity Utilization '!$D$7+'No. of Students Trained'!L22*'Capacity Utilization '!$D$8</f>
        <v>2460</v>
      </c>
      <c r="M60" s="296">
        <f>'No. of Students Trained'!M19*VLOOKUP('No. of Students Trained'!$C$19,'Capacity Utilization '!$C$5:$D$8,2,FALSE)+'No. of Students Trained'!M20*'Capacity Utilization '!$D$6+'No. of Students Trained'!M21*'Capacity Utilization '!$D$7+'No. of Students Trained'!M22*'Capacity Utilization '!$D$8</f>
        <v>2460</v>
      </c>
      <c r="N60" s="296">
        <f>'No. of Students Trained'!N19*VLOOKUP('No. of Students Trained'!$C$19,'Capacity Utilization '!$C$5:$D$8,2,FALSE)+'No. of Students Trained'!N20*'Capacity Utilization '!$D$6+'No. of Students Trained'!N21*'Capacity Utilization '!$D$7+'No. of Students Trained'!N22*'Capacity Utilization '!$D$8</f>
        <v>2460</v>
      </c>
      <c r="O60" s="296">
        <f>'No. of Students Trained'!O19*VLOOKUP('No. of Students Trained'!$C$19,'Capacity Utilization '!$C$5:$D$8,2,FALSE)+'No. of Students Trained'!O20*'Capacity Utilization '!$D$6+'No. of Students Trained'!O21*'Capacity Utilization '!$D$7+'No. of Students Trained'!O22*'Capacity Utilization '!$D$8</f>
        <v>2460</v>
      </c>
      <c r="P60" s="296">
        <f>'No. of Students Trained'!P19*VLOOKUP('No. of Students Trained'!$C$19,'Capacity Utilization '!$C$5:$D$8,2,FALSE)+'No. of Students Trained'!P20*'Capacity Utilization '!$D$6+'No. of Students Trained'!P21*'Capacity Utilization '!$D$7+'No. of Students Trained'!P22*'Capacity Utilization '!$D$8</f>
        <v>9840</v>
      </c>
      <c r="Q60" s="296">
        <f>'No. of Students Trained'!Q19*VLOOKUP('No. of Students Trained'!$C$19,'Capacity Utilization '!$C$5:$D$8,2,FALSE)+'No. of Students Trained'!Q20*'Capacity Utilization '!$D$6+'No. of Students Trained'!Q21*'Capacity Utilization '!$D$7+'No. of Students Trained'!Q22*'Capacity Utilization '!$D$8</f>
        <v>9840</v>
      </c>
      <c r="R60" s="296">
        <f>'No. of Students Trained'!R19*VLOOKUP('No. of Students Trained'!$C$19,'Capacity Utilization '!$C$5:$D$8,2,FALSE)+'No. of Students Trained'!R20*'Capacity Utilization '!$D$6+'No. of Students Trained'!R21*'Capacity Utilization '!$D$7+'No. of Students Trained'!R22*'Capacity Utilization '!$D$8</f>
        <v>9840</v>
      </c>
      <c r="S60" s="296">
        <f>'No. of Students Trained'!S19*VLOOKUP('No. of Students Trained'!$C$19,'Capacity Utilization '!$C$5:$D$8,2,FALSE)+'No. of Students Trained'!S20*'Capacity Utilization '!$D$6+'No. of Students Trained'!S21*'Capacity Utilization '!$D$7+'No. of Students Trained'!S22*'Capacity Utilization '!$D$8</f>
        <v>9840</v>
      </c>
    </row>
    <row r="61" spans="1:19" ht="15.75" thickBot="1">
      <c r="A61" s="18"/>
      <c r="B61" s="395"/>
      <c r="C61" s="269" t="s">
        <v>125</v>
      </c>
      <c r="D61" s="297">
        <f>D60/D59</f>
        <v>0.71180555555555558</v>
      </c>
      <c r="E61" s="289">
        <f t="shared" ref="E61:S61" si="4">E60/E59</f>
        <v>0.71180555555555558</v>
      </c>
      <c r="F61" s="289">
        <f t="shared" si="4"/>
        <v>0.71180555555555558</v>
      </c>
      <c r="G61" s="290">
        <f t="shared" si="4"/>
        <v>0.71180555555555558</v>
      </c>
      <c r="H61" s="292">
        <f t="shared" si="4"/>
        <v>0.71180555555555558</v>
      </c>
      <c r="I61" s="289">
        <f t="shared" si="4"/>
        <v>0.71180555555555558</v>
      </c>
      <c r="J61" s="289">
        <f t="shared" si="4"/>
        <v>0.71180555555555558</v>
      </c>
      <c r="K61" s="290">
        <f t="shared" si="4"/>
        <v>0.71180555555555558</v>
      </c>
      <c r="L61" s="292">
        <f t="shared" si="4"/>
        <v>0.71180555555555558</v>
      </c>
      <c r="M61" s="289">
        <f t="shared" si="4"/>
        <v>0.71180555555555558</v>
      </c>
      <c r="N61" s="289">
        <f t="shared" si="4"/>
        <v>0.71180555555555558</v>
      </c>
      <c r="O61" s="290">
        <f t="shared" si="4"/>
        <v>0.71180555555555558</v>
      </c>
      <c r="P61" s="304">
        <f t="shared" si="4"/>
        <v>0.71180555555555558</v>
      </c>
      <c r="Q61" s="304">
        <f t="shared" si="4"/>
        <v>0.71180555555555558</v>
      </c>
      <c r="R61" s="304">
        <f t="shared" si="4"/>
        <v>0.71180555555555558</v>
      </c>
      <c r="S61" s="304">
        <f t="shared" si="4"/>
        <v>0.71180555555555558</v>
      </c>
    </row>
    <row r="62" spans="1:19">
      <c r="A62" s="18"/>
      <c r="B62" s="393" t="str">
        <f>B36</f>
        <v>Solan</v>
      </c>
      <c r="C62" s="307" t="s">
        <v>123</v>
      </c>
      <c r="D62" s="300"/>
      <c r="E62" s="293">
        <f>($C$36+$D$36)*$C$13*6*4*3</f>
        <v>3456</v>
      </c>
      <c r="F62" s="293">
        <f>($C$36+$D$36)*$C$13*6*4*3</f>
        <v>3456</v>
      </c>
      <c r="G62" s="293">
        <f>($C$36+$D$36)*$C$13*6*4*3</f>
        <v>3456</v>
      </c>
      <c r="H62" s="293">
        <f>($C$36+$D$36)*$C$13*6*4*3</f>
        <v>3456</v>
      </c>
      <c r="I62" s="293">
        <f t="shared" ref="I62:K62" si="5">($C$36+$D$36)*$C$13*6*4*3</f>
        <v>3456</v>
      </c>
      <c r="J62" s="293">
        <f t="shared" si="5"/>
        <v>3456</v>
      </c>
      <c r="K62" s="293">
        <f t="shared" si="5"/>
        <v>3456</v>
      </c>
      <c r="L62" s="293">
        <f>($C$36+$D$36)*$C$13*6*4*3</f>
        <v>3456</v>
      </c>
      <c r="M62" s="293">
        <f t="shared" ref="M62:O62" si="6">($C$36+$D$36)*$C$13*6*4*3</f>
        <v>3456</v>
      </c>
      <c r="N62" s="293">
        <f t="shared" si="6"/>
        <v>3456</v>
      </c>
      <c r="O62" s="293">
        <f t="shared" si="6"/>
        <v>3456</v>
      </c>
      <c r="P62" s="293">
        <f>($C$36+$D$36)*$C$13*6*4*12</f>
        <v>13824</v>
      </c>
      <c r="Q62" s="293">
        <f t="shared" ref="Q62:S62" si="7">($C$36+$D$36)*$C$13*6*4*12</f>
        <v>13824</v>
      </c>
      <c r="R62" s="293">
        <f t="shared" si="7"/>
        <v>13824</v>
      </c>
      <c r="S62" s="293">
        <f t="shared" si="7"/>
        <v>13824</v>
      </c>
    </row>
    <row r="63" spans="1:19">
      <c r="A63" s="18"/>
      <c r="B63" s="394"/>
      <c r="C63" s="268" t="s">
        <v>124</v>
      </c>
      <c r="D63" s="298"/>
      <c r="E63" s="296">
        <f>'No. of Students Trained'!E23*VLOOKUP('No. of Students Trained'!$C$23,'Capacity Utilization '!$C$5:$D$8,2,FALSE)+'No. of Students Trained'!E24*'Capacity Utilization '!$D$6+'No. of Students Trained'!E25*'Capacity Utilization '!$D$7+'No. of Students Trained'!E26*'Capacity Utilization '!$D$8</f>
        <v>2230</v>
      </c>
      <c r="F63" s="296">
        <f>'No. of Students Trained'!F23*VLOOKUP('No. of Students Trained'!$C$23,'Capacity Utilization '!$C$5:$D$8,2,FALSE)+'No. of Students Trained'!F24*'Capacity Utilization '!$D$6+'No. of Students Trained'!F25*'Capacity Utilization '!$D$7+'No. of Students Trained'!F26*'Capacity Utilization '!$D$8</f>
        <v>2230</v>
      </c>
      <c r="G63" s="296">
        <f>'No. of Students Trained'!G23*VLOOKUP('No. of Students Trained'!$C$23,'Capacity Utilization '!$C$5:$D$8,2,FALSE)+'No. of Students Trained'!G24*'Capacity Utilization '!$D$6+'No. of Students Trained'!G25*'Capacity Utilization '!$D$7+'No. of Students Trained'!G26*'Capacity Utilization '!$D$8</f>
        <v>2230</v>
      </c>
      <c r="H63" s="296">
        <f>'No. of Students Trained'!H23*VLOOKUP('No. of Students Trained'!$C$23,'Capacity Utilization '!$C$5:$D$8,2,FALSE)+'No. of Students Trained'!H24*'Capacity Utilization '!$D$6+'No. of Students Trained'!H25*'Capacity Utilization '!$D$7+'No. of Students Trained'!H26*'Capacity Utilization '!$D$8</f>
        <v>2230</v>
      </c>
      <c r="I63" s="296">
        <f>'No. of Students Trained'!I23*VLOOKUP('No. of Students Trained'!$C$23,'Capacity Utilization '!$C$5:$D$8,2,FALSE)+'No. of Students Trained'!I24*'Capacity Utilization '!$D$6+'No. of Students Trained'!I25*'Capacity Utilization '!$D$7+'No. of Students Trained'!I26*'Capacity Utilization '!$D$8</f>
        <v>2230</v>
      </c>
      <c r="J63" s="296">
        <f>'No. of Students Trained'!J23*VLOOKUP('No. of Students Trained'!$C$23,'Capacity Utilization '!$C$5:$D$8,2,FALSE)+'No. of Students Trained'!J24*'Capacity Utilization '!$D$6+'No. of Students Trained'!J25*'Capacity Utilization '!$D$7+'No. of Students Trained'!J26*'Capacity Utilization '!$D$8</f>
        <v>2230</v>
      </c>
      <c r="K63" s="296">
        <f>'No. of Students Trained'!K23*VLOOKUP('No. of Students Trained'!$C$23,'Capacity Utilization '!$C$5:$D$8,2,FALSE)+'No. of Students Trained'!K24*'Capacity Utilization '!$D$6+'No. of Students Trained'!K25*'Capacity Utilization '!$D$7+'No. of Students Trained'!K26*'Capacity Utilization '!$D$8</f>
        <v>2230</v>
      </c>
      <c r="L63" s="296">
        <f>'No. of Students Trained'!L23*VLOOKUP('No. of Students Trained'!$C$23,'Capacity Utilization '!$C$5:$D$8,2,FALSE)+'No. of Students Trained'!L24*'Capacity Utilization '!$D$6+'No. of Students Trained'!L25*'Capacity Utilization '!$D$7+'No. of Students Trained'!L26*'Capacity Utilization '!$D$8</f>
        <v>2230</v>
      </c>
      <c r="M63" s="296">
        <f>'No. of Students Trained'!M23*VLOOKUP('No. of Students Trained'!$C$23,'Capacity Utilization '!$C$5:$D$8,2,FALSE)+'No. of Students Trained'!M24*'Capacity Utilization '!$D$6+'No. of Students Trained'!M25*'Capacity Utilization '!$D$7+'No. of Students Trained'!M26*'Capacity Utilization '!$D$8</f>
        <v>2230</v>
      </c>
      <c r="N63" s="296">
        <f>'No. of Students Trained'!N23*VLOOKUP('No. of Students Trained'!$C$23,'Capacity Utilization '!$C$5:$D$8,2,FALSE)+'No. of Students Trained'!N24*'Capacity Utilization '!$D$6+'No. of Students Trained'!N25*'Capacity Utilization '!$D$7+'No. of Students Trained'!N26*'Capacity Utilization '!$D$8</f>
        <v>2230</v>
      </c>
      <c r="O63" s="296">
        <f>'No. of Students Trained'!O23*VLOOKUP('No. of Students Trained'!$C$23,'Capacity Utilization '!$C$5:$D$8,2,FALSE)+'No. of Students Trained'!O24*'Capacity Utilization '!$D$6+'No. of Students Trained'!O25*'Capacity Utilization '!$D$7+'No. of Students Trained'!O26*'Capacity Utilization '!$D$8</f>
        <v>2230</v>
      </c>
      <c r="P63" s="296">
        <f>'No. of Students Trained'!P23*VLOOKUP('No. of Students Trained'!$C$23,'Capacity Utilization '!$C$5:$D$8,2,FALSE)+'No. of Students Trained'!P24*'Capacity Utilization '!$D$6+'No. of Students Trained'!P25*'Capacity Utilization '!$D$7+'No. of Students Trained'!P26*'Capacity Utilization '!$D$8</f>
        <v>8920</v>
      </c>
      <c r="Q63" s="296">
        <f>'No. of Students Trained'!Q23*VLOOKUP('No. of Students Trained'!$C$23,'Capacity Utilization '!$C$5:$D$8,2,FALSE)+'No. of Students Trained'!Q24*'Capacity Utilization '!$D$6+'No. of Students Trained'!Q25*'Capacity Utilization '!$D$7+'No. of Students Trained'!Q26*'Capacity Utilization '!$D$8</f>
        <v>8920</v>
      </c>
      <c r="R63" s="296">
        <f>'No. of Students Trained'!R23*VLOOKUP('No. of Students Trained'!$C$23,'Capacity Utilization '!$C$5:$D$8,2,FALSE)+'No. of Students Trained'!R24*'Capacity Utilization '!$D$6+'No. of Students Trained'!R25*'Capacity Utilization '!$D$7+'No. of Students Trained'!R26*'Capacity Utilization '!$D$8</f>
        <v>8920</v>
      </c>
      <c r="S63" s="296">
        <f>'No. of Students Trained'!S23*VLOOKUP('No. of Students Trained'!$C$23,'Capacity Utilization '!$C$5:$D$8,2,FALSE)+'No. of Students Trained'!S24*'Capacity Utilization '!$D$6+'No. of Students Trained'!S25*'Capacity Utilization '!$D$7+'No. of Students Trained'!S26*'Capacity Utilization '!$D$8</f>
        <v>8920</v>
      </c>
    </row>
    <row r="64" spans="1:19" ht="15.75" thickBot="1">
      <c r="A64" s="18"/>
      <c r="B64" s="395"/>
      <c r="C64" s="269" t="s">
        <v>125</v>
      </c>
      <c r="D64" s="299"/>
      <c r="E64" s="292">
        <f t="shared" ref="E64" si="8">E63/E62</f>
        <v>0.64525462962962965</v>
      </c>
      <c r="F64" s="292">
        <f t="shared" ref="F64:G64" si="9">F63/F62</f>
        <v>0.64525462962962965</v>
      </c>
      <c r="G64" s="292">
        <f t="shared" si="9"/>
        <v>0.64525462962962965</v>
      </c>
      <c r="H64" s="292">
        <f t="shared" ref="H64:S64" si="10">H63/H62</f>
        <v>0.64525462962962965</v>
      </c>
      <c r="I64" s="289">
        <f t="shared" si="10"/>
        <v>0.64525462962962965</v>
      </c>
      <c r="J64" s="289">
        <f t="shared" si="10"/>
        <v>0.64525462962962965</v>
      </c>
      <c r="K64" s="290">
        <f t="shared" si="10"/>
        <v>0.64525462962962965</v>
      </c>
      <c r="L64" s="292">
        <f t="shared" si="10"/>
        <v>0.64525462962962965</v>
      </c>
      <c r="M64" s="289">
        <f t="shared" si="10"/>
        <v>0.64525462962962965</v>
      </c>
      <c r="N64" s="289">
        <f t="shared" si="10"/>
        <v>0.64525462962962965</v>
      </c>
      <c r="O64" s="290">
        <f t="shared" si="10"/>
        <v>0.64525462962962965</v>
      </c>
      <c r="P64" s="304">
        <f t="shared" si="10"/>
        <v>0.64525462962962965</v>
      </c>
      <c r="Q64" s="304">
        <f t="shared" si="10"/>
        <v>0.64525462962962965</v>
      </c>
      <c r="R64" s="304">
        <f t="shared" si="10"/>
        <v>0.64525462962962965</v>
      </c>
      <c r="S64" s="304">
        <f t="shared" si="10"/>
        <v>0.64525462962962965</v>
      </c>
    </row>
    <row r="65" spans="1:19">
      <c r="A65" s="18"/>
      <c r="B65" s="393" t="str">
        <f>B37</f>
        <v>Kullu</v>
      </c>
      <c r="C65" s="307" t="s">
        <v>123</v>
      </c>
      <c r="D65" s="300"/>
      <c r="E65" s="287"/>
      <c r="F65" s="287"/>
      <c r="G65" s="294">
        <f>($C$37+$D$37)*$C$14*6*4*3</f>
        <v>3456</v>
      </c>
      <c r="H65" s="294">
        <f>($C$37+$D$37)*$C$14*6*4*3</f>
        <v>3456</v>
      </c>
      <c r="I65" s="294">
        <f t="shared" ref="I65:O65" si="11">($C$37+$D$37)*$C$14*6*4*3</f>
        <v>3456</v>
      </c>
      <c r="J65" s="294">
        <f t="shared" si="11"/>
        <v>3456</v>
      </c>
      <c r="K65" s="294">
        <f t="shared" si="11"/>
        <v>3456</v>
      </c>
      <c r="L65" s="294">
        <f t="shared" si="11"/>
        <v>3456</v>
      </c>
      <c r="M65" s="294">
        <f t="shared" si="11"/>
        <v>3456</v>
      </c>
      <c r="N65" s="294">
        <f t="shared" si="11"/>
        <v>3456</v>
      </c>
      <c r="O65" s="294">
        <f t="shared" si="11"/>
        <v>3456</v>
      </c>
      <c r="P65" s="294">
        <f>($C$37+$D$37)*$C$14*6*4*12</f>
        <v>13824</v>
      </c>
      <c r="Q65" s="294">
        <f t="shared" ref="Q65:S65" si="12">($C$37+$D$37)*$C$14*6*4*12</f>
        <v>13824</v>
      </c>
      <c r="R65" s="294">
        <f t="shared" si="12"/>
        <v>13824</v>
      </c>
      <c r="S65" s="294">
        <f t="shared" si="12"/>
        <v>13824</v>
      </c>
    </row>
    <row r="66" spans="1:19">
      <c r="A66" s="18"/>
      <c r="B66" s="394"/>
      <c r="C66" s="268" t="s">
        <v>124</v>
      </c>
      <c r="D66" s="298"/>
      <c r="E66" s="286"/>
      <c r="F66" s="286"/>
      <c r="G66" s="296">
        <f>'No. of Students Trained'!G27*VLOOKUP('No. of Students Trained'!$C$27,'Capacity Utilization '!$C$5:$D$8,2,FALSE)+'No. of Students Trained'!G28*'Capacity Utilization '!$D$6+'No. of Students Trained'!G29*'Capacity Utilization '!$D$7+'No. of Students Trained'!G30*'Capacity Utilization '!$D$8</f>
        <v>2510</v>
      </c>
      <c r="H66" s="296">
        <f>'No. of Students Trained'!H27*VLOOKUP('No. of Students Trained'!$C$27,'Capacity Utilization '!$C$5:$D$8,2,FALSE)+'No. of Students Trained'!H28*'Capacity Utilization '!$D$6+'No. of Students Trained'!H29*'Capacity Utilization '!$D$7+'No. of Students Trained'!H30*'Capacity Utilization '!$D$8</f>
        <v>2510</v>
      </c>
      <c r="I66" s="296">
        <f>'No. of Students Trained'!I27*VLOOKUP('No. of Students Trained'!$C$27,'Capacity Utilization '!$C$5:$D$8,2,FALSE)+'No. of Students Trained'!I28*'Capacity Utilization '!$D$6+'No. of Students Trained'!I29*'Capacity Utilization '!$D$7+'No. of Students Trained'!I30*'Capacity Utilization '!$D$8</f>
        <v>2510</v>
      </c>
      <c r="J66" s="296">
        <f>'No. of Students Trained'!J27*VLOOKUP('No. of Students Trained'!$C$27,'Capacity Utilization '!$C$5:$D$8,2,FALSE)+'No. of Students Trained'!J28*'Capacity Utilization '!$D$6+'No. of Students Trained'!J29*'Capacity Utilization '!$D$7+'No. of Students Trained'!J30*'Capacity Utilization '!$D$8</f>
        <v>2510</v>
      </c>
      <c r="K66" s="296">
        <f>'No. of Students Trained'!K27*VLOOKUP('No. of Students Trained'!$C$27,'Capacity Utilization '!$C$5:$D$8,2,FALSE)+'No. of Students Trained'!K28*'Capacity Utilization '!$D$6+'No. of Students Trained'!K29*'Capacity Utilization '!$D$7+'No. of Students Trained'!K30*'Capacity Utilization '!$D$8</f>
        <v>2510</v>
      </c>
      <c r="L66" s="296">
        <f>'No. of Students Trained'!L27*VLOOKUP('No. of Students Trained'!$C$27,'Capacity Utilization '!$C$5:$D$8,2,FALSE)+'No. of Students Trained'!L28*'Capacity Utilization '!$D$6+'No. of Students Trained'!L29*'Capacity Utilization '!$D$7+'No. of Students Trained'!L30*'Capacity Utilization '!$D$8</f>
        <v>2510</v>
      </c>
      <c r="M66" s="296">
        <f>'No. of Students Trained'!M27*VLOOKUP('No. of Students Trained'!$C$27,'Capacity Utilization '!$C$5:$D$8,2,FALSE)+'No. of Students Trained'!M28*'Capacity Utilization '!$D$6+'No. of Students Trained'!M29*'Capacity Utilization '!$D$7+'No. of Students Trained'!M30*'Capacity Utilization '!$D$8</f>
        <v>2510</v>
      </c>
      <c r="N66" s="296">
        <f>'No. of Students Trained'!N27*VLOOKUP('No. of Students Trained'!$C$27,'Capacity Utilization '!$C$5:$D$8,2,FALSE)+'No. of Students Trained'!N28*'Capacity Utilization '!$D$6+'No. of Students Trained'!N29*'Capacity Utilization '!$D$7+'No. of Students Trained'!N30*'Capacity Utilization '!$D$8</f>
        <v>2510</v>
      </c>
      <c r="O66" s="296">
        <f>'No. of Students Trained'!O27*VLOOKUP('No. of Students Trained'!$C$27,'Capacity Utilization '!$C$5:$D$8,2,FALSE)+'No. of Students Trained'!O28*'Capacity Utilization '!$D$6+'No. of Students Trained'!O29*'Capacity Utilization '!$D$7+'No. of Students Trained'!O30*'Capacity Utilization '!$D$8</f>
        <v>2510</v>
      </c>
      <c r="P66" s="296">
        <f>'No. of Students Trained'!P27*VLOOKUP('No. of Students Trained'!$C$27,'Capacity Utilization '!$C$5:$D$8,2,FALSE)+'No. of Students Trained'!P28*'Capacity Utilization '!$D$6+'No. of Students Trained'!P29*'Capacity Utilization '!$D$7+'No. of Students Trained'!P30*'Capacity Utilization '!$D$8</f>
        <v>10040</v>
      </c>
      <c r="Q66" s="296">
        <f>'No. of Students Trained'!Q27*VLOOKUP('No. of Students Trained'!$C$27,'Capacity Utilization '!$C$5:$D$8,2,FALSE)+'No. of Students Trained'!Q28*'Capacity Utilization '!$D$6+'No. of Students Trained'!Q29*'Capacity Utilization '!$D$7+'No. of Students Trained'!Q30*'Capacity Utilization '!$D$8</f>
        <v>10040</v>
      </c>
      <c r="R66" s="296">
        <f>'No. of Students Trained'!R27*VLOOKUP('No. of Students Trained'!$C$27,'Capacity Utilization '!$C$5:$D$8,2,FALSE)+'No. of Students Trained'!R28*'Capacity Utilization '!$D$6+'No. of Students Trained'!R29*'Capacity Utilization '!$D$7+'No. of Students Trained'!R30*'Capacity Utilization '!$D$8</f>
        <v>10040</v>
      </c>
      <c r="S66" s="296">
        <f>'No. of Students Trained'!S27*VLOOKUP('No. of Students Trained'!$C$27,'Capacity Utilization '!$C$5:$D$8,2,FALSE)+'No. of Students Trained'!S28*'Capacity Utilization '!$D$6+'No. of Students Trained'!S29*'Capacity Utilization '!$D$7+'No. of Students Trained'!S30*'Capacity Utilization '!$D$8</f>
        <v>10040</v>
      </c>
    </row>
    <row r="67" spans="1:19" ht="15.75" thickBot="1">
      <c r="A67" s="18"/>
      <c r="B67" s="395"/>
      <c r="C67" s="269" t="s">
        <v>125</v>
      </c>
      <c r="D67" s="299"/>
      <c r="E67" s="291"/>
      <c r="F67" s="291"/>
      <c r="G67" s="292">
        <f t="shared" ref="G67" si="13">G66/G65</f>
        <v>0.72627314814814814</v>
      </c>
      <c r="H67" s="292">
        <f t="shared" ref="H67:S67" si="14">H66/H65</f>
        <v>0.72627314814814814</v>
      </c>
      <c r="I67" s="289">
        <f t="shared" si="14"/>
        <v>0.72627314814814814</v>
      </c>
      <c r="J67" s="289">
        <f t="shared" si="14"/>
        <v>0.72627314814814814</v>
      </c>
      <c r="K67" s="290">
        <f t="shared" si="14"/>
        <v>0.72627314814814814</v>
      </c>
      <c r="L67" s="292">
        <f t="shared" si="14"/>
        <v>0.72627314814814814</v>
      </c>
      <c r="M67" s="289">
        <f t="shared" si="14"/>
        <v>0.72627314814814814</v>
      </c>
      <c r="N67" s="289">
        <f t="shared" si="14"/>
        <v>0.72627314814814814</v>
      </c>
      <c r="O67" s="290">
        <f t="shared" si="14"/>
        <v>0.72627314814814814</v>
      </c>
      <c r="P67" s="304">
        <f t="shared" si="14"/>
        <v>0.72627314814814814</v>
      </c>
      <c r="Q67" s="304">
        <f t="shared" si="14"/>
        <v>0.72627314814814814</v>
      </c>
      <c r="R67" s="304">
        <f t="shared" si="14"/>
        <v>0.72627314814814814</v>
      </c>
      <c r="S67" s="304">
        <f t="shared" si="14"/>
        <v>0.72627314814814814</v>
      </c>
    </row>
    <row r="68" spans="1:19">
      <c r="A68" s="18"/>
      <c r="B68" s="393" t="str">
        <f>B38</f>
        <v>Mandi</v>
      </c>
      <c r="C68" s="307" t="s">
        <v>123</v>
      </c>
      <c r="D68" s="300"/>
      <c r="E68" s="287"/>
      <c r="F68" s="287"/>
      <c r="G68" s="301"/>
      <c r="H68" s="294">
        <f>($C$38+$D$38)*$C$15*6*4*3</f>
        <v>3456</v>
      </c>
      <c r="I68" s="294">
        <f>($C$38+$D$38)*$C$15*6*4*3</f>
        <v>3456</v>
      </c>
      <c r="J68" s="294">
        <f>($C$38+$D$38)*$C$15*6*4*3</f>
        <v>3456</v>
      </c>
      <c r="K68" s="294">
        <f>($C$38+$D$38)*$C$15*6*4*3</f>
        <v>3456</v>
      </c>
      <c r="L68" s="294">
        <f>($C$38+$D$38)*$C$15*6*4*3</f>
        <v>3456</v>
      </c>
      <c r="M68" s="294">
        <f t="shared" ref="M68:O68" si="15">($C$38+$D$38)*$C$15*6*4*3</f>
        <v>3456</v>
      </c>
      <c r="N68" s="294">
        <f t="shared" si="15"/>
        <v>3456</v>
      </c>
      <c r="O68" s="294">
        <f t="shared" si="15"/>
        <v>3456</v>
      </c>
      <c r="P68" s="294">
        <f>($C$38+$D$38)*$C$15*6*4*12</f>
        <v>13824</v>
      </c>
      <c r="Q68" s="294">
        <f t="shared" ref="Q68:S68" si="16">($C$38+$D$38)*$C$15*6*4*12</f>
        <v>13824</v>
      </c>
      <c r="R68" s="294">
        <f t="shared" si="16"/>
        <v>13824</v>
      </c>
      <c r="S68" s="294">
        <f t="shared" si="16"/>
        <v>13824</v>
      </c>
    </row>
    <row r="69" spans="1:19">
      <c r="A69" s="18"/>
      <c r="B69" s="394"/>
      <c r="C69" s="268" t="s">
        <v>124</v>
      </c>
      <c r="D69" s="298"/>
      <c r="E69" s="286"/>
      <c r="F69" s="286"/>
      <c r="G69" s="302"/>
      <c r="H69" s="296">
        <f>'No. of Students Trained'!H31*VLOOKUP('No. of Students Trained'!$C$31,'Capacity Utilization '!$C$5:$D$8,2,FALSE)+'No. of Students Trained'!H32*'Capacity Utilization '!$D$6+'No. of Students Trained'!H33*'Capacity Utilization '!$D$7+'No. of Students Trained'!H34*'Capacity Utilization '!$D$8</f>
        <v>2460</v>
      </c>
      <c r="I69" s="296">
        <f>'No. of Students Trained'!I31*VLOOKUP('No. of Students Trained'!$C$31,'Capacity Utilization '!$C$5:$D$8,2,FALSE)+'No. of Students Trained'!I32*'Capacity Utilization '!$D$6+'No. of Students Trained'!I33*'Capacity Utilization '!$D$7+'No. of Students Trained'!I34*'Capacity Utilization '!$D$8</f>
        <v>2460</v>
      </c>
      <c r="J69" s="296">
        <f>'No. of Students Trained'!J31*VLOOKUP('No. of Students Trained'!$C$31,'Capacity Utilization '!$C$5:$D$8,2,FALSE)+'No. of Students Trained'!J32*'Capacity Utilization '!$D$6+'No. of Students Trained'!J33*'Capacity Utilization '!$D$7+'No. of Students Trained'!J34*'Capacity Utilization '!$D$8</f>
        <v>2460</v>
      </c>
      <c r="K69" s="296">
        <f>'No. of Students Trained'!K31*VLOOKUP('No. of Students Trained'!$C$31,'Capacity Utilization '!$C$5:$D$8,2,FALSE)+'No. of Students Trained'!K32*'Capacity Utilization '!$D$6+'No. of Students Trained'!K33*'Capacity Utilization '!$D$7+'No. of Students Trained'!K34*'Capacity Utilization '!$D$8</f>
        <v>2460</v>
      </c>
      <c r="L69" s="296">
        <f>'No. of Students Trained'!L31*VLOOKUP('No. of Students Trained'!$C$31,'Capacity Utilization '!$C$5:$D$8,2,FALSE)+'No. of Students Trained'!L32*'Capacity Utilization '!$D$6+'No. of Students Trained'!L33*'Capacity Utilization '!$D$7+'No. of Students Trained'!L34*'Capacity Utilization '!$D$8</f>
        <v>2460</v>
      </c>
      <c r="M69" s="296">
        <f>'No. of Students Trained'!M31*VLOOKUP('No. of Students Trained'!$C$31,'Capacity Utilization '!$C$5:$D$8,2,FALSE)+'No. of Students Trained'!M32*'Capacity Utilization '!$D$6+'No. of Students Trained'!M33*'Capacity Utilization '!$D$7+'No. of Students Trained'!M34*'Capacity Utilization '!$D$8</f>
        <v>2460</v>
      </c>
      <c r="N69" s="296">
        <f>'No. of Students Trained'!N31*VLOOKUP('No. of Students Trained'!$C$31,'Capacity Utilization '!$C$5:$D$8,2,FALSE)+'No. of Students Trained'!N32*'Capacity Utilization '!$D$6+'No. of Students Trained'!N33*'Capacity Utilization '!$D$7+'No. of Students Trained'!N34*'Capacity Utilization '!$D$8</f>
        <v>2460</v>
      </c>
      <c r="O69" s="296">
        <f>'No. of Students Trained'!O31*VLOOKUP('No. of Students Trained'!$C$31,'Capacity Utilization '!$C$5:$D$8,2,FALSE)+'No. of Students Trained'!O32*'Capacity Utilization '!$D$6+'No. of Students Trained'!O33*'Capacity Utilization '!$D$7+'No. of Students Trained'!O34*'Capacity Utilization '!$D$8</f>
        <v>2460</v>
      </c>
      <c r="P69" s="296">
        <f>'No. of Students Trained'!P31*VLOOKUP('No. of Students Trained'!$C$31,'Capacity Utilization '!$C$5:$D$8,2,FALSE)+'No. of Students Trained'!P32*'Capacity Utilization '!$D$6+'No. of Students Trained'!P33*'Capacity Utilization '!$D$7+'No. of Students Trained'!P34*'Capacity Utilization '!$D$8</f>
        <v>9840</v>
      </c>
      <c r="Q69" s="296">
        <f>'No. of Students Trained'!Q31*VLOOKUP('No. of Students Trained'!$C$31,'Capacity Utilization '!$C$5:$D$8,2,FALSE)+'No. of Students Trained'!Q32*'Capacity Utilization '!$D$6+'No. of Students Trained'!Q33*'Capacity Utilization '!$D$7+'No. of Students Trained'!Q34*'Capacity Utilization '!$D$8</f>
        <v>9840</v>
      </c>
      <c r="R69" s="296">
        <f>'No. of Students Trained'!R31*VLOOKUP('No. of Students Trained'!$C$31,'Capacity Utilization '!$C$5:$D$8,2,FALSE)+'No. of Students Trained'!R32*'Capacity Utilization '!$D$6+'No. of Students Trained'!R33*'Capacity Utilization '!$D$7+'No. of Students Trained'!R34*'Capacity Utilization '!$D$8</f>
        <v>9840</v>
      </c>
      <c r="S69" s="296">
        <f>'No. of Students Trained'!S31*VLOOKUP('No. of Students Trained'!$C$31,'Capacity Utilization '!$C$5:$D$8,2,FALSE)+'No. of Students Trained'!S32*'Capacity Utilization '!$D$6+'No. of Students Trained'!S33*'Capacity Utilization '!$D$7+'No. of Students Trained'!S34*'Capacity Utilization '!$D$8</f>
        <v>9840</v>
      </c>
    </row>
    <row r="70" spans="1:19" ht="15.75" thickBot="1">
      <c r="A70" s="18"/>
      <c r="B70" s="395"/>
      <c r="C70" s="269" t="s">
        <v>125</v>
      </c>
      <c r="D70" s="299"/>
      <c r="E70" s="291"/>
      <c r="F70" s="291"/>
      <c r="G70" s="303"/>
      <c r="H70" s="292">
        <f t="shared" ref="H70:I70" si="17">H69/H68</f>
        <v>0.71180555555555558</v>
      </c>
      <c r="I70" s="292">
        <f t="shared" si="17"/>
        <v>0.71180555555555558</v>
      </c>
      <c r="J70" s="292">
        <f t="shared" ref="J70:K70" si="18">J69/J68</f>
        <v>0.71180555555555558</v>
      </c>
      <c r="K70" s="292">
        <f t="shared" si="18"/>
        <v>0.71180555555555558</v>
      </c>
      <c r="L70" s="292">
        <f t="shared" ref="L70:S70" si="19">L69/L68</f>
        <v>0.71180555555555558</v>
      </c>
      <c r="M70" s="289">
        <f t="shared" si="19"/>
        <v>0.71180555555555558</v>
      </c>
      <c r="N70" s="289">
        <f t="shared" si="19"/>
        <v>0.71180555555555558</v>
      </c>
      <c r="O70" s="290">
        <f t="shared" si="19"/>
        <v>0.71180555555555558</v>
      </c>
      <c r="P70" s="304">
        <f t="shared" si="19"/>
        <v>0.71180555555555558</v>
      </c>
      <c r="Q70" s="304">
        <f t="shared" si="19"/>
        <v>0.71180555555555558</v>
      </c>
      <c r="R70" s="304">
        <f t="shared" si="19"/>
        <v>0.71180555555555558</v>
      </c>
      <c r="S70" s="304">
        <f t="shared" si="19"/>
        <v>0.71180555555555558</v>
      </c>
    </row>
    <row r="71" spans="1:19">
      <c r="A71" s="18"/>
      <c r="B71" s="393" t="str">
        <f>B39</f>
        <v>Bilaspur</v>
      </c>
      <c r="C71" s="307" t="s">
        <v>123</v>
      </c>
      <c r="D71" s="300"/>
      <c r="E71" s="287"/>
      <c r="F71" s="287"/>
      <c r="G71" s="301"/>
      <c r="H71" s="287"/>
      <c r="I71" s="294">
        <f>($C$39+$D$39)*$C$16*6*4*3</f>
        <v>3456</v>
      </c>
      <c r="J71" s="294">
        <f>($C$39+$D$39)*$C$16*6*4*3</f>
        <v>3456</v>
      </c>
      <c r="K71" s="294">
        <f>($C$39+$D$39)*$C$16*6*4*3</f>
        <v>3456</v>
      </c>
      <c r="L71" s="294">
        <f>($C$39+$D$39)*$C$16*6*4*3</f>
        <v>3456</v>
      </c>
      <c r="M71" s="294">
        <f t="shared" ref="M71:O71" si="20">($C$39+$D$39)*$C$16*6*4*3</f>
        <v>3456</v>
      </c>
      <c r="N71" s="294">
        <f t="shared" si="20"/>
        <v>3456</v>
      </c>
      <c r="O71" s="294">
        <f t="shared" si="20"/>
        <v>3456</v>
      </c>
      <c r="P71" s="294">
        <f>($C$39+$D$39)*$C$16*6*4*12</f>
        <v>13824</v>
      </c>
      <c r="Q71" s="294">
        <f t="shared" ref="Q71:S71" si="21">($C$39+$D$39)*$C$16*6*4*12</f>
        <v>13824</v>
      </c>
      <c r="R71" s="294">
        <f t="shared" si="21"/>
        <v>13824</v>
      </c>
      <c r="S71" s="294">
        <f t="shared" si="21"/>
        <v>13824</v>
      </c>
    </row>
    <row r="72" spans="1:19">
      <c r="A72" s="18"/>
      <c r="B72" s="394"/>
      <c r="C72" s="268" t="s">
        <v>124</v>
      </c>
      <c r="D72" s="298"/>
      <c r="E72" s="286"/>
      <c r="F72" s="286"/>
      <c r="G72" s="302"/>
      <c r="H72" s="286"/>
      <c r="I72" s="296">
        <f>'No. of Students Trained'!I35*VLOOKUP('No. of Students Trained'!$C$35,'Capacity Utilization '!$C$5:$D$8,2,FALSE)+'No. of Students Trained'!I36*'Capacity Utilization '!$D$6+'No. of Students Trained'!I37*'Capacity Utilization '!$D$7+'No. of Students Trained'!I38*'Capacity Utilization '!$D$8</f>
        <v>2460</v>
      </c>
      <c r="J72" s="296">
        <f>'No. of Students Trained'!J35*VLOOKUP('No. of Students Trained'!$C$35,'Capacity Utilization '!$C$5:$D$8,2,FALSE)+'No. of Students Trained'!J36*'Capacity Utilization '!$D$6+'No. of Students Trained'!J37*'Capacity Utilization '!$D$7+'No. of Students Trained'!J38*'Capacity Utilization '!$D$8</f>
        <v>2460</v>
      </c>
      <c r="K72" s="296">
        <f>'No. of Students Trained'!K35*VLOOKUP('No. of Students Trained'!$C$35,'Capacity Utilization '!$C$5:$D$8,2,FALSE)+'No. of Students Trained'!K36*'Capacity Utilization '!$D$6+'No. of Students Trained'!K37*'Capacity Utilization '!$D$7+'No. of Students Trained'!K38*'Capacity Utilization '!$D$8</f>
        <v>2460</v>
      </c>
      <c r="L72" s="296">
        <f>'No. of Students Trained'!L35*VLOOKUP('No. of Students Trained'!$C$35,'Capacity Utilization '!$C$5:$D$8,2,FALSE)+'No. of Students Trained'!L36*'Capacity Utilization '!$D$6+'No. of Students Trained'!L37*'Capacity Utilization '!$D$7+'No. of Students Trained'!L38*'Capacity Utilization '!$D$8</f>
        <v>2460</v>
      </c>
      <c r="M72" s="296">
        <f>'No. of Students Trained'!M35*VLOOKUP('No. of Students Trained'!$C$35,'Capacity Utilization '!$C$5:$D$8,2,FALSE)+'No. of Students Trained'!M36*'Capacity Utilization '!$D$6+'No. of Students Trained'!M37*'Capacity Utilization '!$D$7+'No. of Students Trained'!M38*'Capacity Utilization '!$D$8</f>
        <v>2460</v>
      </c>
      <c r="N72" s="296">
        <f>'No. of Students Trained'!N35*VLOOKUP('No. of Students Trained'!$C$35,'Capacity Utilization '!$C$5:$D$8,2,FALSE)+'No. of Students Trained'!N36*'Capacity Utilization '!$D$6+'No. of Students Trained'!N37*'Capacity Utilization '!$D$7+'No. of Students Trained'!N38*'Capacity Utilization '!$D$8</f>
        <v>2460</v>
      </c>
      <c r="O72" s="296">
        <f>'No. of Students Trained'!O35*VLOOKUP('No. of Students Trained'!$C$35,'Capacity Utilization '!$C$5:$D$8,2,FALSE)+'No. of Students Trained'!O36*'Capacity Utilization '!$D$6+'No. of Students Trained'!O37*'Capacity Utilization '!$D$7+'No. of Students Trained'!O38*'Capacity Utilization '!$D$8</f>
        <v>2460</v>
      </c>
      <c r="P72" s="296">
        <f>'No. of Students Trained'!P35*VLOOKUP('No. of Students Trained'!$C$35,'Capacity Utilization '!$C$5:$D$8,2,FALSE)+'No. of Students Trained'!P36*'Capacity Utilization '!$D$6+'No. of Students Trained'!P37*'Capacity Utilization '!$D$7+'No. of Students Trained'!P38*'Capacity Utilization '!$D$8</f>
        <v>9840</v>
      </c>
      <c r="Q72" s="296">
        <f>'No. of Students Trained'!Q35*VLOOKUP('No. of Students Trained'!$C$35,'Capacity Utilization '!$C$5:$D$8,2,FALSE)+'No. of Students Trained'!Q36*'Capacity Utilization '!$D$6+'No. of Students Trained'!Q37*'Capacity Utilization '!$D$7+'No. of Students Trained'!Q38*'Capacity Utilization '!$D$8</f>
        <v>9840</v>
      </c>
      <c r="R72" s="296">
        <f>'No. of Students Trained'!R35*VLOOKUP('No. of Students Trained'!$C$35,'Capacity Utilization '!$C$5:$D$8,2,FALSE)+'No. of Students Trained'!R36*'Capacity Utilization '!$D$6+'No. of Students Trained'!R37*'Capacity Utilization '!$D$7+'No. of Students Trained'!R38*'Capacity Utilization '!$D$8</f>
        <v>9840</v>
      </c>
      <c r="S72" s="296">
        <f>'No. of Students Trained'!S35*VLOOKUP('No. of Students Trained'!$C$35,'Capacity Utilization '!$C$5:$D$8,2,FALSE)+'No. of Students Trained'!S36*'Capacity Utilization '!$D$6+'No. of Students Trained'!S37*'Capacity Utilization '!$D$7+'No. of Students Trained'!S38*'Capacity Utilization '!$D$8</f>
        <v>9840</v>
      </c>
    </row>
    <row r="73" spans="1:19" ht="15.75" thickBot="1">
      <c r="A73" s="18"/>
      <c r="B73" s="395"/>
      <c r="C73" s="269" t="s">
        <v>125</v>
      </c>
      <c r="D73" s="299"/>
      <c r="E73" s="291"/>
      <c r="F73" s="291"/>
      <c r="G73" s="303"/>
      <c r="H73" s="291"/>
      <c r="I73" s="292">
        <f t="shared" ref="I73" si="22">I72/I71</f>
        <v>0.71180555555555558</v>
      </c>
      <c r="J73" s="292">
        <f t="shared" ref="J73:K73" si="23">J72/J71</f>
        <v>0.71180555555555558</v>
      </c>
      <c r="K73" s="292">
        <f t="shared" si="23"/>
        <v>0.71180555555555558</v>
      </c>
      <c r="L73" s="292">
        <f t="shared" ref="L73:S73" si="24">L72/L71</f>
        <v>0.71180555555555558</v>
      </c>
      <c r="M73" s="289">
        <f t="shared" si="24"/>
        <v>0.71180555555555558</v>
      </c>
      <c r="N73" s="289">
        <f t="shared" si="24"/>
        <v>0.71180555555555558</v>
      </c>
      <c r="O73" s="290">
        <f t="shared" si="24"/>
        <v>0.71180555555555558</v>
      </c>
      <c r="P73" s="304">
        <f t="shared" si="24"/>
        <v>0.71180555555555558</v>
      </c>
      <c r="Q73" s="304">
        <f t="shared" si="24"/>
        <v>0.71180555555555558</v>
      </c>
      <c r="R73" s="304">
        <f t="shared" si="24"/>
        <v>0.71180555555555558</v>
      </c>
      <c r="S73" s="304">
        <f t="shared" si="24"/>
        <v>0.71180555555555558</v>
      </c>
    </row>
    <row r="74" spans="1:19">
      <c r="A74" s="18"/>
      <c r="B74" s="393" t="str">
        <f>B40</f>
        <v>Kinnaur</v>
      </c>
      <c r="C74" s="307" t="s">
        <v>123</v>
      </c>
      <c r="D74" s="300"/>
      <c r="E74" s="287"/>
      <c r="F74" s="287"/>
      <c r="G74" s="301"/>
      <c r="H74" s="273"/>
      <c r="I74" s="294">
        <f>($C$40+$D$40)*$C$17*6*4*3</f>
        <v>3456</v>
      </c>
      <c r="J74" s="294">
        <f>($C$40+$D$40)*$C$17*6*4*3</f>
        <v>3456</v>
      </c>
      <c r="K74" s="294">
        <f>($C$40+$D$40)*$C$17*6*4*3</f>
        <v>3456</v>
      </c>
      <c r="L74" s="294">
        <f>($C$40+$D$40)*$C$17*6*4*3</f>
        <v>3456</v>
      </c>
      <c r="M74" s="294">
        <f t="shared" ref="M74:O74" si="25">($C$40+$D$40)*$C$17*6*4*3</f>
        <v>3456</v>
      </c>
      <c r="N74" s="294">
        <f t="shared" si="25"/>
        <v>3456</v>
      </c>
      <c r="O74" s="294">
        <f t="shared" si="25"/>
        <v>3456</v>
      </c>
      <c r="P74" s="294">
        <f>($C$40+$D$40)*$C$17*6*4*12</f>
        <v>13824</v>
      </c>
      <c r="Q74" s="294">
        <f t="shared" ref="Q74:S74" si="26">($C$40+$D$40)*$C$17*6*4*12</f>
        <v>13824</v>
      </c>
      <c r="R74" s="294">
        <f t="shared" si="26"/>
        <v>13824</v>
      </c>
      <c r="S74" s="294">
        <f t="shared" si="26"/>
        <v>13824</v>
      </c>
    </row>
    <row r="75" spans="1:19">
      <c r="A75" s="18"/>
      <c r="B75" s="394"/>
      <c r="C75" s="268" t="s">
        <v>124</v>
      </c>
      <c r="D75" s="298"/>
      <c r="E75" s="286"/>
      <c r="F75" s="286"/>
      <c r="G75" s="302"/>
      <c r="H75" s="274"/>
      <c r="I75" s="296">
        <f>'No. of Students Trained'!I39*VLOOKUP('No. of Students Trained'!$C$39,'Capacity Utilization '!$C$5:$D$8,2,FALSE)+'No. of Students Trained'!I40*'Capacity Utilization '!$D$6+'No. of Students Trained'!I41*'Capacity Utilization '!$D$7+'No. of Students Trained'!I42*'Capacity Utilization '!$D$8</f>
        <v>2510</v>
      </c>
      <c r="J75" s="296">
        <f>'No. of Students Trained'!J39*VLOOKUP('No. of Students Trained'!$C$39,'Capacity Utilization '!$C$5:$D$8,2,FALSE)+'No. of Students Trained'!J40*'Capacity Utilization '!$D$6+'No. of Students Trained'!J41*'Capacity Utilization '!$D$7+'No. of Students Trained'!J42*'Capacity Utilization '!$D$8</f>
        <v>2510</v>
      </c>
      <c r="K75" s="296">
        <f>'No. of Students Trained'!K39*VLOOKUP('No. of Students Trained'!$C$39,'Capacity Utilization '!$C$5:$D$8,2,FALSE)+'No. of Students Trained'!K40*'Capacity Utilization '!$D$6+'No. of Students Trained'!K41*'Capacity Utilization '!$D$7+'No. of Students Trained'!K42*'Capacity Utilization '!$D$8</f>
        <v>2510</v>
      </c>
      <c r="L75" s="296">
        <f>'No. of Students Trained'!L39*VLOOKUP('No. of Students Trained'!$C$39,'Capacity Utilization '!$C$5:$D$8,2,FALSE)+'No. of Students Trained'!L40*'Capacity Utilization '!$D$6+'No. of Students Trained'!L41*'Capacity Utilization '!$D$7+'No. of Students Trained'!L42*'Capacity Utilization '!$D$8</f>
        <v>2510</v>
      </c>
      <c r="M75" s="296">
        <f>'No. of Students Trained'!M39*VLOOKUP('No. of Students Trained'!$C$39,'Capacity Utilization '!$C$5:$D$8,2,FALSE)+'No. of Students Trained'!M40*'Capacity Utilization '!$D$6+'No. of Students Trained'!M41*'Capacity Utilization '!$D$7+'No. of Students Trained'!M42*'Capacity Utilization '!$D$8</f>
        <v>2510</v>
      </c>
      <c r="N75" s="296">
        <f>'No. of Students Trained'!N39*VLOOKUP('No. of Students Trained'!$C$39,'Capacity Utilization '!$C$5:$D$8,2,FALSE)+'No. of Students Trained'!N40*'Capacity Utilization '!$D$6+'No. of Students Trained'!N41*'Capacity Utilization '!$D$7+'No. of Students Trained'!N42*'Capacity Utilization '!$D$8</f>
        <v>2510</v>
      </c>
      <c r="O75" s="296">
        <f>'No. of Students Trained'!O39*VLOOKUP('No. of Students Trained'!$C$39,'Capacity Utilization '!$C$5:$D$8,2,FALSE)+'No. of Students Trained'!O40*'Capacity Utilization '!$D$6+'No. of Students Trained'!O41*'Capacity Utilization '!$D$7+'No. of Students Trained'!O42*'Capacity Utilization '!$D$8</f>
        <v>2510</v>
      </c>
      <c r="P75" s="296">
        <f>'No. of Students Trained'!P39*VLOOKUP('No. of Students Trained'!$C$39,'Capacity Utilization '!$C$5:$D$8,2,FALSE)+'No. of Students Trained'!P40*'Capacity Utilization '!$D$6+'No. of Students Trained'!P41*'Capacity Utilization '!$D$7+'No. of Students Trained'!P42*'Capacity Utilization '!$D$8</f>
        <v>10040</v>
      </c>
      <c r="Q75" s="296">
        <f>'No. of Students Trained'!Q39*VLOOKUP('No. of Students Trained'!$C$39,'Capacity Utilization '!$C$5:$D$8,2,FALSE)+'No. of Students Trained'!Q40*'Capacity Utilization '!$D$6+'No. of Students Trained'!Q41*'Capacity Utilization '!$D$7+'No. of Students Trained'!Q42*'Capacity Utilization '!$D$8</f>
        <v>10040</v>
      </c>
      <c r="R75" s="296">
        <f>'No. of Students Trained'!R39*VLOOKUP('No. of Students Trained'!$C$39,'Capacity Utilization '!$C$5:$D$8,2,FALSE)+'No. of Students Trained'!R40*'Capacity Utilization '!$D$6+'No. of Students Trained'!R41*'Capacity Utilization '!$D$7+'No. of Students Trained'!R42*'Capacity Utilization '!$D$8</f>
        <v>10040</v>
      </c>
      <c r="S75" s="296">
        <f>'No. of Students Trained'!S39*VLOOKUP('No. of Students Trained'!$C$39,'Capacity Utilization '!$C$5:$D$8,2,FALSE)+'No. of Students Trained'!S40*'Capacity Utilization '!$D$6+'No. of Students Trained'!S41*'Capacity Utilization '!$D$7+'No. of Students Trained'!S42*'Capacity Utilization '!$D$8</f>
        <v>10040</v>
      </c>
    </row>
    <row r="76" spans="1:19" ht="15.75" thickBot="1">
      <c r="A76" s="18"/>
      <c r="B76" s="395"/>
      <c r="C76" s="269" t="s">
        <v>125</v>
      </c>
      <c r="D76" s="299"/>
      <c r="E76" s="291"/>
      <c r="F76" s="291"/>
      <c r="G76" s="303"/>
      <c r="H76" s="295"/>
      <c r="I76" s="292">
        <f t="shared" ref="I76" si="27">I75/I74</f>
        <v>0.72627314814814814</v>
      </c>
      <c r="J76" s="292">
        <f t="shared" ref="J76:K76" si="28">J75/J74</f>
        <v>0.72627314814814814</v>
      </c>
      <c r="K76" s="292">
        <f t="shared" si="28"/>
        <v>0.72627314814814814</v>
      </c>
      <c r="L76" s="292">
        <f t="shared" ref="L76:S76" si="29">L75/L74</f>
        <v>0.72627314814814814</v>
      </c>
      <c r="M76" s="289">
        <f t="shared" si="29"/>
        <v>0.72627314814814814</v>
      </c>
      <c r="N76" s="289">
        <f t="shared" si="29"/>
        <v>0.72627314814814814</v>
      </c>
      <c r="O76" s="290">
        <f t="shared" si="29"/>
        <v>0.72627314814814814</v>
      </c>
      <c r="P76" s="304">
        <f t="shared" si="29"/>
        <v>0.72627314814814814</v>
      </c>
      <c r="Q76" s="304">
        <f t="shared" si="29"/>
        <v>0.72627314814814814</v>
      </c>
      <c r="R76" s="304">
        <f t="shared" si="29"/>
        <v>0.72627314814814814</v>
      </c>
      <c r="S76" s="304">
        <f t="shared" si="29"/>
        <v>0.72627314814814814</v>
      </c>
    </row>
    <row r="77" spans="1:19">
      <c r="A77" s="18"/>
      <c r="B77" s="393" t="str">
        <f>B41</f>
        <v>Una</v>
      </c>
      <c r="C77" s="307" t="s">
        <v>123</v>
      </c>
      <c r="D77" s="300"/>
      <c r="E77" s="287"/>
      <c r="F77" s="287"/>
      <c r="G77" s="301"/>
      <c r="H77" s="273"/>
      <c r="I77" s="287"/>
      <c r="J77" s="287"/>
      <c r="K77" s="294">
        <f>($C$41+$D$41)*$C$18*6*4*3</f>
        <v>3456</v>
      </c>
      <c r="L77" s="294">
        <f>($C$41+$D$41)*$C$18*6*4*3</f>
        <v>3456</v>
      </c>
      <c r="M77" s="294">
        <f t="shared" ref="M77:O77" si="30">($C$41+$D$41)*$C$18*6*4*3</f>
        <v>3456</v>
      </c>
      <c r="N77" s="294">
        <f t="shared" si="30"/>
        <v>3456</v>
      </c>
      <c r="O77" s="294">
        <f t="shared" si="30"/>
        <v>3456</v>
      </c>
      <c r="P77" s="294">
        <f>($C$41+$D$41)*$C$18*6*4*12</f>
        <v>13824</v>
      </c>
      <c r="Q77" s="294">
        <f t="shared" ref="Q77:S77" si="31">($C$41+$D$41)*$C$18*6*4*12</f>
        <v>13824</v>
      </c>
      <c r="R77" s="294">
        <f t="shared" si="31"/>
        <v>13824</v>
      </c>
      <c r="S77" s="294">
        <f t="shared" si="31"/>
        <v>13824</v>
      </c>
    </row>
    <row r="78" spans="1:19">
      <c r="A78" s="18"/>
      <c r="B78" s="394"/>
      <c r="C78" s="268" t="s">
        <v>124</v>
      </c>
      <c r="D78" s="298"/>
      <c r="E78" s="286"/>
      <c r="F78" s="286"/>
      <c r="G78" s="302"/>
      <c r="H78" s="274"/>
      <c r="I78" s="286"/>
      <c r="J78" s="286"/>
      <c r="K78" s="296">
        <f>'No. of Students Trained'!K43*VLOOKUP('No. of Students Trained'!$C$43,'Capacity Utilization '!$C$5:$D$8,2,FALSE)+'No. of Students Trained'!K44*'Capacity Utilization '!$D$6+'No. of Students Trained'!K45*'Capacity Utilization '!$D$7+'No. of Students Trained'!K46*'Capacity Utilization '!$D$8</f>
        <v>2180</v>
      </c>
      <c r="L78" s="296">
        <f>'No. of Students Trained'!L43*VLOOKUP('No. of Students Trained'!$C$43,'Capacity Utilization '!$C$5:$D$8,2,FALSE)+'No. of Students Trained'!L44*'Capacity Utilization '!$D$6+'No. of Students Trained'!L45*'Capacity Utilization '!$D$7+'No. of Students Trained'!L46*'Capacity Utilization '!$D$8</f>
        <v>2180</v>
      </c>
      <c r="M78" s="296">
        <f>'No. of Students Trained'!M43*VLOOKUP('No. of Students Trained'!$C$43,'Capacity Utilization '!$C$5:$D$8,2,FALSE)+'No. of Students Trained'!M44*'Capacity Utilization '!$D$6+'No. of Students Trained'!M45*'Capacity Utilization '!$D$7+'No. of Students Trained'!M46*'Capacity Utilization '!$D$8</f>
        <v>2180</v>
      </c>
      <c r="N78" s="296">
        <f>'No. of Students Trained'!N43*VLOOKUP('No. of Students Trained'!$C$43,'Capacity Utilization '!$C$5:$D$8,2,FALSE)+'No. of Students Trained'!N44*'Capacity Utilization '!$D$6+'No. of Students Trained'!N45*'Capacity Utilization '!$D$7+'No. of Students Trained'!N46*'Capacity Utilization '!$D$8</f>
        <v>2180</v>
      </c>
      <c r="O78" s="296">
        <f>'No. of Students Trained'!O43*VLOOKUP('No. of Students Trained'!$C$43,'Capacity Utilization '!$C$5:$D$8,2,FALSE)+'No. of Students Trained'!O44*'Capacity Utilization '!$D$6+'No. of Students Trained'!O45*'Capacity Utilization '!$D$7+'No. of Students Trained'!O46*'Capacity Utilization '!$D$8</f>
        <v>2180</v>
      </c>
      <c r="P78" s="296">
        <f>'No. of Students Trained'!P43*VLOOKUP('No. of Students Trained'!$C$43,'Capacity Utilization '!$C$5:$D$8,2,FALSE)+'No. of Students Trained'!P44*'Capacity Utilization '!$D$6+'No. of Students Trained'!P45*'Capacity Utilization '!$D$7+'No. of Students Trained'!P46*'Capacity Utilization '!$D$8</f>
        <v>8720</v>
      </c>
      <c r="Q78" s="296">
        <f>'No. of Students Trained'!Q43*VLOOKUP('No. of Students Trained'!$C$43,'Capacity Utilization '!$C$5:$D$8,2,FALSE)+'No. of Students Trained'!Q44*'Capacity Utilization '!$D$6+'No. of Students Trained'!Q45*'Capacity Utilization '!$D$7+'No. of Students Trained'!Q46*'Capacity Utilization '!$D$8</f>
        <v>8720</v>
      </c>
      <c r="R78" s="296">
        <f>'No. of Students Trained'!R43*VLOOKUP('No. of Students Trained'!$C$43,'Capacity Utilization '!$C$5:$D$8,2,FALSE)+'No. of Students Trained'!R44*'Capacity Utilization '!$D$6+'No. of Students Trained'!R45*'Capacity Utilization '!$D$7+'No. of Students Trained'!R46*'Capacity Utilization '!$D$8</f>
        <v>8720</v>
      </c>
      <c r="S78" s="296">
        <f>'No. of Students Trained'!S43*VLOOKUP('No. of Students Trained'!$C$43,'Capacity Utilization '!$C$5:$D$8,2,FALSE)+'No. of Students Trained'!S44*'Capacity Utilization '!$D$6+'No. of Students Trained'!S45*'Capacity Utilization '!$D$7+'No. of Students Trained'!S46*'Capacity Utilization '!$D$8</f>
        <v>8720</v>
      </c>
    </row>
    <row r="79" spans="1:19" ht="15.75" thickBot="1">
      <c r="A79" s="18"/>
      <c r="B79" s="395"/>
      <c r="C79" s="269" t="s">
        <v>125</v>
      </c>
      <c r="D79" s="299"/>
      <c r="E79" s="291"/>
      <c r="F79" s="291"/>
      <c r="G79" s="303"/>
      <c r="H79" s="295"/>
      <c r="I79" s="291"/>
      <c r="J79" s="291"/>
      <c r="K79" s="304">
        <f t="shared" ref="K79" si="32">K78/K77</f>
        <v>0.63078703703703709</v>
      </c>
      <c r="L79" s="304">
        <f t="shared" ref="L79:M79" si="33">L78/L77</f>
        <v>0.63078703703703709</v>
      </c>
      <c r="M79" s="304">
        <f t="shared" si="33"/>
        <v>0.63078703703703709</v>
      </c>
      <c r="N79" s="304">
        <f t="shared" ref="N79:O79" si="34">N78/N77</f>
        <v>0.63078703703703709</v>
      </c>
      <c r="O79" s="304">
        <f t="shared" si="34"/>
        <v>0.63078703703703709</v>
      </c>
      <c r="P79" s="304">
        <f t="shared" ref="P79:S79" si="35">P78/P77</f>
        <v>0.63078703703703709</v>
      </c>
      <c r="Q79" s="304">
        <f t="shared" si="35"/>
        <v>0.63078703703703709</v>
      </c>
      <c r="R79" s="304">
        <f t="shared" si="35"/>
        <v>0.63078703703703709</v>
      </c>
      <c r="S79" s="304">
        <f t="shared" si="35"/>
        <v>0.63078703703703709</v>
      </c>
    </row>
    <row r="80" spans="1:19">
      <c r="A80" s="18"/>
      <c r="B80" s="393" t="str">
        <f>B42</f>
        <v>Hamirpur</v>
      </c>
      <c r="C80" s="307" t="s">
        <v>123</v>
      </c>
      <c r="D80" s="300"/>
      <c r="E80" s="287"/>
      <c r="F80" s="287"/>
      <c r="G80" s="301"/>
      <c r="H80" s="273"/>
      <c r="I80" s="287"/>
      <c r="J80" s="287"/>
      <c r="K80" s="294">
        <f>($C$42+$D$42)*$C$19*6*4*3</f>
        <v>3456</v>
      </c>
      <c r="L80" s="294">
        <f t="shared" ref="L80:O80" si="36">($C$42+$D$42)*$C$19*6*4*3</f>
        <v>3456</v>
      </c>
      <c r="M80" s="294">
        <f t="shared" si="36"/>
        <v>3456</v>
      </c>
      <c r="N80" s="294">
        <f t="shared" si="36"/>
        <v>3456</v>
      </c>
      <c r="O80" s="294">
        <f t="shared" si="36"/>
        <v>3456</v>
      </c>
      <c r="P80" s="294">
        <f>($C$42+$D$42)*$C$19*6*4*12</f>
        <v>13824</v>
      </c>
      <c r="Q80" s="294">
        <f t="shared" ref="Q80:S80" si="37">($C$42+$D$42)*$C$19*6*4*12</f>
        <v>13824</v>
      </c>
      <c r="R80" s="294">
        <f t="shared" si="37"/>
        <v>13824</v>
      </c>
      <c r="S80" s="294">
        <f t="shared" si="37"/>
        <v>13824</v>
      </c>
    </row>
    <row r="81" spans="1:19">
      <c r="A81" s="18"/>
      <c r="B81" s="394"/>
      <c r="C81" s="268" t="s">
        <v>124</v>
      </c>
      <c r="D81" s="298"/>
      <c r="E81" s="286"/>
      <c r="F81" s="286"/>
      <c r="G81" s="302"/>
      <c r="H81" s="274"/>
      <c r="I81" s="286"/>
      <c r="J81" s="286"/>
      <c r="K81" s="296">
        <f>'No. of Students Trained'!K47*VLOOKUP('No. of Students Trained'!$C$47,'Capacity Utilization '!$C$5:$D$8,2,FALSE)+'No. of Students Trained'!K48*'Capacity Utilization '!$D$6+'No. of Students Trained'!K49*'Capacity Utilization '!$D$7+'No. of Students Trained'!K50*'Capacity Utilization '!$D$8</f>
        <v>2460</v>
      </c>
      <c r="L81" s="296">
        <f>'No. of Students Trained'!L47*VLOOKUP('No. of Students Trained'!$C$47,'Capacity Utilization '!$C$5:$D$8,2,FALSE)+'No. of Students Trained'!L48*'Capacity Utilization '!$D$6+'No. of Students Trained'!L49*'Capacity Utilization '!$D$7+'No. of Students Trained'!L50*'Capacity Utilization '!$D$8</f>
        <v>2460</v>
      </c>
      <c r="M81" s="296">
        <f>'No. of Students Trained'!M47*VLOOKUP('No. of Students Trained'!$C$47,'Capacity Utilization '!$C$5:$D$8,2,FALSE)+'No. of Students Trained'!M48*'Capacity Utilization '!$D$6+'No. of Students Trained'!M49*'Capacity Utilization '!$D$7+'No. of Students Trained'!M50*'Capacity Utilization '!$D$8</f>
        <v>2460</v>
      </c>
      <c r="N81" s="296">
        <f>'No. of Students Trained'!N47*VLOOKUP('No. of Students Trained'!$C$47,'Capacity Utilization '!$C$5:$D$8,2,FALSE)+'No. of Students Trained'!N48*'Capacity Utilization '!$D$6+'No. of Students Trained'!N49*'Capacity Utilization '!$D$7+'No. of Students Trained'!N50*'Capacity Utilization '!$D$8</f>
        <v>2460</v>
      </c>
      <c r="O81" s="296">
        <f>'No. of Students Trained'!O47*VLOOKUP('No. of Students Trained'!$C$47,'Capacity Utilization '!$C$5:$D$8,2,FALSE)+'No. of Students Trained'!O48*'Capacity Utilization '!$D$6+'No. of Students Trained'!O49*'Capacity Utilization '!$D$7+'No. of Students Trained'!O50*'Capacity Utilization '!$D$8</f>
        <v>2460</v>
      </c>
      <c r="P81" s="296">
        <f>'No. of Students Trained'!P47*VLOOKUP('No. of Students Trained'!$C$47,'Capacity Utilization '!$C$5:$D$8,2,FALSE)+'No. of Students Trained'!P48*'Capacity Utilization '!$D$6+'No. of Students Trained'!P49*'Capacity Utilization '!$D$7+'No. of Students Trained'!P50*'Capacity Utilization '!$D$8</f>
        <v>9840</v>
      </c>
      <c r="Q81" s="296">
        <f>'No. of Students Trained'!Q47*VLOOKUP('No. of Students Trained'!$C$47,'Capacity Utilization '!$C$5:$D$8,2,FALSE)+'No. of Students Trained'!Q48*'Capacity Utilization '!$D$6+'No. of Students Trained'!Q49*'Capacity Utilization '!$D$7+'No. of Students Trained'!Q50*'Capacity Utilization '!$D$8</f>
        <v>9840</v>
      </c>
      <c r="R81" s="296">
        <f>'No. of Students Trained'!R47*VLOOKUP('No. of Students Trained'!$C$47,'Capacity Utilization '!$C$5:$D$8,2,FALSE)+'No. of Students Trained'!R48*'Capacity Utilization '!$D$6+'No. of Students Trained'!R49*'Capacity Utilization '!$D$7+'No. of Students Trained'!R50*'Capacity Utilization '!$D$8</f>
        <v>9840</v>
      </c>
      <c r="S81" s="296">
        <f>'No. of Students Trained'!S47*VLOOKUP('No. of Students Trained'!$C$47,'Capacity Utilization '!$C$5:$D$8,2,FALSE)+'No. of Students Trained'!S48*'Capacity Utilization '!$D$6+'No. of Students Trained'!S49*'Capacity Utilization '!$D$7+'No. of Students Trained'!S50*'Capacity Utilization '!$D$8</f>
        <v>9840</v>
      </c>
    </row>
    <row r="82" spans="1:19" ht="15.75" thickBot="1">
      <c r="A82" s="18"/>
      <c r="B82" s="395"/>
      <c r="C82" s="269" t="s">
        <v>125</v>
      </c>
      <c r="D82" s="299"/>
      <c r="E82" s="291"/>
      <c r="F82" s="291"/>
      <c r="G82" s="303"/>
      <c r="H82" s="295"/>
      <c r="I82" s="291"/>
      <c r="J82" s="291"/>
      <c r="K82" s="304">
        <f t="shared" ref="K82" si="38">K81/K80</f>
        <v>0.71180555555555558</v>
      </c>
      <c r="L82" s="304">
        <f t="shared" ref="L82:M82" si="39">L81/L80</f>
        <v>0.71180555555555558</v>
      </c>
      <c r="M82" s="304">
        <f t="shared" si="39"/>
        <v>0.71180555555555558</v>
      </c>
      <c r="N82" s="304">
        <f t="shared" ref="N82:O82" si="40">N81/N80</f>
        <v>0.71180555555555558</v>
      </c>
      <c r="O82" s="304">
        <f t="shared" si="40"/>
        <v>0.71180555555555558</v>
      </c>
      <c r="P82" s="304">
        <f t="shared" ref="P82:S82" si="41">P81/P80</f>
        <v>0.71180555555555558</v>
      </c>
      <c r="Q82" s="304">
        <f t="shared" si="41"/>
        <v>0.71180555555555558</v>
      </c>
      <c r="R82" s="304">
        <f t="shared" si="41"/>
        <v>0.71180555555555558</v>
      </c>
      <c r="S82" s="304">
        <f t="shared" si="41"/>
        <v>0.71180555555555558</v>
      </c>
    </row>
    <row r="83" spans="1:19">
      <c r="A83" s="18"/>
      <c r="B83" s="393" t="str">
        <f>B43</f>
        <v>Kangra</v>
      </c>
      <c r="C83" s="307" t="s">
        <v>123</v>
      </c>
      <c r="D83" s="300"/>
      <c r="E83" s="287"/>
      <c r="F83" s="287"/>
      <c r="G83" s="301"/>
      <c r="H83" s="273"/>
      <c r="I83" s="287"/>
      <c r="J83" s="287"/>
      <c r="K83" s="294">
        <f>($C$43+$D$43)*$C$20*6*4*3</f>
        <v>3456</v>
      </c>
      <c r="L83" s="294">
        <f t="shared" ref="L83:O83" si="42">($C$43+$D$43)*$C$20*6*4*3</f>
        <v>3456</v>
      </c>
      <c r="M83" s="294">
        <f t="shared" si="42"/>
        <v>3456</v>
      </c>
      <c r="N83" s="294">
        <f t="shared" si="42"/>
        <v>3456</v>
      </c>
      <c r="O83" s="294">
        <f t="shared" si="42"/>
        <v>3456</v>
      </c>
      <c r="P83" s="294">
        <f>($C$43+$D$43)*$C$20*6*4*12</f>
        <v>13824</v>
      </c>
      <c r="Q83" s="294">
        <f t="shared" ref="Q83:S83" si="43">($C$43+$D$43)*$C$20*6*4*12</f>
        <v>13824</v>
      </c>
      <c r="R83" s="294">
        <f t="shared" si="43"/>
        <v>13824</v>
      </c>
      <c r="S83" s="294">
        <f t="shared" si="43"/>
        <v>13824</v>
      </c>
    </row>
    <row r="84" spans="1:19">
      <c r="A84" s="18"/>
      <c r="B84" s="394"/>
      <c r="C84" s="268" t="s">
        <v>124</v>
      </c>
      <c r="D84" s="298"/>
      <c r="E84" s="286"/>
      <c r="F84" s="286"/>
      <c r="G84" s="302"/>
      <c r="H84" s="274"/>
      <c r="I84" s="286"/>
      <c r="J84" s="286"/>
      <c r="K84" s="296">
        <f>'No. of Students Trained'!K51*VLOOKUP('No. of Students Trained'!$C$51,'Capacity Utilization '!$C$5:$D$8,2,FALSE)+'No. of Students Trained'!K52*'Capacity Utilization '!$D$6+'No. of Students Trained'!K53*'Capacity Utilization '!$D$7+'No. of Students Trained'!K54*'Capacity Utilization '!$D$8</f>
        <v>2110</v>
      </c>
      <c r="L84" s="296">
        <f>'No. of Students Trained'!L51*VLOOKUP('No. of Students Trained'!$C$51,'Capacity Utilization '!$C$5:$D$8,2,FALSE)+'No. of Students Trained'!L52*'Capacity Utilization '!$D$6+'No. of Students Trained'!L53*'Capacity Utilization '!$D$7+'No. of Students Trained'!L54*'Capacity Utilization '!$D$8</f>
        <v>2110</v>
      </c>
      <c r="M84" s="296">
        <f>'No. of Students Trained'!M51*VLOOKUP('No. of Students Trained'!$C$51,'Capacity Utilization '!$C$5:$D$8,2,FALSE)+'No. of Students Trained'!M52*'Capacity Utilization '!$D$6+'No. of Students Trained'!M53*'Capacity Utilization '!$D$7+'No. of Students Trained'!M54*'Capacity Utilization '!$D$8</f>
        <v>2110</v>
      </c>
      <c r="N84" s="296">
        <f>'No. of Students Trained'!N51*VLOOKUP('No. of Students Trained'!$C$51,'Capacity Utilization '!$C$5:$D$8,2,FALSE)+'No. of Students Trained'!N52*'Capacity Utilization '!$D$6+'No. of Students Trained'!N53*'Capacity Utilization '!$D$7+'No. of Students Trained'!N54*'Capacity Utilization '!$D$8</f>
        <v>2110</v>
      </c>
      <c r="O84" s="296">
        <f>'No. of Students Trained'!O51*VLOOKUP('No. of Students Trained'!$C$51,'Capacity Utilization '!$C$5:$D$8,2,FALSE)+'No. of Students Trained'!O52*'Capacity Utilization '!$D$6+'No. of Students Trained'!O53*'Capacity Utilization '!$D$7+'No. of Students Trained'!O54*'Capacity Utilization '!$D$8</f>
        <v>2110</v>
      </c>
      <c r="P84" s="296">
        <f>'No. of Students Trained'!P51*VLOOKUP('No. of Students Trained'!$C$51,'Capacity Utilization '!$C$5:$D$8,2,FALSE)+'No. of Students Trained'!P52*'Capacity Utilization '!$D$6+'No. of Students Trained'!P53*'Capacity Utilization '!$D$7+'No. of Students Trained'!P54*'Capacity Utilization '!$D$8</f>
        <v>8440</v>
      </c>
      <c r="Q84" s="296">
        <f>'No. of Students Trained'!Q51*VLOOKUP('No. of Students Trained'!$C$51,'Capacity Utilization '!$C$5:$D$8,2,FALSE)+'No. of Students Trained'!Q52*'Capacity Utilization '!$D$6+'No. of Students Trained'!Q53*'Capacity Utilization '!$D$7+'No. of Students Trained'!Q54*'Capacity Utilization '!$D$8</f>
        <v>8440</v>
      </c>
      <c r="R84" s="296">
        <f>'No. of Students Trained'!R51*VLOOKUP('No. of Students Trained'!$C$51,'Capacity Utilization '!$C$5:$D$8,2,FALSE)+'No. of Students Trained'!R52*'Capacity Utilization '!$D$6+'No. of Students Trained'!R53*'Capacity Utilization '!$D$7+'No. of Students Trained'!R54*'Capacity Utilization '!$D$8</f>
        <v>8440</v>
      </c>
      <c r="S84" s="296">
        <f>'No. of Students Trained'!S51*VLOOKUP('No. of Students Trained'!$C$51,'Capacity Utilization '!$C$5:$D$8,2,FALSE)+'No. of Students Trained'!S52*'Capacity Utilization '!$D$6+'No. of Students Trained'!S53*'Capacity Utilization '!$D$7+'No. of Students Trained'!S54*'Capacity Utilization '!$D$8</f>
        <v>8440</v>
      </c>
    </row>
    <row r="85" spans="1:19" ht="15.75" thickBot="1">
      <c r="A85" s="18"/>
      <c r="B85" s="395"/>
      <c r="C85" s="269" t="s">
        <v>125</v>
      </c>
      <c r="D85" s="299"/>
      <c r="E85" s="291"/>
      <c r="F85" s="291"/>
      <c r="G85" s="303"/>
      <c r="H85" s="295"/>
      <c r="I85" s="291"/>
      <c r="J85" s="291"/>
      <c r="K85" s="304">
        <f t="shared" ref="K85" si="44">K84/K83</f>
        <v>0.61053240740740744</v>
      </c>
      <c r="L85" s="304">
        <f t="shared" ref="L85:M85" si="45">L84/L83</f>
        <v>0.61053240740740744</v>
      </c>
      <c r="M85" s="304">
        <f t="shared" si="45"/>
        <v>0.61053240740740744</v>
      </c>
      <c r="N85" s="304">
        <f t="shared" ref="N85:O85" si="46">N84/N83</f>
        <v>0.61053240740740744</v>
      </c>
      <c r="O85" s="304">
        <f t="shared" si="46"/>
        <v>0.61053240740740744</v>
      </c>
      <c r="P85" s="304">
        <f t="shared" ref="P85:S85" si="47">P84/P83</f>
        <v>0.61053240740740744</v>
      </c>
      <c r="Q85" s="304">
        <f t="shared" si="47"/>
        <v>0.61053240740740744</v>
      </c>
      <c r="R85" s="304">
        <f t="shared" si="47"/>
        <v>0.61053240740740744</v>
      </c>
      <c r="S85" s="304">
        <f t="shared" si="47"/>
        <v>0.61053240740740744</v>
      </c>
    </row>
    <row r="86" spans="1:19">
      <c r="A86" s="18"/>
      <c r="B86" s="393" t="str">
        <f>B44</f>
        <v>Chamba</v>
      </c>
      <c r="C86" s="307" t="s">
        <v>123</v>
      </c>
      <c r="D86" s="300"/>
      <c r="E86" s="287"/>
      <c r="F86" s="287"/>
      <c r="G86" s="301"/>
      <c r="H86" s="273"/>
      <c r="I86" s="287"/>
      <c r="J86" s="287"/>
      <c r="K86" s="301"/>
      <c r="L86" s="294">
        <f>($C$44+$D$44)*$C$21*6*4*3</f>
        <v>3456</v>
      </c>
      <c r="M86" s="294">
        <f t="shared" ref="M86:O86" si="48">($C$44+$D$44)*$C$21*6*4*3</f>
        <v>3456</v>
      </c>
      <c r="N86" s="294">
        <f t="shared" si="48"/>
        <v>3456</v>
      </c>
      <c r="O86" s="294">
        <f t="shared" si="48"/>
        <v>3456</v>
      </c>
      <c r="P86" s="294">
        <f>($C$44+$D$44)*$C$21*6*4*12</f>
        <v>13824</v>
      </c>
      <c r="Q86" s="294">
        <f t="shared" ref="Q86:S86" si="49">($C$44+$D$44)*$C$21*6*4*12</f>
        <v>13824</v>
      </c>
      <c r="R86" s="294">
        <f t="shared" si="49"/>
        <v>13824</v>
      </c>
      <c r="S86" s="294">
        <f t="shared" si="49"/>
        <v>13824</v>
      </c>
    </row>
    <row r="87" spans="1:19">
      <c r="A87" s="18"/>
      <c r="B87" s="394"/>
      <c r="C87" s="268" t="s">
        <v>124</v>
      </c>
      <c r="D87" s="298"/>
      <c r="E87" s="286"/>
      <c r="F87" s="286"/>
      <c r="G87" s="302"/>
      <c r="H87" s="274"/>
      <c r="I87" s="286"/>
      <c r="J87" s="286"/>
      <c r="K87" s="302"/>
      <c r="L87" s="296">
        <f>'No. of Students Trained'!L55*VLOOKUP('No. of Students Trained'!$C$55,'Capacity Utilization '!$C$5:$D$8,2,FALSE)+'No. of Students Trained'!L56*'Capacity Utilization '!$D$6+'No. of Students Trained'!L57*'Capacity Utilization '!$D$7+'No. of Students Trained'!L58*'Capacity Utilization '!$D$8</f>
        <v>2510</v>
      </c>
      <c r="M87" s="296">
        <f>'No. of Students Trained'!M55*VLOOKUP('No. of Students Trained'!$C$55,'Capacity Utilization '!$C$5:$D$8,2,FALSE)+'No. of Students Trained'!M56*'Capacity Utilization '!$D$6+'No. of Students Trained'!M57*'Capacity Utilization '!$D$7+'No. of Students Trained'!M58*'Capacity Utilization '!$D$8</f>
        <v>2510</v>
      </c>
      <c r="N87" s="296">
        <f>'No. of Students Trained'!N55*VLOOKUP('No. of Students Trained'!$C$55,'Capacity Utilization '!$C$5:$D$8,2,FALSE)+'No. of Students Trained'!N56*'Capacity Utilization '!$D$6+'No. of Students Trained'!N57*'Capacity Utilization '!$D$7+'No. of Students Trained'!N58*'Capacity Utilization '!$D$8</f>
        <v>2510</v>
      </c>
      <c r="O87" s="296">
        <f>'No. of Students Trained'!O55*VLOOKUP('No. of Students Trained'!$C$55,'Capacity Utilization '!$C$5:$D$8,2,FALSE)+'No. of Students Trained'!O56*'Capacity Utilization '!$D$6+'No. of Students Trained'!O57*'Capacity Utilization '!$D$7+'No. of Students Trained'!O58*'Capacity Utilization '!$D$8</f>
        <v>2510</v>
      </c>
      <c r="P87" s="296">
        <f>'No. of Students Trained'!P55*VLOOKUP('No. of Students Trained'!$C$55,'Capacity Utilization '!$C$5:$D$8,2,FALSE)+'No. of Students Trained'!P56*'Capacity Utilization '!$D$6+'No. of Students Trained'!P57*'Capacity Utilization '!$D$7+'No. of Students Trained'!P58*'Capacity Utilization '!$D$8</f>
        <v>10040</v>
      </c>
      <c r="Q87" s="296">
        <f>'No. of Students Trained'!Q55*VLOOKUP('No. of Students Trained'!$C$55,'Capacity Utilization '!$C$5:$D$8,2,FALSE)+'No. of Students Trained'!Q56*'Capacity Utilization '!$D$6+'No. of Students Trained'!Q57*'Capacity Utilization '!$D$7+'No. of Students Trained'!Q58*'Capacity Utilization '!$D$8</f>
        <v>10040</v>
      </c>
      <c r="R87" s="296">
        <f>'No. of Students Trained'!R55*VLOOKUP('No. of Students Trained'!$C$55,'Capacity Utilization '!$C$5:$D$8,2,FALSE)+'No. of Students Trained'!R56*'Capacity Utilization '!$D$6+'No. of Students Trained'!R57*'Capacity Utilization '!$D$7+'No. of Students Trained'!R58*'Capacity Utilization '!$D$8</f>
        <v>10040</v>
      </c>
      <c r="S87" s="296">
        <f>'No. of Students Trained'!S55*VLOOKUP('No. of Students Trained'!$C$55,'Capacity Utilization '!$C$5:$D$8,2,FALSE)+'No. of Students Trained'!S56*'Capacity Utilization '!$D$6+'No. of Students Trained'!S57*'Capacity Utilization '!$D$7+'No. of Students Trained'!S58*'Capacity Utilization '!$D$8</f>
        <v>10040</v>
      </c>
    </row>
    <row r="88" spans="1:19" ht="15.75" thickBot="1">
      <c r="A88" s="18"/>
      <c r="B88" s="395"/>
      <c r="C88" s="269" t="s">
        <v>125</v>
      </c>
      <c r="D88" s="299"/>
      <c r="E88" s="291"/>
      <c r="F88" s="291"/>
      <c r="G88" s="303"/>
      <c r="H88" s="295"/>
      <c r="I88" s="291"/>
      <c r="J88" s="291"/>
      <c r="K88" s="303"/>
      <c r="L88" s="304">
        <f t="shared" ref="L88:M88" si="50">L87/L86</f>
        <v>0.72627314814814814</v>
      </c>
      <c r="M88" s="304">
        <f t="shared" si="50"/>
        <v>0.72627314814814814</v>
      </c>
      <c r="N88" s="304">
        <f t="shared" ref="N88:O88" si="51">N87/N86</f>
        <v>0.72627314814814814</v>
      </c>
      <c r="O88" s="304">
        <f t="shared" si="51"/>
        <v>0.72627314814814814</v>
      </c>
      <c r="P88" s="304">
        <f t="shared" ref="P88:S88" si="52">P87/P86</f>
        <v>0.72627314814814814</v>
      </c>
      <c r="Q88" s="304">
        <f t="shared" si="52"/>
        <v>0.72627314814814814</v>
      </c>
      <c r="R88" s="304">
        <f t="shared" si="52"/>
        <v>0.72627314814814814</v>
      </c>
      <c r="S88" s="304">
        <f t="shared" si="52"/>
        <v>0.72627314814814814</v>
      </c>
    </row>
    <row r="89" spans="1:19">
      <c r="A89" s="18"/>
      <c r="B89" s="393" t="str">
        <f>B45</f>
        <v>Lahaul &amp; Spitti</v>
      </c>
      <c r="C89" s="307" t="s">
        <v>123</v>
      </c>
      <c r="D89" s="300"/>
      <c r="E89" s="287"/>
      <c r="F89" s="287"/>
      <c r="G89" s="301"/>
      <c r="H89" s="273"/>
      <c r="I89" s="287"/>
      <c r="J89" s="287"/>
      <c r="K89" s="301"/>
      <c r="L89" s="294">
        <f>($C$45+$D$45)*$C$22*6*4*3</f>
        <v>3456</v>
      </c>
      <c r="M89" s="294">
        <f t="shared" ref="M89:O89" si="53">($C$45+$D$45)*$C$22*6*4*3</f>
        <v>3456</v>
      </c>
      <c r="N89" s="294">
        <f t="shared" si="53"/>
        <v>3456</v>
      </c>
      <c r="O89" s="294">
        <f t="shared" si="53"/>
        <v>3456</v>
      </c>
      <c r="P89" s="294">
        <f>($C$45+$D$45)*$C$22*6*4*12</f>
        <v>13824</v>
      </c>
      <c r="Q89" s="294">
        <f>($C$45+$D$45)*$C$22*6*4*12</f>
        <v>13824</v>
      </c>
      <c r="R89" s="294">
        <f t="shared" ref="R89:S89" si="54">($C$45+$D$45)*$C$22*6*4*12</f>
        <v>13824</v>
      </c>
      <c r="S89" s="294">
        <f t="shared" si="54"/>
        <v>13824</v>
      </c>
    </row>
    <row r="90" spans="1:19">
      <c r="A90" s="18"/>
      <c r="B90" s="394"/>
      <c r="C90" s="268" t="s">
        <v>124</v>
      </c>
      <c r="D90" s="298"/>
      <c r="E90" s="286"/>
      <c r="F90" s="286"/>
      <c r="G90" s="302"/>
      <c r="H90" s="274"/>
      <c r="I90" s="286"/>
      <c r="J90" s="286"/>
      <c r="K90" s="302"/>
      <c r="L90" s="296">
        <f>'No. of Students Trained'!L59*VLOOKUP('No. of Students Trained'!$C$59,'Capacity Utilization '!$C$5:$D$8,2,FALSE)+'No. of Students Trained'!L60*'Capacity Utilization '!$D$6+'No. of Students Trained'!L61*'Capacity Utilization '!$D$7+'No. of Students Trained'!L62*'Capacity Utilization '!$D$8</f>
        <v>2180</v>
      </c>
      <c r="M90" s="296">
        <f>'No. of Students Trained'!M59*VLOOKUP('No. of Students Trained'!$C$59,'Capacity Utilization '!$C$5:$D$8,2,FALSE)+'No. of Students Trained'!M60*'Capacity Utilization '!$D$6+'No. of Students Trained'!M61*'Capacity Utilization '!$D$7+'No. of Students Trained'!M62*'Capacity Utilization '!$D$8</f>
        <v>2180</v>
      </c>
      <c r="N90" s="296">
        <f>'No. of Students Trained'!N59*VLOOKUP('No. of Students Trained'!$C$59,'Capacity Utilization '!$C$5:$D$8,2,FALSE)+'No. of Students Trained'!N60*'Capacity Utilization '!$D$6+'No. of Students Trained'!N61*'Capacity Utilization '!$D$7+'No. of Students Trained'!N62*'Capacity Utilization '!$D$8</f>
        <v>2180</v>
      </c>
      <c r="O90" s="296">
        <f>'No. of Students Trained'!O59*VLOOKUP('No. of Students Trained'!$C$59,'Capacity Utilization '!$C$5:$D$8,2,FALSE)+'No. of Students Trained'!O60*'Capacity Utilization '!$D$6+'No. of Students Trained'!O61*'Capacity Utilization '!$D$7+'No. of Students Trained'!O62*'Capacity Utilization '!$D$8</f>
        <v>2180</v>
      </c>
      <c r="P90" s="296">
        <f>'No. of Students Trained'!P59*VLOOKUP('No. of Students Trained'!$C$59,'Capacity Utilization '!$C$5:$D$8,2,FALSE)+'No. of Students Trained'!P60*'Capacity Utilization '!$D$6+'No. of Students Trained'!P61*'Capacity Utilization '!$D$7+'No. of Students Trained'!P62*'Capacity Utilization '!$D$8</f>
        <v>8720</v>
      </c>
      <c r="Q90" s="296">
        <f>'No. of Students Trained'!Q59*VLOOKUP('No. of Students Trained'!$C$59,'Capacity Utilization '!$C$5:$D$8,2,FALSE)+'No. of Students Trained'!Q60*'Capacity Utilization '!$D$6+'No. of Students Trained'!Q61*'Capacity Utilization '!$D$7+'No. of Students Trained'!Q62*'Capacity Utilization '!$D$8</f>
        <v>8720</v>
      </c>
      <c r="R90" s="296">
        <f>'No. of Students Trained'!R59*VLOOKUP('No. of Students Trained'!$C$59,'Capacity Utilization '!$C$5:$D$8,2,FALSE)+'No. of Students Trained'!R60*'Capacity Utilization '!$D$6+'No. of Students Trained'!R61*'Capacity Utilization '!$D$7+'No. of Students Trained'!R62*'Capacity Utilization '!$D$8</f>
        <v>8720</v>
      </c>
      <c r="S90" s="296">
        <f>'No. of Students Trained'!S59*VLOOKUP('No. of Students Trained'!$C$59,'Capacity Utilization '!$C$5:$D$8,2,FALSE)+'No. of Students Trained'!S60*'Capacity Utilization '!$D$6+'No. of Students Trained'!S61*'Capacity Utilization '!$D$7+'No. of Students Trained'!S62*'Capacity Utilization '!$D$8</f>
        <v>8720</v>
      </c>
    </row>
    <row r="91" spans="1:19" ht="15.75" thickBot="1">
      <c r="A91" s="18"/>
      <c r="B91" s="395"/>
      <c r="C91" s="269" t="s">
        <v>125</v>
      </c>
      <c r="D91" s="299"/>
      <c r="E91" s="291"/>
      <c r="F91" s="291"/>
      <c r="G91" s="303"/>
      <c r="H91" s="295"/>
      <c r="I91" s="291"/>
      <c r="J91" s="291"/>
      <c r="K91" s="303"/>
      <c r="L91" s="305">
        <f t="shared" ref="L91" si="55">L90/L89</f>
        <v>0.63078703703703709</v>
      </c>
      <c r="M91" s="305">
        <f t="shared" ref="M91:N91" si="56">M90/M89</f>
        <v>0.63078703703703709</v>
      </c>
      <c r="N91" s="305">
        <f t="shared" si="56"/>
        <v>0.63078703703703709</v>
      </c>
      <c r="O91" s="305">
        <f t="shared" ref="O91:P91" si="57">O90/O89</f>
        <v>0.63078703703703709</v>
      </c>
      <c r="P91" s="305">
        <f t="shared" si="57"/>
        <v>0.63078703703703709</v>
      </c>
      <c r="Q91" s="305">
        <f t="shared" ref="Q91:S91" si="58">Q90/Q89</f>
        <v>0.63078703703703709</v>
      </c>
      <c r="R91" s="305">
        <f t="shared" si="58"/>
        <v>0.63078703703703709</v>
      </c>
      <c r="S91" s="305">
        <f t="shared" si="58"/>
        <v>0.63078703703703709</v>
      </c>
    </row>
    <row r="92" spans="1:19">
      <c r="A92" s="18"/>
      <c r="B92" s="393" t="str">
        <f>B46</f>
        <v>Sirmour</v>
      </c>
      <c r="C92" s="307" t="s">
        <v>123</v>
      </c>
      <c r="D92" s="300"/>
      <c r="E92" s="287"/>
      <c r="F92" s="287"/>
      <c r="G92" s="301"/>
      <c r="H92" s="273"/>
      <c r="I92" s="287"/>
      <c r="J92" s="287"/>
      <c r="K92" s="301"/>
      <c r="L92" s="294">
        <f>($C$46+$D$46)*$C$23*6*4*3</f>
        <v>3456</v>
      </c>
      <c r="M92" s="294">
        <f t="shared" ref="M92:O92" si="59">($C$46+$D$46)*$C$23*6*4*3</f>
        <v>3456</v>
      </c>
      <c r="N92" s="294">
        <f t="shared" si="59"/>
        <v>3456</v>
      </c>
      <c r="O92" s="294">
        <f t="shared" si="59"/>
        <v>3456</v>
      </c>
      <c r="P92" s="294">
        <f>($C$46+$D$46)*$C$23*6*4*12</f>
        <v>13824</v>
      </c>
      <c r="Q92" s="294">
        <f>($C$46+$D$46)*$C$23*6*4*12</f>
        <v>13824</v>
      </c>
      <c r="R92" s="294">
        <f t="shared" ref="R92:S92" si="60">($C$46+$D$46)*$C$23*6*4*12</f>
        <v>13824</v>
      </c>
      <c r="S92" s="294">
        <f t="shared" si="60"/>
        <v>13824</v>
      </c>
    </row>
    <row r="93" spans="1:19">
      <c r="A93" s="18"/>
      <c r="B93" s="394"/>
      <c r="C93" s="268" t="s">
        <v>124</v>
      </c>
      <c r="D93" s="298"/>
      <c r="E93" s="286"/>
      <c r="F93" s="286"/>
      <c r="G93" s="302"/>
      <c r="H93" s="274"/>
      <c r="I93" s="286"/>
      <c r="J93" s="286"/>
      <c r="K93" s="302"/>
      <c r="L93" s="296">
        <f>'No. of Students Trained'!L63*VLOOKUP('No. of Students Trained'!$C$63,'Capacity Utilization '!$C$5:$D$8,2,FALSE)+'No. of Students Trained'!L64*'Capacity Utilization '!$D$6+'No. of Students Trained'!L65*'Capacity Utilization '!$D$7+'No. of Students Trained'!L66*'Capacity Utilization '!$D$8</f>
        <v>2860</v>
      </c>
      <c r="M93" s="296">
        <f>'No. of Students Trained'!M63*VLOOKUP('No. of Students Trained'!$C$63,'Capacity Utilization '!$C$5:$D$8,2,FALSE)+'No. of Students Trained'!M64*'Capacity Utilization '!$D$6+'No. of Students Trained'!M65*'Capacity Utilization '!$D$7+'No. of Students Trained'!M66*'Capacity Utilization '!$D$8</f>
        <v>2860</v>
      </c>
      <c r="N93" s="296">
        <f>'No. of Students Trained'!N63*VLOOKUP('No. of Students Trained'!$C$63,'Capacity Utilization '!$C$5:$D$8,2,FALSE)+'No. of Students Trained'!N64*'Capacity Utilization '!$D$6+'No. of Students Trained'!N65*'Capacity Utilization '!$D$7+'No. of Students Trained'!N66*'Capacity Utilization '!$D$8</f>
        <v>2860</v>
      </c>
      <c r="O93" s="296">
        <f>'No. of Students Trained'!O63*VLOOKUP('No. of Students Trained'!$C$63,'Capacity Utilization '!$C$5:$D$8,2,FALSE)+'No. of Students Trained'!O64*'Capacity Utilization '!$D$6+'No. of Students Trained'!O65*'Capacity Utilization '!$D$7+'No. of Students Trained'!O66*'Capacity Utilization '!$D$8</f>
        <v>2860</v>
      </c>
      <c r="P93" s="296">
        <f>'No. of Students Trained'!P63*VLOOKUP('No. of Students Trained'!$C$63,'Capacity Utilization '!$C$5:$D$8,2,FALSE)+'No. of Students Trained'!P64*'Capacity Utilization '!$D$6+'No. of Students Trained'!P65*'Capacity Utilization '!$D$7+'No. of Students Trained'!P66*'Capacity Utilization '!$D$8</f>
        <v>11440</v>
      </c>
      <c r="Q93" s="296">
        <f>'No. of Students Trained'!Q63*VLOOKUP('No. of Students Trained'!$C$63,'Capacity Utilization '!$C$5:$D$8,2,FALSE)+'No. of Students Trained'!Q64*'Capacity Utilization '!$D$6+'No. of Students Trained'!Q65*'Capacity Utilization '!$D$7+'No. of Students Trained'!Q66*'Capacity Utilization '!$D$8</f>
        <v>11440</v>
      </c>
      <c r="R93" s="296">
        <f>'No. of Students Trained'!R63*VLOOKUP('No. of Students Trained'!$C$63,'Capacity Utilization '!$C$5:$D$8,2,FALSE)+'No. of Students Trained'!R64*'Capacity Utilization '!$D$6+'No. of Students Trained'!R65*'Capacity Utilization '!$D$7+'No. of Students Trained'!R66*'Capacity Utilization '!$D$8</f>
        <v>11440</v>
      </c>
      <c r="S93" s="296">
        <f>'No. of Students Trained'!S63*VLOOKUP('No. of Students Trained'!$C$63,'Capacity Utilization '!$C$5:$D$8,2,FALSE)+'No. of Students Trained'!S64*'Capacity Utilization '!$D$6+'No. of Students Trained'!S65*'Capacity Utilization '!$D$7+'No. of Students Trained'!S66*'Capacity Utilization '!$D$8</f>
        <v>11440</v>
      </c>
    </row>
    <row r="94" spans="1:19" ht="15.75" thickBot="1">
      <c r="A94" s="18"/>
      <c r="B94" s="395"/>
      <c r="C94" s="269" t="s">
        <v>125</v>
      </c>
      <c r="D94" s="299"/>
      <c r="E94" s="291"/>
      <c r="F94" s="291"/>
      <c r="G94" s="303"/>
      <c r="H94" s="295"/>
      <c r="I94" s="291"/>
      <c r="J94" s="291"/>
      <c r="K94" s="303"/>
      <c r="L94" s="305">
        <f t="shared" ref="L94" si="61">L93/L92</f>
        <v>0.82754629629629628</v>
      </c>
      <c r="M94" s="305">
        <f t="shared" ref="M94:N94" si="62">M93/M92</f>
        <v>0.82754629629629628</v>
      </c>
      <c r="N94" s="305">
        <f t="shared" si="62"/>
        <v>0.82754629629629628</v>
      </c>
      <c r="O94" s="305">
        <f t="shared" ref="O94:P94" si="63">O93/O92</f>
        <v>0.82754629629629628</v>
      </c>
      <c r="P94" s="305">
        <f t="shared" si="63"/>
        <v>0.82754629629629628</v>
      </c>
      <c r="Q94" s="305">
        <f t="shared" ref="Q94:S94" si="64">Q93/Q92</f>
        <v>0.82754629629629628</v>
      </c>
      <c r="R94" s="305">
        <f t="shared" si="64"/>
        <v>0.82754629629629628</v>
      </c>
      <c r="S94" s="305">
        <f t="shared" si="64"/>
        <v>0.82754629629629628</v>
      </c>
    </row>
    <row r="95" spans="1:19">
      <c r="A95" s="18"/>
      <c r="B95" s="393" t="str">
        <f>B47</f>
        <v>Chandigarh</v>
      </c>
      <c r="C95" s="307" t="s">
        <v>123</v>
      </c>
      <c r="D95" s="300"/>
      <c r="E95" s="287"/>
      <c r="F95" s="287"/>
      <c r="G95" s="301"/>
      <c r="H95" s="273"/>
      <c r="I95" s="287"/>
      <c r="J95" s="287"/>
      <c r="K95" s="301"/>
      <c r="L95" s="273"/>
      <c r="M95" s="294">
        <f>($C$47+$D$47)*$C$24*6*4*3</f>
        <v>3456</v>
      </c>
      <c r="N95" s="294">
        <f t="shared" ref="N95:O95" si="65">($C$47+$D$47)*$C$24*6*4*3</f>
        <v>3456</v>
      </c>
      <c r="O95" s="294">
        <f t="shared" si="65"/>
        <v>3456</v>
      </c>
      <c r="P95" s="294">
        <f>($C$47+$D$47)*$C$24*6*4*12</f>
        <v>13824</v>
      </c>
      <c r="Q95" s="294">
        <f>($C$47+$D$47)*$C$24*6*4*12</f>
        <v>13824</v>
      </c>
      <c r="R95" s="294">
        <f t="shared" ref="R95:S95" si="66">($C$47+$D$47)*$C$24*6*4*12</f>
        <v>13824</v>
      </c>
      <c r="S95" s="294">
        <f t="shared" si="66"/>
        <v>13824</v>
      </c>
    </row>
    <row r="96" spans="1:19">
      <c r="A96" s="18"/>
      <c r="B96" s="394"/>
      <c r="C96" s="268" t="s">
        <v>124</v>
      </c>
      <c r="D96" s="298"/>
      <c r="E96" s="286"/>
      <c r="F96" s="286"/>
      <c r="G96" s="302"/>
      <c r="H96" s="274"/>
      <c r="I96" s="286"/>
      <c r="J96" s="286"/>
      <c r="K96" s="302"/>
      <c r="L96" s="274"/>
      <c r="M96" s="296">
        <f>'No. of Students Trained'!M67*VLOOKUP('No. of Students Trained'!$C$67,'Capacity Utilization '!$C$5:$D$8,2,FALSE)+'No. of Students Trained'!M68*'Capacity Utilization '!$D$6+'No. of Students Trained'!M69*'Capacity Utilization '!$D$7+'No. of Students Trained'!M70*'Capacity Utilization '!$D$8</f>
        <v>2510</v>
      </c>
      <c r="N96" s="296">
        <f>'No. of Students Trained'!N67*VLOOKUP('No. of Students Trained'!$C$67,'Capacity Utilization '!$C$5:$D$8,2,FALSE)+'No. of Students Trained'!N68*'Capacity Utilization '!$D$6+'No. of Students Trained'!N69*'Capacity Utilization '!$D$7+'No. of Students Trained'!N70*'Capacity Utilization '!$D$8</f>
        <v>2510</v>
      </c>
      <c r="O96" s="296">
        <f>'No. of Students Trained'!O67*VLOOKUP('No. of Students Trained'!$C$67,'Capacity Utilization '!$C$5:$D$8,2,FALSE)+'No. of Students Trained'!O68*'Capacity Utilization '!$D$6+'No. of Students Trained'!O69*'Capacity Utilization '!$D$7+'No. of Students Trained'!O70*'Capacity Utilization '!$D$8</f>
        <v>2510</v>
      </c>
      <c r="P96" s="296">
        <f>'No. of Students Trained'!P67*VLOOKUP('No. of Students Trained'!$C$67,'Capacity Utilization '!$C$5:$D$8,2,FALSE)+'No. of Students Trained'!P68*'Capacity Utilization '!$D$6+'No. of Students Trained'!P69*'Capacity Utilization '!$D$7+'No. of Students Trained'!P70*'Capacity Utilization '!$D$8</f>
        <v>10040</v>
      </c>
      <c r="Q96" s="296">
        <f>'No. of Students Trained'!Q67*VLOOKUP('No. of Students Trained'!$C$67,'Capacity Utilization '!$C$5:$D$8,2,FALSE)+'No. of Students Trained'!Q68*'Capacity Utilization '!$D$6+'No. of Students Trained'!Q69*'Capacity Utilization '!$D$7+'No. of Students Trained'!Q70*'Capacity Utilization '!$D$8</f>
        <v>10040</v>
      </c>
      <c r="R96" s="296">
        <f>'No. of Students Trained'!R67*VLOOKUP('No. of Students Trained'!$C$67,'Capacity Utilization '!$C$5:$D$8,2,FALSE)+'No. of Students Trained'!R68*'Capacity Utilization '!$D$6+'No. of Students Trained'!R69*'Capacity Utilization '!$D$7+'No. of Students Trained'!R70*'Capacity Utilization '!$D$8</f>
        <v>10040</v>
      </c>
      <c r="S96" s="296">
        <f>'No. of Students Trained'!S67*VLOOKUP('No. of Students Trained'!$C$67,'Capacity Utilization '!$C$5:$D$8,2,FALSE)+'No. of Students Trained'!S68*'Capacity Utilization '!$D$6+'No. of Students Trained'!S69*'Capacity Utilization '!$D$7+'No. of Students Trained'!S70*'Capacity Utilization '!$D$8</f>
        <v>10040</v>
      </c>
    </row>
    <row r="97" spans="1:19" ht="15.75" thickBot="1">
      <c r="A97" s="18"/>
      <c r="B97" s="395"/>
      <c r="C97" s="269" t="s">
        <v>125</v>
      </c>
      <c r="D97" s="299"/>
      <c r="E97" s="291"/>
      <c r="F97" s="291"/>
      <c r="G97" s="303"/>
      <c r="H97" s="295"/>
      <c r="I97" s="291"/>
      <c r="J97" s="291"/>
      <c r="K97" s="303"/>
      <c r="L97" s="295"/>
      <c r="M97" s="305">
        <f t="shared" ref="M97:N97" si="67">M96/M95</f>
        <v>0.72627314814814814</v>
      </c>
      <c r="N97" s="305">
        <f t="shared" si="67"/>
        <v>0.72627314814814814</v>
      </c>
      <c r="O97" s="305">
        <f t="shared" ref="O97:P97" si="68">O96/O95</f>
        <v>0.72627314814814814</v>
      </c>
      <c r="P97" s="305">
        <f t="shared" si="68"/>
        <v>0.72627314814814814</v>
      </c>
      <c r="Q97" s="305">
        <f t="shared" ref="Q97:S97" si="69">Q96/Q95</f>
        <v>0.72627314814814814</v>
      </c>
      <c r="R97" s="305">
        <f t="shared" si="69"/>
        <v>0.72627314814814814</v>
      </c>
      <c r="S97" s="305">
        <f t="shared" si="69"/>
        <v>0.72627314814814814</v>
      </c>
    </row>
    <row r="98" spans="1:19">
      <c r="A98" s="18"/>
      <c r="B98" s="393" t="str">
        <f>B48</f>
        <v>Panchkula</v>
      </c>
      <c r="C98" s="307" t="s">
        <v>123</v>
      </c>
      <c r="D98" s="300"/>
      <c r="E98" s="287"/>
      <c r="F98" s="287"/>
      <c r="G98" s="301"/>
      <c r="H98" s="273"/>
      <c r="I98" s="287"/>
      <c r="J98" s="287"/>
      <c r="K98" s="301"/>
      <c r="L98" s="273"/>
      <c r="M98" s="294">
        <f>($C$48+$D$48)*$C$25*6*4*3</f>
        <v>3456</v>
      </c>
      <c r="N98" s="294">
        <f t="shared" ref="N98:O98" si="70">($C$48+$D$48)*$C$25*6*4*3</f>
        <v>3456</v>
      </c>
      <c r="O98" s="294">
        <f t="shared" si="70"/>
        <v>3456</v>
      </c>
      <c r="P98" s="294">
        <f>($C$48+$D$48)*$C$25*6*4*12</f>
        <v>13824</v>
      </c>
      <c r="Q98" s="294">
        <f>($C$48+$D$48)*$C$25*6*4*12</f>
        <v>13824</v>
      </c>
      <c r="R98" s="294">
        <f t="shared" ref="R98:S98" si="71">($C$48+$D$48)*$C$25*6*4*12</f>
        <v>13824</v>
      </c>
      <c r="S98" s="294">
        <f t="shared" si="71"/>
        <v>13824</v>
      </c>
    </row>
    <row r="99" spans="1:19">
      <c r="A99" s="18"/>
      <c r="B99" s="394"/>
      <c r="C99" s="268" t="s">
        <v>124</v>
      </c>
      <c r="D99" s="298"/>
      <c r="E99" s="286"/>
      <c r="F99" s="286"/>
      <c r="G99" s="302"/>
      <c r="H99" s="274"/>
      <c r="I99" s="286"/>
      <c r="J99" s="286"/>
      <c r="K99" s="302"/>
      <c r="L99" s="274"/>
      <c r="M99" s="296">
        <f>'No. of Students Trained'!M71*VLOOKUP('No. of Students Trained'!$C$71,'Capacity Utilization '!$C$5:$D$8,2,FALSE)+'No. of Students Trained'!M72*'Capacity Utilization '!$D$6+'No. of Students Trained'!M73*'Capacity Utilization '!$D$7+'No. of Students Trained'!M74*'Capacity Utilization '!$D$8</f>
        <v>2460</v>
      </c>
      <c r="N99" s="296">
        <f>'No. of Students Trained'!N71*VLOOKUP('No. of Students Trained'!$C$71,'Capacity Utilization '!$C$5:$D$8,2,FALSE)+'No. of Students Trained'!N72*'Capacity Utilization '!$D$6+'No. of Students Trained'!N73*'Capacity Utilization '!$D$7+'No. of Students Trained'!N74*'Capacity Utilization '!$D$8</f>
        <v>2460</v>
      </c>
      <c r="O99" s="296">
        <f>'No. of Students Trained'!O71*VLOOKUP('No. of Students Trained'!$C$71,'Capacity Utilization '!$C$5:$D$8,2,FALSE)+'No. of Students Trained'!O72*'Capacity Utilization '!$D$6+'No. of Students Trained'!O73*'Capacity Utilization '!$D$7+'No. of Students Trained'!O74*'Capacity Utilization '!$D$8</f>
        <v>2460</v>
      </c>
      <c r="P99" s="296">
        <f>'No. of Students Trained'!P71*VLOOKUP('No. of Students Trained'!$C$71,'Capacity Utilization '!$C$5:$D$8,2,FALSE)+'No. of Students Trained'!P72*'Capacity Utilization '!$D$6+'No. of Students Trained'!P73*'Capacity Utilization '!$D$7+'No. of Students Trained'!P74*'Capacity Utilization '!$D$8</f>
        <v>9840</v>
      </c>
      <c r="Q99" s="296">
        <f>'No. of Students Trained'!Q71*VLOOKUP('No. of Students Trained'!$C$71,'Capacity Utilization '!$C$5:$D$8,2,FALSE)+'No. of Students Trained'!Q72*'Capacity Utilization '!$D$6+'No. of Students Trained'!Q73*'Capacity Utilization '!$D$7+'No. of Students Trained'!Q74*'Capacity Utilization '!$D$8</f>
        <v>9840</v>
      </c>
      <c r="R99" s="296">
        <f>'No. of Students Trained'!R71*VLOOKUP('No. of Students Trained'!$C$71,'Capacity Utilization '!$C$5:$D$8,2,FALSE)+'No. of Students Trained'!R72*'Capacity Utilization '!$D$6+'No. of Students Trained'!R73*'Capacity Utilization '!$D$7+'No. of Students Trained'!R74*'Capacity Utilization '!$D$8</f>
        <v>9840</v>
      </c>
      <c r="S99" s="296">
        <f>'No. of Students Trained'!S71*VLOOKUP('No. of Students Trained'!$C$71,'Capacity Utilization '!$C$5:$D$8,2,FALSE)+'No. of Students Trained'!S72*'Capacity Utilization '!$D$6+'No. of Students Trained'!S73*'Capacity Utilization '!$D$7+'No. of Students Trained'!S74*'Capacity Utilization '!$D$8</f>
        <v>9840</v>
      </c>
    </row>
    <row r="100" spans="1:19" ht="15.75" thickBot="1">
      <c r="A100" s="18"/>
      <c r="B100" s="395"/>
      <c r="C100" s="269" t="s">
        <v>125</v>
      </c>
      <c r="D100" s="299"/>
      <c r="E100" s="291"/>
      <c r="F100" s="291"/>
      <c r="G100" s="303"/>
      <c r="H100" s="295"/>
      <c r="I100" s="291"/>
      <c r="J100" s="291"/>
      <c r="K100" s="303"/>
      <c r="L100" s="295"/>
      <c r="M100" s="305">
        <f>M99/M98</f>
        <v>0.71180555555555558</v>
      </c>
      <c r="N100" s="305">
        <f>N99/N98</f>
        <v>0.71180555555555558</v>
      </c>
      <c r="O100" s="305">
        <f>O99/O98</f>
        <v>0.71180555555555558</v>
      </c>
      <c r="P100" s="305">
        <f>P99/P98</f>
        <v>0.71180555555555558</v>
      </c>
      <c r="Q100" s="305">
        <f>Q99/Q98</f>
        <v>0.71180555555555558</v>
      </c>
      <c r="R100" s="305">
        <f t="shared" ref="R100:S100" si="72">R99/R98</f>
        <v>0.71180555555555558</v>
      </c>
      <c r="S100" s="305">
        <f t="shared" si="72"/>
        <v>0.71180555555555558</v>
      </c>
    </row>
    <row r="101" spans="1:19">
      <c r="A101" s="18"/>
      <c r="B101" s="393" t="str">
        <f>B49</f>
        <v>Ambala</v>
      </c>
      <c r="C101" s="307" t="s">
        <v>123</v>
      </c>
      <c r="D101" s="300"/>
      <c r="E101" s="287"/>
      <c r="F101" s="287"/>
      <c r="G101" s="301"/>
      <c r="H101" s="273"/>
      <c r="I101" s="287"/>
      <c r="J101" s="287"/>
      <c r="K101" s="301"/>
      <c r="L101" s="273"/>
      <c r="M101" s="294">
        <f>($C$49+$D$49)*$C$26*6*4*3</f>
        <v>3456</v>
      </c>
      <c r="N101" s="294">
        <f t="shared" ref="N101:O101" si="73">($C$49+$D$49)*$C$26*6*4*3</f>
        <v>3456</v>
      </c>
      <c r="O101" s="294">
        <f t="shared" si="73"/>
        <v>3456</v>
      </c>
      <c r="P101" s="294">
        <f t="shared" ref="P101:S101" si="74">($C$49+$D$49)*$C$26*6*4*12</f>
        <v>13824</v>
      </c>
      <c r="Q101" s="294">
        <f t="shared" si="74"/>
        <v>13824</v>
      </c>
      <c r="R101" s="294">
        <f t="shared" si="74"/>
        <v>13824</v>
      </c>
      <c r="S101" s="294">
        <f t="shared" si="74"/>
        <v>13824</v>
      </c>
    </row>
    <row r="102" spans="1:19">
      <c r="A102" s="18"/>
      <c r="B102" s="394"/>
      <c r="C102" s="268" t="s">
        <v>124</v>
      </c>
      <c r="D102" s="298"/>
      <c r="E102" s="286"/>
      <c r="F102" s="286"/>
      <c r="G102" s="302"/>
      <c r="H102" s="274"/>
      <c r="I102" s="286"/>
      <c r="J102" s="286"/>
      <c r="K102" s="302"/>
      <c r="L102" s="274"/>
      <c r="M102" s="296">
        <f>'No. of Students Trained'!M75*VLOOKUP('No. of Students Trained'!$C$75,'Capacity Utilization '!$C$5:$D$8,2,FALSE)+'No. of Students Trained'!M76*'Capacity Utilization '!$D$6+'No. of Students Trained'!M77*'Capacity Utilization '!$D$7+'No. of Students Trained'!M78*'Capacity Utilization '!$D$8</f>
        <v>2460</v>
      </c>
      <c r="N102" s="296">
        <f>'No. of Students Trained'!N75*VLOOKUP('No. of Students Trained'!$C$75,'Capacity Utilization '!$C$5:$D$8,2,FALSE)+'No. of Students Trained'!N76*'Capacity Utilization '!$D$6+'No. of Students Trained'!N77*'Capacity Utilization '!$D$7+'No. of Students Trained'!N78*'Capacity Utilization '!$D$8</f>
        <v>2460</v>
      </c>
      <c r="O102" s="296">
        <f>'No. of Students Trained'!O75*VLOOKUP('No. of Students Trained'!$C$75,'Capacity Utilization '!$C$5:$D$8,2,FALSE)+'No. of Students Trained'!O76*'Capacity Utilization '!$D$6+'No. of Students Trained'!O77*'Capacity Utilization '!$D$7+'No. of Students Trained'!O78*'Capacity Utilization '!$D$8</f>
        <v>2460</v>
      </c>
      <c r="P102" s="296">
        <f>'No. of Students Trained'!P75*VLOOKUP('No. of Students Trained'!$C$75,'Capacity Utilization '!$C$5:$D$8,2,FALSE)+'No. of Students Trained'!P76*'Capacity Utilization '!$D$6+'No. of Students Trained'!P77*'Capacity Utilization '!$D$7+'No. of Students Trained'!P78*'Capacity Utilization '!$D$8</f>
        <v>9840</v>
      </c>
      <c r="Q102" s="296">
        <f>'No. of Students Trained'!Q75*VLOOKUP('No. of Students Trained'!$C$75,'Capacity Utilization '!$C$5:$D$8,2,FALSE)+'No. of Students Trained'!Q76*'Capacity Utilization '!$D$6+'No. of Students Trained'!Q77*'Capacity Utilization '!$D$7+'No. of Students Trained'!Q78*'Capacity Utilization '!$D$8</f>
        <v>9840</v>
      </c>
      <c r="R102" s="296">
        <f>'No. of Students Trained'!R75*VLOOKUP('No. of Students Trained'!$C$75,'Capacity Utilization '!$C$5:$D$8,2,FALSE)+'No. of Students Trained'!R76*'Capacity Utilization '!$D$6+'No. of Students Trained'!R77*'Capacity Utilization '!$D$7+'No. of Students Trained'!R78*'Capacity Utilization '!$D$8</f>
        <v>9840</v>
      </c>
      <c r="S102" s="296">
        <f>'No. of Students Trained'!S75*VLOOKUP('No. of Students Trained'!$C$75,'Capacity Utilization '!$C$5:$D$8,2,FALSE)+'No. of Students Trained'!S76*'Capacity Utilization '!$D$6+'No. of Students Trained'!S77*'Capacity Utilization '!$D$7+'No. of Students Trained'!S78*'Capacity Utilization '!$D$8</f>
        <v>9840</v>
      </c>
    </row>
    <row r="103" spans="1:19" ht="15.75" thickBot="1">
      <c r="A103" s="18"/>
      <c r="B103" s="395"/>
      <c r="C103" s="269" t="s">
        <v>125</v>
      </c>
      <c r="D103" s="299"/>
      <c r="E103" s="291"/>
      <c r="F103" s="291"/>
      <c r="G103" s="303"/>
      <c r="H103" s="295"/>
      <c r="I103" s="291"/>
      <c r="J103" s="291"/>
      <c r="K103" s="303"/>
      <c r="L103" s="295"/>
      <c r="M103" s="305">
        <f t="shared" ref="M103" si="75">M102/M101</f>
        <v>0.71180555555555558</v>
      </c>
      <c r="N103" s="305">
        <f t="shared" ref="N103:O103" si="76">N102/N101</f>
        <v>0.71180555555555558</v>
      </c>
      <c r="O103" s="305">
        <f t="shared" si="76"/>
        <v>0.71180555555555558</v>
      </c>
      <c r="P103" s="305">
        <f t="shared" ref="P103:Q103" si="77">P102/P101</f>
        <v>0.71180555555555558</v>
      </c>
      <c r="Q103" s="305">
        <f t="shared" si="77"/>
        <v>0.71180555555555558</v>
      </c>
      <c r="R103" s="305">
        <f t="shared" ref="R103:S103" si="78">R102/R101</f>
        <v>0.71180555555555558</v>
      </c>
      <c r="S103" s="305">
        <f t="shared" si="78"/>
        <v>0.71180555555555558</v>
      </c>
    </row>
    <row r="104" spans="1:19">
      <c r="A104" s="18"/>
      <c r="B104" s="393" t="str">
        <f>B50</f>
        <v>Delhi</v>
      </c>
      <c r="C104" s="307" t="s">
        <v>123</v>
      </c>
      <c r="D104" s="300"/>
      <c r="E104" s="287"/>
      <c r="F104" s="287"/>
      <c r="G104" s="301"/>
      <c r="H104" s="273"/>
      <c r="I104" s="287"/>
      <c r="J104" s="287"/>
      <c r="K104" s="301"/>
      <c r="L104" s="273"/>
      <c r="M104" s="287"/>
      <c r="N104" s="294">
        <f>($C$50+$D$50)*$C$27*6*4*3</f>
        <v>3456</v>
      </c>
      <c r="O104" s="294">
        <f>($C$50+$D$50)*$C$27*6*4*3</f>
        <v>3456</v>
      </c>
      <c r="P104" s="294">
        <f>($C$50+$D$50)*$C$27*6*4*12</f>
        <v>13824</v>
      </c>
      <c r="Q104" s="294">
        <f>($C$50+$D$50)*$C$27*6*4*12</f>
        <v>13824</v>
      </c>
      <c r="R104" s="294">
        <f>($C$50+$D$50)*$C$27*6*4*12</f>
        <v>13824</v>
      </c>
      <c r="S104" s="294">
        <f>($C$50+$D$50)*$C$27*6*4*12</f>
        <v>13824</v>
      </c>
    </row>
    <row r="105" spans="1:19">
      <c r="A105" s="18"/>
      <c r="B105" s="394"/>
      <c r="C105" s="268" t="s">
        <v>124</v>
      </c>
      <c r="D105" s="298"/>
      <c r="E105" s="286"/>
      <c r="F105" s="286"/>
      <c r="G105" s="302"/>
      <c r="H105" s="274"/>
      <c r="I105" s="286"/>
      <c r="J105" s="286"/>
      <c r="K105" s="302"/>
      <c r="L105" s="274"/>
      <c r="M105" s="286"/>
      <c r="N105" s="296">
        <f>'No. of Students Trained'!N79*VLOOKUP('No. of Students Trained'!$C$79,'Capacity Utilization '!$C$5:$D$8,2,FALSE)+'No. of Students Trained'!N80*'Capacity Utilization '!$D$6+'No. of Students Trained'!N81*'Capacity Utilization '!$D$7+'No. of Students Trained'!N82*'Capacity Utilization '!$D$8</f>
        <v>2460</v>
      </c>
      <c r="O105" s="296">
        <f>'No. of Students Trained'!O79*VLOOKUP('No. of Students Trained'!$C$79,'Capacity Utilization '!$C$5:$D$8,2,FALSE)+'No. of Students Trained'!O80*'Capacity Utilization '!$D$6+'No. of Students Trained'!O81*'Capacity Utilization '!$D$7+'No. of Students Trained'!O82*'Capacity Utilization '!$D$8</f>
        <v>2460</v>
      </c>
      <c r="P105" s="296">
        <f>'No. of Students Trained'!P79*VLOOKUP('No. of Students Trained'!$C$79,'Capacity Utilization '!$C$5:$D$8,2,FALSE)+'No. of Students Trained'!P80*'Capacity Utilization '!$D$6+'No. of Students Trained'!P81*'Capacity Utilization '!$D$7+'No. of Students Trained'!P82*'Capacity Utilization '!$D$8</f>
        <v>9840</v>
      </c>
      <c r="Q105" s="296">
        <f>'No. of Students Trained'!Q79*VLOOKUP('No. of Students Trained'!$C$79,'Capacity Utilization '!$C$5:$D$8,2,FALSE)+'No. of Students Trained'!Q80*'Capacity Utilization '!$D$6+'No. of Students Trained'!Q81*'Capacity Utilization '!$D$7+'No. of Students Trained'!Q82*'Capacity Utilization '!$D$8</f>
        <v>9840</v>
      </c>
      <c r="R105" s="296">
        <f>'No. of Students Trained'!R79*VLOOKUP('No. of Students Trained'!$C$79,'Capacity Utilization '!$C$5:$D$8,2,FALSE)+'No. of Students Trained'!R80*'Capacity Utilization '!$D$6+'No. of Students Trained'!R81*'Capacity Utilization '!$D$7+'No. of Students Trained'!R82*'Capacity Utilization '!$D$8</f>
        <v>9840</v>
      </c>
      <c r="S105" s="296">
        <f>'No. of Students Trained'!S79*VLOOKUP('No. of Students Trained'!$C$79,'Capacity Utilization '!$C$5:$D$8,2,FALSE)+'No. of Students Trained'!S80*'Capacity Utilization '!$D$6+'No. of Students Trained'!S81*'Capacity Utilization '!$D$7+'No. of Students Trained'!S82*'Capacity Utilization '!$D$8</f>
        <v>9840</v>
      </c>
    </row>
    <row r="106" spans="1:19" ht="15.75" thickBot="1">
      <c r="A106" s="18"/>
      <c r="B106" s="395"/>
      <c r="C106" s="269" t="s">
        <v>125</v>
      </c>
      <c r="D106" s="299"/>
      <c r="E106" s="291"/>
      <c r="F106" s="291"/>
      <c r="G106" s="303"/>
      <c r="H106" s="295"/>
      <c r="I106" s="291"/>
      <c r="J106" s="291"/>
      <c r="K106" s="303"/>
      <c r="L106" s="295"/>
      <c r="M106" s="291"/>
      <c r="N106" s="305">
        <f t="shared" ref="N106:O106" si="79">N105/N104</f>
        <v>0.71180555555555558</v>
      </c>
      <c r="O106" s="305">
        <f t="shared" si="79"/>
        <v>0.71180555555555558</v>
      </c>
      <c r="P106" s="305">
        <f t="shared" ref="P106:Q106" si="80">P105/P104</f>
        <v>0.71180555555555558</v>
      </c>
      <c r="Q106" s="305">
        <f t="shared" si="80"/>
        <v>0.71180555555555558</v>
      </c>
      <c r="R106" s="305">
        <f t="shared" ref="R106:S106" si="81">R105/R104</f>
        <v>0.71180555555555558</v>
      </c>
      <c r="S106" s="305">
        <f t="shared" si="81"/>
        <v>0.71180555555555558</v>
      </c>
    </row>
    <row r="107" spans="1:19">
      <c r="A107" s="18"/>
      <c r="B107" s="393" t="str">
        <f>B51</f>
        <v>Gurgaon</v>
      </c>
      <c r="C107" s="307" t="s">
        <v>123</v>
      </c>
      <c r="D107" s="300"/>
      <c r="E107" s="287"/>
      <c r="F107" s="287"/>
      <c r="G107" s="301"/>
      <c r="H107" s="273"/>
      <c r="I107" s="287"/>
      <c r="J107" s="287"/>
      <c r="K107" s="301"/>
      <c r="L107" s="273"/>
      <c r="M107" s="287"/>
      <c r="N107" s="294">
        <f>($C$51+$D$51)*$C$28*6*4*3</f>
        <v>3456</v>
      </c>
      <c r="O107" s="294">
        <f>($C$51+$D$51)*$C$28*6*4*3</f>
        <v>3456</v>
      </c>
      <c r="P107" s="294">
        <f>($C$51+$D$51)*$C$28*6*4*12</f>
        <v>13824</v>
      </c>
      <c r="Q107" s="294">
        <f>($C$51+$D$51)*$C$28*6*4*12</f>
        <v>13824</v>
      </c>
      <c r="R107" s="294">
        <f>($C$51+$D$51)*$C$28*6*4*12</f>
        <v>13824</v>
      </c>
      <c r="S107" s="294">
        <f>($C$51+$D$51)*$C$28*6*4*12</f>
        <v>13824</v>
      </c>
    </row>
    <row r="108" spans="1:19">
      <c r="A108" s="18"/>
      <c r="B108" s="394"/>
      <c r="C108" s="268" t="s">
        <v>124</v>
      </c>
      <c r="D108" s="298"/>
      <c r="E108" s="286"/>
      <c r="F108" s="286"/>
      <c r="G108" s="302"/>
      <c r="H108" s="274"/>
      <c r="I108" s="286"/>
      <c r="J108" s="286"/>
      <c r="K108" s="302"/>
      <c r="L108" s="274"/>
      <c r="M108" s="286"/>
      <c r="N108" s="296">
        <f>'No. of Students Trained'!N83*VLOOKUP('No. of Students Trained'!$C$83,'Capacity Utilization '!$C$5:$D$8,2,FALSE)+'No. of Students Trained'!N84*'Capacity Utilization '!$D$6+'No. of Students Trained'!N85*'Capacity Utilization '!$D$7+'No. of Students Trained'!N86*'Capacity Utilization '!$D$8</f>
        <v>2110</v>
      </c>
      <c r="O108" s="296">
        <f>'No. of Students Trained'!O83*VLOOKUP('No. of Students Trained'!$C$83,'Capacity Utilization '!$C$5:$D$8,2,FALSE)+'No. of Students Trained'!O84*'Capacity Utilization '!$D$6+'No. of Students Trained'!O85*'Capacity Utilization '!$D$7+'No. of Students Trained'!O86*'Capacity Utilization '!$D$8</f>
        <v>2110</v>
      </c>
      <c r="P108" s="296">
        <f>'No. of Students Trained'!P83*VLOOKUP('No. of Students Trained'!$C$83,'Capacity Utilization '!$C$5:$D$8,2,FALSE)+'No. of Students Trained'!P84*'Capacity Utilization '!$D$6+'No. of Students Trained'!P85*'Capacity Utilization '!$D$7+'No. of Students Trained'!P86*'Capacity Utilization '!$D$8</f>
        <v>8440</v>
      </c>
      <c r="Q108" s="296">
        <f>'No. of Students Trained'!Q83*VLOOKUP('No. of Students Trained'!$C$83,'Capacity Utilization '!$C$5:$D$8,2,FALSE)+'No. of Students Trained'!Q84*'Capacity Utilization '!$D$6+'No. of Students Trained'!Q85*'Capacity Utilization '!$D$7+'No. of Students Trained'!Q86*'Capacity Utilization '!$D$8</f>
        <v>8440</v>
      </c>
      <c r="R108" s="296">
        <f>'No. of Students Trained'!R83*VLOOKUP('No. of Students Trained'!$C$83,'Capacity Utilization '!$C$5:$D$8,2,FALSE)+'No. of Students Trained'!R84*'Capacity Utilization '!$D$6+'No. of Students Trained'!R85*'Capacity Utilization '!$D$7+'No. of Students Trained'!R86*'Capacity Utilization '!$D$8</f>
        <v>8440</v>
      </c>
      <c r="S108" s="296">
        <f>'No. of Students Trained'!S83*VLOOKUP('No. of Students Trained'!$C$83,'Capacity Utilization '!$C$5:$D$8,2,FALSE)+'No. of Students Trained'!S84*'Capacity Utilization '!$D$6+'No. of Students Trained'!S85*'Capacity Utilization '!$D$7+'No. of Students Trained'!S86*'Capacity Utilization '!$D$8</f>
        <v>8440</v>
      </c>
    </row>
    <row r="109" spans="1:19" ht="15.75" thickBot="1">
      <c r="A109" s="18"/>
      <c r="B109" s="395"/>
      <c r="C109" s="269" t="s">
        <v>125</v>
      </c>
      <c r="D109" s="299"/>
      <c r="E109" s="291"/>
      <c r="F109" s="291"/>
      <c r="G109" s="303"/>
      <c r="H109" s="295"/>
      <c r="I109" s="291"/>
      <c r="J109" s="291"/>
      <c r="K109" s="303"/>
      <c r="L109" s="295"/>
      <c r="M109" s="291"/>
      <c r="N109" s="305">
        <f t="shared" ref="N109:O109" si="82">N108/N107</f>
        <v>0.61053240740740744</v>
      </c>
      <c r="O109" s="305">
        <f t="shared" si="82"/>
        <v>0.61053240740740744</v>
      </c>
      <c r="P109" s="305">
        <f t="shared" ref="P109:Q109" si="83">P108/P107</f>
        <v>0.61053240740740744</v>
      </c>
      <c r="Q109" s="305">
        <f t="shared" si="83"/>
        <v>0.61053240740740744</v>
      </c>
      <c r="R109" s="305">
        <f t="shared" ref="R109:S109" si="84">R108/R107</f>
        <v>0.61053240740740744</v>
      </c>
      <c r="S109" s="305">
        <f t="shared" si="84"/>
        <v>0.61053240740740744</v>
      </c>
    </row>
    <row r="110" spans="1:19">
      <c r="A110" s="18"/>
      <c r="B110" s="393" t="str">
        <f>B52</f>
        <v>Ghaziabad</v>
      </c>
      <c r="C110" s="307" t="s">
        <v>123</v>
      </c>
      <c r="D110" s="300"/>
      <c r="E110" s="287"/>
      <c r="F110" s="287"/>
      <c r="G110" s="301"/>
      <c r="H110" s="273"/>
      <c r="I110" s="287"/>
      <c r="J110" s="287"/>
      <c r="K110" s="301"/>
      <c r="L110" s="273"/>
      <c r="M110" s="287"/>
      <c r="N110" s="294">
        <f>($C$52+$D$52)*$C$29*6*4*3</f>
        <v>3456</v>
      </c>
      <c r="O110" s="294">
        <f>($C$52+$D$52)*$C$29*6*4*3</f>
        <v>3456</v>
      </c>
      <c r="P110" s="294">
        <f>($C$52+$D$52)*$C$29*6*4*12</f>
        <v>13824</v>
      </c>
      <c r="Q110" s="294">
        <f>($C$52+$D$52)*$C$29*6*4*12</f>
        <v>13824</v>
      </c>
      <c r="R110" s="294">
        <f>($C$52+$D$52)*$C$29*6*4*12</f>
        <v>13824</v>
      </c>
      <c r="S110" s="294">
        <f>($C$52+$D$52)*$C$29*6*4*12</f>
        <v>13824</v>
      </c>
    </row>
    <row r="111" spans="1:19">
      <c r="A111" s="18"/>
      <c r="B111" s="394"/>
      <c r="C111" s="268" t="s">
        <v>124</v>
      </c>
      <c r="D111" s="298"/>
      <c r="E111" s="286"/>
      <c r="F111" s="286"/>
      <c r="G111" s="302"/>
      <c r="H111" s="274"/>
      <c r="I111" s="286"/>
      <c r="J111" s="286"/>
      <c r="K111" s="302"/>
      <c r="L111" s="274"/>
      <c r="M111" s="286"/>
      <c r="N111" s="296">
        <f>'No. of Students Trained'!N87*VLOOKUP('No. of Students Trained'!$C$87,'Capacity Utilization '!$C$5:$D$8,2,FALSE)+'No. of Students Trained'!N88*'Capacity Utilization '!$D$6+'No. of Students Trained'!N89*'Capacity Utilization '!$D$7+'No. of Students Trained'!N90*'Capacity Utilization '!$D$8</f>
        <v>2460</v>
      </c>
      <c r="O111" s="296">
        <f>'No. of Students Trained'!O87*VLOOKUP('No. of Students Trained'!$C$87,'Capacity Utilization '!$C$5:$D$8,2,FALSE)+'No. of Students Trained'!O88*'Capacity Utilization '!$D$6+'No. of Students Trained'!O89*'Capacity Utilization '!$D$7+'No. of Students Trained'!O90*'Capacity Utilization '!$D$8</f>
        <v>2460</v>
      </c>
      <c r="P111" s="296">
        <f>'No. of Students Trained'!P87*VLOOKUP('No. of Students Trained'!$C$87,'Capacity Utilization '!$C$5:$D$8,2,FALSE)+'No. of Students Trained'!P88*'Capacity Utilization '!$D$6+'No. of Students Trained'!P89*'Capacity Utilization '!$D$7+'No. of Students Trained'!P90*'Capacity Utilization '!$D$8</f>
        <v>9840</v>
      </c>
      <c r="Q111" s="296">
        <f>'No. of Students Trained'!Q87*VLOOKUP('No. of Students Trained'!$C$87,'Capacity Utilization '!$C$5:$D$8,2,FALSE)+'No. of Students Trained'!Q88*'Capacity Utilization '!$D$6+'No. of Students Trained'!Q89*'Capacity Utilization '!$D$7+'No. of Students Trained'!Q90*'Capacity Utilization '!$D$8</f>
        <v>9840</v>
      </c>
      <c r="R111" s="296">
        <f>'No. of Students Trained'!R87*VLOOKUP('No. of Students Trained'!$C$87,'Capacity Utilization '!$C$5:$D$8,2,FALSE)+'No. of Students Trained'!R88*'Capacity Utilization '!$D$6+'No. of Students Trained'!R89*'Capacity Utilization '!$D$7+'No. of Students Trained'!R90*'Capacity Utilization '!$D$8</f>
        <v>9840</v>
      </c>
      <c r="S111" s="296">
        <f>'No. of Students Trained'!S87*VLOOKUP('No. of Students Trained'!$C$87,'Capacity Utilization '!$C$5:$D$8,2,FALSE)+'No. of Students Trained'!S88*'Capacity Utilization '!$D$6+'No. of Students Trained'!S89*'Capacity Utilization '!$D$7+'No. of Students Trained'!S90*'Capacity Utilization '!$D$8</f>
        <v>9840</v>
      </c>
    </row>
    <row r="112" spans="1:19" ht="15.75" thickBot="1">
      <c r="A112" s="18"/>
      <c r="B112" s="395"/>
      <c r="C112" s="269" t="s">
        <v>125</v>
      </c>
      <c r="D112" s="299"/>
      <c r="E112" s="291"/>
      <c r="F112" s="291"/>
      <c r="G112" s="303"/>
      <c r="H112" s="295"/>
      <c r="I112" s="291"/>
      <c r="J112" s="291"/>
      <c r="K112" s="303"/>
      <c r="L112" s="295"/>
      <c r="M112" s="291"/>
      <c r="N112" s="305">
        <f t="shared" ref="N112:O112" si="85">N111/N110</f>
        <v>0.71180555555555558</v>
      </c>
      <c r="O112" s="305">
        <f t="shared" si="85"/>
        <v>0.71180555555555558</v>
      </c>
      <c r="P112" s="305">
        <f t="shared" ref="P112:Q112" si="86">P111/P110</f>
        <v>0.71180555555555558</v>
      </c>
      <c r="Q112" s="305">
        <f t="shared" si="86"/>
        <v>0.71180555555555558</v>
      </c>
      <c r="R112" s="305">
        <f t="shared" ref="R112:S112" si="87">R111/R110</f>
        <v>0.71180555555555558</v>
      </c>
      <c r="S112" s="305">
        <f t="shared" si="87"/>
        <v>0.71180555555555558</v>
      </c>
    </row>
    <row r="113" spans="1:19">
      <c r="A113" s="18"/>
      <c r="B113" s="393" t="str">
        <f>B53</f>
        <v>Faridabad</v>
      </c>
      <c r="C113" s="307" t="s">
        <v>123</v>
      </c>
      <c r="D113" s="300"/>
      <c r="E113" s="287"/>
      <c r="F113" s="287"/>
      <c r="G113" s="301"/>
      <c r="H113" s="273"/>
      <c r="I113" s="287"/>
      <c r="J113" s="287"/>
      <c r="K113" s="301"/>
      <c r="L113" s="273"/>
      <c r="M113" s="287"/>
      <c r="N113" s="287"/>
      <c r="O113" s="294">
        <f>($C$53+$D$53)*$C$30*6*4*3</f>
        <v>3456</v>
      </c>
      <c r="P113" s="294">
        <f>($C$53+$D$53)*$C$30*6*4*12</f>
        <v>13824</v>
      </c>
      <c r="Q113" s="294">
        <f>($C$53+$D$53)*$C$30*6*4*12</f>
        <v>13824</v>
      </c>
      <c r="R113" s="294">
        <f>($C$53+$D$53)*$C$30*6*4*12</f>
        <v>13824</v>
      </c>
      <c r="S113" s="294">
        <f>($C$53+$D$53)*$C$30*6*4*12</f>
        <v>13824</v>
      </c>
    </row>
    <row r="114" spans="1:19">
      <c r="A114" s="18"/>
      <c r="B114" s="394"/>
      <c r="C114" s="268" t="s">
        <v>124</v>
      </c>
      <c r="D114" s="298"/>
      <c r="E114" s="286"/>
      <c r="F114" s="286"/>
      <c r="G114" s="302"/>
      <c r="H114" s="274"/>
      <c r="I114" s="286"/>
      <c r="J114" s="286"/>
      <c r="K114" s="302"/>
      <c r="L114" s="274"/>
      <c r="M114" s="286"/>
      <c r="N114" s="286"/>
      <c r="O114" s="296">
        <f>'No. of Students Trained'!O91*VLOOKUP('No. of Students Trained'!$C$91,'Capacity Utilization '!$C$5:$D$8,2,FALSE)+'No. of Students Trained'!O92*'Capacity Utilization '!$D$6+'No. of Students Trained'!O93*'Capacity Utilization '!$D$7+'No. of Students Trained'!O94*'Capacity Utilization '!$D$8</f>
        <v>2460</v>
      </c>
      <c r="P114" s="296">
        <f>'No. of Students Trained'!P91*VLOOKUP('No. of Students Trained'!$C$91,'Capacity Utilization '!$C$5:$D$8,2,FALSE)+'No. of Students Trained'!P92*'Capacity Utilization '!$D$6+'No. of Students Trained'!P93*'Capacity Utilization '!$D$7+'No. of Students Trained'!P94*'Capacity Utilization '!$D$8</f>
        <v>9840</v>
      </c>
      <c r="Q114" s="296">
        <f>'No. of Students Trained'!Q91*VLOOKUP('No. of Students Trained'!$C$91,'Capacity Utilization '!$C$5:$D$8,2,FALSE)+'No. of Students Trained'!Q92*'Capacity Utilization '!$D$6+'No. of Students Trained'!Q93*'Capacity Utilization '!$D$7+'No. of Students Trained'!Q94*'Capacity Utilization '!$D$8</f>
        <v>9840</v>
      </c>
      <c r="R114" s="296">
        <f>'No. of Students Trained'!R91*VLOOKUP('No. of Students Trained'!$C$91,'Capacity Utilization '!$C$5:$D$8,2,FALSE)+'No. of Students Trained'!R92*'Capacity Utilization '!$D$6+'No. of Students Trained'!R93*'Capacity Utilization '!$D$7+'No. of Students Trained'!R94*'Capacity Utilization '!$D$8</f>
        <v>9840</v>
      </c>
      <c r="S114" s="296">
        <f>'No. of Students Trained'!S91*VLOOKUP('No. of Students Trained'!$C$91,'Capacity Utilization '!$C$5:$D$8,2,FALSE)+'No. of Students Trained'!S92*'Capacity Utilization '!$D$6+'No. of Students Trained'!S93*'Capacity Utilization '!$D$7+'No. of Students Trained'!S94*'Capacity Utilization '!$D$8</f>
        <v>9840</v>
      </c>
    </row>
    <row r="115" spans="1:19" ht="15.75" thickBot="1">
      <c r="A115" s="18"/>
      <c r="B115" s="395"/>
      <c r="C115" s="269" t="s">
        <v>125</v>
      </c>
      <c r="D115" s="299"/>
      <c r="E115" s="291"/>
      <c r="F115" s="291"/>
      <c r="G115" s="303"/>
      <c r="H115" s="295"/>
      <c r="I115" s="291"/>
      <c r="J115" s="291"/>
      <c r="K115" s="303"/>
      <c r="L115" s="295"/>
      <c r="M115" s="291"/>
      <c r="N115" s="291"/>
      <c r="O115" s="305">
        <f t="shared" ref="O115" si="88">O114/O113</f>
        <v>0.71180555555555558</v>
      </c>
      <c r="P115" s="305">
        <f t="shared" ref="P115:Q115" si="89">P114/P113</f>
        <v>0.71180555555555558</v>
      </c>
      <c r="Q115" s="305">
        <f t="shared" si="89"/>
        <v>0.71180555555555558</v>
      </c>
      <c r="R115" s="305">
        <f t="shared" ref="R115:S115" si="90">R114/R113</f>
        <v>0.71180555555555558</v>
      </c>
      <c r="S115" s="305">
        <f t="shared" si="90"/>
        <v>0.71180555555555558</v>
      </c>
    </row>
    <row r="116" spans="1:19">
      <c r="A116" s="18"/>
      <c r="B116" s="393" t="str">
        <f>B54</f>
        <v>Noida</v>
      </c>
      <c r="C116" s="307" t="s">
        <v>123</v>
      </c>
      <c r="D116" s="300"/>
      <c r="E116" s="287"/>
      <c r="F116" s="287"/>
      <c r="G116" s="301"/>
      <c r="H116" s="273"/>
      <c r="I116" s="287"/>
      <c r="J116" s="287"/>
      <c r="K116" s="301"/>
      <c r="L116" s="273"/>
      <c r="M116" s="287"/>
      <c r="N116" s="287"/>
      <c r="O116" s="294">
        <f>($C$54+$D$54)*$C$31*6*4*3</f>
        <v>3456</v>
      </c>
      <c r="P116" s="294">
        <f>($C$54+$D$54)*$C$31*6*4*12</f>
        <v>13824</v>
      </c>
      <c r="Q116" s="294">
        <f>($C$54+$D$54)*$C$31*6*4*12</f>
        <v>13824</v>
      </c>
      <c r="R116" s="294">
        <f>($C$54+$D$54)*$C$31*6*4*12</f>
        <v>13824</v>
      </c>
      <c r="S116" s="294">
        <f>($C$54+$D$54)*$C$31*6*4*12</f>
        <v>13824</v>
      </c>
    </row>
    <row r="117" spans="1:19">
      <c r="A117" s="18"/>
      <c r="B117" s="394"/>
      <c r="C117" s="268" t="s">
        <v>124</v>
      </c>
      <c r="D117" s="298"/>
      <c r="E117" s="286"/>
      <c r="F117" s="286"/>
      <c r="G117" s="302"/>
      <c r="H117" s="274"/>
      <c r="I117" s="286"/>
      <c r="J117" s="286"/>
      <c r="K117" s="302"/>
      <c r="L117" s="274"/>
      <c r="M117" s="286"/>
      <c r="N117" s="286"/>
      <c r="O117" s="296">
        <f>'No. of Students Trained'!O95*VLOOKUP('No. of Students Trained'!$C$95,'Capacity Utilization '!$C$5:$D$8,2,FALSE)+'No. of Students Trained'!O96*'Capacity Utilization '!$D$6+'No. of Students Trained'!O97*'Capacity Utilization '!$D$7+'No. of Students Trained'!O98*'Capacity Utilization '!$D$8</f>
        <v>2460</v>
      </c>
      <c r="P117" s="296">
        <f>'No. of Students Trained'!P95*VLOOKUP('No. of Students Trained'!$C$95,'Capacity Utilization '!$C$5:$D$8,2,FALSE)+'No. of Students Trained'!P96*'Capacity Utilization '!$D$6+'No. of Students Trained'!P97*'Capacity Utilization '!$D$7+'No. of Students Trained'!P98*'Capacity Utilization '!$D$8</f>
        <v>9840</v>
      </c>
      <c r="Q117" s="296">
        <f>'No. of Students Trained'!Q95*VLOOKUP('No. of Students Trained'!$C$95,'Capacity Utilization '!$C$5:$D$8,2,FALSE)+'No. of Students Trained'!Q96*'Capacity Utilization '!$D$6+'No. of Students Trained'!Q97*'Capacity Utilization '!$D$7+'No. of Students Trained'!Q98*'Capacity Utilization '!$D$8</f>
        <v>9840</v>
      </c>
      <c r="R117" s="296">
        <f>'No. of Students Trained'!R95*VLOOKUP('No. of Students Trained'!$C$95,'Capacity Utilization '!$C$5:$D$8,2,FALSE)+'No. of Students Trained'!R96*'Capacity Utilization '!$D$6+'No. of Students Trained'!R97*'Capacity Utilization '!$D$7+'No. of Students Trained'!R98*'Capacity Utilization '!$D$8</f>
        <v>9840</v>
      </c>
      <c r="S117" s="296">
        <f>'No. of Students Trained'!S95*VLOOKUP('No. of Students Trained'!$C$95,'Capacity Utilization '!$C$5:$D$8,2,FALSE)+'No. of Students Trained'!S96*'Capacity Utilization '!$D$6+'No. of Students Trained'!S97*'Capacity Utilization '!$D$7+'No. of Students Trained'!S98*'Capacity Utilization '!$D$8</f>
        <v>9840</v>
      </c>
    </row>
    <row r="118" spans="1:19" ht="15.75" thickBot="1">
      <c r="A118" s="18"/>
      <c r="B118" s="395"/>
      <c r="C118" s="269" t="s">
        <v>125</v>
      </c>
      <c r="D118" s="299"/>
      <c r="E118" s="291"/>
      <c r="F118" s="291"/>
      <c r="G118" s="303"/>
      <c r="H118" s="295"/>
      <c r="I118" s="291"/>
      <c r="J118" s="291"/>
      <c r="K118" s="303"/>
      <c r="L118" s="295"/>
      <c r="M118" s="291"/>
      <c r="N118" s="291"/>
      <c r="O118" s="305">
        <f t="shared" ref="O118" si="91">O117/O116</f>
        <v>0.71180555555555558</v>
      </c>
      <c r="P118" s="305">
        <f t="shared" ref="P118:Q118" si="92">P117/P116</f>
        <v>0.71180555555555558</v>
      </c>
      <c r="Q118" s="305">
        <f t="shared" si="92"/>
        <v>0.71180555555555558</v>
      </c>
      <c r="R118" s="305">
        <f t="shared" ref="R118:S118" si="93">R117/R116</f>
        <v>0.71180555555555558</v>
      </c>
      <c r="S118" s="305">
        <f t="shared" si="93"/>
        <v>0.71180555555555558</v>
      </c>
    </row>
    <row r="119" spans="1:19">
      <c r="A119" s="18"/>
      <c r="B119" s="127" t="s">
        <v>300</v>
      </c>
      <c r="C119" s="114"/>
      <c r="D119" s="114"/>
      <c r="E119" s="114"/>
      <c r="F119" s="114"/>
      <c r="G119" s="114"/>
      <c r="S119" s="294"/>
    </row>
    <row r="120" spans="1:19">
      <c r="A120" s="18"/>
      <c r="B120" s="127" t="s">
        <v>333</v>
      </c>
      <c r="C120" s="114"/>
      <c r="D120" s="114"/>
      <c r="E120" s="114"/>
      <c r="F120" s="114"/>
      <c r="G120" s="114"/>
    </row>
    <row r="121" spans="1:19">
      <c r="B121" s="1" t="s">
        <v>334</v>
      </c>
    </row>
    <row r="122" spans="1:19">
      <c r="B122" s="27" t="s">
        <v>151</v>
      </c>
    </row>
  </sheetData>
  <mergeCells count="29">
    <mergeCell ref="B107:B109"/>
    <mergeCell ref="B110:B112"/>
    <mergeCell ref="B92:B94"/>
    <mergeCell ref="B95:B97"/>
    <mergeCell ref="B98:B100"/>
    <mergeCell ref="B101:B103"/>
    <mergeCell ref="B104:B106"/>
    <mergeCell ref="S57:S58"/>
    <mergeCell ref="B113:B115"/>
    <mergeCell ref="B116:B118"/>
    <mergeCell ref="H57:K57"/>
    <mergeCell ref="C57:C58"/>
    <mergeCell ref="P57:P58"/>
    <mergeCell ref="L57:O57"/>
    <mergeCell ref="B57:B58"/>
    <mergeCell ref="B59:B61"/>
    <mergeCell ref="B62:B64"/>
    <mergeCell ref="B65:B67"/>
    <mergeCell ref="D57:G57"/>
    <mergeCell ref="B68:B70"/>
    <mergeCell ref="B71:B73"/>
    <mergeCell ref="B89:B91"/>
    <mergeCell ref="B86:B88"/>
    <mergeCell ref="B74:B76"/>
    <mergeCell ref="B77:B79"/>
    <mergeCell ref="B83:B85"/>
    <mergeCell ref="Q57:Q58"/>
    <mergeCell ref="R57:R58"/>
    <mergeCell ref="B80:B82"/>
  </mergeCells>
  <hyperlinks>
    <hyperlink ref="B122" location="Index!A1" display="Back to Index"/>
  </hyperlinks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J31"/>
  <sheetViews>
    <sheetView showGridLines="0" topLeftCell="B1" zoomScale="84" zoomScaleNormal="84" workbookViewId="0">
      <selection activeCell="E23" sqref="E23"/>
    </sheetView>
  </sheetViews>
  <sheetFormatPr defaultRowHeight="15"/>
  <cols>
    <col min="1" max="1" width="6.28515625" customWidth="1"/>
    <col min="3" max="3" width="27.85546875" bestFit="1" customWidth="1"/>
    <col min="4" max="4" width="48" bestFit="1" customWidth="1"/>
    <col min="5" max="5" width="15.85546875" customWidth="1"/>
    <col min="6" max="6" width="7.5703125" customWidth="1"/>
    <col min="9" max="9" width="27.5703125" customWidth="1"/>
  </cols>
  <sheetData>
    <row r="1" spans="1:10" ht="23.25">
      <c r="A1" s="79" t="s">
        <v>254</v>
      </c>
    </row>
    <row r="2" spans="1:10">
      <c r="B2" s="342" t="s">
        <v>179</v>
      </c>
      <c r="C2" s="342"/>
      <c r="D2" s="342"/>
      <c r="E2" s="99"/>
    </row>
    <row r="3" spans="1:10">
      <c r="B3" s="342"/>
      <c r="C3" s="342"/>
      <c r="D3" s="342"/>
      <c r="E3" s="99"/>
    </row>
    <row r="4" spans="1:10">
      <c r="B4" s="342"/>
      <c r="C4" s="342"/>
      <c r="D4" s="342"/>
      <c r="E4" s="99"/>
    </row>
    <row r="5" spans="1:10" ht="1.5" customHeight="1" thickBot="1">
      <c r="B5" s="342"/>
      <c r="C5" s="342"/>
      <c r="D5" s="342"/>
      <c r="E5" s="99"/>
    </row>
    <row r="6" spans="1:10">
      <c r="B6" s="72"/>
      <c r="C6" s="71"/>
      <c r="D6" s="71"/>
      <c r="E6" s="71"/>
      <c r="F6" s="20"/>
    </row>
    <row r="7" spans="1:10">
      <c r="B7" s="21"/>
      <c r="C7" s="87" t="s">
        <v>180</v>
      </c>
      <c r="D7" s="87" t="s">
        <v>181</v>
      </c>
      <c r="E7" s="87" t="s">
        <v>255</v>
      </c>
      <c r="F7" s="23"/>
    </row>
    <row r="8" spans="1:10">
      <c r="B8" s="21"/>
      <c r="C8" s="73" t="s">
        <v>107</v>
      </c>
      <c r="D8" s="246" t="s">
        <v>187</v>
      </c>
      <c r="E8" s="96"/>
      <c r="F8" s="23"/>
    </row>
    <row r="9" spans="1:10">
      <c r="B9" s="21"/>
      <c r="C9" s="73" t="s">
        <v>138</v>
      </c>
      <c r="D9" s="246" t="s">
        <v>470</v>
      </c>
      <c r="E9" s="97"/>
      <c r="F9" s="23"/>
    </row>
    <row r="10" spans="1:10">
      <c r="B10" s="21"/>
      <c r="C10" s="73" t="s">
        <v>142</v>
      </c>
      <c r="D10" s="246" t="s">
        <v>470</v>
      </c>
      <c r="E10" s="97"/>
      <c r="F10" s="23"/>
    </row>
    <row r="11" spans="1:10">
      <c r="B11" s="21"/>
      <c r="C11" s="73" t="s">
        <v>143</v>
      </c>
      <c r="D11" s="246" t="s">
        <v>470</v>
      </c>
      <c r="E11" s="97"/>
      <c r="F11" s="23"/>
    </row>
    <row r="12" spans="1:10">
      <c r="B12" s="21"/>
      <c r="C12" s="73" t="s">
        <v>144</v>
      </c>
      <c r="D12" s="41" t="s">
        <v>182</v>
      </c>
      <c r="E12" s="97"/>
      <c r="F12" s="23"/>
    </row>
    <row r="13" spans="1:10" s="22" customFormat="1">
      <c r="B13" s="21"/>
      <c r="C13" s="73" t="s">
        <v>335</v>
      </c>
      <c r="D13" s="41" t="s">
        <v>189</v>
      </c>
      <c r="E13" s="97"/>
      <c r="F13" s="23"/>
    </row>
    <row r="14" spans="1:10">
      <c r="B14" s="21"/>
      <c r="C14" s="73" t="s">
        <v>43</v>
      </c>
      <c r="D14" s="41" t="s">
        <v>262</v>
      </c>
      <c r="E14" s="97"/>
      <c r="F14" s="23"/>
    </row>
    <row r="15" spans="1:10">
      <c r="B15" s="21"/>
      <c r="C15" s="73" t="s">
        <v>48</v>
      </c>
      <c r="D15" s="41" t="s">
        <v>221</v>
      </c>
      <c r="E15" s="97"/>
      <c r="F15" s="23"/>
      <c r="H15" t="s">
        <v>256</v>
      </c>
    </row>
    <row r="16" spans="1:10">
      <c r="B16" s="21"/>
      <c r="C16" s="73" t="s">
        <v>329</v>
      </c>
      <c r="D16" s="41" t="s">
        <v>330</v>
      </c>
      <c r="E16" s="98"/>
      <c r="F16" s="23"/>
      <c r="H16" s="96"/>
      <c r="I16" s="28" t="s">
        <v>257</v>
      </c>
      <c r="J16" s="1" t="s">
        <v>261</v>
      </c>
    </row>
    <row r="17" spans="2:9">
      <c r="B17" s="21"/>
      <c r="C17" s="73" t="s">
        <v>145</v>
      </c>
      <c r="D17" s="41" t="s">
        <v>186</v>
      </c>
      <c r="E17" s="98"/>
      <c r="F17" s="23"/>
    </row>
    <row r="18" spans="2:9">
      <c r="B18" s="21"/>
      <c r="C18" s="73" t="s">
        <v>149</v>
      </c>
      <c r="D18" s="41" t="s">
        <v>185</v>
      </c>
      <c r="E18" s="98"/>
      <c r="F18" s="23"/>
    </row>
    <row r="19" spans="2:9">
      <c r="B19" s="21"/>
      <c r="C19" s="73" t="s">
        <v>219</v>
      </c>
      <c r="D19" s="41" t="s">
        <v>220</v>
      </c>
      <c r="E19" s="98"/>
      <c r="F19" s="23"/>
    </row>
    <row r="20" spans="2:9">
      <c r="B20" s="21"/>
      <c r="C20" s="73" t="s">
        <v>459</v>
      </c>
      <c r="D20" s="41" t="s">
        <v>460</v>
      </c>
      <c r="E20" s="98"/>
      <c r="F20" s="23"/>
    </row>
    <row r="21" spans="2:9">
      <c r="B21" s="21"/>
      <c r="C21" s="73" t="s">
        <v>331</v>
      </c>
      <c r="D21" s="41" t="s">
        <v>332</v>
      </c>
      <c r="E21" s="100"/>
      <c r="F21" s="23"/>
    </row>
    <row r="22" spans="2:9">
      <c r="B22" s="21"/>
      <c r="C22" s="73" t="s">
        <v>146</v>
      </c>
      <c r="D22" s="41" t="s">
        <v>264</v>
      </c>
      <c r="E22" s="100"/>
      <c r="F22" s="23"/>
      <c r="H22" s="97"/>
      <c r="I22" s="28" t="s">
        <v>258</v>
      </c>
    </row>
    <row r="23" spans="2:9">
      <c r="B23" s="21"/>
      <c r="C23" s="73" t="s">
        <v>147</v>
      </c>
      <c r="D23" s="41" t="s">
        <v>268</v>
      </c>
      <c r="E23" s="100"/>
      <c r="F23" s="23"/>
      <c r="H23" s="98"/>
      <c r="I23" s="28" t="s">
        <v>259</v>
      </c>
    </row>
    <row r="24" spans="2:9">
      <c r="B24" s="21"/>
      <c r="C24" s="73" t="s">
        <v>148</v>
      </c>
      <c r="D24" s="41" t="s">
        <v>263</v>
      </c>
      <c r="E24" s="100"/>
      <c r="F24" s="23"/>
      <c r="H24" s="100"/>
      <c r="I24" s="28" t="s">
        <v>260</v>
      </c>
    </row>
    <row r="25" spans="2:9">
      <c r="B25" s="21"/>
      <c r="C25" s="73" t="s">
        <v>150</v>
      </c>
      <c r="D25" s="41" t="s">
        <v>183</v>
      </c>
      <c r="E25" s="100"/>
      <c r="F25" s="23"/>
    </row>
    <row r="26" spans="2:9">
      <c r="B26" s="21"/>
      <c r="C26" s="73" t="s">
        <v>349</v>
      </c>
      <c r="D26" s="41" t="s">
        <v>184</v>
      </c>
      <c r="E26" s="100"/>
      <c r="F26" s="23"/>
    </row>
    <row r="27" spans="2:9">
      <c r="B27" s="21"/>
      <c r="C27" s="73" t="s">
        <v>351</v>
      </c>
      <c r="D27" s="41" t="s">
        <v>352</v>
      </c>
      <c r="E27" s="100"/>
      <c r="F27" s="23"/>
    </row>
    <row r="28" spans="2:9">
      <c r="B28" s="21"/>
      <c r="C28" s="73" t="s">
        <v>188</v>
      </c>
      <c r="D28" s="41" t="s">
        <v>190</v>
      </c>
      <c r="E28" s="100"/>
      <c r="F28" s="23"/>
    </row>
    <row r="29" spans="2:9">
      <c r="B29" s="21"/>
      <c r="C29" s="73" t="s">
        <v>350</v>
      </c>
      <c r="D29" s="41" t="s">
        <v>193</v>
      </c>
      <c r="E29" s="100"/>
      <c r="F29" s="23"/>
    </row>
    <row r="30" spans="2:9">
      <c r="B30" s="21"/>
      <c r="C30" s="73" t="s">
        <v>461</v>
      </c>
      <c r="D30" s="41" t="s">
        <v>462</v>
      </c>
      <c r="E30" s="100"/>
      <c r="F30" s="23"/>
    </row>
    <row r="31" spans="2:9" ht="15.75" thickBot="1">
      <c r="B31" s="24"/>
      <c r="C31" s="25"/>
      <c r="D31" s="25"/>
      <c r="E31" s="25"/>
      <c r="F31" s="26"/>
    </row>
  </sheetData>
  <sheetProtection formatCells="0" formatColumns="0" formatRows="0" insertColumns="0" insertRows="0" insertHyperlinks="0" deleteColumns="0" deleteRows="0" sort="0" autoFilter="0" pivotTables="0"/>
  <mergeCells count="1">
    <mergeCell ref="B2:D5"/>
  </mergeCells>
  <hyperlinks>
    <hyperlink ref="C10" location="'P&amp;L Statement'!A1" display="P&amp;L Statement"/>
    <hyperlink ref="C11" location="'Cash Flow Statement'!A1" display="Cash Flow Statement"/>
    <hyperlink ref="C12" location="'Debt Repayment Schedule'!A1" display="Debt Repayment Schedule"/>
    <hyperlink ref="C17" location="'Revenue Schedule'!A1" display="Revenue Schedule "/>
    <hyperlink ref="C22" location="'No. of Students Trained'!A1" display="No. of Students Trained"/>
    <hyperlink ref="C24" location="'Capacity Utilization '!A1" display="Capacity Utilization"/>
    <hyperlink ref="C23" location="'Revenue Assumptions'!A1" display="Revenue Assumptions"/>
    <hyperlink ref="C18" location="'Operational Expenses'!A1" display="Operational Expenses"/>
    <hyperlink ref="C25" location="'Human Resources'!A1" display="Human Resources"/>
    <hyperlink ref="C26" location="'Other Opex'!A1" display="Other Operational Expenses"/>
    <hyperlink ref="C29" location="'Equipment-Lab Costs'!A1" display="Lab Equipment"/>
    <hyperlink ref="C14" location="Depreciation!A1" display="Depreciation"/>
    <hyperlink ref="C13" location="'Content Dev '!A1" display="Content Dev"/>
    <hyperlink ref="C15" location="Taxes!A1" display="Taxes"/>
    <hyperlink ref="C9" location="'Balance Sheet'!A1" display="Balance Sheet"/>
    <hyperlink ref="C8" location="Checklist!A1" display="Checklist"/>
    <hyperlink ref="C16" location="'Fund Utilization'!A1" display="Fund Utilization"/>
    <hyperlink ref="C21" location="'Key Assumptions'!A1" display="Key Assumptions"/>
    <hyperlink ref="C19" location="Capex!A1" display="Capex"/>
    <hyperlink ref="C28" location="'Capex per Unit'!A1" display="Capex per unit"/>
    <hyperlink ref="C27" location="'Other CA and CL'!A1" display="Other CA and CL"/>
    <hyperlink ref="C30" location="'Content Dev'!A1" display="Content Development"/>
    <hyperlink ref="C20" location="'CA and CL'!A1" display="CA and CL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20">
    <tabColor rgb="FFFF0000"/>
  </sheetPr>
  <dimension ref="A1:S51"/>
  <sheetViews>
    <sheetView topLeftCell="A10" zoomScale="82" zoomScaleNormal="82" workbookViewId="0">
      <selection activeCell="D33" sqref="D33"/>
    </sheetView>
  </sheetViews>
  <sheetFormatPr defaultRowHeight="15"/>
  <cols>
    <col min="3" max="3" width="34.85546875" customWidth="1"/>
    <col min="4" max="4" width="18.42578125" bestFit="1" customWidth="1"/>
    <col min="5" max="5" width="20.28515625" customWidth="1"/>
    <col min="6" max="6" width="14.7109375" customWidth="1"/>
    <col min="7" max="7" width="12.7109375" customWidth="1"/>
    <col min="8" max="8" width="14.140625" customWidth="1"/>
    <col min="9" max="9" width="14.140625" bestFit="1" customWidth="1"/>
    <col min="10" max="11" width="12" bestFit="1" customWidth="1"/>
    <col min="12" max="14" width="12" customWidth="1"/>
    <col min="15" max="15" width="12.7109375" customWidth="1"/>
    <col min="16" max="16" width="16.85546875" bestFit="1" customWidth="1"/>
    <col min="17" max="19" width="13.5703125" bestFit="1" customWidth="1"/>
  </cols>
  <sheetData>
    <row r="1" spans="1:19" ht="23.25">
      <c r="A1" s="79" t="s">
        <v>214</v>
      </c>
    </row>
    <row r="3" spans="1:19" ht="20.25" thickBot="1">
      <c r="A3" s="36" t="s">
        <v>102</v>
      </c>
    </row>
    <row r="4" spans="1:19" ht="18.75" thickTop="1" thickBot="1">
      <c r="A4" s="37" t="s">
        <v>101</v>
      </c>
      <c r="E4" s="1" t="s">
        <v>137</v>
      </c>
    </row>
    <row r="5" spans="1:19" ht="15.75" thickTop="1">
      <c r="B5" s="384" t="s">
        <v>109</v>
      </c>
      <c r="C5" s="384" t="s">
        <v>136</v>
      </c>
      <c r="D5" s="357" t="s">
        <v>6</v>
      </c>
      <c r="E5" s="357"/>
      <c r="F5" s="357"/>
      <c r="G5" s="357"/>
      <c r="H5" s="357" t="s">
        <v>7</v>
      </c>
      <c r="I5" s="357"/>
      <c r="J5" s="357"/>
      <c r="K5" s="357"/>
      <c r="L5" s="357" t="s">
        <v>8</v>
      </c>
      <c r="M5" s="357"/>
      <c r="N5" s="357"/>
      <c r="O5" s="357"/>
      <c r="P5" s="384" t="s">
        <v>9</v>
      </c>
      <c r="Q5" s="384" t="s">
        <v>10</v>
      </c>
      <c r="R5" s="384" t="s">
        <v>11</v>
      </c>
      <c r="S5" s="384" t="s">
        <v>12</v>
      </c>
    </row>
    <row r="6" spans="1:19">
      <c r="B6" s="385"/>
      <c r="C6" s="385"/>
      <c r="D6" s="75" t="s">
        <v>13</v>
      </c>
      <c r="E6" s="75" t="s">
        <v>14</v>
      </c>
      <c r="F6" s="75" t="s">
        <v>15</v>
      </c>
      <c r="G6" s="75" t="s">
        <v>16</v>
      </c>
      <c r="H6" s="75" t="s">
        <v>13</v>
      </c>
      <c r="I6" s="75" t="s">
        <v>14</v>
      </c>
      <c r="J6" s="75" t="s">
        <v>15</v>
      </c>
      <c r="K6" s="75" t="s">
        <v>16</v>
      </c>
      <c r="L6" s="156" t="s">
        <v>13</v>
      </c>
      <c r="M6" s="156" t="s">
        <v>14</v>
      </c>
      <c r="N6" s="156" t="s">
        <v>15</v>
      </c>
      <c r="O6" s="156" t="s">
        <v>16</v>
      </c>
      <c r="P6" s="385"/>
      <c r="Q6" s="385"/>
      <c r="R6" s="385"/>
      <c r="S6" s="385"/>
    </row>
    <row r="7" spans="1:19">
      <c r="B7" s="28" t="s">
        <v>376</v>
      </c>
      <c r="C7" s="168" t="s">
        <v>358</v>
      </c>
      <c r="D7" s="167">
        <f>$D16*$E16*3*'No. of Students Trained'!D$7*'Key Assumptions'!$C$49</f>
        <v>120000</v>
      </c>
      <c r="E7" s="167">
        <f>$D16*$E16*3*'No. of Students Trained'!E$7*'Key Assumptions'!$C$49</f>
        <v>240000</v>
      </c>
      <c r="F7" s="167">
        <f>$D16*$E16*3*'No. of Students Trained'!F$7*'Key Assumptions'!$C$49</f>
        <v>240000</v>
      </c>
      <c r="G7" s="167">
        <f>$D16*$E16*3*'No. of Students Trained'!G$7*'Key Assumptions'!$C$49</f>
        <v>360000</v>
      </c>
      <c r="H7" s="167">
        <f>$D16*$E16*3*'No. of Students Trained'!H$7*'Key Assumptions'!$D$49</f>
        <v>528000</v>
      </c>
      <c r="I7" s="167">
        <f>$D16*$E16*3*'No. of Students Trained'!I$7*'Key Assumptions'!$D$49</f>
        <v>792000.00000000012</v>
      </c>
      <c r="J7" s="167">
        <f>$D16*$E16*3*'No. of Students Trained'!J$7*'Key Assumptions'!$D$49</f>
        <v>792000.00000000012</v>
      </c>
      <c r="K7" s="167">
        <f>$D16*$E16*3*'No. of Students Trained'!K$7*'Key Assumptions'!$D$49</f>
        <v>1188000</v>
      </c>
      <c r="L7" s="167">
        <f>$D16*$E16*3*'No. of Students Trained'!L$7*'Key Assumptions'!$E$49</f>
        <v>1742400.0000000002</v>
      </c>
      <c r="M7" s="167">
        <f>$D16*$E16*3*'No. of Students Trained'!M$7*'Key Assumptions'!$E$49</f>
        <v>2178000.0000000005</v>
      </c>
      <c r="N7" s="167">
        <f>$D16*$E16*3*'No. of Students Trained'!N$7*'Key Assumptions'!$E$49</f>
        <v>2613600.0000000005</v>
      </c>
      <c r="O7" s="167">
        <f>$D16*$E16*3*'No. of Students Trained'!O$7*'Key Assumptions'!$E$49</f>
        <v>2904000.0000000005</v>
      </c>
      <c r="P7" s="167">
        <f>$D16*$E16*12*'No. of Students Trained'!P$7*'Key Assumptions'!F$49</f>
        <v>12777600.000000004</v>
      </c>
      <c r="Q7" s="167">
        <f>$D16*$E16*12*'No. of Students Trained'!Q$7*'Key Assumptions'!G$49</f>
        <v>14055360.000000006</v>
      </c>
      <c r="R7" s="167">
        <f>$D16*$E16*12*'No. of Students Trained'!R$7*'Key Assumptions'!H$49</f>
        <v>15460896.000000007</v>
      </c>
      <c r="S7" s="167">
        <f>$D16*$E16*12*'No. of Students Trained'!S$7*'Key Assumptions'!I$49</f>
        <v>17006985.600000009</v>
      </c>
    </row>
    <row r="8" spans="1:19">
      <c r="B8" s="28"/>
      <c r="C8" s="168" t="s">
        <v>99</v>
      </c>
      <c r="D8" s="167">
        <f>$D17*$E17*3*'No. of Students Trained'!D$7*'Key Assumptions'!$C$49</f>
        <v>210000</v>
      </c>
      <c r="E8" s="167">
        <f>$D17*$E17*3*'No. of Students Trained'!E$7*'Key Assumptions'!$C$49</f>
        <v>420000</v>
      </c>
      <c r="F8" s="167">
        <f>$D17*$E17*3*'No. of Students Trained'!F$7*'Key Assumptions'!$C$49</f>
        <v>420000</v>
      </c>
      <c r="G8" s="167">
        <f>$D17*$E17*3*'No. of Students Trained'!G$7*'Key Assumptions'!$C$49</f>
        <v>630000</v>
      </c>
      <c r="H8" s="167">
        <f>$D17*$E17*3*'No. of Students Trained'!H$7*'Key Assumptions'!$D$49</f>
        <v>924000.00000000012</v>
      </c>
      <c r="I8" s="167">
        <f>$D17*$E17*3*'No. of Students Trained'!I$7*'Key Assumptions'!$D$49</f>
        <v>1386000</v>
      </c>
      <c r="J8" s="167">
        <f>$D17*$E17*3*'No. of Students Trained'!J$7*'Key Assumptions'!$D$49</f>
        <v>1386000</v>
      </c>
      <c r="K8" s="167">
        <f>$D17*$E17*3*'No. of Students Trained'!K$7*'Key Assumptions'!$D$49</f>
        <v>2079000.0000000002</v>
      </c>
      <c r="L8" s="167">
        <f>$D17*$E17*3*'No. of Students Trained'!L$7*'Key Assumptions'!$E$49</f>
        <v>3049200.0000000005</v>
      </c>
      <c r="M8" s="167">
        <f>$D17*$E17*3*'No. of Students Trained'!M$7*'Key Assumptions'!$E$49</f>
        <v>3811500.0000000005</v>
      </c>
      <c r="N8" s="167">
        <f>$D17*$E17*3*'No. of Students Trained'!N$7*'Key Assumptions'!$E$49</f>
        <v>4573800.0000000009</v>
      </c>
      <c r="O8" s="167">
        <f>$D17*$E17*3*'No. of Students Trained'!O$7*'Key Assumptions'!$E$49</f>
        <v>5082000.0000000009</v>
      </c>
      <c r="P8" s="167">
        <f>$D17*$E17*12*'No. of Students Trained'!P$7*'Key Assumptions'!F$49</f>
        <v>22360800.000000007</v>
      </c>
      <c r="Q8" s="167">
        <f>$D17*$E17*12*'No. of Students Trained'!Q$7*'Key Assumptions'!G$49</f>
        <v>24596880.000000011</v>
      </c>
      <c r="R8" s="167">
        <f>$D17*$E17*12*'No. of Students Trained'!R$7*'Key Assumptions'!H$49</f>
        <v>27056568.000000011</v>
      </c>
      <c r="S8" s="167">
        <f>$D17*$E17*12*'No. of Students Trained'!S$7*'Key Assumptions'!I$49</f>
        <v>29762224.800000019</v>
      </c>
    </row>
    <row r="9" spans="1:19">
      <c r="B9" s="28"/>
      <c r="C9" s="168" t="s">
        <v>359</v>
      </c>
      <c r="D9" s="167">
        <f>$D18*$E18*3*'No. of Students Trained'!D$7*'Key Assumptions'!$C$49</f>
        <v>45000</v>
      </c>
      <c r="E9" s="167">
        <f>$D18*$E18*3*'No. of Students Trained'!E$7*'Key Assumptions'!$C$49</f>
        <v>90000</v>
      </c>
      <c r="F9" s="167">
        <f>$D18*$E18*3*'No. of Students Trained'!F$7*'Key Assumptions'!$C$49</f>
        <v>90000</v>
      </c>
      <c r="G9" s="167">
        <f>$D18*$E18*3*'No. of Students Trained'!G$7*'Key Assumptions'!$C$49</f>
        <v>135000</v>
      </c>
      <c r="H9" s="167">
        <f>$D18*$E18*3*'No. of Students Trained'!H$7*'Key Assumptions'!$D$49</f>
        <v>198000.00000000003</v>
      </c>
      <c r="I9" s="167">
        <f>$D18*$E18*3*'No. of Students Trained'!I$7*'Key Assumptions'!$D$49</f>
        <v>297000</v>
      </c>
      <c r="J9" s="167">
        <f>$D18*$E18*3*'No. of Students Trained'!J$7*'Key Assumptions'!$D$49</f>
        <v>297000</v>
      </c>
      <c r="K9" s="167">
        <f>$D18*$E18*3*'No. of Students Trained'!K$7*'Key Assumptions'!$D$49</f>
        <v>445500.00000000006</v>
      </c>
      <c r="L9" s="167">
        <f>$D18*$E18*3*'No. of Students Trained'!L$7*'Key Assumptions'!$E$49</f>
        <v>653400.00000000012</v>
      </c>
      <c r="M9" s="167">
        <f>$D18*$E18*3*'No. of Students Trained'!M$7*'Key Assumptions'!$E$49</f>
        <v>816750.00000000012</v>
      </c>
      <c r="N9" s="167">
        <f>$D18*$E18*3*'No. of Students Trained'!N$7*'Key Assumptions'!$E$49</f>
        <v>980100.00000000012</v>
      </c>
      <c r="O9" s="167">
        <f>$D18*$E18*3*'No. of Students Trained'!O$7*'Key Assumptions'!$E$49</f>
        <v>1089000.0000000002</v>
      </c>
      <c r="P9" s="167">
        <f>$D18*$E18*12*'No. of Students Trained'!P$7*'Key Assumptions'!F$49</f>
        <v>4791600.0000000019</v>
      </c>
      <c r="Q9" s="167">
        <f>$D18*$E18*12*'No. of Students Trained'!Q$7*'Key Assumptions'!G$49</f>
        <v>5270760.0000000019</v>
      </c>
      <c r="R9" s="167">
        <f>$D18*$E18*12*'No. of Students Trained'!R$7*'Key Assumptions'!H$49</f>
        <v>5797836.0000000028</v>
      </c>
      <c r="S9" s="167">
        <f>$D18*$E18*12*'No. of Students Trained'!S$7*'Key Assumptions'!I$49</f>
        <v>6377619.6000000034</v>
      </c>
    </row>
    <row r="10" spans="1:19">
      <c r="B10" s="28"/>
      <c r="C10" s="168" t="s">
        <v>360</v>
      </c>
      <c r="D10" s="167">
        <f>$D19*$E19*3*'No. of Students Trained'!D$7*'Key Assumptions'!$C$49</f>
        <v>42000</v>
      </c>
      <c r="E10" s="167">
        <f>$D19*$E19*3*'No. of Students Trained'!E$7*'Key Assumptions'!$C$49</f>
        <v>84000</v>
      </c>
      <c r="F10" s="167">
        <f>$D19*$E19*3*'No. of Students Trained'!F$7*'Key Assumptions'!$C$49</f>
        <v>84000</v>
      </c>
      <c r="G10" s="167">
        <f>$D19*$E19*3*'No. of Students Trained'!G$7*'Key Assumptions'!$C$49</f>
        <v>126000</v>
      </c>
      <c r="H10" s="167">
        <f>$D19*$E19*3*'No. of Students Trained'!H$7*'Key Assumptions'!$D$49</f>
        <v>184800.00000000003</v>
      </c>
      <c r="I10" s="167">
        <f>$D19*$E19*3*'No. of Students Trained'!I$7*'Key Assumptions'!$D$49</f>
        <v>277200</v>
      </c>
      <c r="J10" s="167">
        <f>$D19*$E19*3*'No. of Students Trained'!J$7*'Key Assumptions'!$D$49</f>
        <v>277200</v>
      </c>
      <c r="K10" s="167">
        <f>$D19*$E19*3*'No. of Students Trained'!K$7*'Key Assumptions'!$D$49</f>
        <v>415800.00000000006</v>
      </c>
      <c r="L10" s="167">
        <f>$D19*$E19*3*'No. of Students Trained'!L$7*'Key Assumptions'!$E$49</f>
        <v>609840.00000000012</v>
      </c>
      <c r="M10" s="167">
        <f>$D19*$E19*3*'No. of Students Trained'!M$7*'Key Assumptions'!$E$49</f>
        <v>762300.00000000012</v>
      </c>
      <c r="N10" s="167">
        <f>$D19*$E19*3*'No. of Students Trained'!N$7*'Key Assumptions'!$E$49</f>
        <v>914760.00000000012</v>
      </c>
      <c r="O10" s="167">
        <f>$D19*$E19*3*'No. of Students Trained'!O$7*'Key Assumptions'!$E$49</f>
        <v>1016400.0000000001</v>
      </c>
      <c r="P10" s="167">
        <f>$D19*$E19*12*'No. of Students Trained'!P$7*'Key Assumptions'!F$49</f>
        <v>4472160.0000000009</v>
      </c>
      <c r="Q10" s="167">
        <f>$D19*$E19*12*'No. of Students Trained'!Q$7*'Key Assumptions'!G$49</f>
        <v>4919376.0000000019</v>
      </c>
      <c r="R10" s="167">
        <f>$D19*$E19*12*'No. of Students Trained'!R$7*'Key Assumptions'!H$49</f>
        <v>5411313.6000000024</v>
      </c>
      <c r="S10" s="167">
        <f>$D19*$E19*12*'No. of Students Trained'!S$7*'Key Assumptions'!I$49</f>
        <v>5952444.9600000037</v>
      </c>
    </row>
    <row r="11" spans="1:19">
      <c r="B11" s="28"/>
      <c r="C11" s="168" t="s">
        <v>361</v>
      </c>
      <c r="D11" s="167">
        <f>$D20*$E20*3*'No. of Students Trained'!D$7*'Key Assumptions'!$C$49</f>
        <v>24000</v>
      </c>
      <c r="E11" s="167">
        <f>$D20*$E20*3*'No. of Students Trained'!E$7*'Key Assumptions'!$C$49</f>
        <v>48000</v>
      </c>
      <c r="F11" s="167">
        <f>$D20*$E20*3*'No. of Students Trained'!F$7*'Key Assumptions'!$C$49</f>
        <v>48000</v>
      </c>
      <c r="G11" s="167">
        <f>$D20*$E20*3*'No. of Students Trained'!G$7*'Key Assumptions'!$C$49</f>
        <v>72000</v>
      </c>
      <c r="H11" s="167">
        <f>$D20*$E20*3*'No. of Students Trained'!H$7*'Key Assumptions'!$D$49</f>
        <v>105600.00000000001</v>
      </c>
      <c r="I11" s="167">
        <f>$D20*$E20*3*'No. of Students Trained'!I$7*'Key Assumptions'!$D$49</f>
        <v>158400</v>
      </c>
      <c r="J11" s="167">
        <f>$D20*$E20*3*'No. of Students Trained'!J$7*'Key Assumptions'!$D$49</f>
        <v>158400</v>
      </c>
      <c r="K11" s="167">
        <f>$D20*$E20*3*'No. of Students Trained'!K$7*'Key Assumptions'!$D$49</f>
        <v>237600.00000000003</v>
      </c>
      <c r="L11" s="167">
        <f>$D20*$E20*3*'No. of Students Trained'!L$7*'Key Assumptions'!$E$49</f>
        <v>348480.00000000006</v>
      </c>
      <c r="M11" s="167">
        <f>$D20*$E20*3*'No. of Students Trained'!M$7*'Key Assumptions'!$E$49</f>
        <v>435600.00000000006</v>
      </c>
      <c r="N11" s="167">
        <f>$D20*$E20*3*'No. of Students Trained'!N$7*'Key Assumptions'!$E$49</f>
        <v>522720.00000000006</v>
      </c>
      <c r="O11" s="167">
        <f>$D20*$E20*3*'No. of Students Trained'!O$7*'Key Assumptions'!$E$49</f>
        <v>580800.00000000012</v>
      </c>
      <c r="P11" s="167">
        <f>$D20*$E20*12*'No. of Students Trained'!P$7*'Key Assumptions'!F$49</f>
        <v>2555520.0000000009</v>
      </c>
      <c r="Q11" s="167">
        <f>$D20*$E20*12*'No. of Students Trained'!Q$7*'Key Assumptions'!G$49</f>
        <v>2811072.0000000014</v>
      </c>
      <c r="R11" s="167">
        <f>$D20*$E20*12*'No. of Students Trained'!R$7*'Key Assumptions'!H$49</f>
        <v>3092179.2000000016</v>
      </c>
      <c r="S11" s="167">
        <f>$D20*$E20*12*'No. of Students Trained'!S$7*'Key Assumptions'!I$49</f>
        <v>3401397.120000002</v>
      </c>
    </row>
    <row r="12" spans="1:19">
      <c r="B12" s="28"/>
      <c r="C12" s="168" t="s">
        <v>362</v>
      </c>
      <c r="D12" s="167">
        <f>$D21*$E21*3*'No. of Students Trained'!D$7*'Key Assumptions'!$C$49</f>
        <v>30000</v>
      </c>
      <c r="E12" s="167">
        <f>$D21*$E21*3*'No. of Students Trained'!E$7*'Key Assumptions'!$C$49</f>
        <v>60000</v>
      </c>
      <c r="F12" s="167">
        <f>$D21*$E21*3*'No. of Students Trained'!F$7*'Key Assumptions'!$C$49</f>
        <v>60000</v>
      </c>
      <c r="G12" s="167">
        <f>$D21*$E21*3*'No. of Students Trained'!G$7*'Key Assumptions'!$C$49</f>
        <v>90000</v>
      </c>
      <c r="H12" s="167">
        <f>$D21*$E21*3*'No. of Students Trained'!H$7*'Key Assumptions'!$D$49</f>
        <v>132000</v>
      </c>
      <c r="I12" s="167">
        <f>$D21*$E21*3*'No. of Students Trained'!I$7*'Key Assumptions'!$D$49</f>
        <v>198000.00000000003</v>
      </c>
      <c r="J12" s="167">
        <f>$D21*$E21*3*'No. of Students Trained'!J$7*'Key Assumptions'!$D$49</f>
        <v>198000.00000000003</v>
      </c>
      <c r="K12" s="167">
        <f>$D21*$E21*3*'No. of Students Trained'!K$7*'Key Assumptions'!$D$49</f>
        <v>297000</v>
      </c>
      <c r="L12" s="167">
        <f>$D21*$E21*3*'No. of Students Trained'!L$7*'Key Assumptions'!$E$49</f>
        <v>435600.00000000006</v>
      </c>
      <c r="M12" s="167">
        <f>$D21*$E21*3*'No. of Students Trained'!M$7*'Key Assumptions'!$E$49</f>
        <v>544500.00000000012</v>
      </c>
      <c r="N12" s="167">
        <f>$D21*$E21*3*'No. of Students Trained'!N$7*'Key Assumptions'!$E$49</f>
        <v>653400.00000000012</v>
      </c>
      <c r="O12" s="167">
        <f>$D21*$E21*3*'No. of Students Trained'!O$7*'Key Assumptions'!$E$49</f>
        <v>726000.00000000012</v>
      </c>
      <c r="P12" s="167">
        <f>$D21*$E21*12*'No. of Students Trained'!P$7*'Key Assumptions'!F$49</f>
        <v>3194400.0000000009</v>
      </c>
      <c r="Q12" s="167">
        <f>$D21*$E21*12*'No. of Students Trained'!Q$7*'Key Assumptions'!G$49</f>
        <v>3513840.0000000014</v>
      </c>
      <c r="R12" s="167">
        <f>$D21*$E21*12*'No. of Students Trained'!R$7*'Key Assumptions'!H$49</f>
        <v>3865224.0000000019</v>
      </c>
      <c r="S12" s="167">
        <f>$D21*$E21*12*'No. of Students Trained'!S$7*'Key Assumptions'!I$49</f>
        <v>4251746.4000000022</v>
      </c>
    </row>
    <row r="14" spans="1:19" ht="20.25" thickBot="1">
      <c r="A14" s="36" t="s">
        <v>135</v>
      </c>
    </row>
    <row r="15" spans="1:19" ht="15.75" thickTop="1">
      <c r="C15" s="38" t="s">
        <v>136</v>
      </c>
      <c r="D15" s="38" t="s">
        <v>373</v>
      </c>
      <c r="E15" s="38" t="s">
        <v>375</v>
      </c>
    </row>
    <row r="16" spans="1:19">
      <c r="C16" s="168" t="s">
        <v>358</v>
      </c>
      <c r="D16" s="173">
        <v>1</v>
      </c>
      <c r="E16" s="169">
        <v>40000</v>
      </c>
    </row>
    <row r="17" spans="1:19">
      <c r="C17" s="168" t="s">
        <v>99</v>
      </c>
      <c r="D17" s="173">
        <v>2</v>
      </c>
      <c r="E17" s="169">
        <v>35000</v>
      </c>
    </row>
    <row r="18" spans="1:19">
      <c r="C18" s="168" t="s">
        <v>359</v>
      </c>
      <c r="D18" s="173">
        <v>1</v>
      </c>
      <c r="E18" s="169">
        <v>15000</v>
      </c>
    </row>
    <row r="19" spans="1:19">
      <c r="C19" s="168" t="s">
        <v>360</v>
      </c>
      <c r="D19" s="173">
        <v>1</v>
      </c>
      <c r="E19" s="169">
        <v>14000</v>
      </c>
    </row>
    <row r="20" spans="1:19">
      <c r="C20" s="168" t="s">
        <v>361</v>
      </c>
      <c r="D20" s="173">
        <v>1</v>
      </c>
      <c r="E20" s="169">
        <v>8000</v>
      </c>
    </row>
    <row r="21" spans="1:19">
      <c r="C21" s="168" t="s">
        <v>362</v>
      </c>
      <c r="D21" s="173">
        <v>1</v>
      </c>
      <c r="E21" s="169">
        <v>10000</v>
      </c>
    </row>
    <row r="24" spans="1:19" ht="20.25" thickBot="1">
      <c r="A24" s="36" t="s">
        <v>103</v>
      </c>
      <c r="C24" s="1" t="s">
        <v>137</v>
      </c>
    </row>
    <row r="25" spans="1:19" ht="15.75" thickTop="1">
      <c r="C25" s="384" t="s">
        <v>136</v>
      </c>
      <c r="D25" s="357" t="s">
        <v>6</v>
      </c>
      <c r="E25" s="357"/>
      <c r="F25" s="357"/>
      <c r="G25" s="357"/>
      <c r="H25" s="357" t="s">
        <v>7</v>
      </c>
      <c r="I25" s="357"/>
      <c r="J25" s="357"/>
      <c r="K25" s="357"/>
      <c r="L25" s="358" t="s">
        <v>8</v>
      </c>
      <c r="M25" s="359"/>
      <c r="N25" s="359"/>
      <c r="O25" s="360"/>
      <c r="P25" s="357" t="s">
        <v>9</v>
      </c>
      <c r="Q25" s="357" t="s">
        <v>10</v>
      </c>
      <c r="R25" s="357" t="s">
        <v>11</v>
      </c>
      <c r="S25" s="357" t="s">
        <v>12</v>
      </c>
    </row>
    <row r="26" spans="1:19">
      <c r="C26" s="385"/>
      <c r="D26" s="75" t="s">
        <v>13</v>
      </c>
      <c r="E26" s="75" t="s">
        <v>14</v>
      </c>
      <c r="F26" s="75" t="s">
        <v>15</v>
      </c>
      <c r="G26" s="75" t="s">
        <v>16</v>
      </c>
      <c r="H26" s="75" t="s">
        <v>13</v>
      </c>
      <c r="I26" s="75" t="s">
        <v>14</v>
      </c>
      <c r="J26" s="75" t="s">
        <v>15</v>
      </c>
      <c r="K26" s="75" t="s">
        <v>16</v>
      </c>
      <c r="L26" s="156" t="s">
        <v>13</v>
      </c>
      <c r="M26" s="156" t="s">
        <v>14</v>
      </c>
      <c r="N26" s="156" t="s">
        <v>15</v>
      </c>
      <c r="O26" s="156" t="s">
        <v>16</v>
      </c>
      <c r="P26" s="357"/>
      <c r="Q26" s="357"/>
      <c r="R26" s="357"/>
      <c r="S26" s="357"/>
    </row>
    <row r="27" spans="1:19">
      <c r="C27" s="170" t="s">
        <v>363</v>
      </c>
      <c r="D27" s="167">
        <f t="shared" ref="D27:G31" si="0">$D40*$E40*3</f>
        <v>300000</v>
      </c>
      <c r="E27" s="167">
        <f t="shared" si="0"/>
        <v>300000</v>
      </c>
      <c r="F27" s="167">
        <f t="shared" si="0"/>
        <v>300000</v>
      </c>
      <c r="G27" s="167">
        <f t="shared" si="0"/>
        <v>300000</v>
      </c>
      <c r="H27" s="167">
        <f>$G27*'Key Assumptions'!$D$49</f>
        <v>330000</v>
      </c>
      <c r="I27" s="167">
        <f>$G27*'Key Assumptions'!$D$49</f>
        <v>330000</v>
      </c>
      <c r="J27" s="167">
        <f>$G27*'Key Assumptions'!$D$49</f>
        <v>330000</v>
      </c>
      <c r="K27" s="167">
        <f>$G27*'Key Assumptions'!$D$49</f>
        <v>330000</v>
      </c>
      <c r="L27" s="167">
        <f>$K27*'Key Assumptions'!$D$49</f>
        <v>363000.00000000006</v>
      </c>
      <c r="M27" s="167">
        <f>$K27*'Key Assumptions'!$D$49</f>
        <v>363000.00000000006</v>
      </c>
      <c r="N27" s="167">
        <f>$K27*'Key Assumptions'!$D$49</f>
        <v>363000.00000000006</v>
      </c>
      <c r="O27" s="167">
        <f>$K27*'Key Assumptions'!$D$49</f>
        <v>363000.00000000006</v>
      </c>
      <c r="P27" s="167">
        <f>O27*'Key Assumptions'!$D$49*4</f>
        <v>1597200.0000000005</v>
      </c>
      <c r="Q27" s="167">
        <f>P27*'Key Assumptions'!$D$49</f>
        <v>1756920.0000000007</v>
      </c>
      <c r="R27" s="167">
        <f>Q27*'Key Assumptions'!$D$49</f>
        <v>1932612.0000000009</v>
      </c>
      <c r="S27" s="167">
        <f>R27*'Key Assumptions'!$D$49</f>
        <v>2125873.2000000011</v>
      </c>
    </row>
    <row r="28" spans="1:19">
      <c r="C28" s="171" t="s">
        <v>372</v>
      </c>
      <c r="D28" s="167">
        <f t="shared" si="0"/>
        <v>90000</v>
      </c>
      <c r="E28" s="167">
        <f t="shared" si="0"/>
        <v>90000</v>
      </c>
      <c r="F28" s="167">
        <f t="shared" si="0"/>
        <v>90000</v>
      </c>
      <c r="G28" s="167">
        <f t="shared" si="0"/>
        <v>90000</v>
      </c>
      <c r="H28" s="167">
        <f>$G28*'Key Assumptions'!$D$49</f>
        <v>99000.000000000015</v>
      </c>
      <c r="I28" s="167">
        <f>$G28*'Key Assumptions'!$D$49</f>
        <v>99000.000000000015</v>
      </c>
      <c r="J28" s="167">
        <f>$G28*'Key Assumptions'!$D$49</f>
        <v>99000.000000000015</v>
      </c>
      <c r="K28" s="167">
        <f>$G28*'Key Assumptions'!$D$49</f>
        <v>99000.000000000015</v>
      </c>
      <c r="L28" s="167">
        <f>$K28*'Key Assumptions'!$D$49</f>
        <v>108900.00000000003</v>
      </c>
      <c r="M28" s="167">
        <f>$K28*'Key Assumptions'!$D$49</f>
        <v>108900.00000000003</v>
      </c>
      <c r="N28" s="167">
        <f>$K28*'Key Assumptions'!$D$49</f>
        <v>108900.00000000003</v>
      </c>
      <c r="O28" s="167">
        <f>$K28*'Key Assumptions'!$D$49</f>
        <v>108900.00000000003</v>
      </c>
      <c r="P28" s="167">
        <f>O28*'Key Assumptions'!$D$49*4</f>
        <v>479160.00000000017</v>
      </c>
      <c r="Q28" s="167">
        <f>P28*'Key Assumptions'!$D$49</f>
        <v>527076.00000000023</v>
      </c>
      <c r="R28" s="167">
        <f>Q28*'Key Assumptions'!$D$49</f>
        <v>579783.60000000033</v>
      </c>
      <c r="S28" s="167">
        <f>R28*'Key Assumptions'!$D$49</f>
        <v>637761.96000000043</v>
      </c>
    </row>
    <row r="29" spans="1:19">
      <c r="C29" s="168" t="s">
        <v>364</v>
      </c>
      <c r="D29" s="167">
        <f t="shared" si="0"/>
        <v>120000</v>
      </c>
      <c r="E29" s="167">
        <f t="shared" si="0"/>
        <v>120000</v>
      </c>
      <c r="F29" s="167">
        <f t="shared" si="0"/>
        <v>120000</v>
      </c>
      <c r="G29" s="167">
        <f t="shared" si="0"/>
        <v>120000</v>
      </c>
      <c r="H29" s="167">
        <f>$G29*'Key Assumptions'!$D$49</f>
        <v>132000</v>
      </c>
      <c r="I29" s="167">
        <f>$G29*'Key Assumptions'!$D$49</f>
        <v>132000</v>
      </c>
      <c r="J29" s="167">
        <f>$G29*'Key Assumptions'!$D$49</f>
        <v>132000</v>
      </c>
      <c r="K29" s="167">
        <f>$G29*'Key Assumptions'!$D$49</f>
        <v>132000</v>
      </c>
      <c r="L29" s="167">
        <f>$K29*'Key Assumptions'!$D$49</f>
        <v>145200</v>
      </c>
      <c r="M29" s="167">
        <f>$K29*'Key Assumptions'!$D$49</f>
        <v>145200</v>
      </c>
      <c r="N29" s="167">
        <f>$K29*'Key Assumptions'!$D$49</f>
        <v>145200</v>
      </c>
      <c r="O29" s="167">
        <f>$K29*'Key Assumptions'!$D$49</f>
        <v>145200</v>
      </c>
      <c r="P29" s="167">
        <f>O29*'Key Assumptions'!$D$49*4</f>
        <v>638880</v>
      </c>
      <c r="Q29" s="167">
        <f>P29*'Key Assumptions'!$D$49</f>
        <v>702768</v>
      </c>
      <c r="R29" s="167">
        <f>Q29*'Key Assumptions'!$D$49</f>
        <v>773044.8</v>
      </c>
      <c r="S29" s="167">
        <f>R29*'Key Assumptions'!$D$49</f>
        <v>850349.28000000014</v>
      </c>
    </row>
    <row r="30" spans="1:19">
      <c r="C30" s="168" t="s">
        <v>365</v>
      </c>
      <c r="D30" s="167">
        <f t="shared" si="0"/>
        <v>120000</v>
      </c>
      <c r="E30" s="167">
        <f t="shared" si="0"/>
        <v>120000</v>
      </c>
      <c r="F30" s="167">
        <f t="shared" si="0"/>
        <v>120000</v>
      </c>
      <c r="G30" s="167">
        <f t="shared" si="0"/>
        <v>120000</v>
      </c>
      <c r="H30" s="167">
        <f>$G30*'Key Assumptions'!$D$49</f>
        <v>132000</v>
      </c>
      <c r="I30" s="167">
        <f>$G30*'Key Assumptions'!$D$49</f>
        <v>132000</v>
      </c>
      <c r="J30" s="167">
        <f>$G30*'Key Assumptions'!$D$49</f>
        <v>132000</v>
      </c>
      <c r="K30" s="167">
        <f>$G30*'Key Assumptions'!$D$49</f>
        <v>132000</v>
      </c>
      <c r="L30" s="167">
        <f>$K30*'Key Assumptions'!$D$49</f>
        <v>145200</v>
      </c>
      <c r="M30" s="167">
        <f>$K30*'Key Assumptions'!$D$49</f>
        <v>145200</v>
      </c>
      <c r="N30" s="167">
        <f>$K30*'Key Assumptions'!$D$49</f>
        <v>145200</v>
      </c>
      <c r="O30" s="167">
        <f>$K30*'Key Assumptions'!$D$49</f>
        <v>145200</v>
      </c>
      <c r="P30" s="167">
        <f>O30*'Key Assumptions'!$D$49*4</f>
        <v>638880</v>
      </c>
      <c r="Q30" s="167">
        <f>P30*'Key Assumptions'!$D$49</f>
        <v>702768</v>
      </c>
      <c r="R30" s="167">
        <f>Q30*'Key Assumptions'!$D$49</f>
        <v>773044.8</v>
      </c>
      <c r="S30" s="167">
        <f>R30*'Key Assumptions'!$D$49</f>
        <v>850349.28000000014</v>
      </c>
    </row>
    <row r="31" spans="1:19">
      <c r="C31" s="170" t="s">
        <v>366</v>
      </c>
      <c r="D31" s="167">
        <f t="shared" si="0"/>
        <v>120000</v>
      </c>
      <c r="E31" s="167">
        <f t="shared" si="0"/>
        <v>120000</v>
      </c>
      <c r="F31" s="167">
        <f t="shared" si="0"/>
        <v>120000</v>
      </c>
      <c r="G31" s="167">
        <f t="shared" si="0"/>
        <v>120000</v>
      </c>
      <c r="H31" s="167">
        <f>$G31*'Key Assumptions'!$D$49</f>
        <v>132000</v>
      </c>
      <c r="I31" s="167">
        <f>$G31*'Key Assumptions'!$D$49</f>
        <v>132000</v>
      </c>
      <c r="J31" s="167">
        <f>$G31*'Key Assumptions'!$D$49</f>
        <v>132000</v>
      </c>
      <c r="K31" s="167">
        <f>$G31*'Key Assumptions'!$D$49</f>
        <v>132000</v>
      </c>
      <c r="L31" s="167">
        <f>$K31*'Key Assumptions'!$D$49</f>
        <v>145200</v>
      </c>
      <c r="M31" s="167">
        <f>$K31*'Key Assumptions'!$D$49</f>
        <v>145200</v>
      </c>
      <c r="N31" s="167">
        <f>$K31*'Key Assumptions'!$D$49</f>
        <v>145200</v>
      </c>
      <c r="O31" s="167">
        <f>$K31*'Key Assumptions'!$D$49</f>
        <v>145200</v>
      </c>
      <c r="P31" s="167">
        <f>O31*'Key Assumptions'!$D$49*4</f>
        <v>638880</v>
      </c>
      <c r="Q31" s="167">
        <f>P31*'Key Assumptions'!$D$49</f>
        <v>702768</v>
      </c>
      <c r="R31" s="167">
        <f>Q31*'Key Assumptions'!$D$49</f>
        <v>773044.8</v>
      </c>
      <c r="S31" s="167">
        <f>R31*'Key Assumptions'!$D$49</f>
        <v>850349.28000000014</v>
      </c>
    </row>
    <row r="32" spans="1:19">
      <c r="C32" s="170" t="s">
        <v>367</v>
      </c>
      <c r="D32" s="167">
        <f>D45*E45*3</f>
        <v>75000</v>
      </c>
      <c r="E32" s="167">
        <f t="shared" ref="E32:F32" si="1">$D$45*$E$45*3</f>
        <v>75000</v>
      </c>
      <c r="F32" s="167">
        <f t="shared" si="1"/>
        <v>75000</v>
      </c>
      <c r="G32" s="167">
        <f>$D$45*$E$45*3</f>
        <v>75000</v>
      </c>
      <c r="H32" s="167">
        <f>$D$45*$E$45*3</f>
        <v>75000</v>
      </c>
      <c r="I32" s="167">
        <f>$D$45*$E$45*3</f>
        <v>75000</v>
      </c>
      <c r="J32" s="167">
        <f>$D$45*$E$45*3</f>
        <v>75000</v>
      </c>
      <c r="K32" s="167">
        <f>$D$45*$E$45*3</f>
        <v>75000</v>
      </c>
      <c r="L32" s="167">
        <f>$K32*'Key Assumptions'!$D$49</f>
        <v>82500</v>
      </c>
      <c r="M32" s="167">
        <f>$K32*'Key Assumptions'!$D$49</f>
        <v>82500</v>
      </c>
      <c r="N32" s="167">
        <f>$K32*'Key Assumptions'!$D$49</f>
        <v>82500</v>
      </c>
      <c r="O32" s="167">
        <f>$K32*'Key Assumptions'!$D$49</f>
        <v>82500</v>
      </c>
      <c r="P32" s="167">
        <f>O32*'Key Assumptions'!$D$49*4</f>
        <v>363000.00000000006</v>
      </c>
      <c r="Q32" s="167">
        <f>P32*'Key Assumptions'!$D$49</f>
        <v>399300.00000000012</v>
      </c>
      <c r="R32" s="167">
        <f>Q32*'Key Assumptions'!$D$49</f>
        <v>439230.00000000017</v>
      </c>
      <c r="S32" s="167">
        <f>R32*'Key Assumptions'!$D$49</f>
        <v>483153.00000000023</v>
      </c>
    </row>
    <row r="33" spans="3:19">
      <c r="C33" s="170" t="s">
        <v>368</v>
      </c>
      <c r="D33" s="167">
        <f>$D46*$E46*3</f>
        <v>45000</v>
      </c>
      <c r="E33" s="167">
        <f>$D46*$E46*3</f>
        <v>45000</v>
      </c>
      <c r="F33" s="167">
        <f>$D46*$E46*3</f>
        <v>45000</v>
      </c>
      <c r="G33" s="167">
        <f>$D46*$E46*3</f>
        <v>45000</v>
      </c>
      <c r="H33" s="167">
        <f>$G33*'Key Assumptions'!$D$49</f>
        <v>49500.000000000007</v>
      </c>
      <c r="I33" s="167">
        <f>$G33*'Key Assumptions'!$D$49</f>
        <v>49500.000000000007</v>
      </c>
      <c r="J33" s="167">
        <f>$G33*'Key Assumptions'!$D$49</f>
        <v>49500.000000000007</v>
      </c>
      <c r="K33" s="167">
        <f>$G33*'Key Assumptions'!$D$49</f>
        <v>49500.000000000007</v>
      </c>
      <c r="L33" s="167">
        <f>$K33*'Key Assumptions'!$D$49</f>
        <v>54450.000000000015</v>
      </c>
      <c r="M33" s="167">
        <f>$K33*'Key Assumptions'!$D$49</f>
        <v>54450.000000000015</v>
      </c>
      <c r="N33" s="167">
        <f>$K33*'Key Assumptions'!$D$49</f>
        <v>54450.000000000015</v>
      </c>
      <c r="O33" s="167">
        <f>$K33*'Key Assumptions'!$D$49</f>
        <v>54450.000000000015</v>
      </c>
      <c r="P33" s="167">
        <f>O33*'Key Assumptions'!$D$49*4</f>
        <v>239580.00000000009</v>
      </c>
      <c r="Q33" s="167">
        <f>P33*'Key Assumptions'!$D$49</f>
        <v>263538.00000000012</v>
      </c>
      <c r="R33" s="167">
        <f>Q33*'Key Assumptions'!$D$49</f>
        <v>289891.80000000016</v>
      </c>
      <c r="S33" s="167">
        <f>R33*'Key Assumptions'!$D$49</f>
        <v>318880.98000000021</v>
      </c>
    </row>
    <row r="34" spans="3:19">
      <c r="C34" s="170" t="s">
        <v>369</v>
      </c>
      <c r="D34" s="167">
        <f t="shared" ref="D34:G34" si="2">$D$47*$E$47*3</f>
        <v>45000</v>
      </c>
      <c r="E34" s="167">
        <f t="shared" si="2"/>
        <v>45000</v>
      </c>
      <c r="F34" s="167">
        <f t="shared" si="2"/>
        <v>45000</v>
      </c>
      <c r="G34" s="167">
        <f t="shared" si="2"/>
        <v>45000</v>
      </c>
      <c r="H34" s="167">
        <f>$D$47*$E$47*3</f>
        <v>45000</v>
      </c>
      <c r="I34" s="167">
        <f>$D$47*$E$47*3</f>
        <v>45000</v>
      </c>
      <c r="J34" s="167">
        <f>$D$47*$E$47*3</f>
        <v>45000</v>
      </c>
      <c r="K34" s="167">
        <f>$D$47*$E$47*3</f>
        <v>45000</v>
      </c>
      <c r="L34" s="167">
        <f>$K34*'Key Assumptions'!$D$49</f>
        <v>49500.000000000007</v>
      </c>
      <c r="M34" s="167">
        <f>$K34*'Key Assumptions'!$D$49</f>
        <v>49500.000000000007</v>
      </c>
      <c r="N34" s="167">
        <f>$K34*'Key Assumptions'!$D$49</f>
        <v>49500.000000000007</v>
      </c>
      <c r="O34" s="167">
        <f>$K34*'Key Assumptions'!$D$49</f>
        <v>49500.000000000007</v>
      </c>
      <c r="P34" s="167">
        <f>O34*'Key Assumptions'!$D$49*4</f>
        <v>217800.00000000006</v>
      </c>
      <c r="Q34" s="167">
        <f>P34*'Key Assumptions'!$D$49</f>
        <v>239580.00000000009</v>
      </c>
      <c r="R34" s="167">
        <f>Q34*'Key Assumptions'!$D$49</f>
        <v>263538.00000000012</v>
      </c>
      <c r="S34" s="167">
        <f>R34*'Key Assumptions'!$D$49</f>
        <v>289891.80000000016</v>
      </c>
    </row>
    <row r="35" spans="3:19">
      <c r="C35" s="170" t="s">
        <v>100</v>
      </c>
      <c r="D35" s="167">
        <f t="shared" ref="D35:G37" si="3">$D48*$E48*3</f>
        <v>30000</v>
      </c>
      <c r="E35" s="167">
        <f t="shared" si="3"/>
        <v>30000</v>
      </c>
      <c r="F35" s="167">
        <f t="shared" si="3"/>
        <v>30000</v>
      </c>
      <c r="G35" s="167">
        <f t="shared" si="3"/>
        <v>30000</v>
      </c>
      <c r="H35" s="167">
        <f>$G35*'Key Assumptions'!$D$49</f>
        <v>33000</v>
      </c>
      <c r="I35" s="167">
        <f>$G35*'Key Assumptions'!$D$49</f>
        <v>33000</v>
      </c>
      <c r="J35" s="167">
        <f>$G35*'Key Assumptions'!$D$49</f>
        <v>33000</v>
      </c>
      <c r="K35" s="167">
        <f>$G35*'Key Assumptions'!$D$49</f>
        <v>33000</v>
      </c>
      <c r="L35" s="167">
        <f>$K35*'Key Assumptions'!$D$49</f>
        <v>36300</v>
      </c>
      <c r="M35" s="167">
        <f>$K35*'Key Assumptions'!$D$49</f>
        <v>36300</v>
      </c>
      <c r="N35" s="167">
        <f>$K35*'Key Assumptions'!$D$49</f>
        <v>36300</v>
      </c>
      <c r="O35" s="167">
        <f>$K35*'Key Assumptions'!$D$49</f>
        <v>36300</v>
      </c>
      <c r="P35" s="167">
        <f>O35*'Key Assumptions'!$D$49*4</f>
        <v>159720</v>
      </c>
      <c r="Q35" s="167">
        <f>P35*'Key Assumptions'!$D$49</f>
        <v>175692</v>
      </c>
      <c r="R35" s="167">
        <f>Q35*'Key Assumptions'!$D$49</f>
        <v>193261.2</v>
      </c>
      <c r="S35" s="167">
        <f>R35*'Key Assumptions'!$D$49</f>
        <v>212587.32000000004</v>
      </c>
    </row>
    <row r="36" spans="3:19">
      <c r="C36" s="170" t="s">
        <v>370</v>
      </c>
      <c r="D36" s="167">
        <f t="shared" si="3"/>
        <v>24000</v>
      </c>
      <c r="E36" s="167">
        <f t="shared" si="3"/>
        <v>24000</v>
      </c>
      <c r="F36" s="167">
        <f t="shared" si="3"/>
        <v>24000</v>
      </c>
      <c r="G36" s="167">
        <f t="shared" si="3"/>
        <v>24000</v>
      </c>
      <c r="H36" s="167">
        <f>$G36*'Key Assumptions'!$D$49</f>
        <v>26400.000000000004</v>
      </c>
      <c r="I36" s="167">
        <f>$G36*'Key Assumptions'!$D$49</f>
        <v>26400.000000000004</v>
      </c>
      <c r="J36" s="167">
        <f>$G36*'Key Assumptions'!$D$49</f>
        <v>26400.000000000004</v>
      </c>
      <c r="K36" s="167">
        <f>$G36*'Key Assumptions'!$D$49</f>
        <v>26400.000000000004</v>
      </c>
      <c r="L36" s="167">
        <f>$K36*'Key Assumptions'!$D$49</f>
        <v>29040.000000000007</v>
      </c>
      <c r="M36" s="167">
        <f>$K36*'Key Assumptions'!$D$49</f>
        <v>29040.000000000007</v>
      </c>
      <c r="N36" s="167">
        <f>$K36*'Key Assumptions'!$D$49</f>
        <v>29040.000000000007</v>
      </c>
      <c r="O36" s="167">
        <f>$K36*'Key Assumptions'!$D$49</f>
        <v>29040.000000000007</v>
      </c>
      <c r="P36" s="167">
        <f>O36*'Key Assumptions'!$D$49*4</f>
        <v>127776.00000000004</v>
      </c>
      <c r="Q36" s="167">
        <f>P36*'Key Assumptions'!$D$49</f>
        <v>140553.60000000006</v>
      </c>
      <c r="R36" s="167">
        <f>Q36*'Key Assumptions'!$D$49</f>
        <v>154608.96000000008</v>
      </c>
      <c r="S36" s="167">
        <f>R36*'Key Assumptions'!$D$49</f>
        <v>170069.85600000009</v>
      </c>
    </row>
    <row r="37" spans="3:19">
      <c r="C37" s="170" t="s">
        <v>371</v>
      </c>
      <c r="D37" s="167">
        <f t="shared" si="3"/>
        <v>24000</v>
      </c>
      <c r="E37" s="167">
        <f t="shared" si="3"/>
        <v>24000</v>
      </c>
      <c r="F37" s="167">
        <f t="shared" si="3"/>
        <v>24000</v>
      </c>
      <c r="G37" s="167">
        <f t="shared" si="3"/>
        <v>24000</v>
      </c>
      <c r="H37" s="167">
        <f>$G37*'Key Assumptions'!$D$49</f>
        <v>26400.000000000004</v>
      </c>
      <c r="I37" s="167">
        <f>$G37*'Key Assumptions'!$D$49</f>
        <v>26400.000000000004</v>
      </c>
      <c r="J37" s="167">
        <f>$G37*'Key Assumptions'!$D$49</f>
        <v>26400.000000000004</v>
      </c>
      <c r="K37" s="167">
        <f>$G37*'Key Assumptions'!$D$49</f>
        <v>26400.000000000004</v>
      </c>
      <c r="L37" s="167">
        <f>$K37*'Key Assumptions'!$D$49</f>
        <v>29040.000000000007</v>
      </c>
      <c r="M37" s="167">
        <f>$K37*'Key Assumptions'!$D$49</f>
        <v>29040.000000000007</v>
      </c>
      <c r="N37" s="167">
        <f>$K37*'Key Assumptions'!$D$49</f>
        <v>29040.000000000007</v>
      </c>
      <c r="O37" s="167">
        <f>$K37*'Key Assumptions'!$D$49</f>
        <v>29040.000000000007</v>
      </c>
      <c r="P37" s="167">
        <f>O37*'Key Assumptions'!$D$49*4</f>
        <v>127776.00000000004</v>
      </c>
      <c r="Q37" s="167">
        <f>P37*'Key Assumptions'!$D$49</f>
        <v>140553.60000000006</v>
      </c>
      <c r="R37" s="167">
        <f>Q37*'Key Assumptions'!$D$49</f>
        <v>154608.96000000008</v>
      </c>
      <c r="S37" s="167">
        <f>R37*'Key Assumptions'!$D$49</f>
        <v>170069.85600000009</v>
      </c>
    </row>
    <row r="39" spans="3:19">
      <c r="C39" s="157" t="s">
        <v>136</v>
      </c>
      <c r="D39" s="157" t="s">
        <v>373</v>
      </c>
      <c r="E39" s="157" t="s">
        <v>374</v>
      </c>
    </row>
    <row r="40" spans="3:19">
      <c r="C40" s="170" t="s">
        <v>363</v>
      </c>
      <c r="D40" s="172">
        <v>1</v>
      </c>
      <c r="E40" s="169">
        <v>100000</v>
      </c>
    </row>
    <row r="41" spans="3:19">
      <c r="C41" s="171" t="s">
        <v>372</v>
      </c>
      <c r="D41" s="172">
        <v>1</v>
      </c>
      <c r="E41" s="169">
        <v>30000</v>
      </c>
    </row>
    <row r="42" spans="3:19">
      <c r="C42" s="168" t="s">
        <v>364</v>
      </c>
      <c r="D42" s="173">
        <v>1</v>
      </c>
      <c r="E42" s="169">
        <v>40000</v>
      </c>
    </row>
    <row r="43" spans="3:19">
      <c r="C43" s="168" t="s">
        <v>365</v>
      </c>
      <c r="D43" s="173">
        <v>1</v>
      </c>
      <c r="E43" s="169">
        <v>40000</v>
      </c>
    </row>
    <row r="44" spans="3:19">
      <c r="C44" s="170" t="s">
        <v>366</v>
      </c>
      <c r="D44" s="172">
        <v>1</v>
      </c>
      <c r="E44" s="169">
        <v>40000</v>
      </c>
    </row>
    <row r="45" spans="3:19">
      <c r="C45" s="170" t="s">
        <v>367</v>
      </c>
      <c r="D45" s="172">
        <v>1</v>
      </c>
      <c r="E45" s="169">
        <v>25000</v>
      </c>
    </row>
    <row r="46" spans="3:19">
      <c r="C46" s="170" t="s">
        <v>368</v>
      </c>
      <c r="D46" s="172">
        <v>1</v>
      </c>
      <c r="E46" s="169">
        <v>15000</v>
      </c>
    </row>
    <row r="47" spans="3:19">
      <c r="C47" s="170" t="s">
        <v>369</v>
      </c>
      <c r="D47" s="172">
        <v>1</v>
      </c>
      <c r="E47" s="169">
        <v>15000</v>
      </c>
    </row>
    <row r="48" spans="3:19">
      <c r="C48" s="170" t="s">
        <v>100</v>
      </c>
      <c r="D48" s="172">
        <v>1</v>
      </c>
      <c r="E48" s="169">
        <v>10000</v>
      </c>
    </row>
    <row r="49" spans="3:5">
      <c r="C49" s="170" t="s">
        <v>370</v>
      </c>
      <c r="D49" s="172">
        <v>1</v>
      </c>
      <c r="E49" s="169">
        <v>8000</v>
      </c>
    </row>
    <row r="50" spans="3:5">
      <c r="C50" s="170" t="s">
        <v>371</v>
      </c>
      <c r="D50" s="172">
        <v>1</v>
      </c>
      <c r="E50" s="169">
        <v>8000</v>
      </c>
    </row>
    <row r="51" spans="3:5">
      <c r="C51" s="29"/>
      <c r="D51" s="166"/>
    </row>
  </sheetData>
  <mergeCells count="17">
    <mergeCell ref="B5:B6"/>
    <mergeCell ref="C5:C6"/>
    <mergeCell ref="D5:G5"/>
    <mergeCell ref="H5:K5"/>
    <mergeCell ref="L5:O5"/>
    <mergeCell ref="S25:S26"/>
    <mergeCell ref="S5:S6"/>
    <mergeCell ref="P5:P6"/>
    <mergeCell ref="Q5:Q6"/>
    <mergeCell ref="R5:R6"/>
    <mergeCell ref="C25:C26"/>
    <mergeCell ref="P25:P26"/>
    <mergeCell ref="Q25:Q26"/>
    <mergeCell ref="R25:R26"/>
    <mergeCell ref="D25:G25"/>
    <mergeCell ref="H25:K25"/>
    <mergeCell ref="L25:O25"/>
  </mergeCells>
  <pageMargins left="0.7" right="0.7" top="0.75" bottom="0.75" header="0.3" footer="0.3"/>
  <pageSetup orientation="portrait" horizontalDpi="200" verticalDpi="200" copies="0" r:id="rId1"/>
  <ignoredErrors>
    <ignoredError sqref="H34:K34 H32:K32" 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21">
    <tabColor rgb="FFFF0000"/>
  </sheetPr>
  <dimension ref="A1:R49"/>
  <sheetViews>
    <sheetView topLeftCell="A22" zoomScale="86" zoomScaleNormal="86" workbookViewId="0">
      <selection activeCell="B52" sqref="B52"/>
    </sheetView>
  </sheetViews>
  <sheetFormatPr defaultRowHeight="15"/>
  <cols>
    <col min="1" max="1" width="5.28515625" customWidth="1"/>
    <col min="2" max="2" width="44.28515625" customWidth="1"/>
    <col min="3" max="3" width="18.28515625" bestFit="1" customWidth="1"/>
    <col min="4" max="4" width="19" bestFit="1" customWidth="1"/>
    <col min="5" max="5" width="15.140625" customWidth="1"/>
    <col min="6" max="6" width="12.85546875" bestFit="1" customWidth="1"/>
    <col min="7" max="15" width="14.42578125" bestFit="1" customWidth="1"/>
    <col min="16" max="17" width="15.7109375" bestFit="1" customWidth="1"/>
    <col min="18" max="18" width="16.85546875" bestFit="1" customWidth="1"/>
  </cols>
  <sheetData>
    <row r="1" spans="1:18" ht="23.25" customHeight="1">
      <c r="A1" s="79" t="s">
        <v>215</v>
      </c>
    </row>
    <row r="3" spans="1:18" ht="20.25" thickBot="1">
      <c r="A3" s="36" t="s">
        <v>0</v>
      </c>
    </row>
    <row r="4" spans="1:18" ht="15.75" thickTop="1">
      <c r="B4" s="50" t="s">
        <v>109</v>
      </c>
      <c r="C4" s="50" t="s">
        <v>139</v>
      </c>
      <c r="D4" s="50" t="s">
        <v>140</v>
      </c>
      <c r="E4" s="50" t="s">
        <v>391</v>
      </c>
    </row>
    <row r="5" spans="1:18">
      <c r="B5" s="28" t="s">
        <v>109</v>
      </c>
      <c r="C5" s="28">
        <v>1250</v>
      </c>
      <c r="D5" s="28">
        <v>40</v>
      </c>
      <c r="E5" s="28">
        <f>C5*D5</f>
        <v>50000</v>
      </c>
    </row>
    <row r="6" spans="1:18">
      <c r="B6" s="28" t="s">
        <v>178</v>
      </c>
      <c r="C6" s="28">
        <v>2000</v>
      </c>
      <c r="D6" s="28">
        <v>40</v>
      </c>
      <c r="E6" s="28">
        <f>C6*D6</f>
        <v>80000</v>
      </c>
    </row>
    <row r="9" spans="1:18">
      <c r="B9" s="357" t="s">
        <v>216</v>
      </c>
      <c r="C9" s="357" t="s">
        <v>6</v>
      </c>
      <c r="D9" s="357"/>
      <c r="E9" s="357"/>
      <c r="F9" s="357"/>
      <c r="G9" s="357" t="s">
        <v>7</v>
      </c>
      <c r="H9" s="357"/>
      <c r="I9" s="357"/>
      <c r="J9" s="357"/>
      <c r="K9" s="357" t="s">
        <v>8</v>
      </c>
      <c r="L9" s="357"/>
      <c r="M9" s="357"/>
      <c r="N9" s="357"/>
      <c r="O9" s="357" t="s">
        <v>9</v>
      </c>
      <c r="P9" s="357" t="s">
        <v>10</v>
      </c>
      <c r="Q9" s="357" t="s">
        <v>11</v>
      </c>
      <c r="R9" s="357" t="s">
        <v>12</v>
      </c>
    </row>
    <row r="10" spans="1:18">
      <c r="B10" s="357"/>
      <c r="C10" s="160" t="s">
        <v>13</v>
      </c>
      <c r="D10" s="160" t="s">
        <v>14</v>
      </c>
      <c r="E10" s="160" t="s">
        <v>15</v>
      </c>
      <c r="F10" s="160" t="s">
        <v>16</v>
      </c>
      <c r="G10" s="160" t="s">
        <v>13</v>
      </c>
      <c r="H10" s="160" t="s">
        <v>14</v>
      </c>
      <c r="I10" s="160" t="s">
        <v>15</v>
      </c>
      <c r="J10" s="160" t="s">
        <v>16</v>
      </c>
      <c r="K10" s="160" t="s">
        <v>13</v>
      </c>
      <c r="L10" s="160" t="s">
        <v>14</v>
      </c>
      <c r="M10" s="160" t="s">
        <v>15</v>
      </c>
      <c r="N10" s="160" t="s">
        <v>16</v>
      </c>
      <c r="O10" s="357"/>
      <c r="P10" s="357"/>
      <c r="Q10" s="357"/>
      <c r="R10" s="357"/>
    </row>
    <row r="11" spans="1:18">
      <c r="B11" s="162" t="s">
        <v>141</v>
      </c>
      <c r="C11" s="167">
        <f>($E$5*3*'No. of Students Trained'!D7+$E$6*3)*'Key Assumptions'!$C$50</f>
        <v>390000</v>
      </c>
      <c r="D11" s="167">
        <f>($E$5*3*'No. of Students Trained'!E7+$E$6*3)*'Key Assumptions'!$C$50</f>
        <v>540000</v>
      </c>
      <c r="E11" s="167">
        <f>($E$5*3*'No. of Students Trained'!F7+$E$6*3)*'Key Assumptions'!$C$50</f>
        <v>540000</v>
      </c>
      <c r="F11" s="167">
        <f>($E$5*3*'No. of Students Trained'!G7+$E$6*3)*'Key Assumptions'!$C$50</f>
        <v>690000</v>
      </c>
      <c r="G11" s="167">
        <f>($E$5*3*'No. of Students Trained'!H7+$E$6*3)*('Key Assumptions'!$D$50)</f>
        <v>882000</v>
      </c>
      <c r="H11" s="167">
        <f>($E$5*3*'No. of Students Trained'!I7+$E$6*3)*('Key Assumptions'!$D$50)</f>
        <v>1197000</v>
      </c>
      <c r="I11" s="167">
        <f>($E$5*3*'No. of Students Trained'!J7+$E$6*3)*('Key Assumptions'!$D$50)</f>
        <v>1197000</v>
      </c>
      <c r="J11" s="167">
        <f>($E$5*3*'No. of Students Trained'!K7+$E$6*3)*('Key Assumptions'!$D$50)</f>
        <v>1669500</v>
      </c>
      <c r="K11" s="167">
        <f>($E$5*3*'No. of Students Trained'!L7+$E$6*3)*('Key Assumptions'!$E$50)</f>
        <v>2249100</v>
      </c>
      <c r="L11" s="167">
        <f>($E$5*3*'No. of Students Trained'!M7+$E$6*3)*('Key Assumptions'!$E$50)</f>
        <v>2745225</v>
      </c>
      <c r="M11" s="167">
        <f>($E$5*3*'No. of Students Trained'!N7+$E$6*3)*('Key Assumptions'!$E$50)</f>
        <v>3241350</v>
      </c>
      <c r="N11" s="167">
        <f>($E$5*3*'No. of Students Trained'!O7+$E$6*3)*('Key Assumptions'!$E$50)</f>
        <v>3572100</v>
      </c>
      <c r="O11" s="167">
        <f>($E$5*12*'No. of Students Trained'!P7+$E$6*12)*'Key Assumptions'!F$50</f>
        <v>15002820.000000002</v>
      </c>
      <c r="P11" s="167">
        <f>($E$5*12*'No. of Students Trained'!Q7+$E$6*12)*'Key Assumptions'!G$50</f>
        <v>15752961.000000004</v>
      </c>
      <c r="Q11" s="167">
        <f>($E$5*12*'No. of Students Trained'!R7+$E$6*12)*'Key Assumptions'!H$50</f>
        <v>16540609.050000004</v>
      </c>
      <c r="R11" s="167">
        <f>($E$5*12*'No. of Students Trained'!S7+$E$6*12)*'Key Assumptions'!I$50</f>
        <v>17367639.502500005</v>
      </c>
    </row>
    <row r="12" spans="1:18">
      <c r="B12" s="162" t="s">
        <v>392</v>
      </c>
      <c r="C12" s="167">
        <f>$C35*3*'No. of Students Trained'!D$7*'Key Assumptions'!C$51</f>
        <v>15000</v>
      </c>
      <c r="D12" s="167">
        <f>$C35*3*'No. of Students Trained'!E$7*'Key Assumptions'!C$51</f>
        <v>30000</v>
      </c>
      <c r="E12" s="167">
        <f>$C35*3*'No. of Students Trained'!F$7*'Key Assumptions'!C$51</f>
        <v>30000</v>
      </c>
      <c r="F12" s="167">
        <f>$C35*3*'No. of Students Trained'!G$7*'Key Assumptions'!C$51</f>
        <v>45000</v>
      </c>
      <c r="G12" s="167">
        <f>$C35*3*'No. of Students Trained'!H$7*'Key Assumptions'!D$51</f>
        <v>60000</v>
      </c>
      <c r="H12" s="167">
        <f>$C35*3*'No. of Students Trained'!I$7*'Key Assumptions'!D$51</f>
        <v>90000</v>
      </c>
      <c r="I12" s="167">
        <f>$C35*3*'No. of Students Trained'!J$7*'Key Assumptions'!D$51</f>
        <v>90000</v>
      </c>
      <c r="J12" s="167">
        <f>$C35*3*'No. of Students Trained'!K$7*'Key Assumptions'!D$51</f>
        <v>135000</v>
      </c>
      <c r="K12" s="167">
        <f>$C35*3*'No. of Students Trained'!L$7*'Key Assumptions'!E$51</f>
        <v>180000</v>
      </c>
      <c r="L12" s="167">
        <f>$C35*3*'No. of Students Trained'!M$7*'Key Assumptions'!E$51</f>
        <v>225000</v>
      </c>
      <c r="M12" s="167">
        <f>$C35*3*'No. of Students Trained'!N$7*'Key Assumptions'!E$51</f>
        <v>270000</v>
      </c>
      <c r="N12" s="167">
        <f>$C35*3*'No. of Students Trained'!O$7*'Key Assumptions'!E$51</f>
        <v>300000</v>
      </c>
      <c r="O12" s="167">
        <f>$C35*12*'No. of Students Trained'!P$7*'Key Assumptions'!F$51</f>
        <v>1260000</v>
      </c>
      <c r="P12" s="167">
        <f>$C35*12*'No. of Students Trained'!Q$7*'Key Assumptions'!G$51</f>
        <v>1323000</v>
      </c>
      <c r="Q12" s="167">
        <f>$C35*12*'No. of Students Trained'!R$7*'Key Assumptions'!H$51</f>
        <v>1389150.0000000002</v>
      </c>
      <c r="R12" s="167">
        <f>$C35*12*'No. of Students Trained'!S$7*'Key Assumptions'!I$51</f>
        <v>1458607.5000000002</v>
      </c>
    </row>
    <row r="13" spans="1:18">
      <c r="B13" s="162" t="s">
        <v>393</v>
      </c>
      <c r="C13" s="167">
        <f>$C36*3*'No. of Students Trained'!D$7*'Key Assumptions'!C$51</f>
        <v>9000</v>
      </c>
      <c r="D13" s="167">
        <f>$C36*3*'No. of Students Trained'!E$7*'Key Assumptions'!C$51</f>
        <v>18000</v>
      </c>
      <c r="E13" s="167">
        <f>$C36*3*'No. of Students Trained'!F$7*'Key Assumptions'!C$51</f>
        <v>18000</v>
      </c>
      <c r="F13" s="167">
        <f>$C36*3*'No. of Students Trained'!G$7*'Key Assumptions'!C$51</f>
        <v>27000</v>
      </c>
      <c r="G13" s="167">
        <f>$C36*3*'No. of Students Trained'!H$7*'Key Assumptions'!D$51</f>
        <v>36000</v>
      </c>
      <c r="H13" s="167">
        <f>$C36*3*'No. of Students Trained'!I$7*'Key Assumptions'!D$51</f>
        <v>54000</v>
      </c>
      <c r="I13" s="167">
        <f>$C36*3*'No. of Students Trained'!J$7*'Key Assumptions'!D$51</f>
        <v>54000</v>
      </c>
      <c r="J13" s="167">
        <f>$C36*3*'No. of Students Trained'!K$7*'Key Assumptions'!D$51</f>
        <v>81000</v>
      </c>
      <c r="K13" s="167">
        <f>$C36*3*'No. of Students Trained'!L$7*'Key Assumptions'!E$51</f>
        <v>108000</v>
      </c>
      <c r="L13" s="167">
        <f>$C36*3*'No. of Students Trained'!M$7*'Key Assumptions'!E$51</f>
        <v>135000</v>
      </c>
      <c r="M13" s="167">
        <f>$C36*3*'No. of Students Trained'!N$7*'Key Assumptions'!E$51</f>
        <v>162000</v>
      </c>
      <c r="N13" s="167">
        <f>$C36*3*'No. of Students Trained'!O$7*'Key Assumptions'!E$51</f>
        <v>180000</v>
      </c>
      <c r="O13" s="167">
        <f>$C36*12*'No. of Students Trained'!P$7*'Key Assumptions'!F$51</f>
        <v>756000</v>
      </c>
      <c r="P13" s="167">
        <f>$C36*12*'No. of Students Trained'!Q$7*'Key Assumptions'!G$51</f>
        <v>793800</v>
      </c>
      <c r="Q13" s="167">
        <f>$C36*12*'No. of Students Trained'!R$7*'Key Assumptions'!H$51</f>
        <v>833490.00000000012</v>
      </c>
      <c r="R13" s="167">
        <f>$C36*12*'No. of Students Trained'!S$7*'Key Assumptions'!I$51</f>
        <v>875164.50000000012</v>
      </c>
    </row>
    <row r="14" spans="1:18">
      <c r="B14" s="162" t="s">
        <v>4</v>
      </c>
      <c r="C14" s="167">
        <f>$C37*3*'No. of Students Trained'!D$7*'Key Assumptions'!C$51</f>
        <v>3000</v>
      </c>
      <c r="D14" s="167">
        <f>$C37*3*'No. of Students Trained'!E$7*'Key Assumptions'!C$51</f>
        <v>6000</v>
      </c>
      <c r="E14" s="167">
        <f>$C37*3*'No. of Students Trained'!F$7*'Key Assumptions'!C$51</f>
        <v>6000</v>
      </c>
      <c r="F14" s="167">
        <f>$C37*3*'No. of Students Trained'!G$7*'Key Assumptions'!C$51</f>
        <v>9000</v>
      </c>
      <c r="G14" s="167">
        <f>$C37*3*'No. of Students Trained'!H$7*'Key Assumptions'!D$51</f>
        <v>12000</v>
      </c>
      <c r="H14" s="167">
        <f>$C37*3*'No. of Students Trained'!I$7*'Key Assumptions'!D$51</f>
        <v>18000</v>
      </c>
      <c r="I14" s="167">
        <f>$C37*3*'No. of Students Trained'!J$7*'Key Assumptions'!D$51</f>
        <v>18000</v>
      </c>
      <c r="J14" s="167">
        <f>$C37*3*'No. of Students Trained'!K$7*'Key Assumptions'!D$51</f>
        <v>27000</v>
      </c>
      <c r="K14" s="167">
        <f>$C37*3*'No. of Students Trained'!L$7*'Key Assumptions'!E$51</f>
        <v>36000</v>
      </c>
      <c r="L14" s="167">
        <f>$C37*3*'No. of Students Trained'!M$7*'Key Assumptions'!E$51</f>
        <v>45000</v>
      </c>
      <c r="M14" s="167">
        <f>$C37*3*'No. of Students Trained'!N$7*'Key Assumptions'!E$51</f>
        <v>54000</v>
      </c>
      <c r="N14" s="167">
        <f>$C37*3*'No. of Students Trained'!O$7*'Key Assumptions'!E$51</f>
        <v>60000</v>
      </c>
      <c r="O14" s="167">
        <f>$C37*12*'No. of Students Trained'!P$7*'Key Assumptions'!F$51</f>
        <v>252000</v>
      </c>
      <c r="P14" s="167">
        <f>$C37*12*'No. of Students Trained'!Q$7*'Key Assumptions'!G$51</f>
        <v>264600</v>
      </c>
      <c r="Q14" s="167">
        <f>$C37*12*'No. of Students Trained'!R$7*'Key Assumptions'!H$51</f>
        <v>277830.00000000006</v>
      </c>
      <c r="R14" s="167">
        <f>$C37*12*'No. of Students Trained'!S$7*'Key Assumptions'!I$51</f>
        <v>291721.50000000006</v>
      </c>
    </row>
    <row r="15" spans="1:18">
      <c r="B15" s="162" t="s">
        <v>2</v>
      </c>
      <c r="C15" s="167">
        <f>$C38*3*'No. of Students Trained'!D$7*'Key Assumptions'!C$51</f>
        <v>9000</v>
      </c>
      <c r="D15" s="167">
        <f>$C38*3*'No. of Students Trained'!E$7*'Key Assumptions'!C$51</f>
        <v>18000</v>
      </c>
      <c r="E15" s="167">
        <f>$C38*3*'No. of Students Trained'!F$7*'Key Assumptions'!C$51</f>
        <v>18000</v>
      </c>
      <c r="F15" s="167">
        <f>$C38*3*'No. of Students Trained'!G$7*'Key Assumptions'!C$51</f>
        <v>27000</v>
      </c>
      <c r="G15" s="167">
        <f>$C38*3*'No. of Students Trained'!H$7*'Key Assumptions'!D$51</f>
        <v>36000</v>
      </c>
      <c r="H15" s="167">
        <f>$C38*3*'No. of Students Trained'!I$7*'Key Assumptions'!D$51</f>
        <v>54000</v>
      </c>
      <c r="I15" s="167">
        <f>$C38*3*'No. of Students Trained'!J$7*'Key Assumptions'!D$51</f>
        <v>54000</v>
      </c>
      <c r="J15" s="167">
        <f>$C38*3*'No. of Students Trained'!K$7*'Key Assumptions'!D$51</f>
        <v>81000</v>
      </c>
      <c r="K15" s="167">
        <f>$C38*3*'No. of Students Trained'!L$7*'Key Assumptions'!E$51</f>
        <v>108000</v>
      </c>
      <c r="L15" s="167">
        <f>$C38*3*'No. of Students Trained'!M$7*'Key Assumptions'!E$51</f>
        <v>135000</v>
      </c>
      <c r="M15" s="167">
        <f>$C38*3*'No. of Students Trained'!N$7*'Key Assumptions'!E$51</f>
        <v>162000</v>
      </c>
      <c r="N15" s="167">
        <f>$C38*3*'No. of Students Trained'!O$7*'Key Assumptions'!E$51</f>
        <v>180000</v>
      </c>
      <c r="O15" s="167">
        <f>$C38*12*'No. of Students Trained'!P$7*'Key Assumptions'!F$51</f>
        <v>756000</v>
      </c>
      <c r="P15" s="167">
        <f>$C38*12*'No. of Students Trained'!Q$7*'Key Assumptions'!G$51</f>
        <v>793800</v>
      </c>
      <c r="Q15" s="167">
        <f>$C38*12*'No. of Students Trained'!R$7*'Key Assumptions'!H$51</f>
        <v>833490.00000000012</v>
      </c>
      <c r="R15" s="167">
        <f>$C38*12*'No. of Students Trained'!S$7*'Key Assumptions'!I$51</f>
        <v>875164.50000000012</v>
      </c>
    </row>
    <row r="16" spans="1:18">
      <c r="B16" s="162" t="s">
        <v>1</v>
      </c>
      <c r="C16" s="167">
        <f>$C39*3*'No. of Students Trained'!D$7*'Key Assumptions'!C$51</f>
        <v>15000</v>
      </c>
      <c r="D16" s="167">
        <f>$C39*3*'No. of Students Trained'!E$7*'Key Assumptions'!C$51</f>
        <v>30000</v>
      </c>
      <c r="E16" s="167">
        <f>$C39*3*'No. of Students Trained'!F$7*'Key Assumptions'!C$51</f>
        <v>30000</v>
      </c>
      <c r="F16" s="167">
        <f>$C39*3*'No. of Students Trained'!G$7*'Key Assumptions'!C$51</f>
        <v>45000</v>
      </c>
      <c r="G16" s="167">
        <f>$C39*3*'No. of Students Trained'!H$7*'Key Assumptions'!D$51</f>
        <v>60000</v>
      </c>
      <c r="H16" s="167">
        <f>$C39*3*'No. of Students Trained'!I$7*'Key Assumptions'!D$51</f>
        <v>90000</v>
      </c>
      <c r="I16" s="167">
        <f>$C39*3*'No. of Students Trained'!J$7*'Key Assumptions'!D$51</f>
        <v>90000</v>
      </c>
      <c r="J16" s="167">
        <f>$C39*3*'No. of Students Trained'!K$7*'Key Assumptions'!D$51</f>
        <v>135000</v>
      </c>
      <c r="K16" s="167">
        <f>$C39*3*'No. of Students Trained'!L$7*'Key Assumptions'!E$51</f>
        <v>180000</v>
      </c>
      <c r="L16" s="167">
        <f>$C39*3*'No. of Students Trained'!M$7*'Key Assumptions'!E$51</f>
        <v>225000</v>
      </c>
      <c r="M16" s="167">
        <f>$C39*3*'No. of Students Trained'!N$7*'Key Assumptions'!E$51</f>
        <v>270000</v>
      </c>
      <c r="N16" s="167">
        <f>$C39*3*'No. of Students Trained'!O$7*'Key Assumptions'!E$51</f>
        <v>300000</v>
      </c>
      <c r="O16" s="167">
        <f>$C39*12*'No. of Students Trained'!P$7*'Key Assumptions'!F$51</f>
        <v>1260000</v>
      </c>
      <c r="P16" s="167">
        <f>$C39*12*'No. of Students Trained'!Q$7*'Key Assumptions'!G$51</f>
        <v>1323000</v>
      </c>
      <c r="Q16" s="167">
        <f>$C39*12*'No. of Students Trained'!R$7*'Key Assumptions'!H$51</f>
        <v>1389150.0000000002</v>
      </c>
      <c r="R16" s="167">
        <f>$C39*12*'No. of Students Trained'!S$7*'Key Assumptions'!I$51</f>
        <v>1458607.5000000002</v>
      </c>
    </row>
    <row r="17" spans="2:18">
      <c r="B17" s="162" t="s">
        <v>394</v>
      </c>
      <c r="C17" s="167">
        <f>$C40*3*'No. of Students Trained'!D$7*'Key Assumptions'!C$51</f>
        <v>6000</v>
      </c>
      <c r="D17" s="167">
        <f>$C40*3*'No. of Students Trained'!E$7*'Key Assumptions'!C$51</f>
        <v>12000</v>
      </c>
      <c r="E17" s="167">
        <f>$C40*3*'No. of Students Trained'!F$7*'Key Assumptions'!C$51</f>
        <v>12000</v>
      </c>
      <c r="F17" s="167">
        <f>$C40*3*'No. of Students Trained'!G$7*'Key Assumptions'!C$51</f>
        <v>18000</v>
      </c>
      <c r="G17" s="167">
        <f>$C40*3*'No. of Students Trained'!H$7*'Key Assumptions'!D$51</f>
        <v>24000</v>
      </c>
      <c r="H17" s="167">
        <f>$C40*3*'No. of Students Trained'!I$7*'Key Assumptions'!D$51</f>
        <v>36000</v>
      </c>
      <c r="I17" s="167">
        <f>$C40*3*'No. of Students Trained'!J$7*'Key Assumptions'!D$51</f>
        <v>36000</v>
      </c>
      <c r="J17" s="167">
        <f>$C40*3*'No. of Students Trained'!K$7*'Key Assumptions'!D$51</f>
        <v>54000</v>
      </c>
      <c r="K17" s="167">
        <f>$C40*3*'No. of Students Trained'!L$7*'Key Assumptions'!E$51</f>
        <v>72000</v>
      </c>
      <c r="L17" s="167">
        <f>$C40*3*'No. of Students Trained'!M$7*'Key Assumptions'!E$51</f>
        <v>90000</v>
      </c>
      <c r="M17" s="167">
        <f>$C40*3*'No. of Students Trained'!N$7*'Key Assumptions'!E$51</f>
        <v>108000</v>
      </c>
      <c r="N17" s="167">
        <f>$C40*3*'No. of Students Trained'!O$7*'Key Assumptions'!E$51</f>
        <v>120000</v>
      </c>
      <c r="O17" s="167">
        <f>$C40*12*'No. of Students Trained'!P$7*'Key Assumptions'!F$51</f>
        <v>504000</v>
      </c>
      <c r="P17" s="167">
        <f>$C40*12*'No. of Students Trained'!Q$7*'Key Assumptions'!G$51</f>
        <v>529200</v>
      </c>
      <c r="Q17" s="167">
        <f>$C40*12*'No. of Students Trained'!R$7*'Key Assumptions'!H$51</f>
        <v>555660.00000000012</v>
      </c>
      <c r="R17" s="167">
        <f>$C40*12*'No. of Students Trained'!S$7*'Key Assumptions'!I$51</f>
        <v>583443.00000000012</v>
      </c>
    </row>
    <row r="18" spans="2:18">
      <c r="B18" s="162" t="s">
        <v>395</v>
      </c>
      <c r="C18" s="167">
        <f>$C41*3*'No. of Students Trained'!D$7*'Key Assumptions'!C$51</f>
        <v>9000</v>
      </c>
      <c r="D18" s="167">
        <f>$C41*3*'No. of Students Trained'!E$7*'Key Assumptions'!C$51</f>
        <v>18000</v>
      </c>
      <c r="E18" s="167">
        <f>$C41*3*'No. of Students Trained'!F$7*'Key Assumptions'!C$51</f>
        <v>18000</v>
      </c>
      <c r="F18" s="167">
        <f>$C41*3*'No. of Students Trained'!G$7*'Key Assumptions'!C$51</f>
        <v>27000</v>
      </c>
      <c r="G18" s="167">
        <f>$C41*3*'No. of Students Trained'!H$7*'Key Assumptions'!D$51</f>
        <v>36000</v>
      </c>
      <c r="H18" s="167">
        <f>$C41*3*'No. of Students Trained'!I$7*'Key Assumptions'!D$51</f>
        <v>54000</v>
      </c>
      <c r="I18" s="167">
        <f>$C41*3*'No. of Students Trained'!J$7*'Key Assumptions'!D$51</f>
        <v>54000</v>
      </c>
      <c r="J18" s="167">
        <f>$C41*3*'No. of Students Trained'!K$7*'Key Assumptions'!D$51</f>
        <v>81000</v>
      </c>
      <c r="K18" s="167">
        <f>$C41*3*'No. of Students Trained'!L$7*'Key Assumptions'!E$51</f>
        <v>108000</v>
      </c>
      <c r="L18" s="167">
        <f>$C41*3*'No. of Students Trained'!M$7*'Key Assumptions'!E$51</f>
        <v>135000</v>
      </c>
      <c r="M18" s="167">
        <f>$C41*3*'No. of Students Trained'!N$7*'Key Assumptions'!E$51</f>
        <v>162000</v>
      </c>
      <c r="N18" s="167">
        <f>$C41*3*'No. of Students Trained'!O$7*'Key Assumptions'!E$51</f>
        <v>180000</v>
      </c>
      <c r="O18" s="167">
        <f>$C41*12*'No. of Students Trained'!P$7*'Key Assumptions'!F$51</f>
        <v>756000</v>
      </c>
      <c r="P18" s="167">
        <f>$C41*12*'No. of Students Trained'!Q$7*'Key Assumptions'!G$51</f>
        <v>793800</v>
      </c>
      <c r="Q18" s="167">
        <f>$C41*12*'No. of Students Trained'!R$7*'Key Assumptions'!H$51</f>
        <v>833490.00000000012</v>
      </c>
      <c r="R18" s="167">
        <f>$C41*12*'No. of Students Trained'!S$7*'Key Assumptions'!I$51</f>
        <v>875164.50000000012</v>
      </c>
    </row>
    <row r="19" spans="2:18">
      <c r="B19" s="162" t="s">
        <v>396</v>
      </c>
      <c r="C19" s="167">
        <f>$C42*3*'No. of Students Trained'!D$7*'Key Assumptions'!C$51</f>
        <v>6000</v>
      </c>
      <c r="D19" s="167">
        <f>$C42*3*'No. of Students Trained'!E$7*'Key Assumptions'!C$51</f>
        <v>12000</v>
      </c>
      <c r="E19" s="167">
        <f>$C42*3*'No. of Students Trained'!F$7*'Key Assumptions'!C$51</f>
        <v>12000</v>
      </c>
      <c r="F19" s="167">
        <f>$C42*3*'No. of Students Trained'!G$7*'Key Assumptions'!C$51</f>
        <v>18000</v>
      </c>
      <c r="G19" s="167">
        <f>$C42*3*'No. of Students Trained'!H$7*'Key Assumptions'!D$51</f>
        <v>24000</v>
      </c>
      <c r="H19" s="167">
        <f>$C42*3*'No. of Students Trained'!I$7*'Key Assumptions'!D$51</f>
        <v>36000</v>
      </c>
      <c r="I19" s="167">
        <f>$C42*3*'No. of Students Trained'!J$7*'Key Assumptions'!D$51</f>
        <v>36000</v>
      </c>
      <c r="J19" s="167">
        <f>$C42*3*'No. of Students Trained'!K$7*'Key Assumptions'!D$51</f>
        <v>54000</v>
      </c>
      <c r="K19" s="167">
        <f>$C42*3*'No. of Students Trained'!L$7*'Key Assumptions'!E$51</f>
        <v>72000</v>
      </c>
      <c r="L19" s="167">
        <f>$C42*3*'No. of Students Trained'!M$7*'Key Assumptions'!E$51</f>
        <v>90000</v>
      </c>
      <c r="M19" s="167">
        <f>$C42*3*'No. of Students Trained'!N$7*'Key Assumptions'!E$51</f>
        <v>108000</v>
      </c>
      <c r="N19" s="167">
        <f>$C42*3*'No. of Students Trained'!O$7*'Key Assumptions'!E$51</f>
        <v>120000</v>
      </c>
      <c r="O19" s="167">
        <f>$C42*12*'No. of Students Trained'!P$7*'Key Assumptions'!F$51</f>
        <v>504000</v>
      </c>
      <c r="P19" s="167">
        <f>$C42*12*'No. of Students Trained'!Q$7*'Key Assumptions'!G$51</f>
        <v>529200</v>
      </c>
      <c r="Q19" s="167">
        <f>$C42*12*'No. of Students Trained'!R$7*'Key Assumptions'!H$51</f>
        <v>555660.00000000012</v>
      </c>
      <c r="R19" s="167">
        <f>$C42*12*'No. of Students Trained'!S$7*'Key Assumptions'!I$51</f>
        <v>583443.00000000012</v>
      </c>
    </row>
    <row r="20" spans="2:18">
      <c r="B20" s="162" t="s">
        <v>397</v>
      </c>
      <c r="C20" s="167">
        <f>$C43*3*'No. of Students Trained'!D$7*'Key Assumptions'!C$51</f>
        <v>6000</v>
      </c>
      <c r="D20" s="167">
        <f>$C43*3*'No. of Students Trained'!E$7*'Key Assumptions'!C$51</f>
        <v>12000</v>
      </c>
      <c r="E20" s="167">
        <f>$C43*3*'No. of Students Trained'!F$7*'Key Assumptions'!C$51</f>
        <v>12000</v>
      </c>
      <c r="F20" s="167">
        <f>$C43*3*'No. of Students Trained'!G$7*'Key Assumptions'!C$51</f>
        <v>18000</v>
      </c>
      <c r="G20" s="167">
        <f>$C43*3*'No. of Students Trained'!H$7*'Key Assumptions'!D$51</f>
        <v>24000</v>
      </c>
      <c r="H20" s="167">
        <f>$C43*3*'No. of Students Trained'!I$7*'Key Assumptions'!D$51</f>
        <v>36000</v>
      </c>
      <c r="I20" s="167">
        <f>$C43*3*'No. of Students Trained'!J$7*'Key Assumptions'!D$51</f>
        <v>36000</v>
      </c>
      <c r="J20" s="167">
        <f>$C43*3*'No. of Students Trained'!K$7*'Key Assumptions'!D$51</f>
        <v>54000</v>
      </c>
      <c r="K20" s="167">
        <f>$C43*3*'No. of Students Trained'!L$7*'Key Assumptions'!E$51</f>
        <v>72000</v>
      </c>
      <c r="L20" s="167">
        <f>$C43*3*'No. of Students Trained'!M$7*'Key Assumptions'!E$51</f>
        <v>90000</v>
      </c>
      <c r="M20" s="167">
        <f>$C43*3*'No. of Students Trained'!N$7*'Key Assumptions'!E$51</f>
        <v>108000</v>
      </c>
      <c r="N20" s="167">
        <f>$C43*3*'No. of Students Trained'!O$7*'Key Assumptions'!E$51</f>
        <v>120000</v>
      </c>
      <c r="O20" s="167">
        <f>$C43*12*'No. of Students Trained'!P$7*'Key Assumptions'!F$51</f>
        <v>504000</v>
      </c>
      <c r="P20" s="167">
        <f>$C43*12*'No. of Students Trained'!Q$7*'Key Assumptions'!G$51</f>
        <v>529200</v>
      </c>
      <c r="Q20" s="167">
        <f>$C43*12*'No. of Students Trained'!R$7*'Key Assumptions'!H$51</f>
        <v>555660.00000000012</v>
      </c>
      <c r="R20" s="167">
        <f>$C43*12*'No. of Students Trained'!S$7*'Key Assumptions'!I$51</f>
        <v>583443.00000000012</v>
      </c>
    </row>
    <row r="21" spans="2:18">
      <c r="B21" s="162" t="s">
        <v>399</v>
      </c>
      <c r="C21" s="167">
        <f>$C44*3*'No. of Students Trained'!D$7*'Key Assumptions'!C$51</f>
        <v>2100</v>
      </c>
      <c r="D21" s="167">
        <f>$C44*3*'No. of Students Trained'!E$7*'Key Assumptions'!C$51</f>
        <v>4200</v>
      </c>
      <c r="E21" s="167">
        <f>$C44*3*'No. of Students Trained'!F$7*'Key Assumptions'!C$51</f>
        <v>4200</v>
      </c>
      <c r="F21" s="167">
        <f>$C44*3*'No. of Students Trained'!G$7*'Key Assumptions'!C$51</f>
        <v>6300</v>
      </c>
      <c r="G21" s="167">
        <f>$C44*3*'No. of Students Trained'!H$7*'Key Assumptions'!D$51</f>
        <v>8400</v>
      </c>
      <c r="H21" s="167">
        <f>$C44*3*'No. of Students Trained'!I$7*'Key Assumptions'!D$51</f>
        <v>12600</v>
      </c>
      <c r="I21" s="167">
        <f>$C44*3*'No. of Students Trained'!J$7*'Key Assumptions'!D$51</f>
        <v>12600</v>
      </c>
      <c r="J21" s="167">
        <f>$C44*3*'No. of Students Trained'!K$7*'Key Assumptions'!D$51</f>
        <v>18900</v>
      </c>
      <c r="K21" s="167">
        <f>$C44*3*'No. of Students Trained'!L$7*'Key Assumptions'!E$51</f>
        <v>25200</v>
      </c>
      <c r="L21" s="167">
        <f>$C44*3*'No. of Students Trained'!M$7*'Key Assumptions'!E$51</f>
        <v>31500</v>
      </c>
      <c r="M21" s="167">
        <f>$C44*3*'No. of Students Trained'!N$7*'Key Assumptions'!E$51</f>
        <v>37800</v>
      </c>
      <c r="N21" s="167">
        <f>$C44*3*'No. of Students Trained'!O$7*'Key Assumptions'!E$51</f>
        <v>42000</v>
      </c>
      <c r="O21" s="167">
        <f>$C44*12*'No. of Students Trained'!P$7*'Key Assumptions'!F$51</f>
        <v>176400</v>
      </c>
      <c r="P21" s="167">
        <f>$C44*12*'No. of Students Trained'!Q$7*'Key Assumptions'!G$51</f>
        <v>185220</v>
      </c>
      <c r="Q21" s="167">
        <f>$C44*12*'No. of Students Trained'!R$7*'Key Assumptions'!H$51</f>
        <v>194481.00000000003</v>
      </c>
      <c r="R21" s="167">
        <f>$C44*12*'No. of Students Trained'!S$7*'Key Assumptions'!I$51</f>
        <v>204205.05000000005</v>
      </c>
    </row>
    <row r="22" spans="2:18">
      <c r="B22" s="162" t="s">
        <v>398</v>
      </c>
      <c r="C22" s="167">
        <f>$C45*3*'No. of Students Trained'!D$7*'Key Assumptions'!C$51</f>
        <v>12000</v>
      </c>
      <c r="D22" s="167">
        <f>$C45*3*'No. of Students Trained'!E$7*'Key Assumptions'!C$51</f>
        <v>24000</v>
      </c>
      <c r="E22" s="167">
        <f>$C45*3*'No. of Students Trained'!F$7*'Key Assumptions'!C$51</f>
        <v>24000</v>
      </c>
      <c r="F22" s="167">
        <f>$C45*3*'No. of Students Trained'!G$7*'Key Assumptions'!C$51</f>
        <v>36000</v>
      </c>
      <c r="G22" s="167">
        <f>$C45*3*'No. of Students Trained'!H$7*'Key Assumptions'!D$51</f>
        <v>48000</v>
      </c>
      <c r="H22" s="167">
        <f>$C45*3*'No. of Students Trained'!I$7*'Key Assumptions'!D$51</f>
        <v>72000</v>
      </c>
      <c r="I22" s="167">
        <f>$C45*3*'No. of Students Trained'!J$7*'Key Assumptions'!D$51</f>
        <v>72000</v>
      </c>
      <c r="J22" s="167">
        <f>$C45*3*'No. of Students Trained'!K$7*'Key Assumptions'!D$51</f>
        <v>108000</v>
      </c>
      <c r="K22" s="167">
        <f>$C45*3*'No. of Students Trained'!L$7*'Key Assumptions'!E$51</f>
        <v>144000</v>
      </c>
      <c r="L22" s="167">
        <f>$C45*3*'No. of Students Trained'!M$7*'Key Assumptions'!E$51</f>
        <v>180000</v>
      </c>
      <c r="M22" s="167">
        <f>$C45*3*'No. of Students Trained'!N$7*'Key Assumptions'!E$51</f>
        <v>216000</v>
      </c>
      <c r="N22" s="167">
        <f>$C45*3*'No. of Students Trained'!O$7*'Key Assumptions'!E$51</f>
        <v>240000</v>
      </c>
      <c r="O22" s="167">
        <f>$C45*12*'No. of Students Trained'!P$7*'Key Assumptions'!F$51</f>
        <v>1008000</v>
      </c>
      <c r="P22" s="167">
        <f>$C45*12*'No. of Students Trained'!Q$7*'Key Assumptions'!G$51</f>
        <v>1058400</v>
      </c>
      <c r="Q22" s="167">
        <f>$C45*12*'No. of Students Trained'!R$7*'Key Assumptions'!H$51</f>
        <v>1111320.0000000002</v>
      </c>
      <c r="R22" s="167">
        <f>$C45*12*'No. of Students Trained'!S$7*'Key Assumptions'!I$51</f>
        <v>1166886.0000000002</v>
      </c>
    </row>
    <row r="23" spans="2:18">
      <c r="B23" s="162" t="s">
        <v>3</v>
      </c>
      <c r="C23" s="167">
        <f>$C46*3*'No. of Students Trained'!D$7*'Key Assumptions'!C$51</f>
        <v>6000</v>
      </c>
      <c r="D23" s="167">
        <f>$C46*3*'No. of Students Trained'!E$7*'Key Assumptions'!C$51</f>
        <v>12000</v>
      </c>
      <c r="E23" s="167">
        <f>$C46*3*'No. of Students Trained'!F$7*'Key Assumptions'!C$51</f>
        <v>12000</v>
      </c>
      <c r="F23" s="167">
        <f>$C46*3*'No. of Students Trained'!G$7*'Key Assumptions'!C$51</f>
        <v>18000</v>
      </c>
      <c r="G23" s="167">
        <f>$C46*3*'No. of Students Trained'!H$7*'Key Assumptions'!D$51</f>
        <v>24000</v>
      </c>
      <c r="H23" s="167">
        <f>$C46*3*'No. of Students Trained'!I$7*'Key Assumptions'!D$51</f>
        <v>36000</v>
      </c>
      <c r="I23" s="167">
        <f>$C46*3*'No. of Students Trained'!J$7*'Key Assumptions'!D$51</f>
        <v>36000</v>
      </c>
      <c r="J23" s="167">
        <f>$C46*3*'No. of Students Trained'!K$7*'Key Assumptions'!D$51</f>
        <v>54000</v>
      </c>
      <c r="K23" s="167">
        <f>$C46*3*'No. of Students Trained'!L$7*'Key Assumptions'!E$51</f>
        <v>72000</v>
      </c>
      <c r="L23" s="167">
        <f>$C46*3*'No. of Students Trained'!M$7*'Key Assumptions'!E$51</f>
        <v>90000</v>
      </c>
      <c r="M23" s="167">
        <f>$C46*3*'No. of Students Trained'!N$7*'Key Assumptions'!E$51</f>
        <v>108000</v>
      </c>
      <c r="N23" s="167">
        <f>$C46*3*'No. of Students Trained'!O$7*'Key Assumptions'!E$51</f>
        <v>120000</v>
      </c>
      <c r="O23" s="167">
        <f>$C46*12*'No. of Students Trained'!P$7*'Key Assumptions'!F$51</f>
        <v>504000</v>
      </c>
      <c r="P23" s="167">
        <f>$C46*12*'No. of Students Trained'!Q$7*'Key Assumptions'!G$51</f>
        <v>529200</v>
      </c>
      <c r="Q23" s="167">
        <f>$C46*12*'No. of Students Trained'!R$7*'Key Assumptions'!H$51</f>
        <v>555660.00000000012</v>
      </c>
      <c r="R23" s="167">
        <f>$C46*12*'No. of Students Trained'!S$7*'Key Assumptions'!I$51</f>
        <v>583443.00000000012</v>
      </c>
    </row>
    <row r="24" spans="2:18">
      <c r="B24" s="41" t="s">
        <v>407</v>
      </c>
      <c r="C24" s="167">
        <f>$C$48*'No. of Students Trained'!D200</f>
        <v>157500</v>
      </c>
      <c r="D24" s="167">
        <f>$C$48*'No. of Students Trained'!E200</f>
        <v>292500</v>
      </c>
      <c r="E24" s="167">
        <f>$C$48*'No. of Students Trained'!F200</f>
        <v>292500</v>
      </c>
      <c r="F24" s="167">
        <f>$C$48*'No. of Students Trained'!G200</f>
        <v>450000</v>
      </c>
      <c r="G24" s="167">
        <f>$C$48*'No. of Students Trained'!H200</f>
        <v>648000</v>
      </c>
      <c r="H24" s="167">
        <f>$C$48*'No. of Students Trained'!I200</f>
        <v>984000</v>
      </c>
      <c r="I24" s="167">
        <f>$C$48*'No. of Students Trained'!J200</f>
        <v>984000</v>
      </c>
      <c r="J24" s="167">
        <f>$C$48*'No. of Students Trained'!K200</f>
        <v>1440000</v>
      </c>
      <c r="K24" s="167">
        <f>$C$48*'No. of Students Trained'!L200</f>
        <v>2187000</v>
      </c>
      <c r="L24" s="167">
        <f>$C$48*'No. of Students Trained'!M200</f>
        <v>2754000</v>
      </c>
      <c r="M24" s="167">
        <f>$C$48*'No. of Students Trained'!N200</f>
        <v>3294000</v>
      </c>
      <c r="N24" s="167">
        <f>$C$48*'No. of Students Trained'!O200</f>
        <v>3672000</v>
      </c>
      <c r="O24" s="167">
        <f>$C$48*'No. of Students Trained'!P200</f>
        <v>17952000</v>
      </c>
      <c r="P24" s="167">
        <f>$C$48*'No. of Students Trained'!Q200</f>
        <v>19584000</v>
      </c>
      <c r="Q24" s="167">
        <f>$C$48*'No. of Students Trained'!R200</f>
        <v>19584000</v>
      </c>
      <c r="R24" s="167">
        <f>$C$48*'No. of Students Trained'!S200</f>
        <v>20400000</v>
      </c>
    </row>
    <row r="25" spans="2:18">
      <c r="B25" s="246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</row>
    <row r="26" spans="2:18">
      <c r="B26" s="246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</row>
    <row r="27" spans="2:18">
      <c r="B27" s="24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</row>
    <row r="28" spans="2:18">
      <c r="B28" s="246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</row>
    <row r="29" spans="2:18">
      <c r="B29" s="24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</row>
    <row r="32" spans="2:18">
      <c r="B32" s="114"/>
    </row>
    <row r="33" spans="1:3" ht="20.25" thickBot="1">
      <c r="A33" s="36" t="s">
        <v>400</v>
      </c>
    </row>
    <row r="34" spans="1:3" ht="15.75" thickTop="1">
      <c r="B34" s="161" t="s">
        <v>389</v>
      </c>
      <c r="C34" s="161" t="s">
        <v>390</v>
      </c>
    </row>
    <row r="35" spans="1:3">
      <c r="B35" s="177" t="s">
        <v>378</v>
      </c>
      <c r="C35" s="53">
        <v>5000</v>
      </c>
    </row>
    <row r="36" spans="1:3">
      <c r="B36" s="177" t="s">
        <v>379</v>
      </c>
      <c r="C36" s="53">
        <v>3000</v>
      </c>
    </row>
    <row r="37" spans="1:3">
      <c r="B37" s="177" t="s">
        <v>380</v>
      </c>
      <c r="C37" s="53">
        <v>1000</v>
      </c>
    </row>
    <row r="38" spans="1:3">
      <c r="B38" s="177" t="s">
        <v>381</v>
      </c>
      <c r="C38" s="53">
        <v>3000</v>
      </c>
    </row>
    <row r="39" spans="1:3">
      <c r="B39" s="177" t="s">
        <v>382</v>
      </c>
      <c r="C39" s="53">
        <v>5000</v>
      </c>
    </row>
    <row r="40" spans="1:3">
      <c r="B40" s="177" t="s">
        <v>383</v>
      </c>
      <c r="C40" s="53">
        <v>2000</v>
      </c>
    </row>
    <row r="41" spans="1:3">
      <c r="B41" s="177" t="s">
        <v>384</v>
      </c>
      <c r="C41" s="53">
        <v>3000</v>
      </c>
    </row>
    <row r="42" spans="1:3">
      <c r="B42" s="177" t="s">
        <v>385</v>
      </c>
      <c r="C42" s="53">
        <v>2000</v>
      </c>
    </row>
    <row r="43" spans="1:3">
      <c r="B43" s="177" t="s">
        <v>386</v>
      </c>
      <c r="C43" s="53">
        <v>2000</v>
      </c>
    </row>
    <row r="44" spans="1:3">
      <c r="B44" s="177" t="s">
        <v>377</v>
      </c>
      <c r="C44" s="53">
        <v>700</v>
      </c>
    </row>
    <row r="45" spans="1:3">
      <c r="B45" s="177" t="s">
        <v>387</v>
      </c>
      <c r="C45" s="53">
        <v>4000</v>
      </c>
    </row>
    <row r="46" spans="1:3">
      <c r="B46" s="177" t="s">
        <v>388</v>
      </c>
      <c r="C46" s="53">
        <v>2000</v>
      </c>
    </row>
    <row r="47" spans="1:3">
      <c r="C47" s="320"/>
    </row>
    <row r="48" spans="1:3">
      <c r="B48" s="177" t="s">
        <v>440</v>
      </c>
      <c r="C48" s="53">
        <v>1500</v>
      </c>
    </row>
    <row r="49" spans="2:2">
      <c r="B49" s="27" t="s">
        <v>151</v>
      </c>
    </row>
  </sheetData>
  <mergeCells count="8">
    <mergeCell ref="R9:R10"/>
    <mergeCell ref="C9:F9"/>
    <mergeCell ref="G9:J9"/>
    <mergeCell ref="B9:B10"/>
    <mergeCell ref="O9:O10"/>
    <mergeCell ref="K9:N9"/>
    <mergeCell ref="P9:P10"/>
    <mergeCell ref="Q9:Q10"/>
  </mergeCells>
  <hyperlinks>
    <hyperlink ref="B49" location="Index!A1" display="Back to Index"/>
  </hyperlinks>
  <pageMargins left="0.7" right="0.7" top="0.75" bottom="0.75" header="0.3" footer="0.3"/>
  <pageSetup paperSize="9" orientation="portrait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2">
    <tabColor rgb="FFFF0000"/>
  </sheetPr>
  <dimension ref="A1:R21"/>
  <sheetViews>
    <sheetView zoomScale="86" zoomScaleNormal="86" workbookViewId="0">
      <selection activeCell="L4" sqref="L4"/>
    </sheetView>
  </sheetViews>
  <sheetFormatPr defaultRowHeight="15"/>
  <cols>
    <col min="1" max="1" width="6" customWidth="1"/>
    <col min="2" max="2" width="22" bestFit="1" customWidth="1"/>
    <col min="3" max="4" width="12.7109375" bestFit="1" customWidth="1"/>
    <col min="5" max="10" width="12.85546875" bestFit="1" customWidth="1"/>
    <col min="11" max="13" width="12.7109375" customWidth="1"/>
    <col min="14" max="18" width="12.85546875" bestFit="1" customWidth="1"/>
  </cols>
  <sheetData>
    <row r="1" spans="1:18" ht="23.25">
      <c r="A1" s="79" t="s">
        <v>297</v>
      </c>
    </row>
    <row r="3" spans="1:18" ht="20.25" thickBot="1">
      <c r="A3" s="36" t="s">
        <v>19</v>
      </c>
    </row>
    <row r="4" spans="1:18" ht="15.75" thickTop="1"/>
    <row r="5" spans="1:18">
      <c r="B5" s="357" t="s">
        <v>216</v>
      </c>
      <c r="C5" s="357" t="s">
        <v>6</v>
      </c>
      <c r="D5" s="357"/>
      <c r="E5" s="357"/>
      <c r="F5" s="357"/>
      <c r="G5" s="357" t="s">
        <v>7</v>
      </c>
      <c r="H5" s="357"/>
      <c r="I5" s="357"/>
      <c r="J5" s="357"/>
      <c r="K5" s="358" t="s">
        <v>8</v>
      </c>
      <c r="L5" s="359"/>
      <c r="M5" s="359"/>
      <c r="N5" s="360"/>
      <c r="O5" s="357" t="s">
        <v>9</v>
      </c>
      <c r="P5" s="357" t="s">
        <v>10</v>
      </c>
      <c r="Q5" s="357" t="s">
        <v>11</v>
      </c>
      <c r="R5" s="357" t="s">
        <v>12</v>
      </c>
    </row>
    <row r="6" spans="1:18">
      <c r="B6" s="357"/>
      <c r="C6" s="75" t="s">
        <v>13</v>
      </c>
      <c r="D6" s="75" t="s">
        <v>14</v>
      </c>
      <c r="E6" s="75" t="s">
        <v>15</v>
      </c>
      <c r="F6" s="75" t="s">
        <v>16</v>
      </c>
      <c r="G6" s="75" t="s">
        <v>13</v>
      </c>
      <c r="H6" s="75" t="s">
        <v>14</v>
      </c>
      <c r="I6" s="75" t="s">
        <v>15</v>
      </c>
      <c r="J6" s="75" t="s">
        <v>16</v>
      </c>
      <c r="K6" s="160" t="s">
        <v>13</v>
      </c>
      <c r="L6" s="160" t="s">
        <v>14</v>
      </c>
      <c r="M6" s="160" t="s">
        <v>15</v>
      </c>
      <c r="N6" s="160" t="s">
        <v>16</v>
      </c>
      <c r="O6" s="357"/>
      <c r="P6" s="357"/>
      <c r="Q6" s="357"/>
      <c r="R6" s="357"/>
    </row>
    <row r="7" spans="1:18">
      <c r="B7" s="246" t="s">
        <v>17</v>
      </c>
      <c r="C7" s="167">
        <v>0</v>
      </c>
      <c r="D7" s="167">
        <v>0</v>
      </c>
      <c r="E7" s="167">
        <v>0</v>
      </c>
      <c r="F7" s="167">
        <v>0</v>
      </c>
      <c r="G7" s="167">
        <v>0</v>
      </c>
      <c r="H7" s="167">
        <v>0</v>
      </c>
      <c r="I7" s="167">
        <v>0</v>
      </c>
      <c r="J7" s="167">
        <v>0</v>
      </c>
      <c r="K7" s="167">
        <v>0</v>
      </c>
      <c r="L7" s="167">
        <v>0</v>
      </c>
      <c r="M7" s="167">
        <v>0</v>
      </c>
      <c r="N7" s="167">
        <v>0</v>
      </c>
      <c r="O7" s="167">
        <v>0</v>
      </c>
      <c r="P7" s="167">
        <v>0</v>
      </c>
      <c r="Q7" s="167">
        <v>0</v>
      </c>
      <c r="R7" s="167">
        <v>0</v>
      </c>
    </row>
    <row r="8" spans="1:18">
      <c r="B8" s="28"/>
      <c r="C8" s="167">
        <v>0</v>
      </c>
      <c r="D8" s="167">
        <v>0</v>
      </c>
      <c r="E8" s="167">
        <v>0</v>
      </c>
      <c r="F8" s="167">
        <v>0</v>
      </c>
      <c r="G8" s="167">
        <v>0</v>
      </c>
      <c r="H8" s="167">
        <v>0</v>
      </c>
      <c r="I8" s="167">
        <v>0</v>
      </c>
      <c r="J8" s="167">
        <v>0</v>
      </c>
      <c r="K8" s="167"/>
      <c r="L8" s="167"/>
      <c r="M8" s="167"/>
      <c r="N8" s="167">
        <v>0</v>
      </c>
      <c r="O8" s="167">
        <v>0</v>
      </c>
      <c r="P8" s="167">
        <v>0</v>
      </c>
      <c r="Q8" s="167">
        <v>0</v>
      </c>
      <c r="R8" s="167">
        <v>0</v>
      </c>
    </row>
    <row r="9" spans="1:18">
      <c r="B9" s="28" t="s">
        <v>113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</row>
    <row r="10" spans="1:18">
      <c r="B10" s="31" t="s">
        <v>20</v>
      </c>
      <c r="C10" s="174">
        <f t="shared" ref="C10:R10" si="0">C7+C8+C9</f>
        <v>0</v>
      </c>
      <c r="D10" s="174">
        <f t="shared" si="0"/>
        <v>0</v>
      </c>
      <c r="E10" s="174">
        <f t="shared" si="0"/>
        <v>0</v>
      </c>
      <c r="F10" s="174">
        <f t="shared" si="0"/>
        <v>0</v>
      </c>
      <c r="G10" s="174">
        <f t="shared" si="0"/>
        <v>0</v>
      </c>
      <c r="H10" s="174">
        <f t="shared" si="0"/>
        <v>0</v>
      </c>
      <c r="I10" s="174">
        <f t="shared" si="0"/>
        <v>0</v>
      </c>
      <c r="J10" s="174">
        <f t="shared" si="0"/>
        <v>0</v>
      </c>
      <c r="K10" s="174">
        <f>K7+K8+K9</f>
        <v>0</v>
      </c>
      <c r="L10" s="174">
        <f>L7+L8+L9</f>
        <v>0</v>
      </c>
      <c r="M10" s="174">
        <f>M7+M8+M9</f>
        <v>0</v>
      </c>
      <c r="N10" s="174">
        <f t="shared" si="0"/>
        <v>0</v>
      </c>
      <c r="O10" s="174">
        <f t="shared" si="0"/>
        <v>0</v>
      </c>
      <c r="P10" s="174">
        <f t="shared" si="0"/>
        <v>0</v>
      </c>
      <c r="Q10" s="174">
        <f t="shared" si="0"/>
        <v>0</v>
      </c>
      <c r="R10" s="174">
        <f t="shared" si="0"/>
        <v>0</v>
      </c>
    </row>
    <row r="12" spans="1:18" ht="20.25" thickBot="1">
      <c r="A12" s="36" t="s">
        <v>31</v>
      </c>
    </row>
    <row r="13" spans="1:18" ht="15.75" thickTop="1"/>
    <row r="14" spans="1:18">
      <c r="B14" s="357" t="s">
        <v>216</v>
      </c>
      <c r="C14" s="357" t="s">
        <v>6</v>
      </c>
      <c r="D14" s="357"/>
      <c r="E14" s="357"/>
      <c r="F14" s="357"/>
      <c r="G14" s="357" t="s">
        <v>7</v>
      </c>
      <c r="H14" s="357"/>
      <c r="I14" s="357"/>
      <c r="J14" s="357"/>
      <c r="K14" s="358" t="s">
        <v>8</v>
      </c>
      <c r="L14" s="359"/>
      <c r="M14" s="359"/>
      <c r="N14" s="360"/>
      <c r="O14" s="357" t="s">
        <v>9</v>
      </c>
      <c r="P14" s="357" t="s">
        <v>10</v>
      </c>
      <c r="Q14" s="357" t="s">
        <v>11</v>
      </c>
      <c r="R14" s="357" t="s">
        <v>12</v>
      </c>
    </row>
    <row r="15" spans="1:18">
      <c r="B15" s="357"/>
      <c r="C15" s="75" t="s">
        <v>13</v>
      </c>
      <c r="D15" s="75" t="s">
        <v>14</v>
      </c>
      <c r="E15" s="75" t="s">
        <v>15</v>
      </c>
      <c r="F15" s="75" t="s">
        <v>16</v>
      </c>
      <c r="G15" s="75" t="s">
        <v>13</v>
      </c>
      <c r="H15" s="75" t="s">
        <v>14</v>
      </c>
      <c r="I15" s="75" t="s">
        <v>15</v>
      </c>
      <c r="J15" s="75" t="s">
        <v>16</v>
      </c>
      <c r="K15" s="175" t="s">
        <v>13</v>
      </c>
      <c r="L15" s="175" t="s">
        <v>14</v>
      </c>
      <c r="M15" s="175" t="s">
        <v>15</v>
      </c>
      <c r="N15" s="175" t="s">
        <v>16</v>
      </c>
      <c r="O15" s="357"/>
      <c r="P15" s="357"/>
      <c r="Q15" s="357"/>
      <c r="R15" s="357"/>
    </row>
    <row r="16" spans="1:18">
      <c r="B16" s="28" t="s">
        <v>29</v>
      </c>
      <c r="C16" s="167">
        <v>0</v>
      </c>
      <c r="D16" s="167">
        <v>0</v>
      </c>
      <c r="E16" s="167">
        <v>0</v>
      </c>
      <c r="F16" s="167">
        <v>0</v>
      </c>
      <c r="G16" s="167">
        <v>0</v>
      </c>
      <c r="H16" s="167">
        <v>0</v>
      </c>
      <c r="I16" s="167">
        <v>0</v>
      </c>
      <c r="J16" s="167">
        <v>0</v>
      </c>
      <c r="K16" s="167">
        <v>0</v>
      </c>
      <c r="L16" s="167">
        <v>0</v>
      </c>
      <c r="M16" s="167">
        <v>0</v>
      </c>
      <c r="N16" s="167">
        <v>0</v>
      </c>
      <c r="O16" s="167">
        <v>0</v>
      </c>
      <c r="P16" s="167">
        <v>0</v>
      </c>
      <c r="Q16" s="167">
        <v>0</v>
      </c>
      <c r="R16" s="167">
        <v>0</v>
      </c>
    </row>
    <row r="17" spans="2:18">
      <c r="B17" s="28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</row>
    <row r="18" spans="2:18">
      <c r="B18" s="28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</row>
    <row r="19" spans="2:18">
      <c r="B19" s="31" t="s">
        <v>32</v>
      </c>
      <c r="C19" s="174">
        <f>C18+C17+C16</f>
        <v>0</v>
      </c>
      <c r="D19" s="174">
        <f t="shared" ref="D19:R19" si="1">D18+D17+D16</f>
        <v>0</v>
      </c>
      <c r="E19" s="174">
        <f t="shared" si="1"/>
        <v>0</v>
      </c>
      <c r="F19" s="174">
        <f t="shared" si="1"/>
        <v>0</v>
      </c>
      <c r="G19" s="174">
        <f t="shared" si="1"/>
        <v>0</v>
      </c>
      <c r="H19" s="174">
        <f t="shared" si="1"/>
        <v>0</v>
      </c>
      <c r="I19" s="174">
        <f t="shared" si="1"/>
        <v>0</v>
      </c>
      <c r="J19" s="174">
        <f t="shared" si="1"/>
        <v>0</v>
      </c>
      <c r="K19" s="174">
        <f t="shared" si="1"/>
        <v>0</v>
      </c>
      <c r="L19" s="174">
        <f t="shared" si="1"/>
        <v>0</v>
      </c>
      <c r="M19" s="174">
        <f t="shared" si="1"/>
        <v>0</v>
      </c>
      <c r="N19" s="174">
        <f t="shared" si="1"/>
        <v>0</v>
      </c>
      <c r="O19" s="174">
        <f t="shared" si="1"/>
        <v>0</v>
      </c>
      <c r="P19" s="174">
        <f t="shared" si="1"/>
        <v>0</v>
      </c>
      <c r="Q19" s="174">
        <f t="shared" si="1"/>
        <v>0</v>
      </c>
      <c r="R19" s="174">
        <f t="shared" si="1"/>
        <v>0</v>
      </c>
    </row>
    <row r="21" spans="2:18">
      <c r="B21" s="27" t="s">
        <v>151</v>
      </c>
    </row>
  </sheetData>
  <mergeCells count="16">
    <mergeCell ref="Q5:Q6"/>
    <mergeCell ref="R5:R6"/>
    <mergeCell ref="P14:P15"/>
    <mergeCell ref="Q14:Q15"/>
    <mergeCell ref="R14:R15"/>
    <mergeCell ref="P5:P6"/>
    <mergeCell ref="B14:B15"/>
    <mergeCell ref="C14:F14"/>
    <mergeCell ref="G14:J14"/>
    <mergeCell ref="O14:O15"/>
    <mergeCell ref="K14:N14"/>
    <mergeCell ref="B5:B6"/>
    <mergeCell ref="C5:F5"/>
    <mergeCell ref="G5:J5"/>
    <mergeCell ref="O5:O6"/>
    <mergeCell ref="K5:N5"/>
  </mergeCells>
  <hyperlinks>
    <hyperlink ref="B21" location="Index!A1" display="Back to Index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3">
    <tabColor rgb="FFFF0000"/>
  </sheetPr>
  <dimension ref="A1:K42"/>
  <sheetViews>
    <sheetView topLeftCell="C7" zoomScale="87" zoomScaleNormal="87" workbookViewId="0">
      <selection activeCell="K35" sqref="K34:K35"/>
    </sheetView>
  </sheetViews>
  <sheetFormatPr defaultRowHeight="15"/>
  <cols>
    <col min="1" max="1" width="5.42578125" customWidth="1"/>
    <col min="2" max="2" width="51.5703125" bestFit="1" customWidth="1"/>
    <col min="3" max="3" width="14.140625" customWidth="1"/>
    <col min="4" max="4" width="13.7109375" bestFit="1" customWidth="1"/>
    <col min="5" max="5" width="13.7109375" customWidth="1"/>
    <col min="8" max="8" width="51.5703125" bestFit="1" customWidth="1"/>
    <col min="9" max="9" width="14.140625" customWidth="1"/>
    <col min="10" max="10" width="13.7109375" bestFit="1" customWidth="1"/>
    <col min="11" max="11" width="13.7109375" customWidth="1"/>
  </cols>
  <sheetData>
    <row r="1" spans="1:11" ht="23.25">
      <c r="A1" s="79" t="s">
        <v>227</v>
      </c>
    </row>
    <row r="3" spans="1:11" ht="17.25">
      <c r="B3" s="191" t="s">
        <v>165</v>
      </c>
      <c r="H3" s="191" t="s">
        <v>178</v>
      </c>
    </row>
    <row r="4" spans="1:11">
      <c r="B4" s="88" t="s">
        <v>206</v>
      </c>
      <c r="C4" s="88" t="s">
        <v>224</v>
      </c>
      <c r="D4" s="88" t="s">
        <v>225</v>
      </c>
      <c r="E4" s="88" t="s">
        <v>226</v>
      </c>
      <c r="H4" s="88" t="s">
        <v>206</v>
      </c>
      <c r="I4" s="88" t="s">
        <v>224</v>
      </c>
      <c r="J4" s="88" t="s">
        <v>225</v>
      </c>
      <c r="K4" s="88" t="s">
        <v>226</v>
      </c>
    </row>
    <row r="5" spans="1:11">
      <c r="B5" s="44" t="s">
        <v>168</v>
      </c>
      <c r="C5" s="45"/>
      <c r="D5" s="46"/>
      <c r="E5" s="46"/>
      <c r="H5" s="44" t="s">
        <v>168</v>
      </c>
      <c r="I5" s="43"/>
      <c r="J5" s="43"/>
      <c r="K5" s="43"/>
    </row>
    <row r="6" spans="1:11">
      <c r="B6" s="177" t="s">
        <v>416</v>
      </c>
      <c r="C6" s="53">
        <v>1750</v>
      </c>
      <c r="D6" s="176">
        <v>20</v>
      </c>
      <c r="E6" s="187">
        <f>C6*D6</f>
        <v>35000</v>
      </c>
      <c r="H6" s="195" t="s">
        <v>431</v>
      </c>
      <c r="I6" s="196">
        <v>5000</v>
      </c>
      <c r="J6" s="196">
        <v>7</v>
      </c>
      <c r="K6" s="167">
        <f>I6*J6</f>
        <v>35000</v>
      </c>
    </row>
    <row r="7" spans="1:11">
      <c r="B7" s="177" t="s">
        <v>417</v>
      </c>
      <c r="C7" s="53">
        <f>575</f>
        <v>575</v>
      </c>
      <c r="D7" s="176">
        <v>50</v>
      </c>
      <c r="E7" s="187">
        <f t="shared" ref="E7:E17" si="0">C7*D7</f>
        <v>28750</v>
      </c>
      <c r="H7" s="195" t="s">
        <v>432</v>
      </c>
      <c r="I7" s="196">
        <f>0.025*100000</f>
        <v>2500</v>
      </c>
      <c r="J7" s="196">
        <v>30</v>
      </c>
      <c r="K7" s="167">
        <f>I7*J7</f>
        <v>75000</v>
      </c>
    </row>
    <row r="8" spans="1:11">
      <c r="B8" s="177" t="s">
        <v>418</v>
      </c>
      <c r="C8" s="53">
        <v>10000</v>
      </c>
      <c r="D8" s="176">
        <v>1</v>
      </c>
      <c r="E8" s="187">
        <f t="shared" si="0"/>
        <v>10000</v>
      </c>
      <c r="H8" s="195" t="s">
        <v>433</v>
      </c>
      <c r="I8" s="196">
        <v>10000</v>
      </c>
      <c r="J8" s="196">
        <v>1</v>
      </c>
      <c r="K8" s="167">
        <f>I8*J8</f>
        <v>10000</v>
      </c>
    </row>
    <row r="9" spans="1:11">
      <c r="B9" s="177" t="s">
        <v>422</v>
      </c>
      <c r="C9" s="53">
        <v>3500</v>
      </c>
      <c r="D9" s="176">
        <v>1</v>
      </c>
      <c r="E9" s="187">
        <f>C9*D9</f>
        <v>3500</v>
      </c>
      <c r="H9" s="195" t="s">
        <v>434</v>
      </c>
      <c r="I9" s="196">
        <v>5000</v>
      </c>
      <c r="J9" s="196">
        <v>10</v>
      </c>
      <c r="K9" s="167">
        <f>I9*J9</f>
        <v>50000</v>
      </c>
    </row>
    <row r="10" spans="1:11">
      <c r="B10" s="177" t="s">
        <v>419</v>
      </c>
      <c r="C10" s="53">
        <v>2000</v>
      </c>
      <c r="D10" s="176">
        <v>1</v>
      </c>
      <c r="E10" s="187">
        <f t="shared" si="0"/>
        <v>2000</v>
      </c>
      <c r="H10" s="48" t="s">
        <v>438</v>
      </c>
      <c r="I10" s="183">
        <v>500</v>
      </c>
      <c r="J10" s="179">
        <v>1650</v>
      </c>
      <c r="K10" s="179">
        <f>I10*J10</f>
        <v>825000</v>
      </c>
    </row>
    <row r="11" spans="1:11">
      <c r="B11" s="177" t="s">
        <v>420</v>
      </c>
      <c r="C11" s="53">
        <v>5000</v>
      </c>
      <c r="D11" s="176">
        <v>1</v>
      </c>
      <c r="E11" s="187">
        <f t="shared" si="0"/>
        <v>5000</v>
      </c>
      <c r="H11" s="44" t="s">
        <v>169</v>
      </c>
      <c r="I11" s="89"/>
      <c r="J11" s="43"/>
      <c r="K11" s="190">
        <f>SUM(K6:K10)</f>
        <v>995000</v>
      </c>
    </row>
    <row r="12" spans="1:11">
      <c r="B12" s="177" t="s">
        <v>421</v>
      </c>
      <c r="C12" s="53">
        <v>1300</v>
      </c>
      <c r="D12" s="176">
        <v>10</v>
      </c>
      <c r="E12" s="187">
        <f t="shared" si="0"/>
        <v>13000</v>
      </c>
    </row>
    <row r="13" spans="1:11">
      <c r="B13" s="188" t="s">
        <v>423</v>
      </c>
      <c r="C13" s="53">
        <v>1000</v>
      </c>
      <c r="D13" s="46">
        <v>1</v>
      </c>
      <c r="E13" s="187">
        <f t="shared" si="0"/>
        <v>1000</v>
      </c>
      <c r="H13" s="88" t="s">
        <v>206</v>
      </c>
      <c r="I13" s="88" t="s">
        <v>224</v>
      </c>
      <c r="J13" s="88" t="s">
        <v>225</v>
      </c>
      <c r="K13" s="88" t="s">
        <v>226</v>
      </c>
    </row>
    <row r="14" spans="1:11">
      <c r="B14" s="188" t="s">
        <v>424</v>
      </c>
      <c r="C14" s="53">
        <v>1000</v>
      </c>
      <c r="D14" s="46">
        <v>2</v>
      </c>
      <c r="E14" s="187">
        <f t="shared" si="0"/>
        <v>2000</v>
      </c>
      <c r="H14" s="44" t="s">
        <v>176</v>
      </c>
      <c r="I14" s="43"/>
      <c r="J14" s="43"/>
      <c r="K14" s="43"/>
    </row>
    <row r="15" spans="1:11">
      <c r="B15" s="188" t="s">
        <v>425</v>
      </c>
      <c r="C15" s="53">
        <v>2500</v>
      </c>
      <c r="D15" s="46">
        <v>1</v>
      </c>
      <c r="E15" s="187">
        <f t="shared" si="0"/>
        <v>2500</v>
      </c>
      <c r="H15" s="47" t="s">
        <v>480</v>
      </c>
      <c r="I15" s="183">
        <v>1250</v>
      </c>
      <c r="J15" s="179">
        <v>7</v>
      </c>
      <c r="K15" s="198">
        <f>J15*I15</f>
        <v>8750</v>
      </c>
    </row>
    <row r="16" spans="1:11">
      <c r="B16" s="189" t="s">
        <v>426</v>
      </c>
      <c r="C16" s="53">
        <v>3000</v>
      </c>
      <c r="D16" s="46">
        <v>2</v>
      </c>
      <c r="E16" s="187">
        <f t="shared" si="0"/>
        <v>6000</v>
      </c>
      <c r="H16" s="48" t="s">
        <v>437</v>
      </c>
      <c r="I16" s="183">
        <v>33000</v>
      </c>
      <c r="J16" s="179">
        <v>1</v>
      </c>
      <c r="K16" s="198">
        <f>J16*I16</f>
        <v>33000</v>
      </c>
    </row>
    <row r="17" spans="2:11">
      <c r="B17" s="189" t="s">
        <v>427</v>
      </c>
      <c r="C17" s="53">
        <v>3000</v>
      </c>
      <c r="D17" s="46">
        <v>1</v>
      </c>
      <c r="E17" s="187">
        <f t="shared" si="0"/>
        <v>3000</v>
      </c>
      <c r="H17" s="197" t="s">
        <v>435</v>
      </c>
      <c r="I17" s="196">
        <v>30000</v>
      </c>
      <c r="J17" s="196">
        <v>4</v>
      </c>
      <c r="K17" s="198">
        <f>J17*I17</f>
        <v>120000</v>
      </c>
    </row>
    <row r="18" spans="2:11" s="80" customFormat="1">
      <c r="B18" s="44" t="s">
        <v>169</v>
      </c>
      <c r="C18" s="89"/>
      <c r="D18" s="43"/>
      <c r="E18" s="190">
        <f>SUM(E6:E17)</f>
        <v>111750</v>
      </c>
      <c r="H18" s="197" t="s">
        <v>436</v>
      </c>
      <c r="I18" s="196">
        <v>100000</v>
      </c>
      <c r="J18" s="196">
        <v>1</v>
      </c>
      <c r="K18" s="198">
        <f>J18*I18</f>
        <v>100000</v>
      </c>
    </row>
    <row r="19" spans="2:11">
      <c r="H19" s="48" t="s">
        <v>169</v>
      </c>
      <c r="I19" s="49"/>
      <c r="J19" s="46"/>
      <c r="K19" s="199">
        <f>SUM(K17:K18)</f>
        <v>220000</v>
      </c>
    </row>
    <row r="20" spans="2:11">
      <c r="B20" s="88" t="s">
        <v>206</v>
      </c>
      <c r="C20" s="88" t="s">
        <v>224</v>
      </c>
      <c r="D20" s="88" t="s">
        <v>225</v>
      </c>
      <c r="E20" s="88" t="s">
        <v>226</v>
      </c>
      <c r="H20" s="180"/>
      <c r="I20" s="193"/>
      <c r="J20" s="192"/>
      <c r="K20" s="192"/>
    </row>
    <row r="21" spans="2:11">
      <c r="B21" s="44" t="s">
        <v>176</v>
      </c>
      <c r="C21" s="43"/>
      <c r="D21" s="43"/>
      <c r="E21" s="43"/>
    </row>
    <row r="22" spans="2:11">
      <c r="B22" s="177" t="s">
        <v>480</v>
      </c>
      <c r="C22" s="182">
        <v>1250</v>
      </c>
      <c r="D22" s="179">
        <v>7</v>
      </c>
      <c r="E22" s="179">
        <f>C22*D22</f>
        <v>8750</v>
      </c>
      <c r="H22" s="88" t="s">
        <v>206</v>
      </c>
      <c r="I22" s="88" t="s">
        <v>224</v>
      </c>
      <c r="J22" s="88" t="s">
        <v>225</v>
      </c>
      <c r="K22" s="88" t="s">
        <v>226</v>
      </c>
    </row>
    <row r="23" spans="2:11">
      <c r="B23" s="188" t="s">
        <v>428</v>
      </c>
      <c r="C23" s="182">
        <v>33000</v>
      </c>
      <c r="D23" s="179">
        <v>1</v>
      </c>
      <c r="E23" s="179">
        <f>C23*D23</f>
        <v>33000</v>
      </c>
      <c r="H23" s="44" t="s">
        <v>177</v>
      </c>
      <c r="I23" s="43"/>
      <c r="J23" s="43"/>
      <c r="K23" s="43"/>
    </row>
    <row r="24" spans="2:11">
      <c r="B24" s="189" t="s">
        <v>445</v>
      </c>
      <c r="C24" s="183">
        <v>7500</v>
      </c>
      <c r="D24" s="179">
        <v>2</v>
      </c>
      <c r="E24" s="179">
        <f>C24*D24</f>
        <v>15000</v>
      </c>
      <c r="H24" s="69" t="s">
        <v>408</v>
      </c>
      <c r="I24" s="179">
        <v>25000</v>
      </c>
      <c r="J24" s="179">
        <v>6</v>
      </c>
      <c r="K24" s="179">
        <f>I24*J24</f>
        <v>150000</v>
      </c>
    </row>
    <row r="25" spans="2:11">
      <c r="B25" s="188" t="s">
        <v>429</v>
      </c>
      <c r="C25" s="183">
        <v>10000</v>
      </c>
      <c r="D25" s="179">
        <v>1</v>
      </c>
      <c r="E25" s="179">
        <f>C25*D25</f>
        <v>10000</v>
      </c>
      <c r="H25" s="69" t="s">
        <v>409</v>
      </c>
      <c r="I25" s="182">
        <v>12500</v>
      </c>
      <c r="J25" s="179">
        <v>2</v>
      </c>
      <c r="K25" s="179">
        <f t="shared" ref="K25:K31" si="1">I25*J25</f>
        <v>25000</v>
      </c>
    </row>
    <row r="26" spans="2:11">
      <c r="B26" s="188" t="s">
        <v>430</v>
      </c>
      <c r="C26" s="194">
        <v>1500</v>
      </c>
      <c r="D26" s="179">
        <v>1</v>
      </c>
      <c r="E26" s="179">
        <f>C26*D26</f>
        <v>1500</v>
      </c>
      <c r="H26" s="48" t="s">
        <v>410</v>
      </c>
      <c r="I26" s="183">
        <v>25000</v>
      </c>
      <c r="J26" s="179">
        <v>1</v>
      </c>
      <c r="K26" s="179">
        <f t="shared" si="1"/>
        <v>25000</v>
      </c>
    </row>
    <row r="27" spans="2:11">
      <c r="B27" s="188" t="s">
        <v>169</v>
      </c>
      <c r="C27" s="194"/>
      <c r="D27" s="179"/>
      <c r="E27" s="185">
        <f>SUM(E21:E26)</f>
        <v>68250</v>
      </c>
      <c r="H27" s="48" t="s">
        <v>411</v>
      </c>
      <c r="I27" s="183">
        <v>9200</v>
      </c>
      <c r="J27" s="179">
        <v>13</v>
      </c>
      <c r="K27" s="179">
        <f t="shared" si="1"/>
        <v>119600</v>
      </c>
    </row>
    <row r="28" spans="2:11">
      <c r="H28" s="48" t="s">
        <v>412</v>
      </c>
      <c r="I28" s="183">
        <v>30000</v>
      </c>
      <c r="J28" s="179">
        <v>7</v>
      </c>
      <c r="K28" s="179">
        <f t="shared" si="1"/>
        <v>210000</v>
      </c>
    </row>
    <row r="29" spans="2:11">
      <c r="B29" s="88" t="s">
        <v>206</v>
      </c>
      <c r="C29" s="88" t="s">
        <v>224</v>
      </c>
      <c r="D29" s="88" t="s">
        <v>225</v>
      </c>
      <c r="E29" s="88" t="s">
        <v>226</v>
      </c>
      <c r="H29" s="48" t="s">
        <v>415</v>
      </c>
      <c r="I29" s="167">
        <v>200000</v>
      </c>
      <c r="J29" s="186">
        <v>1</v>
      </c>
      <c r="K29" s="179">
        <f>I29*J29</f>
        <v>200000</v>
      </c>
    </row>
    <row r="30" spans="2:11">
      <c r="B30" s="44" t="s">
        <v>177</v>
      </c>
      <c r="C30" s="43"/>
      <c r="D30" s="43"/>
      <c r="E30" s="43"/>
      <c r="H30" s="48" t="s">
        <v>413</v>
      </c>
      <c r="I30" s="183">
        <v>40000</v>
      </c>
      <c r="J30" s="179">
        <v>1</v>
      </c>
      <c r="K30" s="179">
        <f t="shared" si="1"/>
        <v>40000</v>
      </c>
    </row>
    <row r="31" spans="2:11">
      <c r="B31" s="69" t="s">
        <v>408</v>
      </c>
      <c r="C31" s="182">
        <v>25000</v>
      </c>
      <c r="D31" s="179">
        <v>20</v>
      </c>
      <c r="E31" s="179">
        <f t="shared" ref="E31:E36" si="2">C31*D31</f>
        <v>500000</v>
      </c>
      <c r="H31" s="48" t="s">
        <v>414</v>
      </c>
      <c r="I31" s="181">
        <v>80000</v>
      </c>
      <c r="J31" s="186">
        <v>1</v>
      </c>
      <c r="K31" s="179">
        <f t="shared" si="1"/>
        <v>80000</v>
      </c>
    </row>
    <row r="32" spans="2:11">
      <c r="B32" s="69" t="s">
        <v>409</v>
      </c>
      <c r="C32" s="182">
        <v>12500</v>
      </c>
      <c r="D32" s="179">
        <v>1</v>
      </c>
      <c r="E32" s="179">
        <f t="shared" si="2"/>
        <v>12500</v>
      </c>
      <c r="H32" s="48" t="s">
        <v>169</v>
      </c>
      <c r="I32" s="162"/>
      <c r="J32" s="162"/>
      <c r="K32" s="200">
        <f>SUM(K24:K31)</f>
        <v>849600</v>
      </c>
    </row>
    <row r="33" spans="2:11">
      <c r="B33" s="48" t="s">
        <v>410</v>
      </c>
      <c r="C33" s="183">
        <v>25000</v>
      </c>
      <c r="D33" s="179">
        <v>1</v>
      </c>
      <c r="E33" s="179">
        <f t="shared" si="2"/>
        <v>25000</v>
      </c>
    </row>
    <row r="34" spans="2:11">
      <c r="B34" s="48" t="s">
        <v>411</v>
      </c>
      <c r="C34" s="183">
        <v>9200</v>
      </c>
      <c r="D34" s="179">
        <v>21</v>
      </c>
      <c r="E34" s="179">
        <f t="shared" si="2"/>
        <v>193200</v>
      </c>
      <c r="K34" s="237"/>
    </row>
    <row r="35" spans="2:11">
      <c r="B35" s="48" t="s">
        <v>412</v>
      </c>
      <c r="C35" s="183">
        <v>30000</v>
      </c>
      <c r="D35" s="179">
        <v>1</v>
      </c>
      <c r="E35" s="179">
        <f t="shared" si="2"/>
        <v>30000</v>
      </c>
      <c r="K35" s="237"/>
    </row>
    <row r="36" spans="2:11">
      <c r="B36" s="69" t="s">
        <v>447</v>
      </c>
      <c r="C36" s="182">
        <v>60000</v>
      </c>
      <c r="D36" s="179">
        <v>1</v>
      </c>
      <c r="E36" s="179">
        <f t="shared" si="2"/>
        <v>60000</v>
      </c>
    </row>
    <row r="37" spans="2:11">
      <c r="B37" s="48" t="s">
        <v>169</v>
      </c>
      <c r="C37" s="184"/>
      <c r="D37" s="179"/>
      <c r="E37" s="185">
        <f>SUM(E31:E35)</f>
        <v>760700</v>
      </c>
    </row>
    <row r="41" spans="2:11">
      <c r="B41" s="1"/>
    </row>
    <row r="42" spans="2:11">
      <c r="B42" s="27" t="s">
        <v>151</v>
      </c>
    </row>
  </sheetData>
  <hyperlinks>
    <hyperlink ref="B42" location="Index!A1" display="Back to Index"/>
  </hyperlinks>
  <pageMargins left="0.7" right="0.7" top="0.75" bottom="0.75" header="0.3" footer="0.3"/>
  <pageSetup paperSize="9" orientation="portrait" verticalDpi="200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4">
    <tabColor rgb="FFFF0000"/>
  </sheetPr>
  <dimension ref="A1:W34"/>
  <sheetViews>
    <sheetView topLeftCell="D2" zoomScale="86" zoomScaleNormal="86" workbookViewId="0">
      <selection activeCell="P27" sqref="P27:S29"/>
    </sheetView>
  </sheetViews>
  <sheetFormatPr defaultRowHeight="15"/>
  <cols>
    <col min="1" max="1" width="4.85546875" customWidth="1"/>
    <col min="2" max="2" width="7" bestFit="1" customWidth="1"/>
    <col min="3" max="3" width="17.28515625" bestFit="1" customWidth="1"/>
    <col min="4" max="4" width="14.85546875" customWidth="1"/>
    <col min="5" max="5" width="13.5703125" customWidth="1"/>
    <col min="6" max="6" width="15.28515625" bestFit="1" customWidth="1"/>
    <col min="7" max="8" width="11.5703125" bestFit="1" customWidth="1"/>
    <col min="9" max="13" width="12.7109375" bestFit="1" customWidth="1"/>
    <col min="14" max="19" width="11.5703125" bestFit="1" customWidth="1"/>
  </cols>
  <sheetData>
    <row r="1" spans="1:6" ht="23.25">
      <c r="A1" s="79" t="s">
        <v>468</v>
      </c>
    </row>
    <row r="2" spans="1:6">
      <c r="A2" s="80" t="s">
        <v>469</v>
      </c>
    </row>
    <row r="3" spans="1:6">
      <c r="A3" s="80"/>
    </row>
    <row r="4" spans="1:6" ht="18" thickBot="1">
      <c r="B4" s="37" t="s">
        <v>497</v>
      </c>
    </row>
    <row r="5" spans="1:6" ht="15.75" thickTop="1">
      <c r="B5" s="88" t="s">
        <v>170</v>
      </c>
      <c r="C5" s="88" t="s">
        <v>206</v>
      </c>
      <c r="D5" s="88" t="s">
        <v>224</v>
      </c>
      <c r="E5" s="88" t="s">
        <v>225</v>
      </c>
      <c r="F5" s="88" t="s">
        <v>226</v>
      </c>
    </row>
    <row r="6" spans="1:6">
      <c r="B6" s="51">
        <v>1</v>
      </c>
      <c r="C6" s="52" t="s">
        <v>356</v>
      </c>
      <c r="D6" s="51">
        <v>283000</v>
      </c>
      <c r="E6" s="53">
        <v>1</v>
      </c>
      <c r="F6" s="53">
        <f>D6*E6</f>
        <v>283000</v>
      </c>
    </row>
    <row r="7" spans="1:6">
      <c r="B7" s="51"/>
      <c r="C7" s="52"/>
      <c r="D7" s="51"/>
      <c r="E7" s="53"/>
      <c r="F7" s="53"/>
    </row>
    <row r="8" spans="1:6" ht="15.75" thickBot="1">
      <c r="B8" s="51"/>
      <c r="C8" s="54"/>
      <c r="D8" s="51"/>
      <c r="E8" s="53"/>
      <c r="F8" s="55"/>
    </row>
    <row r="9" spans="1:6" ht="15.75" thickBot="1">
      <c r="B9" s="51"/>
      <c r="C9" s="90" t="s">
        <v>169</v>
      </c>
      <c r="D9" s="91"/>
      <c r="E9" s="92"/>
      <c r="F9" s="57">
        <f>SUM(F6:F8)</f>
        <v>283000</v>
      </c>
    </row>
    <row r="11" spans="1:6" ht="18" thickBot="1">
      <c r="B11" s="37" t="s">
        <v>496</v>
      </c>
    </row>
    <row r="12" spans="1:6" ht="15.75" thickTop="1">
      <c r="B12" s="88" t="s">
        <v>170</v>
      </c>
      <c r="C12" s="88" t="s">
        <v>206</v>
      </c>
      <c r="D12" s="88" t="s">
        <v>224</v>
      </c>
      <c r="E12" s="88" t="s">
        <v>225</v>
      </c>
      <c r="F12" s="88" t="s">
        <v>226</v>
      </c>
    </row>
    <row r="13" spans="1:6">
      <c r="B13" s="51">
        <v>1</v>
      </c>
      <c r="C13" s="52" t="s">
        <v>498</v>
      </c>
      <c r="D13" s="51">
        <v>1022500</v>
      </c>
      <c r="E13" s="53">
        <v>1</v>
      </c>
      <c r="F13" s="53">
        <f>D13*E13</f>
        <v>1022500</v>
      </c>
    </row>
    <row r="14" spans="1:6" ht="15.75" thickBot="1">
      <c r="B14" s="51"/>
      <c r="C14" s="52"/>
      <c r="D14" s="51"/>
      <c r="E14" s="53"/>
      <c r="F14" s="53"/>
    </row>
    <row r="15" spans="1:6" ht="15.75" thickBot="1">
      <c r="B15" s="51"/>
      <c r="C15" s="54" t="s">
        <v>169</v>
      </c>
      <c r="D15" s="51"/>
      <c r="E15" s="56"/>
      <c r="F15" s="57">
        <f>SUM(F13:F14)</f>
        <v>1022500</v>
      </c>
    </row>
    <row r="17" spans="2:23" ht="18" thickBot="1">
      <c r="B17" s="37" t="s">
        <v>439</v>
      </c>
    </row>
    <row r="18" spans="2:23" ht="15.75" thickTop="1">
      <c r="B18" s="88" t="s">
        <v>170</v>
      </c>
      <c r="C18" s="88" t="s">
        <v>206</v>
      </c>
      <c r="D18" s="88" t="s">
        <v>224</v>
      </c>
      <c r="E18" s="88" t="s">
        <v>225</v>
      </c>
      <c r="F18" s="88" t="s">
        <v>226</v>
      </c>
      <c r="L18" s="401"/>
      <c r="M18" s="401"/>
      <c r="N18" s="401"/>
      <c r="O18" s="401"/>
      <c r="P18" s="401"/>
      <c r="Q18" s="401"/>
      <c r="R18" s="401"/>
      <c r="S18" s="401"/>
      <c r="T18" s="401"/>
      <c r="U18" s="401"/>
      <c r="V18" s="401"/>
      <c r="W18" s="401"/>
    </row>
    <row r="19" spans="2:23">
      <c r="B19" s="51">
        <v>1</v>
      </c>
      <c r="C19" s="52" t="s">
        <v>439</v>
      </c>
      <c r="D19" s="51">
        <v>30000</v>
      </c>
      <c r="E19" s="53">
        <v>1</v>
      </c>
      <c r="F19" s="53">
        <f>E19*D19</f>
        <v>30000</v>
      </c>
    </row>
    <row r="20" spans="2:23" ht="15.75" thickBot="1">
      <c r="B20" s="51"/>
      <c r="C20" s="52"/>
      <c r="D20" s="51"/>
      <c r="E20" s="53"/>
      <c r="F20" s="53"/>
    </row>
    <row r="21" spans="2:23" ht="15.75" thickBot="1">
      <c r="B21" s="51"/>
      <c r="C21" s="54" t="s">
        <v>169</v>
      </c>
      <c r="D21" s="51"/>
      <c r="E21" s="56"/>
      <c r="F21" s="57">
        <f>SUM(F19:F20)</f>
        <v>30000</v>
      </c>
    </row>
    <row r="22" spans="2:23">
      <c r="B22" s="316"/>
      <c r="C22" s="317"/>
      <c r="D22" s="316"/>
      <c r="E22" s="316"/>
      <c r="F22" s="318"/>
    </row>
    <row r="23" spans="2:23">
      <c r="C23" s="80" t="s">
        <v>471</v>
      </c>
    </row>
    <row r="25" spans="2:23">
      <c r="C25" s="357" t="s">
        <v>216</v>
      </c>
      <c r="D25" s="357" t="s">
        <v>6</v>
      </c>
      <c r="E25" s="357"/>
      <c r="F25" s="357"/>
      <c r="G25" s="357"/>
      <c r="H25" s="357" t="s">
        <v>7</v>
      </c>
      <c r="I25" s="357"/>
      <c r="J25" s="357"/>
      <c r="K25" s="357"/>
      <c r="L25" s="358" t="s">
        <v>8</v>
      </c>
      <c r="M25" s="359"/>
      <c r="N25" s="359"/>
      <c r="O25" s="360"/>
      <c r="P25" s="357" t="s">
        <v>9</v>
      </c>
      <c r="Q25" s="357" t="s">
        <v>10</v>
      </c>
      <c r="R25" s="357" t="s">
        <v>11</v>
      </c>
      <c r="S25" s="357" t="s">
        <v>12</v>
      </c>
    </row>
    <row r="26" spans="2:23">
      <c r="C26" s="357"/>
      <c r="D26" s="327" t="s">
        <v>13</v>
      </c>
      <c r="E26" s="175" t="s">
        <v>14</v>
      </c>
      <c r="F26" s="175" t="s">
        <v>15</v>
      </c>
      <c r="G26" s="175" t="s">
        <v>16</v>
      </c>
      <c r="H26" s="175" t="s">
        <v>13</v>
      </c>
      <c r="I26" s="175" t="s">
        <v>14</v>
      </c>
      <c r="J26" s="175" t="s">
        <v>15</v>
      </c>
      <c r="K26" s="175" t="s">
        <v>16</v>
      </c>
      <c r="L26" s="175" t="s">
        <v>13</v>
      </c>
      <c r="M26" s="175" t="s">
        <v>14</v>
      </c>
      <c r="N26" s="175" t="s">
        <v>15</v>
      </c>
      <c r="O26" s="175" t="s">
        <v>16</v>
      </c>
      <c r="P26" s="357"/>
      <c r="Q26" s="357"/>
      <c r="R26" s="357"/>
      <c r="S26" s="357"/>
    </row>
    <row r="27" spans="2:23">
      <c r="C27" s="246" t="s">
        <v>356</v>
      </c>
      <c r="D27" s="167">
        <f>F9</f>
        <v>283000</v>
      </c>
      <c r="E27" s="167">
        <f>D27</f>
        <v>283000</v>
      </c>
      <c r="F27" s="167"/>
      <c r="G27" s="167">
        <f>E27</f>
        <v>283000</v>
      </c>
      <c r="H27" s="167">
        <f>F9</f>
        <v>283000</v>
      </c>
      <c r="I27" s="167">
        <f>H27*2</f>
        <v>566000</v>
      </c>
      <c r="J27" s="167"/>
      <c r="K27" s="167">
        <f>H27*3</f>
        <v>849000</v>
      </c>
      <c r="L27" s="167">
        <f>G27*3*1.1</f>
        <v>933900.00000000012</v>
      </c>
      <c r="M27" s="167">
        <f t="shared" ref="M27:N29" si="0">L27</f>
        <v>933900.00000000012</v>
      </c>
      <c r="N27" s="167">
        <f t="shared" si="0"/>
        <v>933900.00000000012</v>
      </c>
      <c r="O27" s="167">
        <f>N27*2/3</f>
        <v>622600.00000000012</v>
      </c>
      <c r="P27" s="167"/>
      <c r="Q27" s="167"/>
      <c r="R27" s="167"/>
      <c r="S27" s="167"/>
    </row>
    <row r="28" spans="2:23">
      <c r="C28" s="246" t="s">
        <v>496</v>
      </c>
      <c r="D28" s="167">
        <f>F15</f>
        <v>1022500</v>
      </c>
      <c r="E28" s="167">
        <f t="shared" ref="E28:E29" si="1">D28</f>
        <v>1022500</v>
      </c>
      <c r="F28" s="167"/>
      <c r="G28" s="167">
        <f t="shared" ref="G28:G29" si="2">E28</f>
        <v>1022500</v>
      </c>
      <c r="H28" s="167">
        <f>F15</f>
        <v>1022500</v>
      </c>
      <c r="I28" s="167">
        <f t="shared" ref="I28:I29" si="3">H28*2</f>
        <v>2045000</v>
      </c>
      <c r="J28" s="167"/>
      <c r="K28" s="167">
        <f t="shared" ref="K28:K29" si="4">H28*3</f>
        <v>3067500</v>
      </c>
      <c r="L28" s="167">
        <f t="shared" ref="L28:L29" si="5">G28*3*1.1</f>
        <v>3374250.0000000005</v>
      </c>
      <c r="M28" s="167">
        <f t="shared" si="0"/>
        <v>3374250.0000000005</v>
      </c>
      <c r="N28" s="167">
        <f t="shared" si="0"/>
        <v>3374250.0000000005</v>
      </c>
      <c r="O28" s="167">
        <f t="shared" ref="O28:O29" si="6">N28*2/3</f>
        <v>2249500.0000000005</v>
      </c>
      <c r="P28" s="167"/>
      <c r="Q28" s="167"/>
      <c r="R28" s="167"/>
      <c r="S28" s="167"/>
    </row>
    <row r="29" spans="2:23">
      <c r="C29" s="246" t="s">
        <v>439</v>
      </c>
      <c r="D29" s="167">
        <f>F21</f>
        <v>30000</v>
      </c>
      <c r="E29" s="167">
        <f t="shared" si="1"/>
        <v>30000</v>
      </c>
      <c r="F29" s="167"/>
      <c r="G29" s="167">
        <f t="shared" si="2"/>
        <v>30000</v>
      </c>
      <c r="H29" s="167">
        <f>F21</f>
        <v>30000</v>
      </c>
      <c r="I29" s="167">
        <f t="shared" si="3"/>
        <v>60000</v>
      </c>
      <c r="J29" s="167"/>
      <c r="K29" s="167">
        <f t="shared" si="4"/>
        <v>90000</v>
      </c>
      <c r="L29" s="167">
        <f t="shared" si="5"/>
        <v>99000.000000000015</v>
      </c>
      <c r="M29" s="167">
        <f t="shared" si="0"/>
        <v>99000.000000000015</v>
      </c>
      <c r="N29" s="167">
        <f t="shared" si="0"/>
        <v>99000.000000000015</v>
      </c>
      <c r="O29" s="167">
        <f t="shared" si="6"/>
        <v>66000.000000000015</v>
      </c>
      <c r="P29" s="167"/>
      <c r="Q29" s="167"/>
      <c r="R29" s="167"/>
      <c r="S29" s="167"/>
    </row>
    <row r="30" spans="2:23">
      <c r="C30" s="22"/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5"/>
      <c r="O30" s="315"/>
      <c r="P30" s="315"/>
      <c r="Q30" s="315"/>
      <c r="R30" s="315"/>
      <c r="S30" s="315"/>
    </row>
    <row r="32" spans="2:23">
      <c r="C32" s="1" t="s">
        <v>449</v>
      </c>
    </row>
    <row r="34" spans="3:3">
      <c r="C34" s="27" t="s">
        <v>151</v>
      </c>
    </row>
  </sheetData>
  <mergeCells count="11">
    <mergeCell ref="L18:O18"/>
    <mergeCell ref="P18:S18"/>
    <mergeCell ref="T18:W18"/>
    <mergeCell ref="R25:R26"/>
    <mergeCell ref="S25:S26"/>
    <mergeCell ref="Q25:Q26"/>
    <mergeCell ref="C25:C26"/>
    <mergeCell ref="D25:G25"/>
    <mergeCell ref="H25:K25"/>
    <mergeCell ref="L25:O25"/>
    <mergeCell ref="P25:P26"/>
  </mergeCells>
  <hyperlinks>
    <hyperlink ref="C34" location="Index!A1" display="Back to Index"/>
  </hyperlinks>
  <pageMargins left="0.7" right="0.7" top="0.75" bottom="0.75" header="0.3" footer="0.3"/>
  <pageSetup paperSize="9" orientation="portrait" verticalDpi="200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5">
    <tabColor rgb="FFFF0000"/>
  </sheetPr>
  <dimension ref="A1:S11"/>
  <sheetViews>
    <sheetView zoomScale="84" zoomScaleNormal="84" workbookViewId="0">
      <selection activeCell="M29" sqref="M29"/>
    </sheetView>
  </sheetViews>
  <sheetFormatPr defaultRowHeight="15"/>
  <cols>
    <col min="2" max="2" width="32" bestFit="1" customWidth="1"/>
  </cols>
  <sheetData>
    <row r="1" spans="1:19" ht="23.25">
      <c r="A1" s="79" t="s">
        <v>451</v>
      </c>
    </row>
    <row r="3" spans="1:19" s="22" customFormat="1" ht="15.75" customHeight="1">
      <c r="B3" s="384" t="s">
        <v>111</v>
      </c>
      <c r="C3" s="403" t="s">
        <v>296</v>
      </c>
      <c r="D3" s="358" t="s">
        <v>347</v>
      </c>
      <c r="E3" s="359"/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</row>
    <row r="4" spans="1:19" s="22" customFormat="1">
      <c r="B4" s="402"/>
      <c r="C4" s="404"/>
      <c r="D4" s="358" t="s">
        <v>6</v>
      </c>
      <c r="E4" s="359"/>
      <c r="F4" s="359"/>
      <c r="G4" s="360"/>
      <c r="H4" s="358" t="s">
        <v>7</v>
      </c>
      <c r="I4" s="359"/>
      <c r="J4" s="359"/>
      <c r="K4" s="360"/>
      <c r="L4" s="406" t="s">
        <v>8</v>
      </c>
      <c r="M4" s="407"/>
      <c r="N4" s="407"/>
      <c r="O4" s="408"/>
      <c r="P4" s="384" t="s">
        <v>9</v>
      </c>
      <c r="Q4" s="384" t="s">
        <v>10</v>
      </c>
      <c r="R4" s="384" t="s">
        <v>11</v>
      </c>
      <c r="S4" s="384" t="s">
        <v>12</v>
      </c>
    </row>
    <row r="5" spans="1:19" s="22" customFormat="1">
      <c r="B5" s="385"/>
      <c r="C5" s="405"/>
      <c r="D5" s="130" t="s">
        <v>13</v>
      </c>
      <c r="E5" s="130" t="s">
        <v>14</v>
      </c>
      <c r="F5" s="130" t="s">
        <v>15</v>
      </c>
      <c r="G5" s="130" t="s">
        <v>16</v>
      </c>
      <c r="H5" s="130" t="s">
        <v>13</v>
      </c>
      <c r="I5" s="130" t="s">
        <v>14</v>
      </c>
      <c r="J5" s="130" t="s">
        <v>15</v>
      </c>
      <c r="K5" s="130" t="s">
        <v>16</v>
      </c>
      <c r="L5" s="175" t="s">
        <v>13</v>
      </c>
      <c r="M5" s="175" t="s">
        <v>14</v>
      </c>
      <c r="N5" s="175" t="s">
        <v>15</v>
      </c>
      <c r="O5" s="175" t="s">
        <v>16</v>
      </c>
      <c r="P5" s="385"/>
      <c r="Q5" s="385"/>
      <c r="R5" s="385"/>
      <c r="S5" s="385"/>
    </row>
    <row r="6" spans="1:19">
      <c r="B6" s="33" t="s">
        <v>473</v>
      </c>
      <c r="C6" s="143">
        <v>3000</v>
      </c>
      <c r="D6" s="143">
        <v>50</v>
      </c>
      <c r="E6" s="143"/>
      <c r="F6" s="143"/>
      <c r="G6" s="143"/>
      <c r="H6" s="143"/>
      <c r="I6" s="143"/>
      <c r="J6" s="143"/>
      <c r="K6" s="143"/>
      <c r="L6" s="143">
        <v>50</v>
      </c>
      <c r="M6" s="143"/>
      <c r="N6" s="143"/>
      <c r="O6" s="143"/>
      <c r="P6" s="143"/>
      <c r="Q6" s="143">
        <v>50</v>
      </c>
      <c r="R6" s="143"/>
      <c r="S6" s="143">
        <v>50</v>
      </c>
    </row>
    <row r="7" spans="1:19">
      <c r="B7" s="33" t="s">
        <v>474</v>
      </c>
      <c r="C7" s="143">
        <v>5000</v>
      </c>
      <c r="D7" s="143">
        <v>50</v>
      </c>
      <c r="E7" s="143"/>
      <c r="F7" s="143"/>
      <c r="G7" s="143"/>
      <c r="H7" s="143"/>
      <c r="I7" s="143"/>
      <c r="J7" s="143"/>
      <c r="K7" s="143"/>
      <c r="L7" s="143">
        <v>50</v>
      </c>
      <c r="M7" s="143"/>
      <c r="N7" s="143"/>
      <c r="O7" s="143"/>
      <c r="P7" s="143"/>
      <c r="Q7" s="143">
        <v>50</v>
      </c>
      <c r="R7" s="143"/>
      <c r="S7" s="143">
        <v>50</v>
      </c>
    </row>
    <row r="8" spans="1:19">
      <c r="B8" s="33" t="s">
        <v>475</v>
      </c>
      <c r="C8" s="143">
        <v>5000</v>
      </c>
      <c r="D8" s="143">
        <v>50</v>
      </c>
      <c r="E8" s="143"/>
      <c r="F8" s="143"/>
      <c r="G8" s="143"/>
      <c r="H8" s="143"/>
      <c r="I8" s="143"/>
      <c r="J8" s="143"/>
      <c r="K8" s="143"/>
      <c r="L8" s="143">
        <v>50</v>
      </c>
      <c r="M8" s="143"/>
      <c r="N8" s="143"/>
      <c r="O8" s="143"/>
      <c r="P8" s="143"/>
      <c r="Q8" s="143">
        <v>50</v>
      </c>
      <c r="R8" s="143"/>
      <c r="S8" s="143">
        <v>50</v>
      </c>
    </row>
    <row r="9" spans="1:19">
      <c r="B9" s="33" t="s">
        <v>476</v>
      </c>
      <c r="C9" s="143">
        <v>5000</v>
      </c>
      <c r="D9" s="143">
        <v>50</v>
      </c>
      <c r="E9" s="143"/>
      <c r="F9" s="143"/>
      <c r="G9" s="143"/>
      <c r="H9" s="143"/>
      <c r="I9" s="143"/>
      <c r="J9" s="143"/>
      <c r="K9" s="143"/>
      <c r="L9" s="143">
        <v>50</v>
      </c>
      <c r="M9" s="143"/>
      <c r="N9" s="143"/>
      <c r="O9" s="143"/>
      <c r="P9" s="143"/>
      <c r="Q9" s="143">
        <v>50</v>
      </c>
      <c r="R9" s="143"/>
      <c r="S9" s="143">
        <v>50</v>
      </c>
    </row>
    <row r="11" spans="1:19">
      <c r="B11" s="27" t="s">
        <v>151</v>
      </c>
    </row>
  </sheetData>
  <mergeCells count="10">
    <mergeCell ref="R4:R5"/>
    <mergeCell ref="S4:S5"/>
    <mergeCell ref="B3:B5"/>
    <mergeCell ref="C3:C5"/>
    <mergeCell ref="D4:G4"/>
    <mergeCell ref="H4:K4"/>
    <mergeCell ref="D3:S3"/>
    <mergeCell ref="L4:O4"/>
    <mergeCell ref="P4:P5"/>
    <mergeCell ref="Q4:Q5"/>
  </mergeCells>
  <dataValidations count="1">
    <dataValidation type="custom" allowBlank="1" showInputMessage="1" showErrorMessage="1" error="Please enter only numbers" sqref="C6:S9">
      <formula1>ISNUMBER(C6)</formula1>
    </dataValidation>
  </dataValidations>
  <hyperlinks>
    <hyperlink ref="B11" location="Index!A1" display="Back to Index"/>
  </hyperlink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6">
    <tabColor rgb="FF00B050"/>
  </sheetPr>
  <dimension ref="A1:L39"/>
  <sheetViews>
    <sheetView topLeftCell="A10" zoomScale="84" zoomScaleNormal="84" workbookViewId="0">
      <selection activeCell="O30" sqref="O30"/>
    </sheetView>
  </sheetViews>
  <sheetFormatPr defaultRowHeight="15"/>
  <cols>
    <col min="2" max="2" width="51.7109375" customWidth="1"/>
    <col min="3" max="5" width="14.28515625" bestFit="1" customWidth="1"/>
    <col min="6" max="9" width="14.7109375" bestFit="1" customWidth="1"/>
    <col min="10" max="10" width="14.42578125" bestFit="1" customWidth="1"/>
    <col min="11" max="11" width="11.7109375" bestFit="1" customWidth="1"/>
    <col min="12" max="12" width="14.42578125" bestFit="1" customWidth="1"/>
  </cols>
  <sheetData>
    <row r="1" spans="1:12" ht="23.25">
      <c r="A1" s="79" t="s">
        <v>247</v>
      </c>
    </row>
    <row r="3" spans="1:12" ht="18" thickBot="1">
      <c r="A3" s="37" t="s">
        <v>232</v>
      </c>
    </row>
    <row r="4" spans="1:12" ht="15.75" thickTop="1">
      <c r="B4" s="76" t="s">
        <v>216</v>
      </c>
      <c r="C4" s="128" t="s">
        <v>6</v>
      </c>
      <c r="D4" s="128" t="s">
        <v>7</v>
      </c>
      <c r="E4" s="128" t="s">
        <v>8</v>
      </c>
      <c r="F4" s="128" t="s">
        <v>9</v>
      </c>
      <c r="G4" s="128" t="s">
        <v>10</v>
      </c>
      <c r="H4" s="128" t="s">
        <v>11</v>
      </c>
      <c r="I4" s="128" t="s">
        <v>12</v>
      </c>
    </row>
    <row r="5" spans="1:12">
      <c r="B5" s="28" t="s">
        <v>233</v>
      </c>
      <c r="C5" s="167">
        <f>SUM('P&amp;L Statement'!C14:F14)</f>
        <v>-7833560.5073052738</v>
      </c>
      <c r="D5" s="167">
        <f>SUM('P&amp;L Statement'!G14:J14)</f>
        <v>-9050660.6294057518</v>
      </c>
      <c r="E5" s="167">
        <f>SUM('P&amp;L Statement'!K14:N14)</f>
        <v>-11103974.139837679</v>
      </c>
      <c r="F5" s="167">
        <f>'P&amp;L Statement'!O14</f>
        <v>13460802.638650807</v>
      </c>
      <c r="G5" s="167">
        <f>'P&amp;L Statement'!P14</f>
        <v>19551638.181603577</v>
      </c>
      <c r="H5" s="167">
        <f>'P&amp;L Statement'!Q14</f>
        <v>28240243.048539553</v>
      </c>
      <c r="I5" s="167">
        <f>'P&amp;L Statement'!R14</f>
        <v>40590685.771368071</v>
      </c>
    </row>
    <row r="6" spans="1:12">
      <c r="B6" s="28" t="s">
        <v>293</v>
      </c>
      <c r="C6" s="167">
        <f>SUM('P&amp;L Statement'!C20:F20)</f>
        <v>0</v>
      </c>
      <c r="D6" s="167">
        <f>SUM('P&amp;L Statement'!G20:J20)</f>
        <v>0</v>
      </c>
      <c r="E6" s="167">
        <f>SUM('P&amp;L Statement'!K20:N20)</f>
        <v>0</v>
      </c>
      <c r="F6" s="167">
        <f>'P&amp;L Statement'!O20</f>
        <v>0</v>
      </c>
      <c r="G6" s="167">
        <f>'P&amp;L Statement'!P20</f>
        <v>0</v>
      </c>
      <c r="H6" s="167">
        <f>'P&amp;L Statement'!Q20</f>
        <v>0</v>
      </c>
      <c r="I6" s="167">
        <f>'P&amp;L Statement'!R20</f>
        <v>0</v>
      </c>
    </row>
    <row r="7" spans="1:12">
      <c r="B7" s="28" t="s">
        <v>234</v>
      </c>
      <c r="C7" s="167">
        <f>C5-C6</f>
        <v>-7833560.5073052738</v>
      </c>
      <c r="D7" s="167">
        <f t="shared" ref="D7:I7" si="0">D5-D6</f>
        <v>-9050660.6294057518</v>
      </c>
      <c r="E7" s="167">
        <f t="shared" si="0"/>
        <v>-11103974.139837679</v>
      </c>
      <c r="F7" s="167">
        <f t="shared" si="0"/>
        <v>13460802.638650807</v>
      </c>
      <c r="G7" s="167">
        <f t="shared" si="0"/>
        <v>19551638.181603577</v>
      </c>
      <c r="H7" s="167">
        <f t="shared" si="0"/>
        <v>28240243.048539553</v>
      </c>
      <c r="I7" s="167">
        <f t="shared" si="0"/>
        <v>40590685.771368071</v>
      </c>
    </row>
    <row r="8" spans="1:12">
      <c r="B8" s="28" t="s">
        <v>235</v>
      </c>
      <c r="C8" s="167">
        <f>SUM('P&amp;L Statement'!C11:F12)</f>
        <v>3516260.5073052743</v>
      </c>
      <c r="D8" s="167">
        <f>SUM('P&amp;L Statement'!G11:J12)</f>
        <v>5922960.62940575</v>
      </c>
      <c r="E8" s="167">
        <f>SUM('P&amp;L Statement'!K11:N12)</f>
        <v>14347229.139837675</v>
      </c>
      <c r="F8" s="167">
        <f>'P&amp;L Statement'!O11+'P&amp;L Statement'!O12</f>
        <v>7892045.3613491794</v>
      </c>
      <c r="G8" s="167">
        <f>'P&amp;L Statement'!P11+'P&amp;L Statement'!P12</f>
        <v>9643055.6183964051</v>
      </c>
      <c r="H8" s="167">
        <f>'P&amp;L Statement'!Q11+'P&amp;L Statement'!Q12</f>
        <v>5094189.1814604523</v>
      </c>
      <c r="I8" s="167">
        <f>'P&amp;L Statement'!R11+'P&amp;L Statement'!R12</f>
        <v>3132132.3841319024</v>
      </c>
    </row>
    <row r="9" spans="1:12">
      <c r="B9" s="28" t="s">
        <v>55</v>
      </c>
      <c r="C9" s="167">
        <f>SUM('Cash Flow Statement'!C10:F10)</f>
        <v>-970150</v>
      </c>
      <c r="D9" s="167">
        <f>SUM('Cash Flow Statement'!G10:J10)</f>
        <v>-868316.66666666698</v>
      </c>
      <c r="E9" s="167">
        <f>SUM('Cash Flow Statement'!K10:N10)</f>
        <v>-1341848.333333333</v>
      </c>
      <c r="F9" s="167">
        <f>'Cash Flow Statement'!O10</f>
        <v>935720.99999999814</v>
      </c>
      <c r="G9" s="167">
        <f>'Cash Flow Statement'!P10</f>
        <v>306310.72499999963</v>
      </c>
      <c r="H9" s="167">
        <f>'Cash Flow Statement'!Q10</f>
        <v>40305.303750000894</v>
      </c>
      <c r="I9" s="167">
        <f>'Cash Flow Statement'!R10</f>
        <v>499100.86568749696</v>
      </c>
    </row>
    <row r="10" spans="1:12">
      <c r="B10" s="28" t="s">
        <v>236</v>
      </c>
      <c r="C10" s="167">
        <f>SUM('Cash Flow Statement'!C15:F15)</f>
        <v>9114950</v>
      </c>
      <c r="D10" s="167">
        <f>SUM('Cash Flow Statement'!G15:J15)</f>
        <v>14017200</v>
      </c>
      <c r="E10" s="167">
        <f>SUM('Cash Flow Statement'!K15:N15)</f>
        <v>27167250.000000004</v>
      </c>
      <c r="F10" s="167">
        <f>'Cash Flow Statement'!O15</f>
        <v>0</v>
      </c>
      <c r="G10" s="167">
        <f>'Cash Flow Statement'!P15</f>
        <v>0</v>
      </c>
      <c r="H10" s="167">
        <f>'Cash Flow Statement'!Q15</f>
        <v>0</v>
      </c>
      <c r="I10" s="167">
        <f>'Cash Flow Statement'!R15</f>
        <v>0</v>
      </c>
    </row>
    <row r="11" spans="1:12" ht="15.75" thickBot="1">
      <c r="B11" s="28"/>
      <c r="C11" s="167"/>
      <c r="D11" s="167"/>
      <c r="E11" s="167"/>
      <c r="F11" s="167"/>
      <c r="G11" s="167"/>
      <c r="H11" s="167"/>
      <c r="I11" s="167"/>
    </row>
    <row r="12" spans="1:12">
      <c r="B12" s="28" t="s">
        <v>237</v>
      </c>
      <c r="C12" s="167">
        <f>C7+C8-C9-C10</f>
        <v>-12462100</v>
      </c>
      <c r="D12" s="167">
        <f t="shared" ref="D12:I12" si="1">D7+D8-D9-D10</f>
        <v>-16276583.333333336</v>
      </c>
      <c r="E12" s="167">
        <f t="shared" si="1"/>
        <v>-22582146.666666675</v>
      </c>
      <c r="F12" s="167">
        <f t="shared" si="1"/>
        <v>20417126.999999985</v>
      </c>
      <c r="G12" s="167">
        <f t="shared" si="1"/>
        <v>28888383.074999981</v>
      </c>
      <c r="H12" s="167">
        <f t="shared" si="1"/>
        <v>33294126.926250003</v>
      </c>
      <c r="I12" s="167">
        <f t="shared" si="1"/>
        <v>43223717.289812475</v>
      </c>
      <c r="K12" s="122" t="s">
        <v>294</v>
      </c>
      <c r="L12" s="123">
        <v>0.02</v>
      </c>
    </row>
    <row r="13" spans="1:12" ht="15.75" thickBot="1">
      <c r="B13" s="28" t="s">
        <v>238</v>
      </c>
      <c r="C13" s="167"/>
      <c r="D13" s="167"/>
      <c r="E13" s="167"/>
      <c r="F13" s="167"/>
      <c r="G13" s="167"/>
      <c r="H13" s="167"/>
      <c r="I13" s="167"/>
      <c r="K13" s="112" t="s">
        <v>295</v>
      </c>
      <c r="L13" s="106">
        <v>0.15</v>
      </c>
    </row>
    <row r="14" spans="1:12">
      <c r="B14" s="28" t="s">
        <v>239</v>
      </c>
      <c r="C14" s="167">
        <f>C12+C13</f>
        <v>-12462100</v>
      </c>
      <c r="D14" s="167">
        <f t="shared" ref="D14:I14" si="2">D12+D13</f>
        <v>-16276583.333333336</v>
      </c>
      <c r="E14" s="167">
        <f t="shared" si="2"/>
        <v>-22582146.666666675</v>
      </c>
      <c r="F14" s="167">
        <f t="shared" si="2"/>
        <v>20417126.999999985</v>
      </c>
      <c r="G14" s="167">
        <f t="shared" si="2"/>
        <v>28888383.074999981</v>
      </c>
      <c r="H14" s="167">
        <f t="shared" si="2"/>
        <v>33294126.926250003</v>
      </c>
      <c r="I14" s="167">
        <f t="shared" si="2"/>
        <v>43223717.289812475</v>
      </c>
    </row>
    <row r="15" spans="1:12">
      <c r="B15" s="28" t="s">
        <v>232</v>
      </c>
      <c r="C15" s="270">
        <f>IFERROR(IRR(C14:I14),0)</f>
        <v>0.28993012496465742</v>
      </c>
      <c r="D15" s="270"/>
      <c r="E15" s="270"/>
      <c r="F15" s="270"/>
      <c r="G15" s="270"/>
      <c r="H15" s="270"/>
      <c r="I15" s="270"/>
    </row>
    <row r="17" spans="1:12" ht="18" thickBot="1">
      <c r="A17" s="37" t="s">
        <v>97</v>
      </c>
    </row>
    <row r="18" spans="1:12" ht="15.75" thickTop="1">
      <c r="B18" s="76" t="s">
        <v>216</v>
      </c>
      <c r="C18" s="128" t="s">
        <v>6</v>
      </c>
      <c r="D18" s="128" t="s">
        <v>7</v>
      </c>
      <c r="E18" s="128" t="s">
        <v>8</v>
      </c>
      <c r="F18" s="128" t="s">
        <v>9</v>
      </c>
      <c r="G18" s="128" t="s">
        <v>10</v>
      </c>
      <c r="H18" s="128" t="s">
        <v>11</v>
      </c>
      <c r="I18" s="128" t="s">
        <v>12</v>
      </c>
    </row>
    <row r="19" spans="1:12">
      <c r="B19" s="28" t="s">
        <v>45</v>
      </c>
      <c r="C19" s="167">
        <f>SUM('P&amp;L Statement'!C14:F14)</f>
        <v>-7833560.5073052738</v>
      </c>
      <c r="D19" s="167">
        <f>SUM('P&amp;L Statement'!G14:J14)</f>
        <v>-9050660.6294057518</v>
      </c>
      <c r="E19" s="167">
        <f>SUM('P&amp;L Statement'!K14:N14)</f>
        <v>-11103974.139837679</v>
      </c>
      <c r="F19" s="167">
        <f>'P&amp;L Statement'!O14</f>
        <v>13460802.638650807</v>
      </c>
      <c r="G19" s="167">
        <f>'P&amp;L Statement'!P14</f>
        <v>19551638.181603577</v>
      </c>
      <c r="H19" s="167">
        <f>'P&amp;L Statement'!Q14</f>
        <v>28240243.048539553</v>
      </c>
      <c r="I19" s="167">
        <f>'P&amp;L Statement'!R14</f>
        <v>40590685.771368071</v>
      </c>
    </row>
    <row r="20" spans="1:12">
      <c r="B20" s="28" t="s">
        <v>240</v>
      </c>
      <c r="C20" s="167">
        <f>SUM('Debt Repayment Schedule'!C44:F44)</f>
        <v>0</v>
      </c>
      <c r="D20" s="167">
        <f>SUM('Debt Repayment Schedule'!G44:J44)</f>
        <v>0</v>
      </c>
      <c r="E20" s="167">
        <f>SUM('Debt Repayment Schedule'!K44:N44)</f>
        <v>0</v>
      </c>
      <c r="F20" s="167">
        <f>'Debt Repayment Schedule'!O44</f>
        <v>12637500</v>
      </c>
      <c r="G20" s="167">
        <f>'Debt Repayment Schedule'!P44</f>
        <v>12637500</v>
      </c>
      <c r="H20" s="167">
        <f>'Debt Repayment Schedule'!Q44</f>
        <v>12637500</v>
      </c>
      <c r="I20" s="167">
        <f>'Debt Repayment Schedule'!R44</f>
        <v>12637500</v>
      </c>
    </row>
    <row r="21" spans="1:12">
      <c r="B21" s="28" t="s">
        <v>241</v>
      </c>
      <c r="C21" s="167">
        <f>SUM('Debt Repayment Schedule'!C43:F43)</f>
        <v>220500</v>
      </c>
      <c r="D21" s="167">
        <f>SUM('Debt Repayment Schedule'!G43:J43)</f>
        <v>526500</v>
      </c>
      <c r="E21" s="167">
        <f>SUM('Debt Repayment Schedule'!K43:N43)</f>
        <v>1246500</v>
      </c>
      <c r="F21" s="167">
        <f>'Debt Repayment Schedule'!O43</f>
        <v>1374328.125</v>
      </c>
      <c r="G21" s="167">
        <f>'Debt Repayment Schedule'!P43</f>
        <v>995203.125</v>
      </c>
      <c r="H21" s="167">
        <f>'Debt Repayment Schedule'!Q43</f>
        <v>616078.125</v>
      </c>
      <c r="I21" s="167">
        <f>'Debt Repayment Schedule'!R43</f>
        <v>236953.125</v>
      </c>
    </row>
    <row r="22" spans="1:12">
      <c r="B22" s="28" t="s">
        <v>71</v>
      </c>
      <c r="C22" s="167">
        <f>C20+C21</f>
        <v>220500</v>
      </c>
      <c r="D22" s="167">
        <f t="shared" ref="D22:I22" si="3">D20+D21</f>
        <v>526500</v>
      </c>
      <c r="E22" s="167">
        <f t="shared" si="3"/>
        <v>1246500</v>
      </c>
      <c r="F22" s="167">
        <f t="shared" si="3"/>
        <v>14011828.125</v>
      </c>
      <c r="G22" s="167">
        <f t="shared" si="3"/>
        <v>13632703.125</v>
      </c>
      <c r="H22" s="167">
        <f t="shared" si="3"/>
        <v>13253578.125</v>
      </c>
      <c r="I22" s="167">
        <f t="shared" si="3"/>
        <v>12874453.125</v>
      </c>
    </row>
    <row r="23" spans="1:12">
      <c r="B23" s="28" t="s">
        <v>97</v>
      </c>
      <c r="C23" s="167" t="str">
        <f>IF(C20=0,"N/A",C19/C22)</f>
        <v>N/A</v>
      </c>
      <c r="D23" s="167" t="str">
        <f t="shared" ref="D23:I23" si="4">IF(D20=0,"N/A",D19/D22)</f>
        <v>N/A</v>
      </c>
      <c r="E23" s="167" t="str">
        <f t="shared" si="4"/>
        <v>N/A</v>
      </c>
      <c r="F23" s="253">
        <f t="shared" si="4"/>
        <v>0.96067426167139103</v>
      </c>
      <c r="G23" s="253">
        <f t="shared" si="4"/>
        <v>1.4341717854729252</v>
      </c>
      <c r="H23" s="253">
        <f t="shared" si="4"/>
        <v>2.1307636912986134</v>
      </c>
      <c r="I23" s="253">
        <f t="shared" si="4"/>
        <v>3.1528085408573867</v>
      </c>
      <c r="J23" s="1" t="s">
        <v>242</v>
      </c>
    </row>
    <row r="24" spans="1:12">
      <c r="B24" s="41" t="s">
        <v>278</v>
      </c>
      <c r="C24" s="271">
        <f>IFERROR(SUM(C23:I23)/COUNTIF(C23:I23,"&gt;0"),0)</f>
        <v>1.919604569825079</v>
      </c>
      <c r="D24" s="271"/>
      <c r="E24" s="271"/>
      <c r="F24" s="271"/>
      <c r="G24" s="271"/>
      <c r="H24" s="271"/>
      <c r="I24" s="271"/>
      <c r="J24" s="1" t="s">
        <v>243</v>
      </c>
      <c r="K24" s="1"/>
    </row>
    <row r="25" spans="1:12">
      <c r="B25" s="114"/>
      <c r="C25" s="113"/>
      <c r="D25" s="113"/>
      <c r="E25" s="113"/>
      <c r="F25" s="113"/>
      <c r="G25" s="113"/>
      <c r="H25" s="113"/>
      <c r="I25" s="113"/>
      <c r="K25" s="1"/>
    </row>
    <row r="26" spans="1:12" ht="18" thickBot="1">
      <c r="A26" s="37" t="s">
        <v>98</v>
      </c>
    </row>
    <row r="27" spans="1:12" ht="15.75" thickTop="1">
      <c r="B27" s="357" t="s">
        <v>216</v>
      </c>
      <c r="C27" s="357" t="s">
        <v>6</v>
      </c>
      <c r="D27" s="357"/>
      <c r="E27" s="357"/>
      <c r="F27" s="357"/>
      <c r="G27" s="357" t="s">
        <v>7</v>
      </c>
      <c r="H27" s="357"/>
      <c r="I27" s="357"/>
      <c r="J27" s="357" t="s">
        <v>10</v>
      </c>
      <c r="K27" s="357" t="s">
        <v>11</v>
      </c>
      <c r="L27" s="357" t="s">
        <v>12</v>
      </c>
    </row>
    <row r="28" spans="1:12">
      <c r="B28" s="357"/>
      <c r="C28" s="128" t="s">
        <v>13</v>
      </c>
      <c r="D28" s="128" t="s">
        <v>14</v>
      </c>
      <c r="E28" s="128" t="s">
        <v>15</v>
      </c>
      <c r="F28" s="128" t="s">
        <v>16</v>
      </c>
      <c r="G28" s="128" t="s">
        <v>13</v>
      </c>
      <c r="H28" s="128" t="s">
        <v>14</v>
      </c>
      <c r="I28" s="128" t="s">
        <v>15</v>
      </c>
      <c r="J28" s="357"/>
      <c r="K28" s="357"/>
      <c r="L28" s="357"/>
    </row>
    <row r="29" spans="1:12">
      <c r="B29" s="28" t="s">
        <v>244</v>
      </c>
      <c r="C29" s="167">
        <f>'P&amp;L Statement'!C5</f>
        <v>990000</v>
      </c>
      <c r="D29" s="167">
        <f>'P&amp;L Statement'!D5</f>
        <v>1860000</v>
      </c>
      <c r="E29" s="167">
        <f>'P&amp;L Statement'!E5</f>
        <v>1860000</v>
      </c>
      <c r="F29" s="167">
        <f>'P&amp;L Statement'!F5</f>
        <v>2850000</v>
      </c>
      <c r="G29" s="167">
        <f>'P&amp;L Statement'!G5</f>
        <v>4096000</v>
      </c>
      <c r="H29" s="167">
        <f>'P&amp;L Statement'!H5</f>
        <v>6208000</v>
      </c>
      <c r="I29" s="167">
        <f>'P&amp;L Statement'!I5</f>
        <v>6208000</v>
      </c>
      <c r="J29" s="167">
        <f>'P&amp;L Statement'!P5</f>
        <v>134102880</v>
      </c>
      <c r="K29" s="167">
        <f>'P&amp;L Statement'!Q5</f>
        <v>145554768.00000003</v>
      </c>
      <c r="L29" s="167">
        <f>'P&amp;L Statement'!R5</f>
        <v>164741505.00000003</v>
      </c>
    </row>
    <row r="30" spans="1:12">
      <c r="B30" s="28" t="s">
        <v>245</v>
      </c>
      <c r="C30" s="167">
        <f>'P&amp;L Statement'!C7</f>
        <v>2109600</v>
      </c>
      <c r="D30" s="167">
        <f>'P&amp;L Statement'!D7</f>
        <v>2963700</v>
      </c>
      <c r="E30" s="167">
        <f>'P&amp;L Statement'!E7</f>
        <v>2963700</v>
      </c>
      <c r="F30" s="167">
        <f>'P&amp;L Statement'!F7</f>
        <v>3840300</v>
      </c>
      <c r="G30" s="167">
        <f>'P&amp;L Statement'!G7</f>
        <v>5075100</v>
      </c>
      <c r="H30" s="167">
        <f>'P&amp;L Statement'!H7</f>
        <v>6958500</v>
      </c>
      <c r="I30" s="167">
        <f>'P&amp;L Statement'!I7</f>
        <v>6958500</v>
      </c>
      <c r="J30" s="167">
        <f>'P&amp;L Statement'!P7</f>
        <v>104908186.20000002</v>
      </c>
      <c r="K30" s="167">
        <f>'P&amp;L Statement'!Q7</f>
        <v>112220335.77000003</v>
      </c>
      <c r="L30" s="167">
        <f>'P&amp;L Statement'!R7</f>
        <v>121018686.84450005</v>
      </c>
    </row>
    <row r="31" spans="1:12">
      <c r="B31" s="28" t="s">
        <v>98</v>
      </c>
      <c r="C31" s="131">
        <f>IFERROR(C30/C29,0)</f>
        <v>2.1309090909090909</v>
      </c>
      <c r="D31" s="131">
        <f t="shared" ref="D31:L31" si="5">IFERROR(D30/D29,0)</f>
        <v>1.5933870967741937</v>
      </c>
      <c r="E31" s="131">
        <f t="shared" si="5"/>
        <v>1.5933870967741937</v>
      </c>
      <c r="F31" s="131">
        <f t="shared" si="5"/>
        <v>1.3474736842105264</v>
      </c>
      <c r="G31" s="131">
        <f t="shared" si="5"/>
        <v>1.2390380859375001</v>
      </c>
      <c r="H31" s="131">
        <f t="shared" si="5"/>
        <v>1.1208923969072164</v>
      </c>
      <c r="I31" s="131">
        <f t="shared" si="5"/>
        <v>1.1208923969072164</v>
      </c>
      <c r="J31" s="131">
        <f t="shared" si="5"/>
        <v>0.78229629520260879</v>
      </c>
      <c r="K31" s="131">
        <f t="shared" si="5"/>
        <v>0.77098357760427338</v>
      </c>
      <c r="L31" s="131">
        <f t="shared" si="5"/>
        <v>0.73459743398908506</v>
      </c>
    </row>
    <row r="32" spans="1:12">
      <c r="B32" s="22"/>
      <c r="C32" s="22"/>
      <c r="D32" s="22"/>
      <c r="E32" s="22"/>
      <c r="F32" s="22"/>
      <c r="G32" s="22"/>
      <c r="H32" s="22"/>
      <c r="I32" s="22"/>
    </row>
    <row r="33" spans="1:9" ht="18" thickBot="1">
      <c r="A33" s="37" t="s">
        <v>246</v>
      </c>
    </row>
    <row r="34" spans="1:9" ht="15.75" thickTop="1">
      <c r="B34" s="128" t="s">
        <v>171</v>
      </c>
      <c r="C34" s="128" t="s">
        <v>6</v>
      </c>
      <c r="D34" s="128" t="s">
        <v>7</v>
      </c>
      <c r="E34" s="128" t="s">
        <v>8</v>
      </c>
      <c r="F34" s="128" t="s">
        <v>9</v>
      </c>
      <c r="G34" s="128" t="s">
        <v>10</v>
      </c>
      <c r="H34" s="128" t="s">
        <v>11</v>
      </c>
      <c r="I34" s="128" t="s">
        <v>12</v>
      </c>
    </row>
    <row r="35" spans="1:9">
      <c r="B35" s="86" t="s">
        <v>123</v>
      </c>
      <c r="C35" s="41">
        <f>'Capacity Utilization '!G59</f>
        <v>3456</v>
      </c>
      <c r="D35" s="41">
        <f>'Capacity Utilization '!K59</f>
        <v>3456</v>
      </c>
      <c r="E35" s="41">
        <f>'Capacity Utilization '!O59</f>
        <v>3456</v>
      </c>
      <c r="F35" s="41">
        <f>'Capacity Utilization '!P59</f>
        <v>13824</v>
      </c>
      <c r="G35" s="41">
        <f>'Capacity Utilization '!Q59</f>
        <v>13824</v>
      </c>
      <c r="H35" s="41">
        <f>'Capacity Utilization '!R59</f>
        <v>13824</v>
      </c>
      <c r="I35" s="41">
        <f>'Capacity Utilization '!S59</f>
        <v>13824</v>
      </c>
    </row>
    <row r="36" spans="1:9">
      <c r="B36" s="86" t="s">
        <v>124</v>
      </c>
      <c r="C36" s="41">
        <f>'Capacity Utilization '!G60</f>
        <v>2460</v>
      </c>
      <c r="D36" s="41">
        <f>'Capacity Utilization '!K60</f>
        <v>2460</v>
      </c>
      <c r="E36" s="41">
        <f>'Capacity Utilization '!O60</f>
        <v>2460</v>
      </c>
      <c r="F36" s="41">
        <f>'Capacity Utilization '!P60</f>
        <v>9840</v>
      </c>
      <c r="G36" s="41">
        <f>'Capacity Utilization '!Q60</f>
        <v>9840</v>
      </c>
      <c r="H36" s="41">
        <f>'Capacity Utilization '!R60</f>
        <v>9840</v>
      </c>
      <c r="I36" s="41">
        <f>'Capacity Utilization '!S60</f>
        <v>9840</v>
      </c>
    </row>
    <row r="37" spans="1:9" ht="17.25" customHeight="1">
      <c r="B37" s="86" t="s">
        <v>125</v>
      </c>
      <c r="C37" s="41">
        <f>'Capacity Utilization '!G61</f>
        <v>0.71180555555555558</v>
      </c>
      <c r="D37" s="41">
        <f>'Capacity Utilization '!K61</f>
        <v>0.71180555555555558</v>
      </c>
      <c r="E37" s="41">
        <f>'Capacity Utilization '!O61</f>
        <v>0.71180555555555558</v>
      </c>
      <c r="F37" s="41">
        <f>'Capacity Utilization '!P61</f>
        <v>0.71180555555555558</v>
      </c>
      <c r="G37" s="41">
        <f>'Capacity Utilization '!Q61</f>
        <v>0.71180555555555558</v>
      </c>
      <c r="H37" s="41">
        <f>'Capacity Utilization '!R61</f>
        <v>0.71180555555555558</v>
      </c>
      <c r="I37" s="41">
        <f>'Capacity Utilization '!S61</f>
        <v>0.71180555555555558</v>
      </c>
    </row>
    <row r="39" spans="1:9">
      <c r="B39" s="27" t="s">
        <v>151</v>
      </c>
    </row>
  </sheetData>
  <mergeCells count="6">
    <mergeCell ref="B27:B28"/>
    <mergeCell ref="C27:F27"/>
    <mergeCell ref="G27:I27"/>
    <mergeCell ref="L27:L28"/>
    <mergeCell ref="J27:J28"/>
    <mergeCell ref="K27:K28"/>
  </mergeCells>
  <hyperlinks>
    <hyperlink ref="B39" location="Index!A1" display="Back to Index"/>
  </hyperlinks>
  <pageMargins left="0.7" right="0.7" top="0.75" bottom="0.75" header="0.3" footer="0.3"/>
  <pageSetup orientation="portrait" horizontalDpi="200" verticalDpi="200" copies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rgb="FFFFC000"/>
  </sheetPr>
  <dimension ref="B1:S27"/>
  <sheetViews>
    <sheetView showGridLines="0" zoomScale="80" zoomScaleNormal="80" workbookViewId="0">
      <selection activeCell="C2" sqref="C2"/>
    </sheetView>
  </sheetViews>
  <sheetFormatPr defaultRowHeight="15"/>
  <cols>
    <col min="1" max="1" width="3" customWidth="1"/>
    <col min="2" max="2" width="12.7109375" customWidth="1"/>
    <col min="3" max="3" width="50.5703125" bestFit="1" customWidth="1"/>
    <col min="4" max="15" width="13.85546875" bestFit="1" customWidth="1"/>
    <col min="16" max="16" width="12.85546875" bestFit="1" customWidth="1"/>
    <col min="17" max="17" width="14.42578125" bestFit="1" customWidth="1"/>
    <col min="18" max="19" width="13.85546875" bestFit="1" customWidth="1"/>
  </cols>
  <sheetData>
    <row r="1" spans="2:19" ht="23.25">
      <c r="B1" s="74" t="s">
        <v>194</v>
      </c>
      <c r="C1" s="18"/>
      <c r="D1" s="18"/>
    </row>
    <row r="2" spans="2:19" ht="6" customHeight="1" thickBot="1"/>
    <row r="3" spans="2:19">
      <c r="B3" s="346" t="s">
        <v>153</v>
      </c>
      <c r="C3" s="348" t="s">
        <v>152</v>
      </c>
      <c r="D3" s="354" t="s">
        <v>6</v>
      </c>
      <c r="E3" s="352"/>
      <c r="F3" s="352"/>
      <c r="G3" s="352"/>
      <c r="H3" s="352" t="s">
        <v>7</v>
      </c>
      <c r="I3" s="352"/>
      <c r="J3" s="352"/>
      <c r="K3" s="352"/>
      <c r="L3" s="355" t="s">
        <v>8</v>
      </c>
      <c r="M3" s="356"/>
      <c r="N3" s="356"/>
      <c r="O3" s="354"/>
      <c r="P3" s="352" t="s">
        <v>9</v>
      </c>
      <c r="Q3" s="352" t="s">
        <v>10</v>
      </c>
      <c r="R3" s="352" t="s">
        <v>11</v>
      </c>
      <c r="S3" s="352" t="s">
        <v>12</v>
      </c>
    </row>
    <row r="4" spans="2:19" ht="12" customHeight="1" thickBot="1">
      <c r="B4" s="347"/>
      <c r="C4" s="349"/>
      <c r="D4" s="260" t="s">
        <v>13</v>
      </c>
      <c r="E4" s="261" t="s">
        <v>14</v>
      </c>
      <c r="F4" s="261" t="s">
        <v>15</v>
      </c>
      <c r="G4" s="261" t="s">
        <v>16</v>
      </c>
      <c r="H4" s="261" t="s">
        <v>13</v>
      </c>
      <c r="I4" s="261" t="s">
        <v>14</v>
      </c>
      <c r="J4" s="261" t="s">
        <v>15</v>
      </c>
      <c r="K4" s="261" t="s">
        <v>16</v>
      </c>
      <c r="L4" s="261" t="s">
        <v>13</v>
      </c>
      <c r="M4" s="261" t="s">
        <v>14</v>
      </c>
      <c r="N4" s="261" t="s">
        <v>15</v>
      </c>
      <c r="O4" s="261" t="s">
        <v>16</v>
      </c>
      <c r="P4" s="353"/>
      <c r="Q4" s="353"/>
      <c r="R4" s="353"/>
      <c r="S4" s="353"/>
    </row>
    <row r="5" spans="2:19" ht="15" customHeight="1">
      <c r="B5" s="350" t="s">
        <v>91</v>
      </c>
      <c r="C5" s="262" t="s">
        <v>92</v>
      </c>
      <c r="D5" s="263">
        <f>'No. of Students Trained'!D7</f>
        <v>1</v>
      </c>
      <c r="E5" s="264">
        <f>'No. of Students Trained'!E7</f>
        <v>2</v>
      </c>
      <c r="F5" s="264">
        <f>'No. of Students Trained'!F7</f>
        <v>2</v>
      </c>
      <c r="G5" s="264">
        <f>'No. of Students Trained'!G7</f>
        <v>3</v>
      </c>
      <c r="H5" s="264">
        <f>'No. of Students Trained'!H7</f>
        <v>4</v>
      </c>
      <c r="I5" s="264">
        <f>'No. of Students Trained'!I7</f>
        <v>6</v>
      </c>
      <c r="J5" s="264">
        <f>'No. of Students Trained'!J7</f>
        <v>6</v>
      </c>
      <c r="K5" s="264">
        <f>'No. of Students Trained'!K7</f>
        <v>9</v>
      </c>
      <c r="L5" s="264">
        <f>'No. of Students Trained'!L7</f>
        <v>12</v>
      </c>
      <c r="M5" s="264">
        <f>'No. of Students Trained'!M7</f>
        <v>15</v>
      </c>
      <c r="N5" s="264">
        <f>'No. of Students Trained'!N7</f>
        <v>18</v>
      </c>
      <c r="O5" s="264">
        <f>'No. of Students Trained'!O7</f>
        <v>20</v>
      </c>
      <c r="P5" s="264">
        <f>'No. of Students Trained'!P7</f>
        <v>20</v>
      </c>
      <c r="Q5" s="264">
        <f>'No. of Students Trained'!Q7</f>
        <v>20</v>
      </c>
      <c r="R5" s="264">
        <f>'No. of Students Trained'!R7</f>
        <v>20</v>
      </c>
      <c r="S5" s="264">
        <f>'No. of Students Trained'!S7</f>
        <v>20</v>
      </c>
    </row>
    <row r="6" spans="2:19" ht="15" customHeight="1" thickBot="1">
      <c r="B6" s="351"/>
      <c r="C6" s="265" t="s">
        <v>277</v>
      </c>
      <c r="D6" s="221">
        <f>'No. of Students Trained'!D201</f>
        <v>105</v>
      </c>
      <c r="E6" s="221">
        <f>'No. of Students Trained'!E201</f>
        <v>300</v>
      </c>
      <c r="F6" s="221">
        <f>'No. of Students Trained'!F201</f>
        <v>495</v>
      </c>
      <c r="G6" s="221">
        <f>'No. of Students Trained'!G201</f>
        <v>795</v>
      </c>
      <c r="H6" s="221">
        <f>'No. of Students Trained'!H201</f>
        <v>1227</v>
      </c>
      <c r="I6" s="221">
        <f>'No. of Students Trained'!I201</f>
        <v>1883</v>
      </c>
      <c r="J6" s="221">
        <f>'No. of Students Trained'!J201</f>
        <v>2539</v>
      </c>
      <c r="K6" s="221">
        <f>'No. of Students Trained'!K201</f>
        <v>3499</v>
      </c>
      <c r="L6" s="221">
        <f>'No. of Students Trained'!L201</f>
        <v>4957</v>
      </c>
      <c r="M6" s="221">
        <f>'No. of Students Trained'!M201</f>
        <v>6793</v>
      </c>
      <c r="N6" s="221">
        <f>'No. of Students Trained'!N201</f>
        <v>8989</v>
      </c>
      <c r="O6" s="221">
        <f>'No. of Students Trained'!O201</f>
        <v>11437</v>
      </c>
      <c r="P6" s="221">
        <f>'No. of Students Trained'!P201</f>
        <v>23405</v>
      </c>
      <c r="Q6" s="221">
        <f>'No. of Students Trained'!Q201</f>
        <v>36461</v>
      </c>
      <c r="R6" s="221">
        <f>'No. of Students Trained'!R201</f>
        <v>49517</v>
      </c>
      <c r="S6" s="221">
        <f>'No. of Students Trained'!S201</f>
        <v>63117</v>
      </c>
    </row>
    <row r="7" spans="2:19">
      <c r="B7" s="343" t="s">
        <v>93</v>
      </c>
      <c r="C7" s="116" t="s">
        <v>195</v>
      </c>
      <c r="D7" s="263">
        <f>'Key Assumptions'!C30</f>
        <v>4950000</v>
      </c>
      <c r="E7" s="263">
        <f>'Key Assumptions'!D30</f>
        <v>2400000</v>
      </c>
      <c r="F7" s="263">
        <f>'Key Assumptions'!E30</f>
        <v>0</v>
      </c>
      <c r="G7" s="263">
        <f>'Key Assumptions'!F30</f>
        <v>2400000</v>
      </c>
      <c r="H7" s="263">
        <f>'Key Assumptions'!G30</f>
        <v>2400000</v>
      </c>
      <c r="I7" s="263">
        <f>'Key Assumptions'!H30</f>
        <v>4800000</v>
      </c>
      <c r="J7" s="263">
        <f>'Key Assumptions'!I30</f>
        <v>0</v>
      </c>
      <c r="K7" s="263">
        <f>'Key Assumptions'!J30</f>
        <v>7200000</v>
      </c>
      <c r="L7" s="263">
        <f>'Key Assumptions'!K30</f>
        <v>7200000</v>
      </c>
      <c r="M7" s="263">
        <f>'Key Assumptions'!L30</f>
        <v>7200000</v>
      </c>
      <c r="N7" s="263">
        <f>'Key Assumptions'!M30</f>
        <v>7200000</v>
      </c>
      <c r="O7" s="263">
        <f>'Key Assumptions'!N30</f>
        <v>4800000</v>
      </c>
      <c r="P7" s="283"/>
      <c r="Q7" s="283"/>
      <c r="R7" s="283"/>
      <c r="S7" s="283"/>
    </row>
    <row r="8" spans="2:19">
      <c r="B8" s="344"/>
      <c r="C8" s="108" t="s">
        <v>156</v>
      </c>
      <c r="D8" s="219">
        <f>'Key Assumptions'!C35</f>
        <v>1650000</v>
      </c>
      <c r="E8" s="219">
        <f>'Key Assumptions'!D35</f>
        <v>800000</v>
      </c>
      <c r="F8" s="219">
        <f>'Key Assumptions'!E35</f>
        <v>0</v>
      </c>
      <c r="G8" s="219">
        <f>'Key Assumptions'!F35</f>
        <v>800000</v>
      </c>
      <c r="H8" s="219">
        <f>'Key Assumptions'!G35</f>
        <v>800000</v>
      </c>
      <c r="I8" s="219">
        <f>'Key Assumptions'!H35</f>
        <v>1600000</v>
      </c>
      <c r="J8" s="219">
        <f>'Key Assumptions'!I35</f>
        <v>0</v>
      </c>
      <c r="K8" s="219">
        <f>'Key Assumptions'!J35</f>
        <v>2400000</v>
      </c>
      <c r="L8" s="219">
        <f>'Key Assumptions'!K35</f>
        <v>2400000</v>
      </c>
      <c r="M8" s="219">
        <f>'Key Assumptions'!L35</f>
        <v>2400000</v>
      </c>
      <c r="N8" s="219">
        <f>'Key Assumptions'!M35</f>
        <v>2400000</v>
      </c>
      <c r="O8" s="219">
        <f>'Key Assumptions'!N35</f>
        <v>1600000</v>
      </c>
      <c r="P8" s="274"/>
      <c r="Q8" s="274"/>
      <c r="R8" s="274"/>
      <c r="S8" s="274"/>
    </row>
    <row r="9" spans="2:19">
      <c r="B9" s="344"/>
      <c r="C9" s="108" t="s">
        <v>94</v>
      </c>
      <c r="D9" s="138">
        <f>IFERROR(D8/SUM(D7:D8),0)</f>
        <v>0.25</v>
      </c>
      <c r="E9" s="138">
        <f t="shared" ref="E9:O9" si="0">IFERROR(E8/SUM(E7:E8),0)</f>
        <v>0.25</v>
      </c>
      <c r="F9" s="138">
        <f t="shared" si="0"/>
        <v>0</v>
      </c>
      <c r="G9" s="138">
        <f t="shared" si="0"/>
        <v>0.25</v>
      </c>
      <c r="H9" s="138">
        <f t="shared" si="0"/>
        <v>0.25</v>
      </c>
      <c r="I9" s="138">
        <f t="shared" si="0"/>
        <v>0.25</v>
      </c>
      <c r="J9" s="138">
        <f t="shared" si="0"/>
        <v>0</v>
      </c>
      <c r="K9" s="138">
        <f t="shared" si="0"/>
        <v>0.25</v>
      </c>
      <c r="L9" s="138">
        <f t="shared" si="0"/>
        <v>0.25</v>
      </c>
      <c r="M9" s="138">
        <f t="shared" si="0"/>
        <v>0.25</v>
      </c>
      <c r="N9" s="138">
        <f t="shared" si="0"/>
        <v>0.25</v>
      </c>
      <c r="O9" s="138">
        <f t="shared" si="0"/>
        <v>0.25</v>
      </c>
      <c r="P9" s="275"/>
      <c r="Q9" s="275"/>
      <c r="R9" s="275"/>
      <c r="S9" s="275"/>
    </row>
    <row r="10" spans="2:19">
      <c r="B10" s="344"/>
      <c r="C10" s="108" t="s">
        <v>196</v>
      </c>
      <c r="D10" s="219">
        <f>'Fund Utilization'!C8</f>
        <v>5342550</v>
      </c>
      <c r="E10" s="219">
        <f>'Fund Utilization'!D8</f>
        <v>2336200</v>
      </c>
      <c r="F10" s="219">
        <f>'Fund Utilization'!E8</f>
        <v>0</v>
      </c>
      <c r="G10" s="219">
        <f>'Fund Utilization'!F8</f>
        <v>2336200</v>
      </c>
      <c r="H10" s="219">
        <f>'Fund Utilization'!G8</f>
        <v>2336200</v>
      </c>
      <c r="I10" s="219">
        <f>'Fund Utilization'!H8</f>
        <v>4672400</v>
      </c>
      <c r="J10" s="219">
        <f>'Fund Utilization'!I8</f>
        <v>0</v>
      </c>
      <c r="K10" s="219">
        <f>'Fund Utilization'!J8</f>
        <v>7008600</v>
      </c>
      <c r="L10" s="219">
        <f>'Fund Utilization'!K8</f>
        <v>8309250.0000000009</v>
      </c>
      <c r="M10" s="219">
        <f>'Fund Utilization'!L8</f>
        <v>7409250.0000000009</v>
      </c>
      <c r="N10" s="219">
        <f>'Fund Utilization'!M8</f>
        <v>7409250.0000000009</v>
      </c>
      <c r="O10" s="219">
        <f>'Fund Utilization'!N8</f>
        <v>4939500</v>
      </c>
      <c r="P10" s="276"/>
      <c r="Q10" s="276"/>
      <c r="R10" s="276"/>
      <c r="S10" s="276"/>
    </row>
    <row r="11" spans="2:19">
      <c r="B11" s="344"/>
      <c r="C11" s="108" t="s">
        <v>197</v>
      </c>
      <c r="D11" s="219">
        <f>'Fund Utilization'!C9</f>
        <v>394800</v>
      </c>
      <c r="E11" s="219">
        <f>'Fund Utilization'!D9</f>
        <v>966649.99999999977</v>
      </c>
      <c r="F11" s="219">
        <f>'Fund Utilization'!E9</f>
        <v>1103700</v>
      </c>
      <c r="G11" s="219">
        <f>'Fund Utilization'!F9</f>
        <v>882000</v>
      </c>
      <c r="H11" s="219">
        <f>'Fund Utilization'!G9</f>
        <v>777033.33333333349</v>
      </c>
      <c r="I11" s="219">
        <f>'Fund Utilization'!H9</f>
        <v>512800.00000000012</v>
      </c>
      <c r="J11" s="219">
        <f>'Fund Utilization'!I9</f>
        <v>750500.00000000012</v>
      </c>
      <c r="K11" s="219">
        <f>'Fund Utilization'!J9</f>
        <v>219049.99999999977</v>
      </c>
      <c r="L11" s="219">
        <f>'Fund Utilization'!K9</f>
        <v>-557258.33333333302</v>
      </c>
      <c r="M11" s="219">
        <f>'Fund Utilization'!L9</f>
        <v>-1025872.4999999993</v>
      </c>
      <c r="N11" s="219">
        <f>'Fund Utilization'!M9</f>
        <v>-1416217.4999999991</v>
      </c>
      <c r="O11" s="219">
        <f>'Fund Utilization'!N9</f>
        <v>-1585755</v>
      </c>
      <c r="P11" s="276"/>
      <c r="Q11" s="276"/>
      <c r="R11" s="276"/>
      <c r="S11" s="276"/>
    </row>
    <row r="12" spans="2:19">
      <c r="B12" s="344"/>
      <c r="C12" s="108" t="s">
        <v>198</v>
      </c>
      <c r="D12" s="219">
        <f>'Fund Utilization'!C10</f>
        <v>862650</v>
      </c>
      <c r="E12" s="219">
        <f>'Fund Utilization'!D10</f>
        <v>-102850</v>
      </c>
      <c r="F12" s="219">
        <f>'Fund Utilization'!E10</f>
        <v>-1103700</v>
      </c>
      <c r="G12" s="219">
        <f>'Fund Utilization'!F10</f>
        <v>-18200</v>
      </c>
      <c r="H12" s="219">
        <f>'Fund Utilization'!G10</f>
        <v>86766.666666666511</v>
      </c>
      <c r="I12" s="219">
        <f>'Fund Utilization'!H10</f>
        <v>1214800</v>
      </c>
      <c r="J12" s="219">
        <f>'Fund Utilization'!I10</f>
        <v>-750500.00000000012</v>
      </c>
      <c r="K12" s="219">
        <f>'Fund Utilization'!J10</f>
        <v>2372350</v>
      </c>
      <c r="L12" s="219">
        <f>'Fund Utilization'!K10</f>
        <v>1848008.3333333321</v>
      </c>
      <c r="M12" s="219">
        <f>'Fund Utilization'!L10</f>
        <v>3216622.4999999981</v>
      </c>
      <c r="N12" s="219">
        <f>'Fund Utilization'!M10</f>
        <v>3606967.4999999981</v>
      </c>
      <c r="O12" s="219">
        <f>'Fund Utilization'!N10</f>
        <v>3046255</v>
      </c>
      <c r="P12" s="276"/>
      <c r="Q12" s="276"/>
      <c r="R12" s="276"/>
      <c r="S12" s="276"/>
    </row>
    <row r="13" spans="2:19">
      <c r="B13" s="344"/>
      <c r="C13" s="108" t="s">
        <v>199</v>
      </c>
      <c r="D13" s="277">
        <f>'Key Assumptions'!C23</f>
        <v>3</v>
      </c>
      <c r="E13" s="278"/>
      <c r="F13" s="278"/>
      <c r="G13" s="278"/>
      <c r="H13" s="278"/>
      <c r="I13" s="278"/>
      <c r="J13" s="278"/>
      <c r="K13" s="278"/>
      <c r="L13" s="278"/>
      <c r="M13" s="278"/>
      <c r="N13" s="278"/>
      <c r="O13" s="278"/>
      <c r="P13" s="278"/>
      <c r="Q13" s="278"/>
      <c r="R13" s="278"/>
      <c r="S13" s="278"/>
    </row>
    <row r="14" spans="2:19" ht="15.75" thickBot="1">
      <c r="B14" s="345"/>
      <c r="C14" s="107" t="s">
        <v>200</v>
      </c>
      <c r="D14" s="284">
        <f>'Key Assumptions'!C24</f>
        <v>0</v>
      </c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</row>
    <row r="15" spans="2:19" ht="15" customHeight="1">
      <c r="B15" s="344" t="s">
        <v>96</v>
      </c>
      <c r="C15" s="280" t="s">
        <v>154</v>
      </c>
      <c r="D15" s="281">
        <f>'Calculation Sheet'!C15</f>
        <v>0.28993012496465742</v>
      </c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2"/>
      <c r="P15" s="282"/>
      <c r="Q15" s="282"/>
      <c r="R15" s="282"/>
      <c r="S15" s="282"/>
    </row>
    <row r="16" spans="2:19">
      <c r="B16" s="344"/>
      <c r="C16" s="266" t="s">
        <v>458</v>
      </c>
      <c r="D16" s="272">
        <f>'Calculation Sheet'!C24</f>
        <v>1.919604569825079</v>
      </c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</row>
    <row r="17" spans="2:19" ht="15" customHeight="1">
      <c r="B17" s="344"/>
      <c r="C17" s="266" t="s">
        <v>98</v>
      </c>
      <c r="D17" s="138">
        <f>'P&amp;L Statement'!C7/'P&amp;L Statement'!C5</f>
        <v>2.1309090909090909</v>
      </c>
      <c r="E17" s="138">
        <f>'P&amp;L Statement'!D7/'P&amp;L Statement'!D5</f>
        <v>1.5933870967741937</v>
      </c>
      <c r="F17" s="138">
        <f>'P&amp;L Statement'!E7/'P&amp;L Statement'!E5</f>
        <v>1.5933870967741937</v>
      </c>
      <c r="G17" s="138">
        <f>'P&amp;L Statement'!F7/'P&amp;L Statement'!F5</f>
        <v>1.3474736842105264</v>
      </c>
      <c r="H17" s="138">
        <f>'P&amp;L Statement'!G7/'P&amp;L Statement'!G5</f>
        <v>1.2390380859375001</v>
      </c>
      <c r="I17" s="138">
        <f>'P&amp;L Statement'!H7/'P&amp;L Statement'!H5</f>
        <v>1.1208923969072164</v>
      </c>
      <c r="J17" s="138">
        <f>'P&amp;L Statement'!I7/'P&amp;L Statement'!I5</f>
        <v>1.1208923969072164</v>
      </c>
      <c r="K17" s="138">
        <f>'P&amp;L Statement'!J7/'P&amp;L Statement'!J5</f>
        <v>1.0712588028169014</v>
      </c>
      <c r="L17" s="138">
        <f>'P&amp;L Statement'!K7/'P&amp;L Statement'!K5</f>
        <v>0.98672960069444449</v>
      </c>
      <c r="M17" s="138">
        <f>'P&amp;L Statement'!L7/'P&amp;L Statement'!L5</f>
        <v>0.96087560386473436</v>
      </c>
      <c r="N17" s="138">
        <f>'P&amp;L Statement'!M7/'P&amp;L Statement'!M5</f>
        <v>0.95069612940496817</v>
      </c>
      <c r="O17" s="138">
        <f>'P&amp;L Statement'!N7/'P&amp;L Statement'!N5</f>
        <v>0.9414476412649041</v>
      </c>
      <c r="P17" s="138">
        <f>'P&amp;L Statement'!O7/'P&amp;L Statement'!O5</f>
        <v>0.81893440788000904</v>
      </c>
      <c r="Q17" s="138">
        <f>'P&amp;L Statement'!P7/'P&amp;L Statement'!P5</f>
        <v>0.78229629520260879</v>
      </c>
      <c r="R17" s="138">
        <f>'P&amp;L Statement'!Q7/'P&amp;L Statement'!Q5</f>
        <v>0.77098357760427338</v>
      </c>
      <c r="S17" s="138">
        <f>'P&amp;L Statement'!R7/'P&amp;L Statement'!R5</f>
        <v>0.73459743398908506</v>
      </c>
    </row>
    <row r="18" spans="2:19">
      <c r="B18" s="344"/>
      <c r="C18" s="266" t="s">
        <v>201</v>
      </c>
      <c r="D18" s="219">
        <f>'Cash Flow Statement'!C31</f>
        <v>825525</v>
      </c>
      <c r="E18" s="167">
        <f>'Cash Flow Statement'!D31</f>
        <v>667550.00000000023</v>
      </c>
      <c r="F18" s="167">
        <f>'Cash Flow Statement'!E31</f>
        <v>-491274.99999999977</v>
      </c>
      <c r="G18" s="167">
        <f>'Cash Flow Statement'!F31</f>
        <v>-582599.99999999977</v>
      </c>
      <c r="H18" s="167">
        <f>'Cash Flow Statement'!G31</f>
        <v>-586958.33333333326</v>
      </c>
      <c r="I18" s="167">
        <f>'Cash Flow Statement'!H31</f>
        <v>500716.66666666674</v>
      </c>
      <c r="J18" s="167">
        <f>'Cash Flow Statement'!I31</f>
        <v>-376908.33333333337</v>
      </c>
      <c r="K18" s="167">
        <f>'Cash Flow Statement'!J31</f>
        <v>1814316.6666666665</v>
      </c>
      <c r="L18" s="167">
        <f>'Cash Flow Statement'!K31</f>
        <v>3427199.9999999986</v>
      </c>
      <c r="M18" s="167">
        <f>'Cash Flow Statement'!L31</f>
        <v>6354697.4999999963</v>
      </c>
      <c r="N18" s="167">
        <f>'Cash Flow Statement'!M31</f>
        <v>9618539.9999999944</v>
      </c>
      <c r="O18" s="167">
        <f>'Cash Flow Statement'!N31</f>
        <v>12285669.999999994</v>
      </c>
      <c r="P18" s="167">
        <f>'Cash Flow Statement'!O31</f>
        <v>18690968.874999978</v>
      </c>
      <c r="Q18" s="167">
        <f>'Cash Flow Statement'!P31</f>
        <v>33046648.824999966</v>
      </c>
      <c r="R18" s="167">
        <f>'Cash Flow Statement'!Q31</f>
        <v>53087197.626249969</v>
      </c>
      <c r="S18" s="167">
        <f>'Cash Flow Statement'!R31</f>
        <v>82536461.791062444</v>
      </c>
    </row>
    <row r="19" spans="2:19">
      <c r="B19" s="344"/>
      <c r="C19" s="267" t="s">
        <v>279</v>
      </c>
      <c r="D19" s="247">
        <f>IFERROR('P&amp;L Statement'!C9/'P&amp;L Statement'!C5,0)</f>
        <v>-1.1309090909090909</v>
      </c>
      <c r="E19" s="248">
        <f>IFERROR('P&amp;L Statement'!D9/'P&amp;L Statement'!D5,0)</f>
        <v>-0.59338709677419355</v>
      </c>
      <c r="F19" s="248">
        <f>IFERROR('P&amp;L Statement'!E9/'P&amp;L Statement'!E5,0)</f>
        <v>-0.59338709677419355</v>
      </c>
      <c r="G19" s="248">
        <f>IFERROR('P&amp;L Statement'!F9/'P&amp;L Statement'!F5,0)</f>
        <v>-0.34747368421052632</v>
      </c>
      <c r="H19" s="248">
        <f>IFERROR('P&amp;L Statement'!G9/'P&amp;L Statement'!G5,0)</f>
        <v>-0.23903808593750001</v>
      </c>
      <c r="I19" s="248">
        <f>IFERROR('P&amp;L Statement'!H9/'P&amp;L Statement'!H5,0)</f>
        <v>-0.1208923969072165</v>
      </c>
      <c r="J19" s="248">
        <f>IFERROR('P&amp;L Statement'!I9/'P&amp;L Statement'!I5,0)</f>
        <v>-0.1208923969072165</v>
      </c>
      <c r="K19" s="248">
        <f>IFERROR('P&amp;L Statement'!J9/'P&amp;L Statement'!J5,0)</f>
        <v>-7.1258802816901404E-2</v>
      </c>
      <c r="L19" s="248">
        <f>IFERROR('P&amp;L Statement'!K9/'P&amp;L Statement'!K5,0)</f>
        <v>1.3270399305555555E-2</v>
      </c>
      <c r="M19" s="248">
        <f>IFERROR('P&amp;L Statement'!L9/'P&amp;L Statement'!L5,0)</f>
        <v>3.9124396135265596E-2</v>
      </c>
      <c r="N19" s="248">
        <f>IFERROR('P&amp;L Statement'!M9/'P&amp;L Statement'!M5,0)</f>
        <v>4.9303870595031773E-2</v>
      </c>
      <c r="O19" s="248">
        <f>IFERROR('P&amp;L Statement'!N9/'P&amp;L Statement'!N5,0)</f>
        <v>5.8552358735095907E-2</v>
      </c>
      <c r="P19" s="248">
        <f>IFERROR('P&amp;L Statement'!O9/'P&amp;L Statement'!O5,0)</f>
        <v>0.18106559211999093</v>
      </c>
      <c r="Q19" s="248">
        <f>IFERROR('P&amp;L Statement'!P9/'P&amp;L Statement'!P5,0)</f>
        <v>0.21770370479739123</v>
      </c>
      <c r="R19" s="248">
        <f>IFERROR('P&amp;L Statement'!Q9/'P&amp;L Statement'!Q5,0)</f>
        <v>0.22901642239572664</v>
      </c>
      <c r="S19" s="248">
        <f>IFERROR('P&amp;L Statement'!R9/'P&amp;L Statement'!R5,0)</f>
        <v>0.26540256601091494</v>
      </c>
    </row>
    <row r="20" spans="2:19">
      <c r="B20" s="344"/>
      <c r="C20" s="268" t="s">
        <v>280</v>
      </c>
      <c r="D20" s="247">
        <f>IFERROR('P&amp;L Statement'!C14/'P&amp;L Statement'!C5,0)</f>
        <v>-2.0068802790404039</v>
      </c>
      <c r="E20" s="248">
        <f>IFERROR('P&amp;L Statement'!D14/'P&amp;L Statement'!D5,0)</f>
        <v>-1.1043060766925235</v>
      </c>
      <c r="F20" s="248">
        <f>IFERROR('P&amp;L Statement'!E14/'P&amp;L Statement'!E5,0)</f>
        <v>-1.0073629863956126</v>
      </c>
      <c r="G20" s="248">
        <f>IFERROR('P&amp;L Statement'!F14/'P&amp;L Statement'!F5,0)</f>
        <v>-0.67334897323204934</v>
      </c>
      <c r="H20" s="248">
        <f>IFERROR('P&amp;L Statement'!G14/'P&amp;L Statement'!G5,0)</f>
        <v>-0.50296103310163764</v>
      </c>
      <c r="I20" s="248">
        <f>IFERROR('P&amp;L Statement'!H14/'P&amp;L Statement'!H5,0)</f>
        <v>-0.36475635867113126</v>
      </c>
      <c r="J20" s="248">
        <f>IFERROR('P&amp;L Statement'!I14/'P&amp;L Statement'!I5,0)</f>
        <v>-0.3322682142212966</v>
      </c>
      <c r="K20" s="248">
        <f>IFERROR('P&amp;L Statement'!J14/'P&amp;L Statement'!J5,0)</f>
        <v>-0.29306818764362352</v>
      </c>
      <c r="L20" s="248">
        <f>IFERROR('P&amp;L Statement'!K14/'P&amp;L Statement'!K5,0)</f>
        <v>-0.20625801020904377</v>
      </c>
      <c r="M20" s="248">
        <f>IFERROR('P&amp;L Statement'!L14/'P&amp;L Statement'!L5,0)</f>
        <v>-0.16022517448427365</v>
      </c>
      <c r="N20" s="248">
        <f>IFERROR('P&amp;L Statement'!M14/'P&amp;L Statement'!M5,0)</f>
        <v>-0.13761493538733952</v>
      </c>
      <c r="O20" s="248">
        <f>IFERROR('P&amp;L Statement'!N14/'P&amp;L Statement'!N5,0)</f>
        <v>-0.11267196452866297</v>
      </c>
      <c r="P20" s="248">
        <f>IFERROR('P&amp;L Statement'!O14/'P&amp;L Statement'!O5,0)</f>
        <v>0.11414347164264206</v>
      </c>
      <c r="Q20" s="248">
        <f>IFERROR('P&amp;L Statement'!P14/'P&amp;L Statement'!P5,0)</f>
        <v>0.14579581125777147</v>
      </c>
      <c r="R20" s="248">
        <f>IFERROR('P&amp;L Statement'!Q14/'P&amp;L Statement'!Q5,0)</f>
        <v>0.19401798674530227</v>
      </c>
      <c r="S20" s="248">
        <f>IFERROR('P&amp;L Statement'!R14/'P&amp;L Statement'!R5,0)</f>
        <v>0.2463901599743675</v>
      </c>
    </row>
    <row r="21" spans="2:19">
      <c r="B21" s="344"/>
      <c r="C21" s="268" t="s">
        <v>281</v>
      </c>
      <c r="D21" s="247">
        <f>IFERROR('P&amp;L Statement'!C22/'P&amp;L Statement'!C5,0)</f>
        <v>-2.044380279040404</v>
      </c>
      <c r="E21" s="248">
        <f>IFERROR('P&amp;L Statement'!D22/'P&amp;L Statement'!D5,0)</f>
        <v>-1.1339431734667169</v>
      </c>
      <c r="F21" s="248">
        <f>IFERROR('P&amp;L Statement'!E22/'P&amp;L Statement'!E5,0)</f>
        <v>-1.0370000831698063</v>
      </c>
      <c r="G21" s="248">
        <f>IFERROR('P&amp;L Statement'!F22/'P&amp;L Statement'!F5,0)</f>
        <v>-0.69900686796889155</v>
      </c>
      <c r="H21" s="248">
        <f>IFERROR('P&amp;L Statement'!G22/'P&amp;L Statement'!G5,0)</f>
        <v>-0.52520834755476264</v>
      </c>
      <c r="I21" s="248">
        <f>IFERROR('P&amp;L Statement'!H22/'P&amp;L Statement'!H5,0)</f>
        <v>-0.38523396820721373</v>
      </c>
      <c r="J21" s="248">
        <f>IFERROR('P&amp;L Statement'!I22/'P&amp;L Statement'!I5,0)</f>
        <v>-0.35274582375737912</v>
      </c>
      <c r="K21" s="248">
        <f>IFERROR('P&amp;L Statement'!J22/'P&amp;L Statement'!J5,0)</f>
        <v>-0.31299831528446859</v>
      </c>
      <c r="L21" s="248">
        <f>IFERROR('P&amp;L Statement'!K22/'P&amp;L Statement'!K5,0)</f>
        <v>-0.22326647375071046</v>
      </c>
      <c r="M21" s="248">
        <f>IFERROR('P&amp;L Statement'!L22/'P&amp;L Statement'!L5,0)</f>
        <v>-0.17685302127516392</v>
      </c>
      <c r="N21" s="248">
        <f>IFERROR('P&amp;L Statement'!M22/'P&amp;L Statement'!M5,0)</f>
        <v>-0.15413356623655963</v>
      </c>
      <c r="O21" s="248">
        <f>IFERROR('P&amp;L Statement'!N22/'P&amp;L Statement'!N5,0)</f>
        <v>-0.12905026934981384</v>
      </c>
      <c r="P21" s="248">
        <f>IFERROR('P&amp;L Statement'!O22/'P&amp;L Statement'!O5,0)</f>
        <v>0.10248959129280386</v>
      </c>
      <c r="Q21" s="248">
        <f>IFERROR('P&amp;L Statement'!P22/'P&amp;L Statement'!P5,0)</f>
        <v>0.13837461996791997</v>
      </c>
      <c r="R21" s="248">
        <f>IFERROR('P&amp;L Statement'!Q22/'P&amp;L Statement'!Q5,0)</f>
        <v>0.18978536603857282</v>
      </c>
      <c r="S21" s="248">
        <f>IFERROR('P&amp;L Statement'!R22/'P&amp;L Statement'!R5,0)</f>
        <v>0.24495182708430438</v>
      </c>
    </row>
    <row r="22" spans="2:19">
      <c r="B22" s="344"/>
      <c r="C22" s="268" t="s">
        <v>282</v>
      </c>
      <c r="D22" s="138">
        <f>IFERROR('P&amp;L Statement'!C22/AVERAGE('Balance Sheet'!C22),0)</f>
        <v>-0.35943625124519341</v>
      </c>
      <c r="E22" s="131">
        <f>IFERROR('P&amp;L Statement'!D22/AVERAGE('Balance Sheet'!D22),0)</f>
        <v>-0.2950341921907883</v>
      </c>
      <c r="F22" s="131">
        <f>IFERROR('P&amp;L Statement'!E22/AVERAGE('Balance Sheet'!E22),0)</f>
        <v>-0.36950867433215895</v>
      </c>
      <c r="G22" s="131">
        <f>IFERROR('P&amp;L Statement'!F22/AVERAGE('Balance Sheet'!F22),0)</f>
        <v>-0.29014617065957821</v>
      </c>
      <c r="H22" s="131">
        <f>IFERROR('P&amp;L Statement'!G22/AVERAGE('Balance Sheet'!G22),0)</f>
        <v>-0.25213242649301931</v>
      </c>
      <c r="I22" s="131">
        <f>IFERROR('P&amp;L Statement'!H22/AVERAGE('Balance Sheet'!H22),0)</f>
        <v>-0.17738175928313757</v>
      </c>
      <c r="J22" s="131">
        <f>IFERROR('P&amp;L Statement'!I22/AVERAGE('Balance Sheet'!I22),0)</f>
        <v>-0.19391940786546966</v>
      </c>
      <c r="K22" s="131">
        <f>IFERROR('P&amp;L Statement'!J22/AVERAGE('Balance Sheet'!J22),0)</f>
        <v>-0.14634924743252431</v>
      </c>
      <c r="L22" s="131">
        <f>IFERROR('P&amp;L Statement'!K22/AVERAGE('Balance Sheet'!K22),0)</f>
        <v>-0.11061455662448319</v>
      </c>
      <c r="M22" s="131">
        <f>IFERROR('P&amp;L Statement'!L22/AVERAGE('Balance Sheet'!L22),0)</f>
        <v>-8.5512468929293178E-2</v>
      </c>
      <c r="N22" s="131">
        <f>IFERROR('P&amp;L Statement'!M22/AVERAGE('Balance Sheet'!M22),0)</f>
        <v>-7.2964895711369007E-2</v>
      </c>
      <c r="O22" s="131">
        <f>IFERROR('P&amp;L Statement'!N22/AVERAGE('Balance Sheet'!N22),0)</f>
        <v>-6.1829227923313565E-2</v>
      </c>
      <c r="P22" s="131">
        <f>IFERROR('P&amp;L Statement'!O22/AVERAGE('Balance Sheet'!O22),0)</f>
        <v>0.2469688189911195</v>
      </c>
      <c r="Q22" s="131">
        <f>IFERROR('P&amp;L Statement'!P22/AVERAGE('Balance Sheet'!P22),0)</f>
        <v>0.3319592517549137</v>
      </c>
      <c r="R22" s="131">
        <f>IFERROR('P&amp;L Statement'!Q22/AVERAGE('Balance Sheet'!Q22),0)</f>
        <v>0.38473541611989659</v>
      </c>
      <c r="S22" s="131">
        <f>IFERROR('P&amp;L Statement'!R22/AVERAGE('Balance Sheet'!R22),0)</f>
        <v>0.4010649706000039</v>
      </c>
    </row>
    <row r="23" spans="2:19" ht="15.75" thickBot="1">
      <c r="B23" s="345"/>
      <c r="C23" s="269" t="s">
        <v>283</v>
      </c>
      <c r="D23" s="249">
        <f>IFERROR('P&amp;L Statement'!C22/AVERAGE('Balance Sheet'!C37),0)</f>
        <v>5.4125141696443411</v>
      </c>
      <c r="E23" s="250">
        <f>IFERROR('P&amp;L Statement'!D22/AVERAGE('Balance Sheet'!D37),0)</f>
        <v>1.2531465278180063</v>
      </c>
      <c r="F23" s="250">
        <f>IFERROR('P&amp;L Statement'!E22/AVERAGE('Balance Sheet'!E37),0)</f>
        <v>0.53401949011140515</v>
      </c>
      <c r="G23" s="250">
        <f>IFERROR('P&amp;L Statement'!F22/AVERAGE('Balance Sheet'!F37),0)</f>
        <v>0.41468453003078476</v>
      </c>
      <c r="H23" s="250">
        <f>IFERROR('P&amp;L Statement'!G22/AVERAGE('Balance Sheet'!G37),0)</f>
        <v>0.3494953185039667</v>
      </c>
      <c r="I23" s="250">
        <f>IFERROR('P&amp;L Statement'!H22/AVERAGE('Balance Sheet'!H37),0)</f>
        <v>0.3442616039051104</v>
      </c>
      <c r="J23" s="250">
        <f>IFERROR('P&amp;L Statement'!I22/AVERAGE('Balance Sheet'!I37),0)</f>
        <v>0.23967601913836811</v>
      </c>
      <c r="K23" s="250">
        <f>IFERROR('P&amp;L Statement'!J22/AVERAGE('Balance Sheet'!J37),0)</f>
        <v>0.29688581953361542</v>
      </c>
      <c r="L23" s="250">
        <f>IFERROR('P&amp;L Statement'!K22/AVERAGE('Balance Sheet'!K37),0)</f>
        <v>0.3005978649516034</v>
      </c>
      <c r="M23" s="250">
        <f>IFERROR('P&amp;L Statement'!L22/AVERAGE('Balance Sheet'!L37),0)</f>
        <v>0.28101827138289515</v>
      </c>
      <c r="N23" s="250">
        <f>IFERROR('P&amp;L Statement'!M22/AVERAGE('Balance Sheet'!M37),0)</f>
        <v>0.27261091508482987</v>
      </c>
      <c r="O23" s="250">
        <f>IFERROR('P&amp;L Statement'!N22/AVERAGE('Balance Sheet'!N37),0)</f>
        <v>0.22748438583130196</v>
      </c>
      <c r="P23" s="250">
        <f>IFERROR('P&amp;L Statement'!O22/AVERAGE('Balance Sheet'!O37),0)</f>
        <v>-11.563561443365163</v>
      </c>
      <c r="Q23" s="250">
        <f>IFERROR('P&amp;L Statement'!P22/AVERAGE('Balance Sheet'!P37),0)</f>
        <v>1.0596886512475376</v>
      </c>
      <c r="R23" s="250">
        <f>IFERROR('P&amp;L Statement'!Q22/AVERAGE('Balance Sheet'!Q37),0)</f>
        <v>0.61202908677423862</v>
      </c>
      <c r="S23" s="250">
        <f>IFERROR('P&amp;L Statement'!R22/AVERAGE('Balance Sheet'!R37),0)</f>
        <v>0.47203359312876209</v>
      </c>
    </row>
    <row r="24" spans="2:19">
      <c r="C24" s="142" t="s">
        <v>151</v>
      </c>
    </row>
    <row r="27" spans="2:19">
      <c r="F27">
        <f>1378932/1444774</f>
        <v>0.95442747447005549</v>
      </c>
    </row>
  </sheetData>
  <mergeCells count="12">
    <mergeCell ref="P3:P4"/>
    <mergeCell ref="Q3:Q4"/>
    <mergeCell ref="R3:R4"/>
    <mergeCell ref="S3:S4"/>
    <mergeCell ref="D3:G3"/>
    <mergeCell ref="H3:K3"/>
    <mergeCell ref="L3:O3"/>
    <mergeCell ref="B7:B14"/>
    <mergeCell ref="B3:B4"/>
    <mergeCell ref="C3:C4"/>
    <mergeCell ref="B15:B23"/>
    <mergeCell ref="B5:B6"/>
  </mergeCells>
  <conditionalFormatting sqref="D9:O9">
    <cfRule type="cellIs" dxfId="16" priority="5" operator="lessThan">
      <formula>0.25</formula>
    </cfRule>
  </conditionalFormatting>
  <conditionalFormatting sqref="D13">
    <cfRule type="cellIs" dxfId="15" priority="4" operator="greaterThan">
      <formula>3</formula>
    </cfRule>
  </conditionalFormatting>
  <conditionalFormatting sqref="D14">
    <cfRule type="cellIs" dxfId="14" priority="3" operator="greaterThan">
      <formula>3</formula>
    </cfRule>
  </conditionalFormatting>
  <hyperlinks>
    <hyperlink ref="C24" location="Index!A1" display="Back to Index"/>
  </hyperlink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rgb="FFFF0000"/>
  </sheetPr>
  <dimension ref="A1:AD105"/>
  <sheetViews>
    <sheetView showGridLines="0" topLeftCell="A16" zoomScale="86" zoomScaleNormal="86" workbookViewId="0">
      <pane xSplit="2" ySplit="10" topLeftCell="K26" activePane="bottomRight" state="frozen"/>
      <selection activeCell="A16" sqref="A16"/>
      <selection pane="topRight" activeCell="C16" sqref="C16"/>
      <selection pane="bottomLeft" activeCell="A26" sqref="A26"/>
      <selection pane="bottomRight" activeCell="R29" sqref="R29"/>
    </sheetView>
  </sheetViews>
  <sheetFormatPr defaultRowHeight="15"/>
  <cols>
    <col min="1" max="1" width="3.85546875" customWidth="1"/>
    <col min="2" max="2" width="25" bestFit="1" customWidth="1"/>
    <col min="3" max="10" width="16.85546875" bestFit="1" customWidth="1"/>
    <col min="11" max="13" width="16.85546875" customWidth="1"/>
    <col min="14" max="14" width="16.85546875" bestFit="1" customWidth="1"/>
    <col min="15" max="18" width="18.5703125" bestFit="1" customWidth="1"/>
  </cols>
  <sheetData>
    <row r="1" spans="1:18" ht="23.25">
      <c r="A1" s="79" t="s">
        <v>463</v>
      </c>
    </row>
    <row r="3" spans="1:18">
      <c r="B3" s="357" t="s">
        <v>204</v>
      </c>
      <c r="C3" s="357" t="s">
        <v>6</v>
      </c>
      <c r="D3" s="357"/>
      <c r="E3" s="357"/>
      <c r="F3" s="357"/>
      <c r="G3" s="357" t="s">
        <v>7</v>
      </c>
      <c r="H3" s="357"/>
      <c r="I3" s="357"/>
      <c r="J3" s="357"/>
      <c r="K3" s="358" t="s">
        <v>8</v>
      </c>
      <c r="L3" s="359"/>
      <c r="M3" s="359"/>
      <c r="N3" s="360"/>
      <c r="O3" s="357" t="s">
        <v>9</v>
      </c>
      <c r="P3" s="357" t="s">
        <v>10</v>
      </c>
      <c r="Q3" s="357" t="s">
        <v>11</v>
      </c>
      <c r="R3" s="357" t="s">
        <v>12</v>
      </c>
    </row>
    <row r="4" spans="1:18">
      <c r="B4" s="357"/>
      <c r="C4" s="128" t="s">
        <v>13</v>
      </c>
      <c r="D4" s="128" t="s">
        <v>14</v>
      </c>
      <c r="E4" s="128" t="s">
        <v>15</v>
      </c>
      <c r="F4" s="128" t="s">
        <v>16</v>
      </c>
      <c r="G4" s="128" t="s">
        <v>13</v>
      </c>
      <c r="H4" s="128" t="s">
        <v>14</v>
      </c>
      <c r="I4" s="128" t="s">
        <v>15</v>
      </c>
      <c r="J4" s="128" t="s">
        <v>16</v>
      </c>
      <c r="K4" s="160" t="s">
        <v>13</v>
      </c>
      <c r="L4" s="160" t="s">
        <v>14</v>
      </c>
      <c r="M4" s="160" t="s">
        <v>15</v>
      </c>
      <c r="N4" s="160" t="s">
        <v>16</v>
      </c>
      <c r="O4" s="357"/>
      <c r="P4" s="357"/>
      <c r="Q4" s="357"/>
      <c r="R4" s="357"/>
    </row>
    <row r="5" spans="1:18">
      <c r="B5" s="31" t="s">
        <v>27</v>
      </c>
      <c r="C5" s="28"/>
      <c r="D5" s="28"/>
      <c r="E5" s="28"/>
      <c r="F5" s="28"/>
      <c r="G5" s="28"/>
      <c r="H5" s="28"/>
      <c r="I5" s="28"/>
      <c r="J5" s="28"/>
      <c r="K5" s="162"/>
      <c r="L5" s="162"/>
      <c r="M5" s="162"/>
      <c r="N5" s="28"/>
      <c r="O5" s="28"/>
      <c r="P5" s="28"/>
      <c r="Q5" s="28"/>
      <c r="R5" s="28"/>
    </row>
    <row r="6" spans="1:18">
      <c r="B6" s="31" t="s">
        <v>17</v>
      </c>
      <c r="C6" s="28"/>
      <c r="D6" s="28"/>
      <c r="E6" s="28"/>
      <c r="F6" s="28"/>
      <c r="G6" s="28"/>
      <c r="H6" s="28"/>
      <c r="I6" s="28"/>
      <c r="J6" s="28"/>
      <c r="K6" s="162"/>
      <c r="L6" s="162"/>
      <c r="M6" s="162"/>
      <c r="N6" s="28"/>
      <c r="O6" s="28"/>
      <c r="P6" s="28"/>
      <c r="Q6" s="28"/>
      <c r="R6" s="28"/>
    </row>
    <row r="7" spans="1:18">
      <c r="B7" s="32" t="s">
        <v>90</v>
      </c>
      <c r="C7" s="167">
        <f>'Cash Flow Statement'!C31</f>
        <v>825525</v>
      </c>
      <c r="D7" s="167">
        <f>'Cash Flow Statement'!D31</f>
        <v>667550.00000000023</v>
      </c>
      <c r="E7" s="167">
        <f>'Cash Flow Statement'!E31</f>
        <v>-491274.99999999977</v>
      </c>
      <c r="F7" s="167">
        <f>'Cash Flow Statement'!F31</f>
        <v>-582599.99999999977</v>
      </c>
      <c r="G7" s="167">
        <f>'Cash Flow Statement'!G31</f>
        <v>-586958.33333333326</v>
      </c>
      <c r="H7" s="167">
        <f>'Cash Flow Statement'!H31</f>
        <v>500716.66666666674</v>
      </c>
      <c r="I7" s="167">
        <f>'Cash Flow Statement'!I31</f>
        <v>-376908.33333333337</v>
      </c>
      <c r="J7" s="167">
        <f>'Cash Flow Statement'!J31</f>
        <v>1814316.6666666665</v>
      </c>
      <c r="K7" s="167">
        <f>'Cash Flow Statement'!K31</f>
        <v>3427199.9999999986</v>
      </c>
      <c r="L7" s="167">
        <f>'Cash Flow Statement'!L31</f>
        <v>6354697.4999999963</v>
      </c>
      <c r="M7" s="167">
        <f>'Cash Flow Statement'!M31</f>
        <v>9618539.9999999944</v>
      </c>
      <c r="N7" s="167">
        <f>'Cash Flow Statement'!N31</f>
        <v>12285669.999999994</v>
      </c>
      <c r="O7" s="167">
        <f>'Cash Flow Statement'!O31</f>
        <v>18690968.874999978</v>
      </c>
      <c r="P7" s="167">
        <f>'Cash Flow Statement'!P31</f>
        <v>33046648.824999966</v>
      </c>
      <c r="Q7" s="167">
        <f>'Cash Flow Statement'!Q31</f>
        <v>53087197.626249969</v>
      </c>
      <c r="R7" s="167">
        <f>'Cash Flow Statement'!R31</f>
        <v>82536461.791062444</v>
      </c>
    </row>
    <row r="8" spans="1:18">
      <c r="B8" s="32" t="s">
        <v>18</v>
      </c>
      <c r="C8" s="215">
        <f>'CA and CL'!C7</f>
        <v>330000</v>
      </c>
      <c r="D8" s="215">
        <f>'CA and CL'!D7</f>
        <v>620000</v>
      </c>
      <c r="E8" s="215">
        <f>'CA and CL'!E7</f>
        <v>620000</v>
      </c>
      <c r="F8" s="215">
        <f>'CA and CL'!F7</f>
        <v>950000</v>
      </c>
      <c r="G8" s="215">
        <f>'CA and CL'!G7</f>
        <v>1365333.3333333333</v>
      </c>
      <c r="H8" s="215">
        <f>'CA and CL'!H7</f>
        <v>2069333.3333333333</v>
      </c>
      <c r="I8" s="215">
        <f>'CA and CL'!I7</f>
        <v>2069333.3333333333</v>
      </c>
      <c r="J8" s="215">
        <f>'CA and CL'!J7</f>
        <v>3029333.333333333</v>
      </c>
      <c r="K8" s="215">
        <f>'CA and CL'!K7</f>
        <v>4608000</v>
      </c>
      <c r="L8" s="215">
        <f>'CA and CL'!L7</f>
        <v>5796000</v>
      </c>
      <c r="M8" s="215">
        <f>'CA and CL'!M7</f>
        <v>6924000</v>
      </c>
      <c r="N8" s="215">
        <f>'CA and CL'!N7</f>
        <v>7716000</v>
      </c>
      <c r="O8" s="215">
        <f>'CA and CL'!O7</f>
        <v>9827400</v>
      </c>
      <c r="P8" s="215">
        <f>'CA and CL'!P7</f>
        <v>11175240</v>
      </c>
      <c r="Q8" s="215">
        <f>'CA and CL'!Q7</f>
        <v>12129564.000000002</v>
      </c>
      <c r="R8" s="215">
        <f>'CA and CL'!R7</f>
        <v>13728458.750000002</v>
      </c>
    </row>
    <row r="9" spans="1:18">
      <c r="B9" s="109" t="s">
        <v>19</v>
      </c>
      <c r="C9" s="215">
        <f>'CA and CL'!C8</f>
        <v>0</v>
      </c>
      <c r="D9" s="215">
        <f>'CA and CL'!D8</f>
        <v>0</v>
      </c>
      <c r="E9" s="215">
        <f>'CA and CL'!E8</f>
        <v>0</v>
      </c>
      <c r="F9" s="215">
        <f>'CA and CL'!F8</f>
        <v>0</v>
      </c>
      <c r="G9" s="215">
        <f>'CA and CL'!G8</f>
        <v>0</v>
      </c>
      <c r="H9" s="215">
        <f>'CA and CL'!H8</f>
        <v>0</v>
      </c>
      <c r="I9" s="215">
        <f>'CA and CL'!I8</f>
        <v>0</v>
      </c>
      <c r="J9" s="215">
        <f>'CA and CL'!J8</f>
        <v>0</v>
      </c>
      <c r="K9" s="215">
        <f>'CA and CL'!K8</f>
        <v>0</v>
      </c>
      <c r="L9" s="215">
        <f>'CA and CL'!L8</f>
        <v>0</v>
      </c>
      <c r="M9" s="215">
        <f>'CA and CL'!M8</f>
        <v>0</v>
      </c>
      <c r="N9" s="215">
        <f>'CA and CL'!N8</f>
        <v>0</v>
      </c>
      <c r="O9" s="215">
        <f>'CA and CL'!O8</f>
        <v>0</v>
      </c>
      <c r="P9" s="215">
        <f>'CA and CL'!P8</f>
        <v>0</v>
      </c>
      <c r="Q9" s="215">
        <f>'CA and CL'!Q8</f>
        <v>0</v>
      </c>
      <c r="R9" s="215">
        <f>'CA and CL'!R8</f>
        <v>0</v>
      </c>
    </row>
    <row r="10" spans="1:18">
      <c r="B10" s="34" t="s">
        <v>20</v>
      </c>
      <c r="C10" s="167">
        <f>C9+C8+C7</f>
        <v>1155525</v>
      </c>
      <c r="D10" s="167">
        <f t="shared" ref="D10:R10" si="0">D9+D8+D7</f>
        <v>1287550.0000000002</v>
      </c>
      <c r="E10" s="167">
        <f t="shared" si="0"/>
        <v>128725.00000000023</v>
      </c>
      <c r="F10" s="167">
        <f t="shared" si="0"/>
        <v>367400.00000000023</v>
      </c>
      <c r="G10" s="167">
        <f t="shared" si="0"/>
        <v>778375</v>
      </c>
      <c r="H10" s="167">
        <f t="shared" si="0"/>
        <v>2570050</v>
      </c>
      <c r="I10" s="167">
        <f t="shared" si="0"/>
        <v>1692425</v>
      </c>
      <c r="J10" s="167">
        <f t="shared" si="0"/>
        <v>4843650</v>
      </c>
      <c r="K10" s="167">
        <f t="shared" si="0"/>
        <v>8035199.9999999981</v>
      </c>
      <c r="L10" s="167">
        <f t="shared" si="0"/>
        <v>12150697.499999996</v>
      </c>
      <c r="M10" s="167">
        <f t="shared" si="0"/>
        <v>16542539.999999994</v>
      </c>
      <c r="N10" s="167">
        <f t="shared" si="0"/>
        <v>20001669.999999993</v>
      </c>
      <c r="O10" s="167">
        <f t="shared" si="0"/>
        <v>28518368.874999978</v>
      </c>
      <c r="P10" s="167">
        <f t="shared" si="0"/>
        <v>44221888.824999966</v>
      </c>
      <c r="Q10" s="167">
        <f t="shared" si="0"/>
        <v>65216761.626249969</v>
      </c>
      <c r="R10" s="167">
        <f t="shared" si="0"/>
        <v>96264920.541062444</v>
      </c>
    </row>
    <row r="11" spans="1:18">
      <c r="B11" s="28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</row>
    <row r="12" spans="1:18">
      <c r="B12" s="31" t="s">
        <v>21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</row>
    <row r="13" spans="1:18">
      <c r="B13" s="32" t="s">
        <v>22</v>
      </c>
      <c r="C13" s="167">
        <f>Capex!C43</f>
        <v>4442550</v>
      </c>
      <c r="D13" s="167">
        <f>Capex!D43+C15</f>
        <v>6271538.5237499997</v>
      </c>
      <c r="E13" s="167">
        <f>Capex!E43+D15</f>
        <v>5537229.2211019062</v>
      </c>
      <c r="F13" s="167">
        <f>Capex!F43+E15</f>
        <v>7233034.0664060665</v>
      </c>
      <c r="G13" s="167">
        <f>Capex!G43+F15</f>
        <v>8718249.4926947262</v>
      </c>
      <c r="H13" s="167">
        <f>Capex!H43+G15</f>
        <v>12356277.101110417</v>
      </c>
      <c r="I13" s="167">
        <f>Capex!I43+H15</f>
        <v>10870363.226480035</v>
      </c>
      <c r="J13" s="167">
        <f>Capex!J43+I15</f>
        <v>16583538.312594226</v>
      </c>
      <c r="K13" s="167">
        <f>Capex!K43+J15</f>
        <v>21987062.319288976</v>
      </c>
      <c r="L13" s="167">
        <f>Capex!L43+K15</f>
        <v>26727598.203759156</v>
      </c>
      <c r="M13" s="167">
        <f>Capex!M43+L15</f>
        <v>30890185.840386607</v>
      </c>
      <c r="N13" s="167">
        <f>Capex!N43+M15</f>
        <v>32078785.184856791</v>
      </c>
      <c r="O13" s="167">
        <f>Capex!O43+N15</f>
        <v>28194350.619348899</v>
      </c>
      <c r="P13" s="167">
        <f>Capex!P43+O15</f>
        <v>20349744.899640679</v>
      </c>
      <c r="Q13" s="167">
        <f>Capex!Q43+P15</f>
        <v>11095153.06622885</v>
      </c>
      <c r="R13" s="167">
        <f>Capex!R43+Q15</f>
        <v>6234042.1557591427</v>
      </c>
    </row>
    <row r="14" spans="1:18">
      <c r="B14" s="32" t="s">
        <v>23</v>
      </c>
      <c r="C14" s="167">
        <f>Depreciation!C25</f>
        <v>507211.47625000001</v>
      </c>
      <c r="D14" s="167">
        <f>Depreciation!D25</f>
        <v>734309.30264809378</v>
      </c>
      <c r="E14" s="167">
        <f>Depreciation!E25</f>
        <v>640395.1546958395</v>
      </c>
      <c r="F14" s="167">
        <f>Depreciation!F25</f>
        <v>850984.57371134078</v>
      </c>
      <c r="G14" s="167">
        <f>Depreciation!G25</f>
        <v>1034372.3915843077</v>
      </c>
      <c r="H14" s="167">
        <f>Depreciation!H25</f>
        <v>1485913.8746303828</v>
      </c>
      <c r="I14" s="167">
        <f>Depreciation!I25</f>
        <v>1295424.9138858095</v>
      </c>
      <c r="J14" s="167">
        <f>Depreciation!J25</f>
        <v>2005725.9933052505</v>
      </c>
      <c r="K14" s="167">
        <f>Depreciation!K25</f>
        <v>2668714.1155298213</v>
      </c>
      <c r="L14" s="167">
        <f>Depreciation!L25</f>
        <v>3246662.3633725485</v>
      </c>
      <c r="M14" s="167">
        <f>Depreciation!M25</f>
        <v>3750900.6555298166</v>
      </c>
      <c r="N14" s="167">
        <f>Depreciation!N25</f>
        <v>3884434.5655078907</v>
      </c>
      <c r="O14" s="167">
        <f>Depreciation!O25</f>
        <v>7844605.7197082192</v>
      </c>
      <c r="P14" s="167">
        <f>Depreciation!P25</f>
        <v>9254591.8334118295</v>
      </c>
      <c r="Q14" s="167">
        <f>Depreciation!Q25</f>
        <v>4861110.9104697071</v>
      </c>
      <c r="R14" s="167">
        <f>Depreciation!R25</f>
        <v>2632285.4215374552</v>
      </c>
    </row>
    <row r="15" spans="1:18">
      <c r="B15" s="77" t="s">
        <v>33</v>
      </c>
      <c r="C15" s="167">
        <f>C13-C14</f>
        <v>3935338.5237500002</v>
      </c>
      <c r="D15" s="167">
        <f t="shared" ref="D15:R15" si="1">D13-D14</f>
        <v>5537229.2211019062</v>
      </c>
      <c r="E15" s="167">
        <f t="shared" si="1"/>
        <v>4896834.0664060665</v>
      </c>
      <c r="F15" s="167">
        <f t="shared" si="1"/>
        <v>6382049.4926947262</v>
      </c>
      <c r="G15" s="167">
        <f t="shared" si="1"/>
        <v>7683877.1011104183</v>
      </c>
      <c r="H15" s="167">
        <f t="shared" si="1"/>
        <v>10870363.226480035</v>
      </c>
      <c r="I15" s="167">
        <f t="shared" si="1"/>
        <v>9574938.3125942256</v>
      </c>
      <c r="J15" s="167">
        <f t="shared" si="1"/>
        <v>14577812.319288975</v>
      </c>
      <c r="K15" s="167">
        <f t="shared" si="1"/>
        <v>19318348.203759156</v>
      </c>
      <c r="L15" s="167">
        <f t="shared" si="1"/>
        <v>23480935.840386607</v>
      </c>
      <c r="M15" s="167">
        <f t="shared" si="1"/>
        <v>27139285.184856791</v>
      </c>
      <c r="N15" s="167">
        <f t="shared" si="1"/>
        <v>28194350.619348899</v>
      </c>
      <c r="O15" s="167">
        <f t="shared" si="1"/>
        <v>20349744.899640679</v>
      </c>
      <c r="P15" s="167">
        <f t="shared" si="1"/>
        <v>11095153.06622885</v>
      </c>
      <c r="Q15" s="167">
        <f t="shared" si="1"/>
        <v>6234042.1557591427</v>
      </c>
      <c r="R15" s="167">
        <f t="shared" si="1"/>
        <v>3601756.7342216875</v>
      </c>
    </row>
    <row r="16" spans="1:18">
      <c r="B16" s="28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</row>
    <row r="17" spans="2:30">
      <c r="B17" s="34" t="s">
        <v>24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</row>
    <row r="18" spans="2:30">
      <c r="B18" s="32" t="s">
        <v>22</v>
      </c>
      <c r="C18" s="167">
        <f>'Content Dev '!C7</f>
        <v>900000</v>
      </c>
      <c r="D18" s="167">
        <f>'Content Dev '!D7</f>
        <v>540000</v>
      </c>
      <c r="E18" s="167">
        <f>'Content Dev '!E7</f>
        <v>324000</v>
      </c>
      <c r="F18" s="167">
        <f>'Content Dev '!F7</f>
        <v>194400</v>
      </c>
      <c r="G18" s="167">
        <f>'Content Dev '!G7</f>
        <v>116640</v>
      </c>
      <c r="H18" s="167">
        <f>'Content Dev '!H7</f>
        <v>69984</v>
      </c>
      <c r="I18" s="167">
        <f>'Content Dev '!I7</f>
        <v>41990.399999999994</v>
      </c>
      <c r="J18" s="167">
        <f>'Content Dev '!J7</f>
        <v>25194.239999999994</v>
      </c>
      <c r="K18" s="167">
        <f>'Content Dev '!K7</f>
        <v>915116.54399999999</v>
      </c>
      <c r="L18" s="167">
        <f>'Content Dev '!L7</f>
        <v>549069.9264</v>
      </c>
      <c r="M18" s="167">
        <f>'Content Dev '!M7</f>
        <v>329441.95583999995</v>
      </c>
      <c r="N18" s="167">
        <f>'Content Dev '!N7</f>
        <v>197665.17350399998</v>
      </c>
      <c r="O18" s="167">
        <f>'Content Dev '!O7</f>
        <v>118599.10410239999</v>
      </c>
      <c r="P18" s="167">
        <f>'Content Dev '!P7</f>
        <v>971159.46246144001</v>
      </c>
      <c r="Q18" s="167">
        <f>'Content Dev '!Q7</f>
        <v>582695.67747686396</v>
      </c>
      <c r="R18" s="167">
        <f>'Content Dev '!R7</f>
        <v>1249617.4064861182</v>
      </c>
    </row>
    <row r="19" spans="2:30">
      <c r="B19" s="32" t="s">
        <v>25</v>
      </c>
      <c r="C19" s="167">
        <f>'Content Dev '!C8</f>
        <v>360000</v>
      </c>
      <c r="D19" s="167">
        <f>'Content Dev '!D8</f>
        <v>216000</v>
      </c>
      <c r="E19" s="167">
        <f>'Content Dev '!E8</f>
        <v>129600</v>
      </c>
      <c r="F19" s="167">
        <f>'Content Dev '!F8</f>
        <v>77760</v>
      </c>
      <c r="G19" s="167">
        <f>'Content Dev '!G8</f>
        <v>46656</v>
      </c>
      <c r="H19" s="167">
        <f>'Content Dev '!H8</f>
        <v>27993.600000000002</v>
      </c>
      <c r="I19" s="167">
        <f>'Content Dev '!I8</f>
        <v>16796.16</v>
      </c>
      <c r="J19" s="167">
        <f>'Content Dev '!J8</f>
        <v>10077.695999999998</v>
      </c>
      <c r="K19" s="167">
        <f>'Content Dev '!K8</f>
        <v>366046.6176</v>
      </c>
      <c r="L19" s="167">
        <f>'Content Dev '!L8</f>
        <v>219627.97056000002</v>
      </c>
      <c r="M19" s="167">
        <f>'Content Dev '!M8</f>
        <v>131776.78233599997</v>
      </c>
      <c r="N19" s="167">
        <f>'Content Dev '!N8</f>
        <v>79066.069401599991</v>
      </c>
      <c r="O19" s="167">
        <f>'Content Dev '!O8</f>
        <v>47439.641640959999</v>
      </c>
      <c r="P19" s="167">
        <f>'Content Dev '!P8</f>
        <v>388463.78498457605</v>
      </c>
      <c r="Q19" s="167">
        <f>'Content Dev '!Q8</f>
        <v>233078.2709907456</v>
      </c>
      <c r="R19" s="167">
        <f>'Content Dev '!R8</f>
        <v>499846.96259444731</v>
      </c>
    </row>
    <row r="20" spans="2:30">
      <c r="B20" s="77" t="s">
        <v>202</v>
      </c>
      <c r="C20" s="167">
        <f>C18-C19</f>
        <v>540000</v>
      </c>
      <c r="D20" s="167">
        <f t="shared" ref="D20:J20" si="2">D18-D19</f>
        <v>324000</v>
      </c>
      <c r="E20" s="167">
        <f t="shared" si="2"/>
        <v>194400</v>
      </c>
      <c r="F20" s="167">
        <f t="shared" si="2"/>
        <v>116640</v>
      </c>
      <c r="G20" s="167">
        <f t="shared" si="2"/>
        <v>69984</v>
      </c>
      <c r="H20" s="167">
        <f t="shared" si="2"/>
        <v>41990.399999999994</v>
      </c>
      <c r="I20" s="167">
        <f t="shared" si="2"/>
        <v>25194.239999999994</v>
      </c>
      <c r="J20" s="167">
        <f t="shared" si="2"/>
        <v>15116.543999999996</v>
      </c>
      <c r="K20" s="167">
        <f t="shared" ref="K20:R20" si="3">K18-K19</f>
        <v>549069.9264</v>
      </c>
      <c r="L20" s="167">
        <f t="shared" si="3"/>
        <v>329441.95583999995</v>
      </c>
      <c r="M20" s="167">
        <f t="shared" si="3"/>
        <v>197665.17350399998</v>
      </c>
      <c r="N20" s="167">
        <f t="shared" si="3"/>
        <v>118599.10410239999</v>
      </c>
      <c r="O20" s="167">
        <f t="shared" si="3"/>
        <v>71159.46246143998</v>
      </c>
      <c r="P20" s="167">
        <f t="shared" si="3"/>
        <v>582695.67747686396</v>
      </c>
      <c r="Q20" s="167">
        <f t="shared" si="3"/>
        <v>349617.40648611833</v>
      </c>
      <c r="R20" s="167">
        <f t="shared" si="3"/>
        <v>749770.4438916709</v>
      </c>
    </row>
    <row r="21" spans="2:30">
      <c r="B21" s="33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</row>
    <row r="22" spans="2:30">
      <c r="B22" s="34" t="s">
        <v>26</v>
      </c>
      <c r="C22" s="167">
        <f>C20+C15+C10</f>
        <v>5630863.5237499997</v>
      </c>
      <c r="D22" s="167">
        <f t="shared" ref="D22:R22" si="4">D20+D15+D10</f>
        <v>7148779.2211019062</v>
      </c>
      <c r="E22" s="167">
        <f t="shared" si="4"/>
        <v>5219959.0664060665</v>
      </c>
      <c r="F22" s="167">
        <f t="shared" si="4"/>
        <v>6866089.4926947262</v>
      </c>
      <c r="G22" s="167">
        <f t="shared" si="4"/>
        <v>8532236.1011104174</v>
      </c>
      <c r="H22" s="167">
        <f t="shared" si="4"/>
        <v>13482403.626480035</v>
      </c>
      <c r="I22" s="167">
        <f t="shared" si="4"/>
        <v>11292557.552594226</v>
      </c>
      <c r="J22" s="167">
        <f t="shared" si="4"/>
        <v>19436578.863288976</v>
      </c>
      <c r="K22" s="167">
        <f t="shared" si="4"/>
        <v>27902618.130159155</v>
      </c>
      <c r="L22" s="167">
        <f t="shared" si="4"/>
        <v>35961075.296226606</v>
      </c>
      <c r="M22" s="167">
        <f t="shared" si="4"/>
        <v>43879490.358360782</v>
      </c>
      <c r="N22" s="167">
        <f t="shared" si="4"/>
        <v>48314619.723451287</v>
      </c>
      <c r="O22" s="167">
        <f t="shared" si="4"/>
        <v>48939273.237102099</v>
      </c>
      <c r="P22" s="167">
        <f t="shared" si="4"/>
        <v>55899737.568705678</v>
      </c>
      <c r="Q22" s="167">
        <f t="shared" si="4"/>
        <v>71800421.188495234</v>
      </c>
      <c r="R22" s="167">
        <f t="shared" si="4"/>
        <v>100616447.7191758</v>
      </c>
    </row>
    <row r="23" spans="2:30">
      <c r="B23" s="28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</row>
    <row r="24" spans="2:30">
      <c r="B24" s="31" t="s">
        <v>28</v>
      </c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</row>
    <row r="25" spans="2:30">
      <c r="B25" s="31" t="s">
        <v>29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</row>
    <row r="26" spans="2:30">
      <c r="B26" s="32" t="s">
        <v>30</v>
      </c>
      <c r="C26" s="215">
        <f>'CA and CL'!C16</f>
        <v>1054800</v>
      </c>
      <c r="D26" s="215">
        <f>'CA and CL'!D16</f>
        <v>1481850</v>
      </c>
      <c r="E26" s="215">
        <f>'CA and CL'!E16</f>
        <v>1481850</v>
      </c>
      <c r="F26" s="215">
        <f>'CA and CL'!F16</f>
        <v>1920150</v>
      </c>
      <c r="G26" s="215">
        <f>'CA and CL'!G16</f>
        <v>2537550</v>
      </c>
      <c r="H26" s="215">
        <f>'CA and CL'!H16</f>
        <v>3479250</v>
      </c>
      <c r="I26" s="215">
        <f>'CA and CL'!I16</f>
        <v>3479250</v>
      </c>
      <c r="J26" s="215">
        <f>'CA and CL'!J16</f>
        <v>4867800</v>
      </c>
      <c r="K26" s="215">
        <f>'CA and CL'!K16</f>
        <v>6820275</v>
      </c>
      <c r="L26" s="215">
        <f>'CA and CL'!L16</f>
        <v>8353852.5000000009</v>
      </c>
      <c r="M26" s="215">
        <f>'CA and CL'!M16</f>
        <v>9873930</v>
      </c>
      <c r="N26" s="215">
        <f>'CA and CL'!N16</f>
        <v>10896315</v>
      </c>
      <c r="O26" s="215">
        <f>'CA and CL'!O16</f>
        <v>12071994.000000002</v>
      </c>
      <c r="P26" s="215">
        <f>'CA and CL'!P16</f>
        <v>13113523.275000002</v>
      </c>
      <c r="Q26" s="215">
        <f>'CA and CL'!Q16</f>
        <v>14027541.971250003</v>
      </c>
      <c r="R26" s="215">
        <f>'CA and CL'!R16</f>
        <v>15127335.855562506</v>
      </c>
    </row>
    <row r="27" spans="2:30">
      <c r="B27" s="109" t="s">
        <v>31</v>
      </c>
      <c r="C27" s="215">
        <f>'CA and CL'!C17</f>
        <v>0</v>
      </c>
      <c r="D27" s="215">
        <f>'CA and CL'!D17</f>
        <v>0</v>
      </c>
      <c r="E27" s="215">
        <f>'CA and CL'!E17</f>
        <v>0</v>
      </c>
      <c r="F27" s="215">
        <f>'CA and CL'!F17</f>
        <v>0</v>
      </c>
      <c r="G27" s="215">
        <f>'CA and CL'!G17</f>
        <v>0</v>
      </c>
      <c r="H27" s="215">
        <f>'CA and CL'!H17</f>
        <v>0</v>
      </c>
      <c r="I27" s="215">
        <f>'CA and CL'!I17</f>
        <v>0</v>
      </c>
      <c r="J27" s="215">
        <f>'CA and CL'!J17</f>
        <v>0</v>
      </c>
      <c r="K27" s="215">
        <f>'CA and CL'!K17</f>
        <v>0</v>
      </c>
      <c r="L27" s="215">
        <f>'CA and CL'!L17</f>
        <v>0</v>
      </c>
      <c r="M27" s="215">
        <f>'CA and CL'!M17</f>
        <v>0</v>
      </c>
      <c r="N27" s="215">
        <f>'CA and CL'!N17</f>
        <v>0</v>
      </c>
      <c r="O27" s="215">
        <f>'CA and CL'!O17</f>
        <v>0</v>
      </c>
      <c r="P27" s="215">
        <f>'CA and CL'!P17</f>
        <v>0</v>
      </c>
      <c r="Q27" s="215">
        <f>'CA and CL'!Q17</f>
        <v>0</v>
      </c>
      <c r="R27" s="215">
        <f>'CA and CL'!R17</f>
        <v>0</v>
      </c>
      <c r="AD27" s="167"/>
    </row>
    <row r="28" spans="2:30">
      <c r="B28" s="30" t="s">
        <v>32</v>
      </c>
      <c r="C28" s="167">
        <f>C27+C26</f>
        <v>1054800</v>
      </c>
      <c r="D28" s="167">
        <f t="shared" ref="D28:R28" si="5">D27+D26</f>
        <v>1481850</v>
      </c>
      <c r="E28" s="167">
        <f t="shared" si="5"/>
        <v>1481850</v>
      </c>
      <c r="F28" s="167">
        <f t="shared" si="5"/>
        <v>1920150</v>
      </c>
      <c r="G28" s="167">
        <f t="shared" si="5"/>
        <v>2537550</v>
      </c>
      <c r="H28" s="167">
        <f t="shared" si="5"/>
        <v>3479250</v>
      </c>
      <c r="I28" s="167">
        <f t="shared" si="5"/>
        <v>3479250</v>
      </c>
      <c r="J28" s="167">
        <f t="shared" si="5"/>
        <v>4867800</v>
      </c>
      <c r="K28" s="167">
        <f t="shared" si="5"/>
        <v>6820275</v>
      </c>
      <c r="L28" s="167">
        <f t="shared" si="5"/>
        <v>8353852.5000000009</v>
      </c>
      <c r="M28" s="167">
        <f t="shared" si="5"/>
        <v>9873930</v>
      </c>
      <c r="N28" s="167">
        <f t="shared" si="5"/>
        <v>10896315</v>
      </c>
      <c r="O28" s="167">
        <f t="shared" si="5"/>
        <v>12071994.000000002</v>
      </c>
      <c r="P28" s="167">
        <f t="shared" si="5"/>
        <v>13113523.275000002</v>
      </c>
      <c r="Q28" s="167">
        <f t="shared" si="5"/>
        <v>14027541.971250003</v>
      </c>
      <c r="R28" s="167">
        <f t="shared" si="5"/>
        <v>15127335.855562506</v>
      </c>
    </row>
    <row r="29" spans="2:30">
      <c r="B29" s="28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</row>
    <row r="30" spans="2:30">
      <c r="B30" s="31" t="s">
        <v>34</v>
      </c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</row>
    <row r="31" spans="2:30">
      <c r="B31" s="28" t="s">
        <v>35</v>
      </c>
      <c r="C31" s="167">
        <f>'Debt Repayment Schedule'!C42</f>
        <v>4950000</v>
      </c>
      <c r="D31" s="167">
        <f>'Debt Repayment Schedule'!D42</f>
        <v>7350000</v>
      </c>
      <c r="E31" s="167">
        <f>'Debt Repayment Schedule'!E42</f>
        <v>7350000</v>
      </c>
      <c r="F31" s="167">
        <f>'Debt Repayment Schedule'!F42</f>
        <v>9750000</v>
      </c>
      <c r="G31" s="167">
        <f>'Debt Repayment Schedule'!G42</f>
        <v>12150000</v>
      </c>
      <c r="H31" s="167">
        <f>'Debt Repayment Schedule'!H42</f>
        <v>16950000</v>
      </c>
      <c r="I31" s="167">
        <f>'Debt Repayment Schedule'!I42</f>
        <v>16950000</v>
      </c>
      <c r="J31" s="167">
        <f>'Debt Repayment Schedule'!J42</f>
        <v>24150000</v>
      </c>
      <c r="K31" s="167">
        <f>'Debt Repayment Schedule'!K42</f>
        <v>31350000</v>
      </c>
      <c r="L31" s="167">
        <f>'Debt Repayment Schedule'!L42</f>
        <v>38550000</v>
      </c>
      <c r="M31" s="167">
        <f>'Debt Repayment Schedule'!M42</f>
        <v>45750000</v>
      </c>
      <c r="N31" s="167">
        <f>'Debt Repayment Schedule'!N42</f>
        <v>50550000</v>
      </c>
      <c r="O31" s="167">
        <f>'Debt Repayment Schedule'!O42</f>
        <v>37912500</v>
      </c>
      <c r="P31" s="167">
        <f>'Debt Repayment Schedule'!P42</f>
        <v>25275000</v>
      </c>
      <c r="Q31" s="167">
        <f>'Debt Repayment Schedule'!Q42</f>
        <v>12637500</v>
      </c>
      <c r="R31" s="167">
        <f>'Debt Repayment Schedule'!R42</f>
        <v>0</v>
      </c>
    </row>
    <row r="32" spans="2:30">
      <c r="B32" s="28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</row>
    <row r="33" spans="2:18">
      <c r="B33" s="31" t="s">
        <v>39</v>
      </c>
      <c r="C33" s="167">
        <f>C31+C28</f>
        <v>6004800</v>
      </c>
      <c r="D33" s="167">
        <f t="shared" ref="D33:R33" si="6">D31+D28</f>
        <v>8831850</v>
      </c>
      <c r="E33" s="167">
        <f t="shared" si="6"/>
        <v>8831850</v>
      </c>
      <c r="F33" s="167">
        <f t="shared" si="6"/>
        <v>11670150</v>
      </c>
      <c r="G33" s="167">
        <f t="shared" si="6"/>
        <v>14687550</v>
      </c>
      <c r="H33" s="167">
        <f t="shared" si="6"/>
        <v>20429250</v>
      </c>
      <c r="I33" s="167">
        <f t="shared" si="6"/>
        <v>20429250</v>
      </c>
      <c r="J33" s="167">
        <f t="shared" si="6"/>
        <v>29017800</v>
      </c>
      <c r="K33" s="167">
        <f t="shared" si="6"/>
        <v>38170275</v>
      </c>
      <c r="L33" s="167">
        <f t="shared" si="6"/>
        <v>46903852.5</v>
      </c>
      <c r="M33" s="167">
        <f t="shared" si="6"/>
        <v>55623930</v>
      </c>
      <c r="N33" s="167">
        <f t="shared" si="6"/>
        <v>61446315</v>
      </c>
      <c r="O33" s="167">
        <f t="shared" si="6"/>
        <v>49984494</v>
      </c>
      <c r="P33" s="167">
        <f t="shared" si="6"/>
        <v>38388523.275000006</v>
      </c>
      <c r="Q33" s="167">
        <f t="shared" si="6"/>
        <v>26665041.971250005</v>
      </c>
      <c r="R33" s="167">
        <f t="shared" si="6"/>
        <v>15127335.855562506</v>
      </c>
    </row>
    <row r="34" spans="2:18">
      <c r="B34" s="28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</row>
    <row r="35" spans="2:18">
      <c r="B35" s="101" t="s">
        <v>36</v>
      </c>
      <c r="C35" s="215">
        <f>'Key Assumptions'!C35</f>
        <v>1650000</v>
      </c>
      <c r="D35" s="167">
        <f>C35+'Key Assumptions'!D35</f>
        <v>2450000</v>
      </c>
      <c r="E35" s="167">
        <f>D35+'Key Assumptions'!E35</f>
        <v>2450000</v>
      </c>
      <c r="F35" s="167">
        <f>E35+'Key Assumptions'!F35</f>
        <v>3250000</v>
      </c>
      <c r="G35" s="167">
        <f>F35+'Key Assumptions'!G35</f>
        <v>4050000</v>
      </c>
      <c r="H35" s="167">
        <f>G35+'Key Assumptions'!H35</f>
        <v>5650000</v>
      </c>
      <c r="I35" s="167">
        <f>H35+'Key Assumptions'!I35</f>
        <v>5650000</v>
      </c>
      <c r="J35" s="167">
        <f>I35+'Key Assumptions'!J35</f>
        <v>8050000</v>
      </c>
      <c r="K35" s="167">
        <f>J35+'Key Assumptions'!K35</f>
        <v>10450000</v>
      </c>
      <c r="L35" s="167">
        <f>K35+'Key Assumptions'!L35</f>
        <v>12850000</v>
      </c>
      <c r="M35" s="167">
        <f>L35+'Key Assumptions'!M35</f>
        <v>15250000</v>
      </c>
      <c r="N35" s="167">
        <f>M35+'Key Assumptions'!N35</f>
        <v>16850000</v>
      </c>
      <c r="O35" s="167">
        <f>N35+'Key Assumptions'!O35</f>
        <v>16850000</v>
      </c>
      <c r="P35" s="167">
        <f>O35+'Key Assumptions'!P35</f>
        <v>16850000</v>
      </c>
      <c r="Q35" s="167">
        <f>P35+'Key Assumptions'!Q35</f>
        <v>16850000</v>
      </c>
      <c r="R35" s="167">
        <f>Q35+'Key Assumptions'!R35</f>
        <v>16850000</v>
      </c>
    </row>
    <row r="36" spans="2:18">
      <c r="B36" s="28" t="s">
        <v>37</v>
      </c>
      <c r="C36" s="167">
        <f>'P&amp;L Statement'!C22</f>
        <v>-2023936.4762500001</v>
      </c>
      <c r="D36" s="167">
        <f>C36+'P&amp;L Statement'!D22</f>
        <v>-4133070.7788980938</v>
      </c>
      <c r="E36" s="167">
        <f>D36+'P&amp;L Statement'!E22</f>
        <v>-6061890.9335939335</v>
      </c>
      <c r="F36" s="167">
        <f>E36+'P&amp;L Statement'!F22</f>
        <v>-8054060.5073052738</v>
      </c>
      <c r="G36" s="167">
        <f>F36+'P&amp;L Statement'!G22</f>
        <v>-10205313.898889583</v>
      </c>
      <c r="H36" s="167">
        <f>G36+'P&amp;L Statement'!H22</f>
        <v>-12596846.373519965</v>
      </c>
      <c r="I36" s="167">
        <f>H36+'P&amp;L Statement'!I22</f>
        <v>-14786692.447405774</v>
      </c>
      <c r="J36" s="167">
        <f>I36+'P&amp;L Statement'!J22</f>
        <v>-17631221.136711024</v>
      </c>
      <c r="K36" s="167">
        <f>J36+'P&amp;L Statement'!K22</f>
        <v>-20717656.869840845</v>
      </c>
      <c r="L36" s="167">
        <f>K36+'P&amp;L Statement'!L22</f>
        <v>-23792777.203773394</v>
      </c>
      <c r="M36" s="167">
        <f>L36+'P&amp;L Statement'!M22</f>
        <v>-26994439.64163921</v>
      </c>
      <c r="N36" s="167">
        <f>M36+'P&amp;L Statement'!N22</f>
        <v>-29981695.276548702</v>
      </c>
      <c r="O36" s="167">
        <f>N36+'P&amp;L Statement'!O22</f>
        <v>-17895220.762897894</v>
      </c>
      <c r="P36" s="167">
        <f>O36+'P&amp;L Statement'!P22</f>
        <v>661214.2937056832</v>
      </c>
      <c r="Q36" s="167">
        <f>P36+'P&amp;L Statement'!Q22</f>
        <v>28285379.217245236</v>
      </c>
      <c r="R36" s="167">
        <f>Q36+'P&amp;L Statement'!R22</f>
        <v>68639111.863613307</v>
      </c>
    </row>
    <row r="37" spans="2:18">
      <c r="B37" s="31" t="s">
        <v>38</v>
      </c>
      <c r="C37" s="167">
        <f>C35+C36</f>
        <v>-373936.47625000007</v>
      </c>
      <c r="D37" s="167">
        <f t="shared" ref="D37:R37" si="7">D35+D36</f>
        <v>-1683070.7788980938</v>
      </c>
      <c r="E37" s="167">
        <f t="shared" si="7"/>
        <v>-3611890.9335939335</v>
      </c>
      <c r="F37" s="167">
        <f t="shared" si="7"/>
        <v>-4804060.5073052738</v>
      </c>
      <c r="G37" s="167">
        <f t="shared" si="7"/>
        <v>-6155313.8988895826</v>
      </c>
      <c r="H37" s="167">
        <f t="shared" si="7"/>
        <v>-6946846.3735199645</v>
      </c>
      <c r="I37" s="167">
        <f t="shared" si="7"/>
        <v>-9136692.4474057741</v>
      </c>
      <c r="J37" s="167">
        <f t="shared" si="7"/>
        <v>-9581221.1367110237</v>
      </c>
      <c r="K37" s="167">
        <f t="shared" si="7"/>
        <v>-10267656.869840845</v>
      </c>
      <c r="L37" s="167">
        <f t="shared" si="7"/>
        <v>-10942777.203773394</v>
      </c>
      <c r="M37" s="167">
        <f t="shared" si="7"/>
        <v>-11744439.64163921</v>
      </c>
      <c r="N37" s="167">
        <f t="shared" si="7"/>
        <v>-13131695.276548702</v>
      </c>
      <c r="O37" s="167">
        <f t="shared" si="7"/>
        <v>-1045220.7628978938</v>
      </c>
      <c r="P37" s="167">
        <f t="shared" si="7"/>
        <v>17511214.293705683</v>
      </c>
      <c r="Q37" s="167">
        <f t="shared" si="7"/>
        <v>45135379.217245236</v>
      </c>
      <c r="R37" s="167">
        <f t="shared" si="7"/>
        <v>85489111.863613307</v>
      </c>
    </row>
    <row r="38" spans="2:18">
      <c r="B38" s="28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</row>
    <row r="39" spans="2:18">
      <c r="B39" s="31" t="s">
        <v>40</v>
      </c>
      <c r="C39" s="167">
        <f>C37+C33</f>
        <v>5630863.5237499997</v>
      </c>
      <c r="D39" s="167">
        <f t="shared" ref="D39:R39" si="8">D37+D33</f>
        <v>7148779.2211019062</v>
      </c>
      <c r="E39" s="167">
        <f t="shared" si="8"/>
        <v>5219959.0664060665</v>
      </c>
      <c r="F39" s="167">
        <f t="shared" si="8"/>
        <v>6866089.4926947262</v>
      </c>
      <c r="G39" s="167">
        <f t="shared" si="8"/>
        <v>8532236.1011104174</v>
      </c>
      <c r="H39" s="167">
        <f t="shared" si="8"/>
        <v>13482403.626480035</v>
      </c>
      <c r="I39" s="167">
        <f t="shared" si="8"/>
        <v>11292557.552594226</v>
      </c>
      <c r="J39" s="167">
        <f t="shared" si="8"/>
        <v>19436578.863288976</v>
      </c>
      <c r="K39" s="167">
        <f t="shared" si="8"/>
        <v>27902618.130159155</v>
      </c>
      <c r="L39" s="167">
        <f t="shared" si="8"/>
        <v>35961075.296226606</v>
      </c>
      <c r="M39" s="167">
        <f t="shared" si="8"/>
        <v>43879490.35836079</v>
      </c>
      <c r="N39" s="167">
        <f t="shared" si="8"/>
        <v>48314619.723451301</v>
      </c>
      <c r="O39" s="167">
        <f t="shared" si="8"/>
        <v>48939273.237102106</v>
      </c>
      <c r="P39" s="167">
        <f t="shared" si="8"/>
        <v>55899737.568705693</v>
      </c>
      <c r="Q39" s="167">
        <f t="shared" si="8"/>
        <v>71800421.188495249</v>
      </c>
      <c r="R39" s="167">
        <f t="shared" si="8"/>
        <v>100616447.71917582</v>
      </c>
    </row>
    <row r="41" spans="2:18">
      <c r="B41" s="78" t="s">
        <v>203</v>
      </c>
      <c r="C41" s="236">
        <f>C39-C22</f>
        <v>0</v>
      </c>
      <c r="D41" s="236">
        <f t="shared" ref="D41:R41" si="9">D39-D22</f>
        <v>0</v>
      </c>
      <c r="E41" s="236">
        <f t="shared" si="9"/>
        <v>0</v>
      </c>
      <c r="F41" s="236">
        <f t="shared" si="9"/>
        <v>0</v>
      </c>
      <c r="G41" s="236">
        <f t="shared" si="9"/>
        <v>0</v>
      </c>
      <c r="H41" s="236">
        <f t="shared" si="9"/>
        <v>0</v>
      </c>
      <c r="I41" s="236">
        <f t="shared" si="9"/>
        <v>0</v>
      </c>
      <c r="J41" s="236">
        <f t="shared" si="9"/>
        <v>0</v>
      </c>
      <c r="K41" s="236">
        <f t="shared" si="9"/>
        <v>0</v>
      </c>
      <c r="L41" s="236">
        <f t="shared" si="9"/>
        <v>0</v>
      </c>
      <c r="M41" s="236">
        <f t="shared" si="9"/>
        <v>0</v>
      </c>
      <c r="N41" s="236">
        <f t="shared" si="9"/>
        <v>0</v>
      </c>
      <c r="O41" s="236">
        <f t="shared" si="9"/>
        <v>0</v>
      </c>
      <c r="P41" s="236">
        <f t="shared" si="9"/>
        <v>0</v>
      </c>
      <c r="Q41" s="236">
        <f t="shared" si="9"/>
        <v>0</v>
      </c>
      <c r="R41" s="236">
        <f t="shared" si="9"/>
        <v>0</v>
      </c>
    </row>
    <row r="42" spans="2:18">
      <c r="B42" s="78"/>
      <c r="L42" s="252"/>
      <c r="M42" s="252"/>
      <c r="N42" s="252"/>
      <c r="O42" s="252"/>
      <c r="P42" s="252"/>
      <c r="Q42" s="252"/>
      <c r="R42" s="252"/>
    </row>
    <row r="43" spans="2:18">
      <c r="B43" s="78"/>
    </row>
    <row r="44" spans="2:18">
      <c r="B44" s="142" t="s">
        <v>151</v>
      </c>
    </row>
    <row r="86" spans="7:7">
      <c r="G86" s="237"/>
    </row>
    <row r="87" spans="7:7">
      <c r="G87" s="237"/>
    </row>
    <row r="88" spans="7:7">
      <c r="G88" s="237"/>
    </row>
    <row r="89" spans="7:7">
      <c r="G89" s="237"/>
    </row>
    <row r="90" spans="7:7">
      <c r="G90" s="237"/>
    </row>
    <row r="91" spans="7:7">
      <c r="G91" s="237"/>
    </row>
    <row r="92" spans="7:7">
      <c r="G92" s="237"/>
    </row>
    <row r="93" spans="7:7">
      <c r="G93" s="237"/>
    </row>
    <row r="94" spans="7:7">
      <c r="G94" s="237"/>
    </row>
    <row r="95" spans="7:7">
      <c r="G95" s="237"/>
    </row>
    <row r="96" spans="7:7">
      <c r="G96" s="237"/>
    </row>
    <row r="97" spans="7:7">
      <c r="G97" s="237"/>
    </row>
    <row r="98" spans="7:7">
      <c r="G98" s="237"/>
    </row>
    <row r="99" spans="7:7">
      <c r="G99" s="237"/>
    </row>
    <row r="100" spans="7:7">
      <c r="G100" s="237"/>
    </row>
    <row r="101" spans="7:7">
      <c r="G101" s="237"/>
    </row>
    <row r="102" spans="7:7">
      <c r="G102" s="237"/>
    </row>
    <row r="103" spans="7:7">
      <c r="G103" s="237"/>
    </row>
    <row r="104" spans="7:7">
      <c r="G104" s="237"/>
    </row>
    <row r="105" spans="7:7">
      <c r="G105" s="237"/>
    </row>
  </sheetData>
  <mergeCells count="8">
    <mergeCell ref="B3:B4"/>
    <mergeCell ref="Q3:Q4"/>
    <mergeCell ref="R3:R4"/>
    <mergeCell ref="K3:N3"/>
    <mergeCell ref="C3:F3"/>
    <mergeCell ref="G3:J3"/>
    <mergeCell ref="O3:O4"/>
    <mergeCell ref="P3:P4"/>
  </mergeCells>
  <conditionalFormatting sqref="AD27 C8:K8 C7:R7 C9:R9 C26:R28 C13:R15 C18:R20 C22:R22 C31:R31 C39:R39">
    <cfRule type="cellIs" dxfId="13" priority="9" operator="lessThan">
      <formula>0</formula>
    </cfRule>
  </conditionalFormatting>
  <conditionalFormatting sqref="AD27 C8:K8 C7:R7 C9:R39">
    <cfRule type="expression" dxfId="12" priority="1">
      <formula>ISTEXT(C7)</formula>
    </cfRule>
  </conditionalFormatting>
  <hyperlinks>
    <hyperlink ref="B44" location="Index!A1" display="Back to Index"/>
  </hyperlinks>
  <pageMargins left="0.7" right="0.7" top="0.75" bottom="0.75" header="0.3" footer="0.3"/>
  <pageSetup orientation="portrait" horizontalDpi="200" verticalDpi="200" copies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rgb="FFFF0000"/>
  </sheetPr>
  <dimension ref="B1:R24"/>
  <sheetViews>
    <sheetView showGridLines="0" topLeftCell="H1" zoomScale="86" zoomScaleNormal="86" workbookViewId="0">
      <selection activeCell="N22" sqref="N22"/>
    </sheetView>
  </sheetViews>
  <sheetFormatPr defaultRowHeight="15"/>
  <cols>
    <col min="1" max="1" width="4.28515625" customWidth="1"/>
    <col min="2" max="2" width="29.7109375" customWidth="1"/>
    <col min="3" max="9" width="15.28515625" bestFit="1" customWidth="1"/>
    <col min="10" max="10" width="15.42578125" bestFit="1" customWidth="1"/>
    <col min="11" max="13" width="14.42578125" bestFit="1" customWidth="1"/>
    <col min="14" max="18" width="16.5703125" bestFit="1" customWidth="1"/>
  </cols>
  <sheetData>
    <row r="1" spans="2:18" ht="23.25">
      <c r="B1" s="79" t="s">
        <v>464</v>
      </c>
    </row>
    <row r="3" spans="2:18">
      <c r="B3" s="357" t="s">
        <v>204</v>
      </c>
      <c r="C3" s="357" t="s">
        <v>6</v>
      </c>
      <c r="D3" s="357"/>
      <c r="E3" s="357"/>
      <c r="F3" s="357"/>
      <c r="G3" s="357" t="s">
        <v>7</v>
      </c>
      <c r="H3" s="357"/>
      <c r="I3" s="357"/>
      <c r="J3" s="357"/>
      <c r="K3" s="358" t="s">
        <v>8</v>
      </c>
      <c r="L3" s="359"/>
      <c r="M3" s="359"/>
      <c r="N3" s="360"/>
      <c r="O3" s="357" t="s">
        <v>9</v>
      </c>
      <c r="P3" s="357" t="s">
        <v>10</v>
      </c>
      <c r="Q3" s="357" t="s">
        <v>11</v>
      </c>
      <c r="R3" s="357" t="s">
        <v>12</v>
      </c>
    </row>
    <row r="4" spans="2:18">
      <c r="B4" s="357"/>
      <c r="C4" s="75" t="s">
        <v>13</v>
      </c>
      <c r="D4" s="75" t="s">
        <v>14</v>
      </c>
      <c r="E4" s="75" t="s">
        <v>15</v>
      </c>
      <c r="F4" s="75" t="s">
        <v>16</v>
      </c>
      <c r="G4" s="75" t="s">
        <v>13</v>
      </c>
      <c r="H4" s="75" t="s">
        <v>14</v>
      </c>
      <c r="I4" s="75" t="s">
        <v>15</v>
      </c>
      <c r="J4" s="75" t="s">
        <v>16</v>
      </c>
      <c r="K4" s="160" t="s">
        <v>13</v>
      </c>
      <c r="L4" s="160" t="s">
        <v>14</v>
      </c>
      <c r="M4" s="160" t="s">
        <v>15</v>
      </c>
      <c r="N4" s="160" t="s">
        <v>16</v>
      </c>
      <c r="O4" s="357"/>
      <c r="P4" s="357"/>
      <c r="Q4" s="357"/>
      <c r="R4" s="357"/>
    </row>
    <row r="5" spans="2:18">
      <c r="B5" s="31" t="s">
        <v>244</v>
      </c>
      <c r="C5" s="167">
        <f>'Revenue Schedule'!C12</f>
        <v>990000</v>
      </c>
      <c r="D5" s="167">
        <f>'Revenue Schedule'!D12</f>
        <v>1860000</v>
      </c>
      <c r="E5" s="167">
        <f>'Revenue Schedule'!E12</f>
        <v>1860000</v>
      </c>
      <c r="F5" s="167">
        <f>'Revenue Schedule'!F12</f>
        <v>2850000</v>
      </c>
      <c r="G5" s="167">
        <f>'Revenue Schedule'!G12</f>
        <v>4096000</v>
      </c>
      <c r="H5" s="167">
        <f>'Revenue Schedule'!H12</f>
        <v>6208000</v>
      </c>
      <c r="I5" s="167">
        <f>'Revenue Schedule'!I12</f>
        <v>6208000</v>
      </c>
      <c r="J5" s="167">
        <f>'Revenue Schedule'!J12</f>
        <v>9088000</v>
      </c>
      <c r="K5" s="167">
        <f>'Revenue Schedule'!K12</f>
        <v>13824000</v>
      </c>
      <c r="L5" s="167">
        <f>'Revenue Schedule'!L12</f>
        <v>17388000</v>
      </c>
      <c r="M5" s="167">
        <f>'Revenue Schedule'!M12</f>
        <v>20772000</v>
      </c>
      <c r="N5" s="167">
        <f>'Revenue Schedule'!N12</f>
        <v>23148000</v>
      </c>
      <c r="O5" s="167">
        <f>'Revenue Schedule'!O12</f>
        <v>117928800</v>
      </c>
      <c r="P5" s="167">
        <f>'Revenue Schedule'!P12</f>
        <v>134102880</v>
      </c>
      <c r="Q5" s="167">
        <f>'Revenue Schedule'!Q12</f>
        <v>145554768.00000003</v>
      </c>
      <c r="R5" s="167">
        <f>'Revenue Schedule'!R12</f>
        <v>164741505.00000003</v>
      </c>
    </row>
    <row r="6" spans="2:18">
      <c r="B6" s="28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</row>
    <row r="7" spans="2:18">
      <c r="B7" s="31" t="s">
        <v>273</v>
      </c>
      <c r="C7" s="167">
        <f>'Operational Expenses'!C24</f>
        <v>2109600</v>
      </c>
      <c r="D7" s="167">
        <f>'Operational Expenses'!D24</f>
        <v>2963700</v>
      </c>
      <c r="E7" s="167">
        <f>'Operational Expenses'!E24</f>
        <v>2963700</v>
      </c>
      <c r="F7" s="167">
        <f>'Operational Expenses'!F24</f>
        <v>3840300</v>
      </c>
      <c r="G7" s="167">
        <f>'Operational Expenses'!G24</f>
        <v>5075100</v>
      </c>
      <c r="H7" s="167">
        <f>'Operational Expenses'!H24</f>
        <v>6958500</v>
      </c>
      <c r="I7" s="167">
        <f>'Operational Expenses'!I24</f>
        <v>6958500</v>
      </c>
      <c r="J7" s="167">
        <f>'Operational Expenses'!J24</f>
        <v>9735600</v>
      </c>
      <c r="K7" s="167">
        <f>'Operational Expenses'!K24</f>
        <v>13640550</v>
      </c>
      <c r="L7" s="167">
        <f>'Operational Expenses'!L24</f>
        <v>16707705.000000002</v>
      </c>
      <c r="M7" s="167">
        <f>'Operational Expenses'!M24</f>
        <v>19747860</v>
      </c>
      <c r="N7" s="167">
        <f>'Operational Expenses'!N24</f>
        <v>21792630</v>
      </c>
      <c r="O7" s="167">
        <f>'Operational Expenses'!O24</f>
        <v>96575952.000000015</v>
      </c>
      <c r="P7" s="167">
        <f>'Operational Expenses'!P24</f>
        <v>104908186.20000002</v>
      </c>
      <c r="Q7" s="167">
        <f>'Operational Expenses'!Q24</f>
        <v>112220335.77000003</v>
      </c>
      <c r="R7" s="167">
        <f>'Operational Expenses'!R24</f>
        <v>121018686.84450005</v>
      </c>
    </row>
    <row r="8" spans="2:18">
      <c r="B8" s="28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</row>
    <row r="9" spans="2:18">
      <c r="B9" s="31" t="s">
        <v>274</v>
      </c>
      <c r="C9" s="167">
        <f>C5-C7</f>
        <v>-1119600</v>
      </c>
      <c r="D9" s="167">
        <f t="shared" ref="D9:R9" si="0">D5-D7</f>
        <v>-1103700</v>
      </c>
      <c r="E9" s="167">
        <f t="shared" si="0"/>
        <v>-1103700</v>
      </c>
      <c r="F9" s="167">
        <f t="shared" si="0"/>
        <v>-990300</v>
      </c>
      <c r="G9" s="167">
        <f t="shared" si="0"/>
        <v>-979100</v>
      </c>
      <c r="H9" s="167">
        <f t="shared" si="0"/>
        <v>-750500</v>
      </c>
      <c r="I9" s="167">
        <f t="shared" si="0"/>
        <v>-750500</v>
      </c>
      <c r="J9" s="167">
        <f t="shared" si="0"/>
        <v>-647600</v>
      </c>
      <c r="K9" s="167">
        <f t="shared" si="0"/>
        <v>183450</v>
      </c>
      <c r="L9" s="167">
        <f t="shared" si="0"/>
        <v>680294.99999999814</v>
      </c>
      <c r="M9" s="167">
        <f t="shared" si="0"/>
        <v>1024140</v>
      </c>
      <c r="N9" s="167">
        <f t="shared" si="0"/>
        <v>1355370</v>
      </c>
      <c r="O9" s="167">
        <f t="shared" si="0"/>
        <v>21352847.999999985</v>
      </c>
      <c r="P9" s="167">
        <f t="shared" si="0"/>
        <v>29194693.799999982</v>
      </c>
      <c r="Q9" s="167">
        <f t="shared" si="0"/>
        <v>33334432.230000004</v>
      </c>
      <c r="R9" s="167">
        <f t="shared" si="0"/>
        <v>43722818.15549998</v>
      </c>
    </row>
    <row r="10" spans="2:18">
      <c r="B10" s="28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</row>
    <row r="11" spans="2:18">
      <c r="B11" s="28" t="s">
        <v>43</v>
      </c>
      <c r="C11" s="167">
        <f>Depreciation!C25</f>
        <v>507211.47625000001</v>
      </c>
      <c r="D11" s="167">
        <f>Depreciation!D25</f>
        <v>734309.30264809378</v>
      </c>
      <c r="E11" s="167">
        <f>Depreciation!E25</f>
        <v>640395.1546958395</v>
      </c>
      <c r="F11" s="167">
        <f>Depreciation!F25</f>
        <v>850984.57371134078</v>
      </c>
      <c r="G11" s="167">
        <f>Depreciation!G25</f>
        <v>1034372.3915843077</v>
      </c>
      <c r="H11" s="167">
        <f>Depreciation!H25</f>
        <v>1485913.8746303828</v>
      </c>
      <c r="I11" s="167">
        <f>Depreciation!I25</f>
        <v>1295424.9138858095</v>
      </c>
      <c r="J11" s="167">
        <f>Depreciation!J25</f>
        <v>2005725.9933052505</v>
      </c>
      <c r="K11" s="167">
        <f>Depreciation!K25</f>
        <v>2668714.1155298213</v>
      </c>
      <c r="L11" s="167">
        <f>Depreciation!L25</f>
        <v>3246662.3633725485</v>
      </c>
      <c r="M11" s="167">
        <f>Depreciation!M25</f>
        <v>3750900.6555298166</v>
      </c>
      <c r="N11" s="167">
        <f>Depreciation!N25</f>
        <v>3884434.5655078907</v>
      </c>
      <c r="O11" s="167">
        <f>Depreciation!O25</f>
        <v>7844605.7197082192</v>
      </c>
      <c r="P11" s="167">
        <f>Depreciation!P25</f>
        <v>9254591.8334118295</v>
      </c>
      <c r="Q11" s="167">
        <f>Depreciation!Q25</f>
        <v>4861110.9104697071</v>
      </c>
      <c r="R11" s="167">
        <f>Depreciation!R25</f>
        <v>2632285.4215374552</v>
      </c>
    </row>
    <row r="12" spans="2:18">
      <c r="B12" s="28" t="s">
        <v>44</v>
      </c>
      <c r="C12" s="167">
        <f>'Content Dev '!C8</f>
        <v>360000</v>
      </c>
      <c r="D12" s="167">
        <f>'Content Dev '!D8</f>
        <v>216000</v>
      </c>
      <c r="E12" s="167">
        <f>'Content Dev '!E8</f>
        <v>129600</v>
      </c>
      <c r="F12" s="167">
        <f>'Content Dev '!F8</f>
        <v>77760</v>
      </c>
      <c r="G12" s="167">
        <f>'Content Dev '!G8</f>
        <v>46656</v>
      </c>
      <c r="H12" s="167">
        <f>'Content Dev '!H8</f>
        <v>27993.600000000002</v>
      </c>
      <c r="I12" s="167">
        <f>'Content Dev '!I8</f>
        <v>16796.16</v>
      </c>
      <c r="J12" s="167">
        <f>'Content Dev '!J8</f>
        <v>10077.695999999998</v>
      </c>
      <c r="K12" s="167">
        <f>'Content Dev '!K8</f>
        <v>366046.6176</v>
      </c>
      <c r="L12" s="167">
        <f>'Content Dev '!L8</f>
        <v>219627.97056000002</v>
      </c>
      <c r="M12" s="167">
        <f>'Content Dev '!M8</f>
        <v>131776.78233599997</v>
      </c>
      <c r="N12" s="167">
        <f>'Content Dev '!N8</f>
        <v>79066.069401599991</v>
      </c>
      <c r="O12" s="167">
        <f>'Content Dev '!O8</f>
        <v>47439.641640959999</v>
      </c>
      <c r="P12" s="167">
        <f>'Content Dev '!P8</f>
        <v>388463.78498457605</v>
      </c>
      <c r="Q12" s="167">
        <f>'Content Dev '!Q8</f>
        <v>233078.2709907456</v>
      </c>
      <c r="R12" s="167">
        <f>'Content Dev '!R8</f>
        <v>499846.96259444731</v>
      </c>
    </row>
    <row r="13" spans="2:18">
      <c r="B13" s="28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</row>
    <row r="14" spans="2:18">
      <c r="B14" s="31" t="s">
        <v>45</v>
      </c>
      <c r="C14" s="167">
        <f>C9-C11-C12</f>
        <v>-1986811.4762500001</v>
      </c>
      <c r="D14" s="167">
        <f t="shared" ref="D14:R14" si="1">D9-D11-D12</f>
        <v>-2054009.3026480938</v>
      </c>
      <c r="E14" s="167">
        <f t="shared" si="1"/>
        <v>-1873695.1546958396</v>
      </c>
      <c r="F14" s="167">
        <f t="shared" si="1"/>
        <v>-1919044.5737113408</v>
      </c>
      <c r="G14" s="167">
        <f t="shared" si="1"/>
        <v>-2060128.3915843077</v>
      </c>
      <c r="H14" s="167">
        <f t="shared" si="1"/>
        <v>-2264407.4746303828</v>
      </c>
      <c r="I14" s="167">
        <f t="shared" si="1"/>
        <v>-2062721.0738858094</v>
      </c>
      <c r="J14" s="167">
        <f t="shared" si="1"/>
        <v>-2663403.6893052505</v>
      </c>
      <c r="K14" s="167">
        <f t="shared" si="1"/>
        <v>-2851310.7331298213</v>
      </c>
      <c r="L14" s="167">
        <f t="shared" si="1"/>
        <v>-2785995.3339325502</v>
      </c>
      <c r="M14" s="167">
        <f t="shared" si="1"/>
        <v>-2858537.4378658165</v>
      </c>
      <c r="N14" s="167">
        <f t="shared" si="1"/>
        <v>-2608130.6349094906</v>
      </c>
      <c r="O14" s="167">
        <f t="shared" si="1"/>
        <v>13460802.638650807</v>
      </c>
      <c r="P14" s="167">
        <f t="shared" si="1"/>
        <v>19551638.181603577</v>
      </c>
      <c r="Q14" s="167">
        <f t="shared" si="1"/>
        <v>28240243.048539553</v>
      </c>
      <c r="R14" s="167">
        <f t="shared" si="1"/>
        <v>40590685.771368071</v>
      </c>
    </row>
    <row r="15" spans="2:18">
      <c r="B15" s="28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</row>
    <row r="16" spans="2:18">
      <c r="B16" s="28" t="s">
        <v>46</v>
      </c>
      <c r="C16" s="167">
        <f>'Debt Repayment Schedule'!C43</f>
        <v>37125</v>
      </c>
      <c r="D16" s="167">
        <f>'Debt Repayment Schedule'!D43</f>
        <v>55125</v>
      </c>
      <c r="E16" s="167">
        <f>'Debt Repayment Schedule'!E43</f>
        <v>55125</v>
      </c>
      <c r="F16" s="167">
        <f>'Debt Repayment Schedule'!F43</f>
        <v>73125</v>
      </c>
      <c r="G16" s="167">
        <f>'Debt Repayment Schedule'!G43</f>
        <v>91125</v>
      </c>
      <c r="H16" s="167">
        <f>'Debt Repayment Schedule'!H43</f>
        <v>127125</v>
      </c>
      <c r="I16" s="167">
        <f>'Debt Repayment Schedule'!I43</f>
        <v>127125</v>
      </c>
      <c r="J16" s="167">
        <f>'Debt Repayment Schedule'!J43</f>
        <v>181125</v>
      </c>
      <c r="K16" s="167">
        <f>'Debt Repayment Schedule'!K43</f>
        <v>235125</v>
      </c>
      <c r="L16" s="167">
        <f>'Debt Repayment Schedule'!L43</f>
        <v>289125</v>
      </c>
      <c r="M16" s="167">
        <f>'Debt Repayment Schedule'!M43</f>
        <v>343125</v>
      </c>
      <c r="N16" s="167">
        <f>'Debt Repayment Schedule'!N43</f>
        <v>379125</v>
      </c>
      <c r="O16" s="167">
        <f>'Debt Repayment Schedule'!O43</f>
        <v>1374328.125</v>
      </c>
      <c r="P16" s="167">
        <f>'Debt Repayment Schedule'!P43</f>
        <v>995203.125</v>
      </c>
      <c r="Q16" s="167">
        <f>'Debt Repayment Schedule'!Q43</f>
        <v>616078.125</v>
      </c>
      <c r="R16" s="167">
        <f>'Debt Repayment Schedule'!R43</f>
        <v>236953.125</v>
      </c>
    </row>
    <row r="17" spans="2:18">
      <c r="B17" s="28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</row>
    <row r="18" spans="2:18">
      <c r="B18" s="31" t="s">
        <v>47</v>
      </c>
      <c r="C18" s="167">
        <f>C14-C16</f>
        <v>-2023936.4762500001</v>
      </c>
      <c r="D18" s="167">
        <f t="shared" ref="D18:R18" si="2">D14-D16</f>
        <v>-2109134.3026480936</v>
      </c>
      <c r="E18" s="167">
        <f t="shared" si="2"/>
        <v>-1928820.1546958396</v>
      </c>
      <c r="F18" s="167">
        <f t="shared" si="2"/>
        <v>-1992169.5737113408</v>
      </c>
      <c r="G18" s="167">
        <f t="shared" si="2"/>
        <v>-2151253.3915843079</v>
      </c>
      <c r="H18" s="167">
        <f t="shared" si="2"/>
        <v>-2391532.4746303828</v>
      </c>
      <c r="I18" s="167">
        <f t="shared" si="2"/>
        <v>-2189846.0738858096</v>
      </c>
      <c r="J18" s="167">
        <f t="shared" si="2"/>
        <v>-2844528.6893052505</v>
      </c>
      <c r="K18" s="167">
        <f t="shared" si="2"/>
        <v>-3086435.7331298213</v>
      </c>
      <c r="L18" s="167">
        <f t="shared" si="2"/>
        <v>-3075120.3339325502</v>
      </c>
      <c r="M18" s="167">
        <f t="shared" si="2"/>
        <v>-3201662.4378658165</v>
      </c>
      <c r="N18" s="167">
        <f t="shared" si="2"/>
        <v>-2987255.6349094906</v>
      </c>
      <c r="O18" s="167">
        <f t="shared" si="2"/>
        <v>12086474.513650807</v>
      </c>
      <c r="P18" s="167">
        <f t="shared" si="2"/>
        <v>18556435.056603577</v>
      </c>
      <c r="Q18" s="167">
        <f t="shared" si="2"/>
        <v>27624164.923539553</v>
      </c>
      <c r="R18" s="167">
        <f t="shared" si="2"/>
        <v>40353732.646368071</v>
      </c>
    </row>
    <row r="19" spans="2:18">
      <c r="B19" s="28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</row>
    <row r="20" spans="2:18">
      <c r="B20" s="28" t="s">
        <v>48</v>
      </c>
      <c r="C20" s="167">
        <f>Taxes!C9</f>
        <v>0</v>
      </c>
      <c r="D20" s="167">
        <f>Taxes!D9</f>
        <v>0</v>
      </c>
      <c r="E20" s="167">
        <f>Taxes!E9</f>
        <v>0</v>
      </c>
      <c r="F20" s="167">
        <f>Taxes!F9</f>
        <v>0</v>
      </c>
      <c r="G20" s="167">
        <f>Taxes!G9</f>
        <v>0</v>
      </c>
      <c r="H20" s="167">
        <f>Taxes!H9</f>
        <v>0</v>
      </c>
      <c r="I20" s="167">
        <f>Taxes!I9</f>
        <v>0</v>
      </c>
      <c r="J20" s="167">
        <f>Taxes!J9</f>
        <v>0</v>
      </c>
      <c r="K20" s="167">
        <f>Taxes!K9</f>
        <v>0</v>
      </c>
      <c r="L20" s="167">
        <f>Taxes!L9</f>
        <v>0</v>
      </c>
      <c r="M20" s="167">
        <f>Taxes!M9</f>
        <v>0</v>
      </c>
      <c r="N20" s="167">
        <f>Taxes!N9</f>
        <v>0</v>
      </c>
      <c r="O20" s="167">
        <f>Taxes!O9</f>
        <v>0</v>
      </c>
      <c r="P20" s="167">
        <f>Taxes!P9</f>
        <v>0</v>
      </c>
      <c r="Q20" s="167">
        <f>Taxes!Q9</f>
        <v>0</v>
      </c>
      <c r="R20" s="167">
        <f>Taxes!R9</f>
        <v>0</v>
      </c>
    </row>
    <row r="21" spans="2:18">
      <c r="B21" s="28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</row>
    <row r="22" spans="2:18">
      <c r="B22" s="31" t="s">
        <v>49</v>
      </c>
      <c r="C22" s="167">
        <f>C18-C20</f>
        <v>-2023936.4762500001</v>
      </c>
      <c r="D22" s="167">
        <f t="shared" ref="D22:R22" si="3">D18-D20</f>
        <v>-2109134.3026480936</v>
      </c>
      <c r="E22" s="167">
        <f t="shared" si="3"/>
        <v>-1928820.1546958396</v>
      </c>
      <c r="F22" s="167">
        <f t="shared" si="3"/>
        <v>-1992169.5737113408</v>
      </c>
      <c r="G22" s="167">
        <f t="shared" si="3"/>
        <v>-2151253.3915843079</v>
      </c>
      <c r="H22" s="167">
        <f t="shared" si="3"/>
        <v>-2391532.4746303828</v>
      </c>
      <c r="I22" s="167">
        <f t="shared" si="3"/>
        <v>-2189846.0738858096</v>
      </c>
      <c r="J22" s="167">
        <f t="shared" si="3"/>
        <v>-2844528.6893052505</v>
      </c>
      <c r="K22" s="167">
        <f t="shared" si="3"/>
        <v>-3086435.7331298213</v>
      </c>
      <c r="L22" s="167">
        <f t="shared" si="3"/>
        <v>-3075120.3339325502</v>
      </c>
      <c r="M22" s="167">
        <f t="shared" si="3"/>
        <v>-3201662.4378658165</v>
      </c>
      <c r="N22" s="167">
        <f t="shared" si="3"/>
        <v>-2987255.6349094906</v>
      </c>
      <c r="O22" s="167">
        <f t="shared" si="3"/>
        <v>12086474.513650807</v>
      </c>
      <c r="P22" s="167">
        <f t="shared" si="3"/>
        <v>18556435.056603577</v>
      </c>
      <c r="Q22" s="167">
        <f t="shared" si="3"/>
        <v>27624164.923539553</v>
      </c>
      <c r="R22" s="167">
        <f t="shared" si="3"/>
        <v>40353732.646368071</v>
      </c>
    </row>
    <row r="24" spans="2:18">
      <c r="B24" s="27" t="s">
        <v>151</v>
      </c>
    </row>
  </sheetData>
  <sheetProtection sheet="1" objects="1" scenarios="1"/>
  <mergeCells count="8">
    <mergeCell ref="B3:B4"/>
    <mergeCell ref="O3:O4"/>
    <mergeCell ref="P3:P4"/>
    <mergeCell ref="Q3:Q4"/>
    <mergeCell ref="R3:R4"/>
    <mergeCell ref="C3:F3"/>
    <mergeCell ref="G3:J3"/>
    <mergeCell ref="K3:N3"/>
  </mergeCells>
  <conditionalFormatting sqref="C5:R5 C7:R7 C11:R12 C16:R16 C20:R20">
    <cfRule type="cellIs" dxfId="11" priority="6" operator="lessThan">
      <formula>0</formula>
    </cfRule>
  </conditionalFormatting>
  <conditionalFormatting sqref="C5:R22">
    <cfRule type="expression" dxfId="10" priority="1">
      <formula>ISTEXT(C5)</formula>
    </cfRule>
  </conditionalFormatting>
  <hyperlinks>
    <hyperlink ref="B24" location="Index!A1" display="Back to Index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rgb="FFFF0000"/>
  </sheetPr>
  <dimension ref="B1:R33"/>
  <sheetViews>
    <sheetView showGridLines="0" topLeftCell="C3" zoomScale="84" zoomScaleNormal="84" workbookViewId="0">
      <selection activeCell="N6" sqref="N6"/>
    </sheetView>
  </sheetViews>
  <sheetFormatPr defaultRowHeight="15"/>
  <cols>
    <col min="1" max="1" width="4" customWidth="1"/>
    <col min="2" max="2" width="39.42578125" customWidth="1"/>
    <col min="3" max="3" width="16.28515625" bestFit="1" customWidth="1"/>
    <col min="4" max="10" width="15.5703125" bestFit="1" customWidth="1"/>
    <col min="11" max="13" width="13.28515625" bestFit="1" customWidth="1"/>
    <col min="14" max="14" width="16.28515625" bestFit="1" customWidth="1"/>
    <col min="15" max="15" width="18" bestFit="1" customWidth="1"/>
    <col min="16" max="18" width="17.140625" bestFit="1" customWidth="1"/>
  </cols>
  <sheetData>
    <row r="1" spans="2:18" ht="23.25">
      <c r="B1" s="79" t="s">
        <v>465</v>
      </c>
    </row>
    <row r="3" spans="2:18">
      <c r="B3" s="357" t="s">
        <v>204</v>
      </c>
      <c r="C3" s="357" t="s">
        <v>6</v>
      </c>
      <c r="D3" s="357"/>
      <c r="E3" s="357"/>
      <c r="F3" s="357"/>
      <c r="G3" s="357" t="s">
        <v>7</v>
      </c>
      <c r="H3" s="357"/>
      <c r="I3" s="357"/>
      <c r="J3" s="357"/>
      <c r="K3" s="358" t="s">
        <v>8</v>
      </c>
      <c r="L3" s="359"/>
      <c r="M3" s="359"/>
      <c r="N3" s="360"/>
      <c r="O3" s="357" t="s">
        <v>9</v>
      </c>
      <c r="P3" s="357" t="s">
        <v>10</v>
      </c>
      <c r="Q3" s="357" t="s">
        <v>11</v>
      </c>
      <c r="R3" s="357" t="s">
        <v>12</v>
      </c>
    </row>
    <row r="4" spans="2:18">
      <c r="B4" s="357"/>
      <c r="C4" s="75" t="s">
        <v>13</v>
      </c>
      <c r="D4" s="75" t="s">
        <v>14</v>
      </c>
      <c r="E4" s="75" t="s">
        <v>15</v>
      </c>
      <c r="F4" s="75" t="s">
        <v>16</v>
      </c>
      <c r="G4" s="75" t="s">
        <v>13</v>
      </c>
      <c r="H4" s="75" t="s">
        <v>14</v>
      </c>
      <c r="I4" s="75" t="s">
        <v>15</v>
      </c>
      <c r="J4" s="75" t="s">
        <v>16</v>
      </c>
      <c r="K4" s="160" t="s">
        <v>13</v>
      </c>
      <c r="L4" s="160" t="s">
        <v>14</v>
      </c>
      <c r="M4" s="160" t="s">
        <v>15</v>
      </c>
      <c r="N4" s="160" t="s">
        <v>16</v>
      </c>
      <c r="O4" s="357"/>
      <c r="P4" s="357"/>
      <c r="Q4" s="357"/>
      <c r="R4" s="357"/>
    </row>
    <row r="5" spans="2:18">
      <c r="B5" s="35" t="s">
        <v>50</v>
      </c>
      <c r="C5" s="28"/>
      <c r="D5" s="28"/>
      <c r="E5" s="28"/>
      <c r="F5" s="28"/>
      <c r="G5" s="28"/>
      <c r="H5" s="28"/>
      <c r="I5" s="28"/>
      <c r="J5" s="28"/>
      <c r="K5" s="162"/>
      <c r="L5" s="162"/>
      <c r="M5" s="162"/>
      <c r="N5" s="28"/>
      <c r="O5" s="28"/>
      <c r="P5" s="28"/>
      <c r="Q5" s="28"/>
      <c r="R5" s="28"/>
    </row>
    <row r="6" spans="2:18">
      <c r="B6" s="28" t="s">
        <v>51</v>
      </c>
      <c r="C6" s="167">
        <f>'P&amp;L Statement'!C22</f>
        <v>-2023936.4762500001</v>
      </c>
      <c r="D6" s="167">
        <f>'P&amp;L Statement'!D22</f>
        <v>-2109134.3026480936</v>
      </c>
      <c r="E6" s="167">
        <f>'P&amp;L Statement'!E22</f>
        <v>-1928820.1546958396</v>
      </c>
      <c r="F6" s="167">
        <f>'P&amp;L Statement'!F22</f>
        <v>-1992169.5737113408</v>
      </c>
      <c r="G6" s="167">
        <f>'P&amp;L Statement'!G22</f>
        <v>-2151253.3915843079</v>
      </c>
      <c r="H6" s="167">
        <f>'P&amp;L Statement'!H22</f>
        <v>-2391532.4746303828</v>
      </c>
      <c r="I6" s="167">
        <f>'P&amp;L Statement'!I22</f>
        <v>-2189846.0738858096</v>
      </c>
      <c r="J6" s="167">
        <f>'P&amp;L Statement'!J22</f>
        <v>-2844528.6893052505</v>
      </c>
      <c r="K6" s="167">
        <f>'P&amp;L Statement'!K22</f>
        <v>-3086435.7331298213</v>
      </c>
      <c r="L6" s="167">
        <f>'P&amp;L Statement'!L22</f>
        <v>-3075120.3339325502</v>
      </c>
      <c r="M6" s="167">
        <f>'P&amp;L Statement'!M22</f>
        <v>-3201662.4378658165</v>
      </c>
      <c r="N6" s="167">
        <f>'P&amp;L Statement'!N22</f>
        <v>-2987255.6349094906</v>
      </c>
      <c r="O6" s="167">
        <f>'P&amp;L Statement'!O22</f>
        <v>12086474.513650807</v>
      </c>
      <c r="P6" s="167">
        <f>'P&amp;L Statement'!P22</f>
        <v>18556435.056603577</v>
      </c>
      <c r="Q6" s="167">
        <f>'P&amp;L Statement'!Q22</f>
        <v>27624164.923539553</v>
      </c>
      <c r="R6" s="167">
        <f>'P&amp;L Statement'!R22</f>
        <v>40353732.646368071</v>
      </c>
    </row>
    <row r="7" spans="2:18">
      <c r="B7" s="28" t="s">
        <v>52</v>
      </c>
      <c r="C7" s="167">
        <f>'P&amp;L Statement'!C11</f>
        <v>507211.47625000001</v>
      </c>
      <c r="D7" s="167">
        <f>'P&amp;L Statement'!D11</f>
        <v>734309.30264809378</v>
      </c>
      <c r="E7" s="167">
        <f>'P&amp;L Statement'!E11</f>
        <v>640395.1546958395</v>
      </c>
      <c r="F7" s="167">
        <f>'P&amp;L Statement'!F11</f>
        <v>850984.57371134078</v>
      </c>
      <c r="G7" s="167">
        <f>'P&amp;L Statement'!G11</f>
        <v>1034372.3915843077</v>
      </c>
      <c r="H7" s="167">
        <f>'P&amp;L Statement'!H11</f>
        <v>1485913.8746303828</v>
      </c>
      <c r="I7" s="167">
        <f>'P&amp;L Statement'!I11</f>
        <v>1295424.9138858095</v>
      </c>
      <c r="J7" s="167">
        <f>'P&amp;L Statement'!J11</f>
        <v>2005725.9933052505</v>
      </c>
      <c r="K7" s="167">
        <f>'P&amp;L Statement'!K11</f>
        <v>2668714.1155298213</v>
      </c>
      <c r="L7" s="167">
        <f>'P&amp;L Statement'!L11</f>
        <v>3246662.3633725485</v>
      </c>
      <c r="M7" s="167">
        <f>'P&amp;L Statement'!M11</f>
        <v>3750900.6555298166</v>
      </c>
      <c r="N7" s="167">
        <f>'P&amp;L Statement'!N11</f>
        <v>3884434.5655078907</v>
      </c>
      <c r="O7" s="167">
        <f>'P&amp;L Statement'!O11</f>
        <v>7844605.7197082192</v>
      </c>
      <c r="P7" s="167">
        <f>'P&amp;L Statement'!P11</f>
        <v>9254591.8334118295</v>
      </c>
      <c r="Q7" s="167">
        <f>'P&amp;L Statement'!Q11</f>
        <v>4861110.9104697071</v>
      </c>
      <c r="R7" s="167">
        <f>'P&amp;L Statement'!R11</f>
        <v>2632285.4215374552</v>
      </c>
    </row>
    <row r="8" spans="2:18">
      <c r="B8" s="28" t="s">
        <v>53</v>
      </c>
      <c r="C8" s="167">
        <f>'P&amp;L Statement'!C12</f>
        <v>360000</v>
      </c>
      <c r="D8" s="167">
        <f>'P&amp;L Statement'!D12</f>
        <v>216000</v>
      </c>
      <c r="E8" s="167">
        <f>'P&amp;L Statement'!E12</f>
        <v>129600</v>
      </c>
      <c r="F8" s="167">
        <f>'P&amp;L Statement'!F12</f>
        <v>77760</v>
      </c>
      <c r="G8" s="167">
        <f>'P&amp;L Statement'!G12</f>
        <v>46656</v>
      </c>
      <c r="H8" s="167">
        <f>'P&amp;L Statement'!H12</f>
        <v>27993.600000000002</v>
      </c>
      <c r="I8" s="167">
        <f>'P&amp;L Statement'!I12</f>
        <v>16796.16</v>
      </c>
      <c r="J8" s="167">
        <f>'P&amp;L Statement'!J12</f>
        <v>10077.695999999998</v>
      </c>
      <c r="K8" s="167">
        <f>'P&amp;L Statement'!K12</f>
        <v>366046.6176</v>
      </c>
      <c r="L8" s="167">
        <f>'P&amp;L Statement'!L12</f>
        <v>219627.97056000002</v>
      </c>
      <c r="M8" s="167">
        <f>'P&amp;L Statement'!M12</f>
        <v>131776.78233599997</v>
      </c>
      <c r="N8" s="167">
        <f>'P&amp;L Statement'!N12</f>
        <v>79066.069401599991</v>
      </c>
      <c r="O8" s="167">
        <f>'P&amp;L Statement'!O12</f>
        <v>47439.641640959999</v>
      </c>
      <c r="P8" s="167">
        <f>'P&amp;L Statement'!P12</f>
        <v>388463.78498457605</v>
      </c>
      <c r="Q8" s="167">
        <f>'P&amp;L Statement'!Q12</f>
        <v>233078.2709907456</v>
      </c>
      <c r="R8" s="167">
        <f>'P&amp;L Statement'!R12</f>
        <v>499846.96259444731</v>
      </c>
    </row>
    <row r="9" spans="2:18">
      <c r="B9" s="28" t="s">
        <v>54</v>
      </c>
      <c r="C9" s="167">
        <f>'P&amp;L Statement'!C16</f>
        <v>37125</v>
      </c>
      <c r="D9" s="167">
        <f>'P&amp;L Statement'!D16</f>
        <v>55125</v>
      </c>
      <c r="E9" s="167">
        <f>'P&amp;L Statement'!E16</f>
        <v>55125</v>
      </c>
      <c r="F9" s="167">
        <f>'P&amp;L Statement'!F16</f>
        <v>73125</v>
      </c>
      <c r="G9" s="167">
        <f>'P&amp;L Statement'!G16</f>
        <v>91125</v>
      </c>
      <c r="H9" s="167">
        <f>'P&amp;L Statement'!H16</f>
        <v>127125</v>
      </c>
      <c r="I9" s="167">
        <f>'P&amp;L Statement'!I16</f>
        <v>127125</v>
      </c>
      <c r="J9" s="167">
        <f>'P&amp;L Statement'!J16</f>
        <v>181125</v>
      </c>
      <c r="K9" s="167">
        <f>'P&amp;L Statement'!K16</f>
        <v>235125</v>
      </c>
      <c r="L9" s="167">
        <f>'P&amp;L Statement'!L16</f>
        <v>289125</v>
      </c>
      <c r="M9" s="167">
        <f>'P&amp;L Statement'!M16</f>
        <v>343125</v>
      </c>
      <c r="N9" s="167">
        <f>'P&amp;L Statement'!N16</f>
        <v>379125</v>
      </c>
      <c r="O9" s="167">
        <f>'P&amp;L Statement'!O16</f>
        <v>1374328.125</v>
      </c>
      <c r="P9" s="167">
        <f>'P&amp;L Statement'!P16</f>
        <v>995203.125</v>
      </c>
      <c r="Q9" s="167">
        <f>'P&amp;L Statement'!Q16</f>
        <v>616078.125</v>
      </c>
      <c r="R9" s="167">
        <f>'P&amp;L Statement'!R16</f>
        <v>236953.125</v>
      </c>
    </row>
    <row r="10" spans="2:18">
      <c r="B10" s="28" t="s">
        <v>55</v>
      </c>
      <c r="C10" s="167">
        <f>'Balance Sheet'!C8+'Balance Sheet'!C9-'Balance Sheet'!C26-'Balance Sheet'!C27</f>
        <v>-724800</v>
      </c>
      <c r="D10" s="167">
        <f>('Balance Sheet'!D8+'Balance Sheet'!D9-'Balance Sheet'!D26-'Balance Sheet'!D27)-('Balance Sheet'!C8+'Balance Sheet'!C9-'Balance Sheet'!C26-'Balance Sheet'!C27)</f>
        <v>-137050</v>
      </c>
      <c r="E10" s="167">
        <f>('Balance Sheet'!E8+'Balance Sheet'!E9-'Balance Sheet'!E26-'Balance Sheet'!E27)-('Balance Sheet'!D8+'Balance Sheet'!D9-'Balance Sheet'!D26-'Balance Sheet'!D27)</f>
        <v>0</v>
      </c>
      <c r="F10" s="167">
        <f>('Balance Sheet'!F8+'Balance Sheet'!F9-'Balance Sheet'!F26-'Balance Sheet'!F27)-('Balance Sheet'!E8+'Balance Sheet'!E9-'Balance Sheet'!E26-'Balance Sheet'!E27)</f>
        <v>-108300</v>
      </c>
      <c r="G10" s="167">
        <f>('Balance Sheet'!G8+'Balance Sheet'!G9-'Balance Sheet'!G26-'Balance Sheet'!G27)-('Balance Sheet'!F8+'Balance Sheet'!F9-'Balance Sheet'!F26-'Balance Sheet'!F27)</f>
        <v>-202066.66666666674</v>
      </c>
      <c r="H10" s="167">
        <f>('Balance Sheet'!H8+'Balance Sheet'!H9-'Balance Sheet'!H26-'Balance Sheet'!H27)-('Balance Sheet'!G8+'Balance Sheet'!G9-'Balance Sheet'!G26-'Balance Sheet'!G27)</f>
        <v>-237700</v>
      </c>
      <c r="I10" s="167">
        <f>('Balance Sheet'!I8+'Balance Sheet'!I9-'Balance Sheet'!I26-'Balance Sheet'!I27)-('Balance Sheet'!H8+'Balance Sheet'!H9-'Balance Sheet'!H26-'Balance Sheet'!H27)</f>
        <v>0</v>
      </c>
      <c r="J10" s="167">
        <f>('Balance Sheet'!J8+'Balance Sheet'!J9-'Balance Sheet'!J26-'Balance Sheet'!J27)-('Balance Sheet'!I8+'Balance Sheet'!I9-'Balance Sheet'!I26-'Balance Sheet'!I27)</f>
        <v>-428550.00000000023</v>
      </c>
      <c r="K10" s="167">
        <f>('Balance Sheet'!K8+'Balance Sheet'!K9-'Balance Sheet'!K26-'Balance Sheet'!K27)-('Balance Sheet'!J8+'Balance Sheet'!J9-'Balance Sheet'!J26-'Balance Sheet'!J27)</f>
        <v>-373808.33333333302</v>
      </c>
      <c r="L10" s="167">
        <f>('Balance Sheet'!L8+'Balance Sheet'!L9-'Balance Sheet'!L26-'Balance Sheet'!L27)-('Balance Sheet'!K8+'Balance Sheet'!K9-'Balance Sheet'!K26-'Balance Sheet'!K27)</f>
        <v>-345577.50000000093</v>
      </c>
      <c r="M10" s="167">
        <f>('Balance Sheet'!M8+'Balance Sheet'!M9-'Balance Sheet'!M26-'Balance Sheet'!M27)-('Balance Sheet'!L8+'Balance Sheet'!L9-'Balance Sheet'!L26-'Balance Sheet'!L27)</f>
        <v>-392077.49999999907</v>
      </c>
      <c r="N10" s="167">
        <f>('Balance Sheet'!N8+'Balance Sheet'!N9-'Balance Sheet'!N26-'Balance Sheet'!N27)-('Balance Sheet'!M8+'Balance Sheet'!M9-'Balance Sheet'!M26-'Balance Sheet'!M27)</f>
        <v>-230385</v>
      </c>
      <c r="O10" s="167">
        <f>('Balance Sheet'!O8+'Balance Sheet'!O9-'Balance Sheet'!O26-'Balance Sheet'!O27)-('Balance Sheet'!N8+'Balance Sheet'!N9-'Balance Sheet'!N26-'Balance Sheet'!N27)</f>
        <v>935720.99999999814</v>
      </c>
      <c r="P10" s="167">
        <f>('Balance Sheet'!P8+'Balance Sheet'!P9-'Balance Sheet'!P26-'Balance Sheet'!P27)-('Balance Sheet'!O8+'Balance Sheet'!O9-'Balance Sheet'!O26-'Balance Sheet'!O27)</f>
        <v>306310.72499999963</v>
      </c>
      <c r="Q10" s="167">
        <f>('Balance Sheet'!Q8+'Balance Sheet'!Q9-'Balance Sheet'!Q26-'Balance Sheet'!Q27)-('Balance Sheet'!P8+'Balance Sheet'!P9-'Balance Sheet'!P26-'Balance Sheet'!P27)</f>
        <v>40305.303750000894</v>
      </c>
      <c r="R10" s="167">
        <f>('Balance Sheet'!R8+'Balance Sheet'!R9-'Balance Sheet'!R26-'Balance Sheet'!R27)-('Balance Sheet'!Q8+'Balance Sheet'!Q9-'Balance Sheet'!Q26-'Balance Sheet'!Q27)</f>
        <v>499100.86568749696</v>
      </c>
    </row>
    <row r="11" spans="2:18">
      <c r="B11" s="28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</row>
    <row r="12" spans="2:18">
      <c r="B12" s="31" t="s">
        <v>269</v>
      </c>
      <c r="C12" s="167">
        <f>C6+C7+C8+C9-C10</f>
        <v>-394800</v>
      </c>
      <c r="D12" s="167">
        <f t="shared" ref="D12:R12" si="0">D6+D7+D8+D9-D10</f>
        <v>-966649.99999999977</v>
      </c>
      <c r="E12" s="167">
        <f t="shared" si="0"/>
        <v>-1103700</v>
      </c>
      <c r="F12" s="167">
        <f t="shared" si="0"/>
        <v>-882000</v>
      </c>
      <c r="G12" s="167">
        <f t="shared" si="0"/>
        <v>-777033.33333333349</v>
      </c>
      <c r="H12" s="167">
        <f t="shared" si="0"/>
        <v>-512800.00000000012</v>
      </c>
      <c r="I12" s="167">
        <f t="shared" si="0"/>
        <v>-750500.00000000012</v>
      </c>
      <c r="J12" s="167">
        <f t="shared" si="0"/>
        <v>-219049.99999999977</v>
      </c>
      <c r="K12" s="167">
        <f t="shared" si="0"/>
        <v>557258.33333333302</v>
      </c>
      <c r="L12" s="167">
        <f t="shared" si="0"/>
        <v>1025872.4999999993</v>
      </c>
      <c r="M12" s="167">
        <f t="shared" si="0"/>
        <v>1416217.4999999991</v>
      </c>
      <c r="N12" s="167">
        <f t="shared" si="0"/>
        <v>1585755</v>
      </c>
      <c r="O12" s="167">
        <f t="shared" si="0"/>
        <v>20417126.999999985</v>
      </c>
      <c r="P12" s="167">
        <f t="shared" si="0"/>
        <v>28888383.074999988</v>
      </c>
      <c r="Q12" s="167">
        <f t="shared" si="0"/>
        <v>33294126.926250003</v>
      </c>
      <c r="R12" s="167">
        <f t="shared" si="0"/>
        <v>43223717.289812483</v>
      </c>
    </row>
    <row r="13" spans="2:18">
      <c r="B13" s="28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</row>
    <row r="14" spans="2:18">
      <c r="B14" s="35" t="s">
        <v>56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</row>
    <row r="15" spans="2:18">
      <c r="B15" s="41" t="s">
        <v>57</v>
      </c>
      <c r="C15" s="167">
        <f>Capex!C43</f>
        <v>4442550</v>
      </c>
      <c r="D15" s="167">
        <f>Capex!D43</f>
        <v>2336200</v>
      </c>
      <c r="E15" s="167">
        <f>Capex!E43</f>
        <v>0</v>
      </c>
      <c r="F15" s="167">
        <f>Capex!F43</f>
        <v>2336200</v>
      </c>
      <c r="G15" s="167">
        <f>Capex!G43</f>
        <v>2336200</v>
      </c>
      <c r="H15" s="167">
        <f>Capex!H43</f>
        <v>4672400</v>
      </c>
      <c r="I15" s="167">
        <f>Capex!I43</f>
        <v>0</v>
      </c>
      <c r="J15" s="167">
        <f>Capex!J43</f>
        <v>7008600</v>
      </c>
      <c r="K15" s="167">
        <f>Capex!K43</f>
        <v>7409250.0000000009</v>
      </c>
      <c r="L15" s="167">
        <f>Capex!L43</f>
        <v>7409250.0000000009</v>
      </c>
      <c r="M15" s="167">
        <f>Capex!M43</f>
        <v>7409250.0000000009</v>
      </c>
      <c r="N15" s="167">
        <f>Capex!N43</f>
        <v>4939500</v>
      </c>
      <c r="O15" s="167">
        <f>Capex!O43</f>
        <v>0</v>
      </c>
      <c r="P15" s="167">
        <f>Capex!P43</f>
        <v>0</v>
      </c>
      <c r="Q15" s="167">
        <f>Capex!Q43</f>
        <v>0</v>
      </c>
      <c r="R15" s="167">
        <f>Capex!R43</f>
        <v>0</v>
      </c>
    </row>
    <row r="16" spans="2:18">
      <c r="B16" s="28" t="s">
        <v>58</v>
      </c>
      <c r="C16" s="167">
        <f>'Content Dev '!C6</f>
        <v>900000</v>
      </c>
      <c r="D16" s="167">
        <f>'Content Dev '!D6</f>
        <v>0</v>
      </c>
      <c r="E16" s="167">
        <f>'Content Dev '!E6</f>
        <v>0</v>
      </c>
      <c r="F16" s="167">
        <f>'Content Dev '!F6</f>
        <v>0</v>
      </c>
      <c r="G16" s="167">
        <f>'Content Dev '!G6</f>
        <v>0</v>
      </c>
      <c r="H16" s="167">
        <f>'Content Dev '!H6</f>
        <v>0</v>
      </c>
      <c r="I16" s="167">
        <f>'Content Dev '!I6</f>
        <v>0</v>
      </c>
      <c r="J16" s="167">
        <f>'Content Dev '!J6</f>
        <v>0</v>
      </c>
      <c r="K16" s="167">
        <f>'Content Dev '!K6</f>
        <v>900000</v>
      </c>
      <c r="L16" s="167">
        <f>'Content Dev '!L6</f>
        <v>0</v>
      </c>
      <c r="M16" s="167">
        <f>'Content Dev '!M6</f>
        <v>0</v>
      </c>
      <c r="N16" s="167">
        <f>'Content Dev '!N6</f>
        <v>0</v>
      </c>
      <c r="O16" s="167">
        <f>'Content Dev '!O6</f>
        <v>0</v>
      </c>
      <c r="P16" s="167">
        <f>'Content Dev '!P6</f>
        <v>900000</v>
      </c>
      <c r="Q16" s="167">
        <f>'Content Dev '!Q6</f>
        <v>0</v>
      </c>
      <c r="R16" s="167">
        <f>'Content Dev '!R6</f>
        <v>900000</v>
      </c>
    </row>
    <row r="17" spans="2:18">
      <c r="B17" s="28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</row>
    <row r="18" spans="2:18">
      <c r="B18" s="31" t="s">
        <v>270</v>
      </c>
      <c r="C18" s="167">
        <f>C16+C15</f>
        <v>5342550</v>
      </c>
      <c r="D18" s="167">
        <f t="shared" ref="D18:R18" si="1">D16+D15</f>
        <v>2336200</v>
      </c>
      <c r="E18" s="167">
        <f t="shared" si="1"/>
        <v>0</v>
      </c>
      <c r="F18" s="167">
        <f t="shared" si="1"/>
        <v>2336200</v>
      </c>
      <c r="G18" s="167">
        <f t="shared" si="1"/>
        <v>2336200</v>
      </c>
      <c r="H18" s="167">
        <f t="shared" si="1"/>
        <v>4672400</v>
      </c>
      <c r="I18" s="167">
        <f t="shared" si="1"/>
        <v>0</v>
      </c>
      <c r="J18" s="167">
        <f t="shared" si="1"/>
        <v>7008600</v>
      </c>
      <c r="K18" s="167">
        <f t="shared" si="1"/>
        <v>8309250.0000000009</v>
      </c>
      <c r="L18" s="167">
        <f t="shared" si="1"/>
        <v>7409250.0000000009</v>
      </c>
      <c r="M18" s="167">
        <f t="shared" si="1"/>
        <v>7409250.0000000009</v>
      </c>
      <c r="N18" s="167">
        <f t="shared" si="1"/>
        <v>4939500</v>
      </c>
      <c r="O18" s="167">
        <f t="shared" si="1"/>
        <v>0</v>
      </c>
      <c r="P18" s="167">
        <f t="shared" si="1"/>
        <v>900000</v>
      </c>
      <c r="Q18" s="167">
        <f t="shared" si="1"/>
        <v>0</v>
      </c>
      <c r="R18" s="167">
        <f t="shared" si="1"/>
        <v>900000</v>
      </c>
    </row>
    <row r="19" spans="2:18">
      <c r="B19" s="28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</row>
    <row r="20" spans="2:18">
      <c r="B20" s="35" t="s">
        <v>59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</row>
    <row r="21" spans="2:18">
      <c r="B21" s="28" t="s">
        <v>60</v>
      </c>
      <c r="C21" s="167">
        <f>'Key Assumptions'!C30</f>
        <v>4950000</v>
      </c>
      <c r="D21" s="167">
        <f>'Key Assumptions'!D30</f>
        <v>2400000</v>
      </c>
      <c r="E21" s="167">
        <f>'Key Assumptions'!E30</f>
        <v>0</v>
      </c>
      <c r="F21" s="167">
        <f>'Key Assumptions'!F30</f>
        <v>2400000</v>
      </c>
      <c r="G21" s="167">
        <f>'Key Assumptions'!G30</f>
        <v>2400000</v>
      </c>
      <c r="H21" s="167">
        <f>'Key Assumptions'!H30</f>
        <v>4800000</v>
      </c>
      <c r="I21" s="167">
        <f>'Key Assumptions'!I30</f>
        <v>0</v>
      </c>
      <c r="J21" s="167">
        <f>'Key Assumptions'!J30</f>
        <v>7200000</v>
      </c>
      <c r="K21" s="167">
        <f>'Key Assumptions'!K30</f>
        <v>7200000</v>
      </c>
      <c r="L21" s="167">
        <f>'Key Assumptions'!L30</f>
        <v>7200000</v>
      </c>
      <c r="M21" s="167">
        <f>'Key Assumptions'!M30</f>
        <v>7200000</v>
      </c>
      <c r="N21" s="167">
        <f>'Key Assumptions'!N30</f>
        <v>4800000</v>
      </c>
      <c r="O21" s="167">
        <f>'Key Assumptions'!O30</f>
        <v>0</v>
      </c>
      <c r="P21" s="167">
        <f>'Key Assumptions'!P30</f>
        <v>0</v>
      </c>
      <c r="Q21" s="167">
        <f>'Key Assumptions'!Q30</f>
        <v>0</v>
      </c>
      <c r="R21" s="167">
        <f>'Key Assumptions'!R30</f>
        <v>0</v>
      </c>
    </row>
    <row r="22" spans="2:18">
      <c r="B22" s="28" t="s">
        <v>61</v>
      </c>
      <c r="C22" s="167">
        <f>'Key Assumptions'!C35</f>
        <v>1650000</v>
      </c>
      <c r="D22" s="167">
        <f>'Key Assumptions'!D35</f>
        <v>800000</v>
      </c>
      <c r="E22" s="167">
        <f>'Key Assumptions'!E35</f>
        <v>0</v>
      </c>
      <c r="F22" s="167">
        <f>'Key Assumptions'!F35</f>
        <v>800000</v>
      </c>
      <c r="G22" s="167">
        <f>'Key Assumptions'!G35</f>
        <v>800000</v>
      </c>
      <c r="H22" s="167">
        <f>'Key Assumptions'!H35</f>
        <v>1600000</v>
      </c>
      <c r="I22" s="167">
        <f>'Key Assumptions'!I35</f>
        <v>0</v>
      </c>
      <c r="J22" s="167">
        <f>'Key Assumptions'!J35</f>
        <v>2400000</v>
      </c>
      <c r="K22" s="167">
        <f>'Key Assumptions'!K35</f>
        <v>2400000</v>
      </c>
      <c r="L22" s="167">
        <f>'Key Assumptions'!L35</f>
        <v>2400000</v>
      </c>
      <c r="M22" s="167">
        <f>'Key Assumptions'!M35</f>
        <v>2400000</v>
      </c>
      <c r="N22" s="167">
        <f>'Key Assumptions'!N35</f>
        <v>1600000</v>
      </c>
      <c r="O22" s="167">
        <f>'Key Assumptions'!O35</f>
        <v>0</v>
      </c>
      <c r="P22" s="167">
        <f>'Key Assumptions'!P35</f>
        <v>0</v>
      </c>
      <c r="Q22" s="167">
        <f>'Key Assumptions'!Q35</f>
        <v>0</v>
      </c>
      <c r="R22" s="167">
        <f>'Key Assumptions'!R35</f>
        <v>0</v>
      </c>
    </row>
    <row r="23" spans="2:18">
      <c r="B23" s="28" t="s">
        <v>46</v>
      </c>
      <c r="C23" s="167">
        <f>'Debt Repayment Schedule'!C43</f>
        <v>37125</v>
      </c>
      <c r="D23" s="167">
        <f>'Debt Repayment Schedule'!D43</f>
        <v>55125</v>
      </c>
      <c r="E23" s="167">
        <f>'Debt Repayment Schedule'!E43</f>
        <v>55125</v>
      </c>
      <c r="F23" s="167">
        <f>'Debt Repayment Schedule'!F43</f>
        <v>73125</v>
      </c>
      <c r="G23" s="167">
        <f>'Debt Repayment Schedule'!G43</f>
        <v>91125</v>
      </c>
      <c r="H23" s="167">
        <f>'Debt Repayment Schedule'!H43</f>
        <v>127125</v>
      </c>
      <c r="I23" s="167">
        <f>'Debt Repayment Schedule'!I43</f>
        <v>127125</v>
      </c>
      <c r="J23" s="167">
        <f>'Debt Repayment Schedule'!J43</f>
        <v>181125</v>
      </c>
      <c r="K23" s="167">
        <f>'Debt Repayment Schedule'!K43</f>
        <v>235125</v>
      </c>
      <c r="L23" s="167">
        <f>'Debt Repayment Schedule'!L43</f>
        <v>289125</v>
      </c>
      <c r="M23" s="167">
        <f>'Debt Repayment Schedule'!M43</f>
        <v>343125</v>
      </c>
      <c r="N23" s="167">
        <f>'Debt Repayment Schedule'!N43</f>
        <v>379125</v>
      </c>
      <c r="O23" s="167">
        <f>'Debt Repayment Schedule'!O43</f>
        <v>1374328.125</v>
      </c>
      <c r="P23" s="167">
        <f>'Debt Repayment Schedule'!P43</f>
        <v>995203.125</v>
      </c>
      <c r="Q23" s="167">
        <f>'Debt Repayment Schedule'!Q43</f>
        <v>616078.125</v>
      </c>
      <c r="R23" s="167">
        <f>'Debt Repayment Schedule'!R43</f>
        <v>236953.125</v>
      </c>
    </row>
    <row r="24" spans="2:18">
      <c r="B24" s="28" t="s">
        <v>62</v>
      </c>
      <c r="C24" s="167">
        <f>'Debt Repayment Schedule'!C44</f>
        <v>0</v>
      </c>
      <c r="D24" s="167">
        <f>'Debt Repayment Schedule'!D44</f>
        <v>0</v>
      </c>
      <c r="E24" s="167">
        <f>'Debt Repayment Schedule'!E44</f>
        <v>0</v>
      </c>
      <c r="F24" s="167">
        <f>'Debt Repayment Schedule'!F44</f>
        <v>0</v>
      </c>
      <c r="G24" s="167">
        <f>'Debt Repayment Schedule'!G44</f>
        <v>0</v>
      </c>
      <c r="H24" s="167">
        <f>'Debt Repayment Schedule'!H44</f>
        <v>0</v>
      </c>
      <c r="I24" s="167">
        <f>'Debt Repayment Schedule'!I44</f>
        <v>0</v>
      </c>
      <c r="J24" s="167">
        <f>'Debt Repayment Schedule'!J44</f>
        <v>0</v>
      </c>
      <c r="K24" s="167">
        <f>'Debt Repayment Schedule'!K44</f>
        <v>0</v>
      </c>
      <c r="L24" s="167">
        <f>'Debt Repayment Schedule'!L44</f>
        <v>0</v>
      </c>
      <c r="M24" s="167">
        <f>'Debt Repayment Schedule'!M44</f>
        <v>0</v>
      </c>
      <c r="N24" s="167">
        <f>'Debt Repayment Schedule'!N44</f>
        <v>0</v>
      </c>
      <c r="O24" s="167">
        <f>'Debt Repayment Schedule'!O44</f>
        <v>12637500</v>
      </c>
      <c r="P24" s="167">
        <f>'Debt Repayment Schedule'!P44</f>
        <v>12637500</v>
      </c>
      <c r="Q24" s="167">
        <f>'Debt Repayment Schedule'!Q44</f>
        <v>12637500</v>
      </c>
      <c r="R24" s="167">
        <f>'Debt Repayment Schedule'!R44</f>
        <v>12637500</v>
      </c>
    </row>
    <row r="25" spans="2:18">
      <c r="B25" s="28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</row>
    <row r="26" spans="2:18">
      <c r="B26" s="31" t="s">
        <v>271</v>
      </c>
      <c r="C26" s="167">
        <f>C21+C22-C23-C24</f>
        <v>6562875</v>
      </c>
      <c r="D26" s="167">
        <f t="shared" ref="D26:R26" si="2">D21+D22-D23-D24</f>
        <v>3144875</v>
      </c>
      <c r="E26" s="167">
        <f t="shared" si="2"/>
        <v>-55125</v>
      </c>
      <c r="F26" s="167">
        <f t="shared" si="2"/>
        <v>3126875</v>
      </c>
      <c r="G26" s="167">
        <f t="shared" si="2"/>
        <v>3108875</v>
      </c>
      <c r="H26" s="167">
        <f t="shared" si="2"/>
        <v>6272875</v>
      </c>
      <c r="I26" s="167">
        <f t="shared" si="2"/>
        <v>-127125</v>
      </c>
      <c r="J26" s="167">
        <f t="shared" si="2"/>
        <v>9418875</v>
      </c>
      <c r="K26" s="167">
        <f t="shared" si="2"/>
        <v>9364875</v>
      </c>
      <c r="L26" s="167">
        <f t="shared" si="2"/>
        <v>9310875</v>
      </c>
      <c r="M26" s="167">
        <f t="shared" si="2"/>
        <v>9256875</v>
      </c>
      <c r="N26" s="167">
        <f t="shared" si="2"/>
        <v>6020875</v>
      </c>
      <c r="O26" s="167">
        <f t="shared" si="2"/>
        <v>-14011828.125</v>
      </c>
      <c r="P26" s="167">
        <f t="shared" si="2"/>
        <v>-13632703.125</v>
      </c>
      <c r="Q26" s="167">
        <f t="shared" si="2"/>
        <v>-13253578.125</v>
      </c>
      <c r="R26" s="167">
        <f t="shared" si="2"/>
        <v>-12874453.125</v>
      </c>
    </row>
    <row r="27" spans="2:18">
      <c r="B27" s="28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</row>
    <row r="28" spans="2:18">
      <c r="B28" s="31" t="s">
        <v>450</v>
      </c>
      <c r="C28" s="167">
        <f>C26-C18+C12</f>
        <v>825525</v>
      </c>
      <c r="D28" s="167">
        <f t="shared" ref="D28:R28" si="3">D26-D18+D12</f>
        <v>-157974.99999999977</v>
      </c>
      <c r="E28" s="167">
        <f t="shared" si="3"/>
        <v>-1158825</v>
      </c>
      <c r="F28" s="167">
        <f t="shared" si="3"/>
        <v>-91325</v>
      </c>
      <c r="G28" s="167">
        <f t="shared" si="3"/>
        <v>-4358.3333333334886</v>
      </c>
      <c r="H28" s="167">
        <f t="shared" si="3"/>
        <v>1087675</v>
      </c>
      <c r="I28" s="167">
        <f t="shared" si="3"/>
        <v>-877625.00000000012</v>
      </c>
      <c r="J28" s="167">
        <f t="shared" si="3"/>
        <v>2191225</v>
      </c>
      <c r="K28" s="167">
        <f t="shared" si="3"/>
        <v>1612883.3333333321</v>
      </c>
      <c r="L28" s="167">
        <f t="shared" si="3"/>
        <v>2927497.4999999981</v>
      </c>
      <c r="M28" s="167">
        <f t="shared" si="3"/>
        <v>3263842.4999999981</v>
      </c>
      <c r="N28" s="167">
        <f t="shared" si="3"/>
        <v>2667130</v>
      </c>
      <c r="O28" s="167">
        <f t="shared" si="3"/>
        <v>6405298.8749999851</v>
      </c>
      <c r="P28" s="167">
        <f t="shared" si="3"/>
        <v>14355679.949999988</v>
      </c>
      <c r="Q28" s="167">
        <f t="shared" si="3"/>
        <v>20040548.801250003</v>
      </c>
      <c r="R28" s="167">
        <f t="shared" si="3"/>
        <v>29449264.164812483</v>
      </c>
    </row>
    <row r="29" spans="2:18">
      <c r="B29" s="28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</row>
    <row r="30" spans="2:18">
      <c r="B30" s="31" t="s">
        <v>63</v>
      </c>
      <c r="C30" s="167">
        <v>0</v>
      </c>
      <c r="D30" s="167">
        <f>C31</f>
        <v>825525</v>
      </c>
      <c r="E30" s="167">
        <f t="shared" ref="E30:J30" si="4">D31</f>
        <v>667550.00000000023</v>
      </c>
      <c r="F30" s="167">
        <f t="shared" si="4"/>
        <v>-491274.99999999977</v>
      </c>
      <c r="G30" s="167">
        <f t="shared" si="4"/>
        <v>-582599.99999999977</v>
      </c>
      <c r="H30" s="167">
        <f t="shared" si="4"/>
        <v>-586958.33333333326</v>
      </c>
      <c r="I30" s="167">
        <f t="shared" si="4"/>
        <v>500716.66666666674</v>
      </c>
      <c r="J30" s="167">
        <f t="shared" si="4"/>
        <v>-376908.33333333337</v>
      </c>
      <c r="K30" s="167">
        <f t="shared" ref="K30:R30" si="5">J31</f>
        <v>1814316.6666666665</v>
      </c>
      <c r="L30" s="167">
        <f t="shared" si="5"/>
        <v>3427199.9999999986</v>
      </c>
      <c r="M30" s="167">
        <f t="shared" si="5"/>
        <v>6354697.4999999963</v>
      </c>
      <c r="N30" s="167">
        <f t="shared" si="5"/>
        <v>9618539.9999999944</v>
      </c>
      <c r="O30" s="167">
        <f t="shared" si="5"/>
        <v>12285669.999999994</v>
      </c>
      <c r="P30" s="167">
        <f t="shared" si="5"/>
        <v>18690968.874999978</v>
      </c>
      <c r="Q30" s="167">
        <f t="shared" si="5"/>
        <v>33046648.824999966</v>
      </c>
      <c r="R30" s="167">
        <f t="shared" si="5"/>
        <v>53087197.626249969</v>
      </c>
    </row>
    <row r="31" spans="2:18">
      <c r="B31" s="31" t="s">
        <v>64</v>
      </c>
      <c r="C31" s="167">
        <f>C30+C28</f>
        <v>825525</v>
      </c>
      <c r="D31" s="167">
        <f>C31+D28</f>
        <v>667550.00000000023</v>
      </c>
      <c r="E31" s="167">
        <f t="shared" ref="E31:R31" si="6">D31+E28</f>
        <v>-491274.99999999977</v>
      </c>
      <c r="F31" s="167">
        <f t="shared" si="6"/>
        <v>-582599.99999999977</v>
      </c>
      <c r="G31" s="167">
        <f t="shared" si="6"/>
        <v>-586958.33333333326</v>
      </c>
      <c r="H31" s="167">
        <f t="shared" si="6"/>
        <v>500716.66666666674</v>
      </c>
      <c r="I31" s="167">
        <f t="shared" si="6"/>
        <v>-376908.33333333337</v>
      </c>
      <c r="J31" s="167">
        <f t="shared" si="6"/>
        <v>1814316.6666666665</v>
      </c>
      <c r="K31" s="167">
        <f t="shared" si="6"/>
        <v>3427199.9999999986</v>
      </c>
      <c r="L31" s="167">
        <f t="shared" si="6"/>
        <v>6354697.4999999963</v>
      </c>
      <c r="M31" s="167">
        <f t="shared" si="6"/>
        <v>9618539.9999999944</v>
      </c>
      <c r="N31" s="167">
        <f t="shared" si="6"/>
        <v>12285669.999999994</v>
      </c>
      <c r="O31" s="167">
        <f t="shared" si="6"/>
        <v>18690968.874999978</v>
      </c>
      <c r="P31" s="167">
        <f t="shared" si="6"/>
        <v>33046648.824999966</v>
      </c>
      <c r="Q31" s="167">
        <f t="shared" si="6"/>
        <v>53087197.626249969</v>
      </c>
      <c r="R31" s="167">
        <f t="shared" si="6"/>
        <v>82536461.791062444</v>
      </c>
    </row>
    <row r="33" spans="2:2">
      <c r="B33" s="27" t="s">
        <v>151</v>
      </c>
    </row>
  </sheetData>
  <sheetProtection sheet="1" objects="1" scenarios="1"/>
  <mergeCells count="8">
    <mergeCell ref="R3:R4"/>
    <mergeCell ref="C3:F3"/>
    <mergeCell ref="G3:J3"/>
    <mergeCell ref="B3:B4"/>
    <mergeCell ref="O3:O4"/>
    <mergeCell ref="K3:N3"/>
    <mergeCell ref="P3:P4"/>
    <mergeCell ref="Q3:Q4"/>
  </mergeCells>
  <conditionalFormatting sqref="C7:R9 C15:R16 C21:R24 C31:R31 C26:R26 C18:R18">
    <cfRule type="cellIs" dxfId="9" priority="7" operator="lessThan">
      <formula>0</formula>
    </cfRule>
  </conditionalFormatting>
  <conditionalFormatting sqref="C5:R31">
    <cfRule type="expression" dxfId="8" priority="1">
      <formula>ISTEXT(C5)</formula>
    </cfRule>
  </conditionalFormatting>
  <hyperlinks>
    <hyperlink ref="B33" location="Index!A1" display="Back to Index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>
    <tabColor rgb="FFFF0000"/>
  </sheetPr>
  <dimension ref="A1:R46"/>
  <sheetViews>
    <sheetView showGridLines="0" zoomScale="86" zoomScaleNormal="86" workbookViewId="0">
      <selection activeCell="B22" sqref="B22"/>
    </sheetView>
  </sheetViews>
  <sheetFormatPr defaultRowHeight="15"/>
  <cols>
    <col min="1" max="1" width="3.28515625" customWidth="1"/>
    <col min="2" max="2" width="40.7109375" bestFit="1" customWidth="1"/>
    <col min="3" max="3" width="23.85546875" bestFit="1" customWidth="1"/>
    <col min="4" max="4" width="17" bestFit="1" customWidth="1"/>
    <col min="5" max="5" width="12.42578125" customWidth="1"/>
    <col min="6" max="6" width="14" bestFit="1" customWidth="1"/>
    <col min="7" max="7" width="15.42578125" customWidth="1"/>
    <col min="8" max="8" width="16" bestFit="1" customWidth="1"/>
    <col min="9" max="9" width="18" customWidth="1"/>
    <col min="10" max="10" width="20.42578125" customWidth="1"/>
    <col min="11" max="11" width="18.7109375" customWidth="1"/>
    <col min="12" max="12" width="19.85546875" customWidth="1"/>
    <col min="13" max="18" width="15.7109375" bestFit="1" customWidth="1"/>
  </cols>
  <sheetData>
    <row r="1" spans="1:14" ht="23.25">
      <c r="A1" s="79" t="s">
        <v>207</v>
      </c>
    </row>
    <row r="3" spans="1:14" ht="20.25" thickBot="1">
      <c r="A3" s="36" t="s">
        <v>160</v>
      </c>
    </row>
    <row r="4" spans="1:14" ht="15.75" thickTop="1">
      <c r="B4" s="122" t="s">
        <v>155</v>
      </c>
      <c r="C4" s="251">
        <f>SUM('Key Assumptions'!C30:N30)</f>
        <v>50550000</v>
      </c>
    </row>
    <row r="5" spans="1:14">
      <c r="B5" s="111" t="s">
        <v>156</v>
      </c>
      <c r="C5" s="220">
        <f>SUM('Key Assumptions'!C35:N35)</f>
        <v>16850000</v>
      </c>
    </row>
    <row r="6" spans="1:14">
      <c r="B6" s="111" t="s">
        <v>159</v>
      </c>
      <c r="C6" s="124">
        <v>0.03</v>
      </c>
    </row>
    <row r="8" spans="1:14" ht="20.25" thickBot="1">
      <c r="A8" s="36" t="s">
        <v>162</v>
      </c>
      <c r="L8" s="80" t="s">
        <v>163</v>
      </c>
    </row>
    <row r="9" spans="1:14" ht="16.5" thickTop="1" thickBot="1">
      <c r="B9" s="133" t="s">
        <v>73</v>
      </c>
      <c r="C9" s="134" t="s">
        <v>74</v>
      </c>
      <c r="D9" s="135" t="s">
        <v>65</v>
      </c>
      <c r="E9" s="135" t="s">
        <v>66</v>
      </c>
      <c r="F9" s="135" t="s">
        <v>301</v>
      </c>
      <c r="G9" s="135" t="s">
        <v>67</v>
      </c>
      <c r="H9" s="135" t="s">
        <v>68</v>
      </c>
      <c r="I9" s="135" t="s">
        <v>69</v>
      </c>
      <c r="J9" s="136" t="s">
        <v>70</v>
      </c>
      <c r="K9" s="136" t="s">
        <v>71</v>
      </c>
      <c r="L9" s="137" t="s">
        <v>72</v>
      </c>
    </row>
    <row r="10" spans="1:14">
      <c r="B10" s="242">
        <v>1</v>
      </c>
      <c r="C10" s="223" t="s">
        <v>13</v>
      </c>
      <c r="D10" s="224">
        <v>0</v>
      </c>
      <c r="E10" s="224">
        <f>'Key Assumptions'!C30</f>
        <v>4950000</v>
      </c>
      <c r="F10" s="224">
        <f>D10+E10</f>
        <v>4950000</v>
      </c>
      <c r="G10" s="225">
        <f>IF(B10&lt;='Key Assumptions'!$C$23,0,'Debt Repayment Schedule'!$C$4/('Key Assumptions'!$C$25*4))</f>
        <v>0</v>
      </c>
      <c r="H10" s="224">
        <f>D10+E10-G10</f>
        <v>4950000</v>
      </c>
      <c r="I10" s="224">
        <f t="shared" ref="I10:I37" si="0">F10*$C$6/4</f>
        <v>37125</v>
      </c>
      <c r="J10" s="218">
        <f>IF(AND('Key Assumptions'!$C$24&lt;=3,'Key Assumptions'!$C$24&gt;0),0,I10)</f>
        <v>37125</v>
      </c>
      <c r="K10" s="224">
        <f>J10+G10</f>
        <v>37125</v>
      </c>
      <c r="L10" s="365">
        <f>SUM(K10:K13)</f>
        <v>220500</v>
      </c>
      <c r="N10" s="1" t="s">
        <v>284</v>
      </c>
    </row>
    <row r="11" spans="1:14">
      <c r="B11" s="242">
        <v>1</v>
      </c>
      <c r="C11" s="226" t="s">
        <v>14</v>
      </c>
      <c r="D11" s="215">
        <f>H10+I10-J10</f>
        <v>4950000</v>
      </c>
      <c r="E11" s="215">
        <f>'Key Assumptions'!D30</f>
        <v>2400000</v>
      </c>
      <c r="F11" s="215">
        <f t="shared" ref="F11:F37" si="1">D11+E11</f>
        <v>7350000</v>
      </c>
      <c r="G11" s="225">
        <f>IF(B11&lt;='Key Assumptions'!$C$23,0,'Debt Repayment Schedule'!$C$4/('Key Assumptions'!$C$25*4))</f>
        <v>0</v>
      </c>
      <c r="H11" s="215">
        <f t="shared" ref="H11:H37" si="2">D11+E11-G11</f>
        <v>7350000</v>
      </c>
      <c r="I11" s="215">
        <f t="shared" si="0"/>
        <v>55125</v>
      </c>
      <c r="J11" s="218">
        <f>IF(AND('Key Assumptions'!$C$24&lt;=3,'Key Assumptions'!$C$24&gt;0),0,I11)</f>
        <v>55125</v>
      </c>
      <c r="K11" s="215">
        <f t="shared" ref="K11:K37" si="3">J11+G11</f>
        <v>55125</v>
      </c>
      <c r="L11" s="366"/>
      <c r="N11" s="1" t="s">
        <v>285</v>
      </c>
    </row>
    <row r="12" spans="1:14">
      <c r="B12" s="242">
        <v>1</v>
      </c>
      <c r="C12" s="226" t="s">
        <v>15</v>
      </c>
      <c r="D12" s="215">
        <f t="shared" ref="D12:D37" si="4">H11+I11-J11</f>
        <v>7350000</v>
      </c>
      <c r="E12" s="215">
        <f>'Key Assumptions'!E30</f>
        <v>0</v>
      </c>
      <c r="F12" s="215">
        <f t="shared" si="1"/>
        <v>7350000</v>
      </c>
      <c r="G12" s="225">
        <f>IF(B12&lt;='Key Assumptions'!$C$23,0,'Debt Repayment Schedule'!$C$4/('Key Assumptions'!$C$25*4))</f>
        <v>0</v>
      </c>
      <c r="H12" s="215">
        <f t="shared" si="2"/>
        <v>7350000</v>
      </c>
      <c r="I12" s="215">
        <f t="shared" si="0"/>
        <v>55125</v>
      </c>
      <c r="J12" s="218">
        <f>IF(AND('Key Assumptions'!$C$24&lt;=3,'Key Assumptions'!$C$24&gt;0),0,I12)</f>
        <v>55125</v>
      </c>
      <c r="K12" s="215">
        <f t="shared" si="3"/>
        <v>55125</v>
      </c>
      <c r="L12" s="366"/>
      <c r="N12" s="1" t="s">
        <v>286</v>
      </c>
    </row>
    <row r="13" spans="1:14" ht="15.75" thickBot="1">
      <c r="B13" s="243">
        <v>1</v>
      </c>
      <c r="C13" s="227" t="s">
        <v>16</v>
      </c>
      <c r="D13" s="228">
        <f t="shared" si="4"/>
        <v>7350000</v>
      </c>
      <c r="E13" s="228">
        <f>'Key Assumptions'!F30</f>
        <v>2400000</v>
      </c>
      <c r="F13" s="228">
        <f t="shared" si="1"/>
        <v>9750000</v>
      </c>
      <c r="G13" s="311">
        <f>IF(B13&lt;='Key Assumptions'!$C$23,0,'Debt Repayment Schedule'!$C$4/('Key Assumptions'!$C$25*4))</f>
        <v>0</v>
      </c>
      <c r="H13" s="228">
        <f t="shared" si="2"/>
        <v>9750000</v>
      </c>
      <c r="I13" s="228">
        <f t="shared" si="0"/>
        <v>73125</v>
      </c>
      <c r="J13" s="312">
        <f>IF(AND('Key Assumptions'!$C$24&lt;=3,'Key Assumptions'!$C$24&gt;0),0,I13)</f>
        <v>73125</v>
      </c>
      <c r="K13" s="228">
        <f t="shared" si="3"/>
        <v>73125</v>
      </c>
      <c r="L13" s="367"/>
      <c r="N13" s="1" t="s">
        <v>287</v>
      </c>
    </row>
    <row r="14" spans="1:14">
      <c r="B14" s="239">
        <v>2</v>
      </c>
      <c r="C14" s="229" t="s">
        <v>13</v>
      </c>
      <c r="D14" s="218">
        <f t="shared" si="4"/>
        <v>9750000</v>
      </c>
      <c r="E14" s="218">
        <f>'Key Assumptions'!G30</f>
        <v>2400000</v>
      </c>
      <c r="F14" s="218">
        <f t="shared" si="1"/>
        <v>12150000</v>
      </c>
      <c r="G14" s="225">
        <f>IF(B14&lt;='Key Assumptions'!$C$23,0,'Debt Repayment Schedule'!$C$4/('Key Assumptions'!$C$25*4))</f>
        <v>0</v>
      </c>
      <c r="H14" s="218">
        <f t="shared" si="2"/>
        <v>12150000</v>
      </c>
      <c r="I14" s="218">
        <f t="shared" si="0"/>
        <v>91125</v>
      </c>
      <c r="J14" s="218">
        <f>IF(AND('Key Assumptions'!$C$24=2,'Key Assumptions'!$C$24=3),0,I14)</f>
        <v>91125</v>
      </c>
      <c r="K14" s="218">
        <f t="shared" si="3"/>
        <v>91125</v>
      </c>
      <c r="L14" s="368">
        <f>SUM(K14:K17)</f>
        <v>526500</v>
      </c>
      <c r="N14" s="1" t="s">
        <v>288</v>
      </c>
    </row>
    <row r="15" spans="1:14">
      <c r="B15" s="240">
        <v>2</v>
      </c>
      <c r="C15" s="230" t="s">
        <v>14</v>
      </c>
      <c r="D15" s="167">
        <f t="shared" si="4"/>
        <v>12150000</v>
      </c>
      <c r="E15" s="167">
        <f>'Key Assumptions'!H30</f>
        <v>4800000</v>
      </c>
      <c r="F15" s="167">
        <f t="shared" si="1"/>
        <v>16950000</v>
      </c>
      <c r="G15" s="225">
        <f>IF(B15&lt;='Key Assumptions'!$C$23,0,'Debt Repayment Schedule'!$C$4/('Key Assumptions'!$C$25*4))</f>
        <v>0</v>
      </c>
      <c r="H15" s="167">
        <f t="shared" si="2"/>
        <v>16950000</v>
      </c>
      <c r="I15" s="167">
        <f t="shared" si="0"/>
        <v>127125</v>
      </c>
      <c r="J15" s="167">
        <f>IF(AND('Key Assumptions'!$C$24=2,'Key Assumptions'!$C$24=3),0,I15)</f>
        <v>127125</v>
      </c>
      <c r="K15" s="167">
        <f t="shared" si="3"/>
        <v>127125</v>
      </c>
      <c r="L15" s="369"/>
      <c r="N15" s="1" t="s">
        <v>289</v>
      </c>
    </row>
    <row r="16" spans="1:14">
      <c r="B16" s="240">
        <v>2</v>
      </c>
      <c r="C16" s="230" t="s">
        <v>15</v>
      </c>
      <c r="D16" s="167">
        <f t="shared" si="4"/>
        <v>16950000</v>
      </c>
      <c r="E16" s="167">
        <f>'Key Assumptions'!I30</f>
        <v>0</v>
      </c>
      <c r="F16" s="167">
        <f t="shared" si="1"/>
        <v>16950000</v>
      </c>
      <c r="G16" s="225">
        <f>IF(B16&lt;='Key Assumptions'!$C$23,0,'Debt Repayment Schedule'!$C$4/('Key Assumptions'!$C$25*4))</f>
        <v>0</v>
      </c>
      <c r="H16" s="167">
        <f t="shared" si="2"/>
        <v>16950000</v>
      </c>
      <c r="I16" s="167">
        <f t="shared" si="0"/>
        <v>127125</v>
      </c>
      <c r="J16" s="167">
        <f>IF(AND('Key Assumptions'!$C$24=2,'Key Assumptions'!$C$24=3),0,I16)</f>
        <v>127125</v>
      </c>
      <c r="K16" s="167">
        <f t="shared" si="3"/>
        <v>127125</v>
      </c>
      <c r="L16" s="369"/>
    </row>
    <row r="17" spans="2:12" ht="15.75" thickBot="1">
      <c r="B17" s="241">
        <v>2</v>
      </c>
      <c r="C17" s="231" t="s">
        <v>16</v>
      </c>
      <c r="D17" s="222">
        <f t="shared" si="4"/>
        <v>16950000</v>
      </c>
      <c r="E17" s="222">
        <f>'Key Assumptions'!J30</f>
        <v>7200000</v>
      </c>
      <c r="F17" s="222">
        <f t="shared" si="1"/>
        <v>24150000</v>
      </c>
      <c r="G17" s="311">
        <f>IF(B17&lt;='Key Assumptions'!$C$23,0,'Debt Repayment Schedule'!$C$4/('Key Assumptions'!$C$25*4))</f>
        <v>0</v>
      </c>
      <c r="H17" s="222">
        <f t="shared" si="2"/>
        <v>24150000</v>
      </c>
      <c r="I17" s="222">
        <f t="shared" si="0"/>
        <v>181125</v>
      </c>
      <c r="J17" s="222">
        <f>IF(AND('Key Assumptions'!$C$24=2,'Key Assumptions'!$C$24=3),0,I17)</f>
        <v>181125</v>
      </c>
      <c r="K17" s="222">
        <f t="shared" si="3"/>
        <v>181125</v>
      </c>
      <c r="L17" s="370"/>
    </row>
    <row r="18" spans="2:12">
      <c r="B18" s="239">
        <v>3</v>
      </c>
      <c r="C18" s="229" t="s">
        <v>13</v>
      </c>
      <c r="D18" s="218">
        <f t="shared" si="4"/>
        <v>24150000</v>
      </c>
      <c r="E18" s="218">
        <f>'Key Assumptions'!K30</f>
        <v>7200000</v>
      </c>
      <c r="F18" s="218">
        <f t="shared" si="1"/>
        <v>31350000</v>
      </c>
      <c r="G18" s="225">
        <f>IF(B18&lt;='Key Assumptions'!$C$23,0,'Debt Repayment Schedule'!$C$4/('Key Assumptions'!$C$25*4))</f>
        <v>0</v>
      </c>
      <c r="H18" s="218">
        <f t="shared" si="2"/>
        <v>31350000</v>
      </c>
      <c r="I18" s="218">
        <f t="shared" si="0"/>
        <v>235125</v>
      </c>
      <c r="J18" s="218">
        <f>IF('Key Assumptions'!$C$24=3,0,I18)</f>
        <v>235125</v>
      </c>
      <c r="K18" s="218">
        <f t="shared" si="3"/>
        <v>235125</v>
      </c>
      <c r="L18" s="368">
        <f>SUM(K18:K21)</f>
        <v>1246500</v>
      </c>
    </row>
    <row r="19" spans="2:12">
      <c r="B19" s="240">
        <v>3</v>
      </c>
      <c r="C19" s="230" t="s">
        <v>14</v>
      </c>
      <c r="D19" s="167">
        <f t="shared" si="4"/>
        <v>31350000</v>
      </c>
      <c r="E19" s="167">
        <f>'Key Assumptions'!L30</f>
        <v>7200000</v>
      </c>
      <c r="F19" s="167">
        <f t="shared" si="1"/>
        <v>38550000</v>
      </c>
      <c r="G19" s="225">
        <f>IF(B19&lt;='Key Assumptions'!$C$23,0,'Debt Repayment Schedule'!$C$4/('Key Assumptions'!$C$25*4))</f>
        <v>0</v>
      </c>
      <c r="H19" s="167">
        <f t="shared" si="2"/>
        <v>38550000</v>
      </c>
      <c r="I19" s="167">
        <f t="shared" si="0"/>
        <v>289125</v>
      </c>
      <c r="J19" s="167">
        <f>IF('Key Assumptions'!$C$24=3,0,I19)</f>
        <v>289125</v>
      </c>
      <c r="K19" s="167">
        <f t="shared" si="3"/>
        <v>289125</v>
      </c>
      <c r="L19" s="369"/>
    </row>
    <row r="20" spans="2:12">
      <c r="B20" s="240">
        <v>3</v>
      </c>
      <c r="C20" s="230" t="s">
        <v>15</v>
      </c>
      <c r="D20" s="167">
        <f t="shared" si="4"/>
        <v>38550000</v>
      </c>
      <c r="E20" s="167">
        <f>'Key Assumptions'!M30</f>
        <v>7200000</v>
      </c>
      <c r="F20" s="167">
        <f t="shared" si="1"/>
        <v>45750000</v>
      </c>
      <c r="G20" s="225">
        <f>IF(B20&lt;='Key Assumptions'!$C$23,0,'Debt Repayment Schedule'!$C$4/('Key Assumptions'!$C$25*4))</f>
        <v>0</v>
      </c>
      <c r="H20" s="167">
        <f t="shared" si="2"/>
        <v>45750000</v>
      </c>
      <c r="I20" s="167">
        <f t="shared" si="0"/>
        <v>343125</v>
      </c>
      <c r="J20" s="167">
        <f>IF('Key Assumptions'!$C$24=3,0,I20)</f>
        <v>343125</v>
      </c>
      <c r="K20" s="167">
        <f t="shared" si="3"/>
        <v>343125</v>
      </c>
      <c r="L20" s="369"/>
    </row>
    <row r="21" spans="2:12" ht="15.75" thickBot="1">
      <c r="B21" s="241">
        <v>3</v>
      </c>
      <c r="C21" s="231" t="s">
        <v>16</v>
      </c>
      <c r="D21" s="222">
        <f t="shared" si="4"/>
        <v>45750000</v>
      </c>
      <c r="E21" s="222">
        <f>'Key Assumptions'!N30</f>
        <v>4800000</v>
      </c>
      <c r="F21" s="222">
        <f t="shared" si="1"/>
        <v>50550000</v>
      </c>
      <c r="G21" s="311">
        <f>IF(B21&lt;='Key Assumptions'!$C$23,0,'Debt Repayment Schedule'!$C$4/('Key Assumptions'!$C$25*4))</f>
        <v>0</v>
      </c>
      <c r="H21" s="222">
        <f t="shared" si="2"/>
        <v>50550000</v>
      </c>
      <c r="I21" s="222">
        <f t="shared" si="0"/>
        <v>379125</v>
      </c>
      <c r="J21" s="222">
        <f>IF('Key Assumptions'!$C$24=3,0,I21)</f>
        <v>379125</v>
      </c>
      <c r="K21" s="222">
        <f t="shared" si="3"/>
        <v>379125</v>
      </c>
      <c r="L21" s="370"/>
    </row>
    <row r="22" spans="2:12">
      <c r="B22" s="239">
        <v>4</v>
      </c>
      <c r="C22" s="229" t="s">
        <v>13</v>
      </c>
      <c r="D22" s="218">
        <f t="shared" si="4"/>
        <v>50550000</v>
      </c>
      <c r="E22" s="232"/>
      <c r="F22" s="218">
        <f t="shared" si="1"/>
        <v>50550000</v>
      </c>
      <c r="G22" s="225">
        <f>IF(B22&lt;='Key Assumptions'!$C$23,0,'Debt Repayment Schedule'!$C$4/('Key Assumptions'!$C$25*4))</f>
        <v>3159375</v>
      </c>
      <c r="H22" s="218">
        <f t="shared" si="2"/>
        <v>47390625</v>
      </c>
      <c r="I22" s="218">
        <f t="shared" si="0"/>
        <v>379125</v>
      </c>
      <c r="J22" s="218">
        <f>I22</f>
        <v>379125</v>
      </c>
      <c r="K22" s="218">
        <f t="shared" si="3"/>
        <v>3538500</v>
      </c>
      <c r="L22" s="368">
        <f>SUM(K22:K25)</f>
        <v>14011828.125</v>
      </c>
    </row>
    <row r="23" spans="2:12">
      <c r="B23" s="240">
        <v>4</v>
      </c>
      <c r="C23" s="230" t="s">
        <v>14</v>
      </c>
      <c r="D23" s="167">
        <f t="shared" si="4"/>
        <v>47390625</v>
      </c>
      <c r="E23" s="233"/>
      <c r="F23" s="167">
        <f t="shared" si="1"/>
        <v>47390625</v>
      </c>
      <c r="G23" s="225">
        <f>IF(B23&lt;='Key Assumptions'!$C$23,0,'Debt Repayment Schedule'!$C$4/('Key Assumptions'!$C$25*4))</f>
        <v>3159375</v>
      </c>
      <c r="H23" s="167">
        <f t="shared" si="2"/>
        <v>44231250</v>
      </c>
      <c r="I23" s="167">
        <f t="shared" si="0"/>
        <v>355429.6875</v>
      </c>
      <c r="J23" s="167">
        <f t="shared" ref="J23:J37" si="5">I23</f>
        <v>355429.6875</v>
      </c>
      <c r="K23" s="167">
        <f t="shared" si="3"/>
        <v>3514804.6875</v>
      </c>
      <c r="L23" s="369"/>
    </row>
    <row r="24" spans="2:12">
      <c r="B24" s="240">
        <v>4</v>
      </c>
      <c r="C24" s="230" t="s">
        <v>15</v>
      </c>
      <c r="D24" s="167">
        <f t="shared" si="4"/>
        <v>44231250</v>
      </c>
      <c r="E24" s="233"/>
      <c r="F24" s="167">
        <f t="shared" si="1"/>
        <v>44231250</v>
      </c>
      <c r="G24" s="225">
        <f>IF(B24&lt;='Key Assumptions'!$C$23,0,'Debt Repayment Schedule'!$C$4/('Key Assumptions'!$C$25*4))</f>
        <v>3159375</v>
      </c>
      <c r="H24" s="167">
        <f t="shared" si="2"/>
        <v>41071875</v>
      </c>
      <c r="I24" s="167">
        <f t="shared" si="0"/>
        <v>331734.375</v>
      </c>
      <c r="J24" s="167">
        <f t="shared" si="5"/>
        <v>331734.375</v>
      </c>
      <c r="K24" s="167">
        <f t="shared" si="3"/>
        <v>3491109.375</v>
      </c>
      <c r="L24" s="369"/>
    </row>
    <row r="25" spans="2:12" ht="15.75" thickBot="1">
      <c r="B25" s="241">
        <v>4</v>
      </c>
      <c r="C25" s="231" t="s">
        <v>16</v>
      </c>
      <c r="D25" s="222">
        <f t="shared" si="4"/>
        <v>41071875</v>
      </c>
      <c r="E25" s="234"/>
      <c r="F25" s="222">
        <f t="shared" si="1"/>
        <v>41071875</v>
      </c>
      <c r="G25" s="311">
        <f>IF(B25&lt;='Key Assumptions'!$C$23,0,'Debt Repayment Schedule'!$C$4/('Key Assumptions'!$C$25*4))</f>
        <v>3159375</v>
      </c>
      <c r="H25" s="222">
        <f t="shared" si="2"/>
        <v>37912500</v>
      </c>
      <c r="I25" s="222">
        <f t="shared" si="0"/>
        <v>308039.0625</v>
      </c>
      <c r="J25" s="222">
        <f t="shared" si="5"/>
        <v>308039.0625</v>
      </c>
      <c r="K25" s="222">
        <f t="shared" si="3"/>
        <v>3467414.0625</v>
      </c>
      <c r="L25" s="370"/>
    </row>
    <row r="26" spans="2:12">
      <c r="B26" s="239">
        <v>5</v>
      </c>
      <c r="C26" s="229" t="s">
        <v>13</v>
      </c>
      <c r="D26" s="218">
        <f t="shared" si="4"/>
        <v>37912500</v>
      </c>
      <c r="E26" s="232"/>
      <c r="F26" s="218">
        <f t="shared" si="1"/>
        <v>37912500</v>
      </c>
      <c r="G26" s="225">
        <f>IF(B26&lt;='Key Assumptions'!$C$23,0,'Debt Repayment Schedule'!$C$4/('Key Assumptions'!$C$25*4))</f>
        <v>3159375</v>
      </c>
      <c r="H26" s="218">
        <f t="shared" si="2"/>
        <v>34753125</v>
      </c>
      <c r="I26" s="218">
        <f t="shared" si="0"/>
        <v>284343.75</v>
      </c>
      <c r="J26" s="218">
        <f t="shared" si="5"/>
        <v>284343.75</v>
      </c>
      <c r="K26" s="218">
        <f t="shared" si="3"/>
        <v>3443718.75</v>
      </c>
      <c r="L26" s="368">
        <f>SUM(K26:K29)</f>
        <v>13632703.125</v>
      </c>
    </row>
    <row r="27" spans="2:12">
      <c r="B27" s="240">
        <v>5</v>
      </c>
      <c r="C27" s="230" t="s">
        <v>14</v>
      </c>
      <c r="D27" s="167">
        <f t="shared" si="4"/>
        <v>34753125</v>
      </c>
      <c r="E27" s="233"/>
      <c r="F27" s="167">
        <f t="shared" si="1"/>
        <v>34753125</v>
      </c>
      <c r="G27" s="225">
        <f>IF(B27&lt;='Key Assumptions'!$C$23,0,'Debt Repayment Schedule'!$C$4/('Key Assumptions'!$C$25*4))</f>
        <v>3159375</v>
      </c>
      <c r="H27" s="167">
        <f t="shared" si="2"/>
        <v>31593750</v>
      </c>
      <c r="I27" s="167">
        <f t="shared" si="0"/>
        <v>260648.4375</v>
      </c>
      <c r="J27" s="167">
        <f t="shared" si="5"/>
        <v>260648.4375</v>
      </c>
      <c r="K27" s="167">
        <f t="shared" si="3"/>
        <v>3420023.4375</v>
      </c>
      <c r="L27" s="369"/>
    </row>
    <row r="28" spans="2:12">
      <c r="B28" s="240">
        <v>5</v>
      </c>
      <c r="C28" s="230" t="s">
        <v>15</v>
      </c>
      <c r="D28" s="167">
        <f t="shared" si="4"/>
        <v>31593750</v>
      </c>
      <c r="E28" s="233"/>
      <c r="F28" s="167">
        <f t="shared" si="1"/>
        <v>31593750</v>
      </c>
      <c r="G28" s="225">
        <f>IF(B28&lt;='Key Assumptions'!$C$23,0,'Debt Repayment Schedule'!$C$4/('Key Assumptions'!$C$25*4))</f>
        <v>3159375</v>
      </c>
      <c r="H28" s="167">
        <f t="shared" si="2"/>
        <v>28434375</v>
      </c>
      <c r="I28" s="167">
        <f t="shared" si="0"/>
        <v>236953.125</v>
      </c>
      <c r="J28" s="167">
        <f t="shared" si="5"/>
        <v>236953.125</v>
      </c>
      <c r="K28" s="167">
        <f t="shared" si="3"/>
        <v>3396328.125</v>
      </c>
      <c r="L28" s="369"/>
    </row>
    <row r="29" spans="2:12" ht="15.75" thickBot="1">
      <c r="B29" s="241">
        <v>5</v>
      </c>
      <c r="C29" s="231" t="s">
        <v>16</v>
      </c>
      <c r="D29" s="222">
        <f t="shared" si="4"/>
        <v>28434375</v>
      </c>
      <c r="E29" s="234"/>
      <c r="F29" s="222">
        <f t="shared" si="1"/>
        <v>28434375</v>
      </c>
      <c r="G29" s="311">
        <f>IF(B29&lt;='Key Assumptions'!$C$23,0,'Debt Repayment Schedule'!$C$4/('Key Assumptions'!$C$25*4))</f>
        <v>3159375</v>
      </c>
      <c r="H29" s="222">
        <f t="shared" si="2"/>
        <v>25275000</v>
      </c>
      <c r="I29" s="222">
        <f t="shared" si="0"/>
        <v>213257.8125</v>
      </c>
      <c r="J29" s="222">
        <f t="shared" si="5"/>
        <v>213257.8125</v>
      </c>
      <c r="K29" s="222">
        <f t="shared" si="3"/>
        <v>3372632.8125</v>
      </c>
      <c r="L29" s="370"/>
    </row>
    <row r="30" spans="2:12">
      <c r="B30" s="239">
        <v>6</v>
      </c>
      <c r="C30" s="229" t="s">
        <v>13</v>
      </c>
      <c r="D30" s="218">
        <f t="shared" si="4"/>
        <v>25275000</v>
      </c>
      <c r="E30" s="232"/>
      <c r="F30" s="218">
        <f t="shared" si="1"/>
        <v>25275000</v>
      </c>
      <c r="G30" s="225">
        <f>IF(B30&lt;='Key Assumptions'!$C$23,0,'Debt Repayment Schedule'!$C$4/('Key Assumptions'!$C$25*4))</f>
        <v>3159375</v>
      </c>
      <c r="H30" s="218">
        <f t="shared" si="2"/>
        <v>22115625</v>
      </c>
      <c r="I30" s="218">
        <f t="shared" si="0"/>
        <v>189562.5</v>
      </c>
      <c r="J30" s="218">
        <f t="shared" si="5"/>
        <v>189562.5</v>
      </c>
      <c r="K30" s="218">
        <f t="shared" si="3"/>
        <v>3348937.5</v>
      </c>
      <c r="L30" s="368">
        <f>SUM(K30:K33)</f>
        <v>13253578.125</v>
      </c>
    </row>
    <row r="31" spans="2:12">
      <c r="B31" s="240">
        <v>6</v>
      </c>
      <c r="C31" s="230" t="s">
        <v>14</v>
      </c>
      <c r="D31" s="167">
        <f t="shared" si="4"/>
        <v>22115625</v>
      </c>
      <c r="E31" s="233"/>
      <c r="F31" s="167">
        <f t="shared" si="1"/>
        <v>22115625</v>
      </c>
      <c r="G31" s="225">
        <f>IF(B31&lt;='Key Assumptions'!$C$23,0,'Debt Repayment Schedule'!$C$4/('Key Assumptions'!$C$25*4))</f>
        <v>3159375</v>
      </c>
      <c r="H31" s="167">
        <f t="shared" si="2"/>
        <v>18956250</v>
      </c>
      <c r="I31" s="167">
        <f t="shared" si="0"/>
        <v>165867.1875</v>
      </c>
      <c r="J31" s="167">
        <f t="shared" si="5"/>
        <v>165867.1875</v>
      </c>
      <c r="K31" s="167">
        <f t="shared" si="3"/>
        <v>3325242.1875</v>
      </c>
      <c r="L31" s="369"/>
    </row>
    <row r="32" spans="2:12">
      <c r="B32" s="240">
        <v>6</v>
      </c>
      <c r="C32" s="230" t="s">
        <v>15</v>
      </c>
      <c r="D32" s="167">
        <f t="shared" si="4"/>
        <v>18956250</v>
      </c>
      <c r="E32" s="233"/>
      <c r="F32" s="167">
        <f t="shared" si="1"/>
        <v>18956250</v>
      </c>
      <c r="G32" s="225">
        <f>IF(B32&lt;='Key Assumptions'!$C$23,0,'Debt Repayment Schedule'!$C$4/('Key Assumptions'!$C$25*4))</f>
        <v>3159375</v>
      </c>
      <c r="H32" s="167">
        <f t="shared" si="2"/>
        <v>15796875</v>
      </c>
      <c r="I32" s="167">
        <f t="shared" si="0"/>
        <v>142171.875</v>
      </c>
      <c r="J32" s="167">
        <f t="shared" si="5"/>
        <v>142171.875</v>
      </c>
      <c r="K32" s="167">
        <f t="shared" si="3"/>
        <v>3301546.875</v>
      </c>
      <c r="L32" s="369"/>
    </row>
    <row r="33" spans="1:18" ht="15.75" thickBot="1">
      <c r="B33" s="241">
        <v>6</v>
      </c>
      <c r="C33" s="231" t="s">
        <v>16</v>
      </c>
      <c r="D33" s="222">
        <f t="shared" si="4"/>
        <v>15796875</v>
      </c>
      <c r="E33" s="234"/>
      <c r="F33" s="222">
        <f t="shared" si="1"/>
        <v>15796875</v>
      </c>
      <c r="G33" s="311">
        <f>IF(B33&lt;='Key Assumptions'!$C$23,0,'Debt Repayment Schedule'!$C$4/('Key Assumptions'!$C$25*4))</f>
        <v>3159375</v>
      </c>
      <c r="H33" s="222">
        <f t="shared" si="2"/>
        <v>12637500</v>
      </c>
      <c r="I33" s="222">
        <f t="shared" si="0"/>
        <v>118476.5625</v>
      </c>
      <c r="J33" s="222">
        <f t="shared" si="5"/>
        <v>118476.5625</v>
      </c>
      <c r="K33" s="222">
        <f t="shared" si="3"/>
        <v>3277851.5625</v>
      </c>
      <c r="L33" s="370"/>
    </row>
    <row r="34" spans="1:18">
      <c r="B34" s="239">
        <v>7</v>
      </c>
      <c r="C34" s="229" t="s">
        <v>13</v>
      </c>
      <c r="D34" s="218">
        <f t="shared" si="4"/>
        <v>12637500</v>
      </c>
      <c r="E34" s="232"/>
      <c r="F34" s="218">
        <f t="shared" si="1"/>
        <v>12637500</v>
      </c>
      <c r="G34" s="225">
        <f>IF(B34&lt;='Key Assumptions'!$C$23,0,'Debt Repayment Schedule'!$C$4/('Key Assumptions'!$C$25*4))</f>
        <v>3159375</v>
      </c>
      <c r="H34" s="218">
        <f t="shared" si="2"/>
        <v>9478125</v>
      </c>
      <c r="I34" s="218">
        <f t="shared" si="0"/>
        <v>94781.25</v>
      </c>
      <c r="J34" s="218">
        <f t="shared" si="5"/>
        <v>94781.25</v>
      </c>
      <c r="K34" s="218">
        <f t="shared" si="3"/>
        <v>3254156.25</v>
      </c>
      <c r="L34" s="368">
        <f>SUM(K34:K37)</f>
        <v>12874453.125</v>
      </c>
    </row>
    <row r="35" spans="1:18">
      <c r="B35" s="240">
        <v>7</v>
      </c>
      <c r="C35" s="230" t="s">
        <v>14</v>
      </c>
      <c r="D35" s="167">
        <f t="shared" si="4"/>
        <v>9478125</v>
      </c>
      <c r="E35" s="233"/>
      <c r="F35" s="167">
        <f t="shared" si="1"/>
        <v>9478125</v>
      </c>
      <c r="G35" s="225">
        <f>IF(B35&lt;='Key Assumptions'!$C$23,0,'Debt Repayment Schedule'!$C$4/('Key Assumptions'!$C$25*4))</f>
        <v>3159375</v>
      </c>
      <c r="H35" s="167">
        <f t="shared" si="2"/>
        <v>6318750</v>
      </c>
      <c r="I35" s="167">
        <f t="shared" si="0"/>
        <v>71085.9375</v>
      </c>
      <c r="J35" s="167">
        <f t="shared" si="5"/>
        <v>71085.9375</v>
      </c>
      <c r="K35" s="167">
        <f t="shared" si="3"/>
        <v>3230460.9375</v>
      </c>
      <c r="L35" s="369"/>
    </row>
    <row r="36" spans="1:18">
      <c r="B36" s="240">
        <v>7</v>
      </c>
      <c r="C36" s="230" t="s">
        <v>15</v>
      </c>
      <c r="D36" s="167">
        <f t="shared" si="4"/>
        <v>6318750</v>
      </c>
      <c r="E36" s="233"/>
      <c r="F36" s="167">
        <f t="shared" si="1"/>
        <v>6318750</v>
      </c>
      <c r="G36" s="225">
        <f>IF(B36&lt;='Key Assumptions'!$C$23,0,'Debt Repayment Schedule'!$C$4/('Key Assumptions'!$C$25*4))</f>
        <v>3159375</v>
      </c>
      <c r="H36" s="167">
        <f t="shared" si="2"/>
        <v>3159375</v>
      </c>
      <c r="I36" s="167">
        <f t="shared" si="0"/>
        <v>47390.625</v>
      </c>
      <c r="J36" s="167">
        <f t="shared" si="5"/>
        <v>47390.625</v>
      </c>
      <c r="K36" s="167">
        <f t="shared" si="3"/>
        <v>3206765.625</v>
      </c>
      <c r="L36" s="369"/>
    </row>
    <row r="37" spans="1:18" ht="15.75" thickBot="1">
      <c r="B37" s="241">
        <v>7</v>
      </c>
      <c r="C37" s="231" t="s">
        <v>16</v>
      </c>
      <c r="D37" s="222">
        <f t="shared" si="4"/>
        <v>3159375</v>
      </c>
      <c r="E37" s="234"/>
      <c r="F37" s="222">
        <f t="shared" si="1"/>
        <v>3159375</v>
      </c>
      <c r="G37" s="311">
        <f>IF(B37&lt;='Key Assumptions'!$C$23,0,'Debt Repayment Schedule'!$C$4/('Key Assumptions'!$C$25*4))</f>
        <v>3159375</v>
      </c>
      <c r="H37" s="222">
        <f t="shared" si="2"/>
        <v>0</v>
      </c>
      <c r="I37" s="222">
        <f t="shared" si="0"/>
        <v>23695.3125</v>
      </c>
      <c r="J37" s="222">
        <f t="shared" si="5"/>
        <v>23695.3125</v>
      </c>
      <c r="K37" s="222">
        <f t="shared" si="3"/>
        <v>3183070.3125</v>
      </c>
      <c r="L37" s="370"/>
    </row>
    <row r="39" spans="1:18" ht="20.25" thickBot="1">
      <c r="A39" s="36" t="s">
        <v>272</v>
      </c>
    </row>
    <row r="40" spans="1:18" ht="16.5" thickTop="1" thickBot="1">
      <c r="B40" s="371" t="s">
        <v>171</v>
      </c>
      <c r="C40" s="373" t="s">
        <v>6</v>
      </c>
      <c r="D40" s="374"/>
      <c r="E40" s="374"/>
      <c r="F40" s="375"/>
      <c r="G40" s="376" t="s">
        <v>7</v>
      </c>
      <c r="H40" s="377"/>
      <c r="I40" s="377"/>
      <c r="J40" s="378"/>
      <c r="K40" s="373" t="s">
        <v>8</v>
      </c>
      <c r="L40" s="374"/>
      <c r="M40" s="374"/>
      <c r="N40" s="375"/>
      <c r="O40" s="361" t="s">
        <v>9</v>
      </c>
      <c r="P40" s="363" t="s">
        <v>10</v>
      </c>
      <c r="Q40" s="363" t="s">
        <v>11</v>
      </c>
      <c r="R40" s="363" t="s">
        <v>12</v>
      </c>
    </row>
    <row r="41" spans="1:18" ht="15.75" thickBot="1">
      <c r="B41" s="372"/>
      <c r="C41" s="119" t="s">
        <v>13</v>
      </c>
      <c r="D41" s="117" t="s">
        <v>14</v>
      </c>
      <c r="E41" s="117" t="s">
        <v>15</v>
      </c>
      <c r="F41" s="118" t="s">
        <v>16</v>
      </c>
      <c r="G41" s="119" t="s">
        <v>13</v>
      </c>
      <c r="H41" s="117" t="s">
        <v>14</v>
      </c>
      <c r="I41" s="117" t="s">
        <v>15</v>
      </c>
      <c r="J41" s="118" t="s">
        <v>16</v>
      </c>
      <c r="K41" s="119" t="s">
        <v>13</v>
      </c>
      <c r="L41" s="117" t="s">
        <v>14</v>
      </c>
      <c r="M41" s="117" t="s">
        <v>15</v>
      </c>
      <c r="N41" s="118" t="s">
        <v>16</v>
      </c>
      <c r="O41" s="362"/>
      <c r="P41" s="364"/>
      <c r="Q41" s="364"/>
      <c r="R41" s="364"/>
    </row>
    <row r="42" spans="1:18">
      <c r="B42" s="120" t="s">
        <v>35</v>
      </c>
      <c r="C42" s="217">
        <f>H10</f>
        <v>4950000</v>
      </c>
      <c r="D42" s="218">
        <f>H11</f>
        <v>7350000</v>
      </c>
      <c r="E42" s="218">
        <f>H12</f>
        <v>7350000</v>
      </c>
      <c r="F42" s="218">
        <f>H13</f>
        <v>9750000</v>
      </c>
      <c r="G42" s="218">
        <f>H14</f>
        <v>12150000</v>
      </c>
      <c r="H42" s="218">
        <f>H15</f>
        <v>16950000</v>
      </c>
      <c r="I42" s="218">
        <f>H16</f>
        <v>16950000</v>
      </c>
      <c r="J42" s="218">
        <f>H17</f>
        <v>24150000</v>
      </c>
      <c r="K42" s="218">
        <f>H18</f>
        <v>31350000</v>
      </c>
      <c r="L42" s="218">
        <f>H19</f>
        <v>38550000</v>
      </c>
      <c r="M42" s="218">
        <f>H20</f>
        <v>45750000</v>
      </c>
      <c r="N42" s="218">
        <f>H21</f>
        <v>50550000</v>
      </c>
      <c r="O42" s="218">
        <f>H25</f>
        <v>37912500</v>
      </c>
      <c r="P42" s="218">
        <f>H29</f>
        <v>25275000</v>
      </c>
      <c r="Q42" s="218">
        <f>H33</f>
        <v>12637500</v>
      </c>
      <c r="R42" s="218">
        <f>H37</f>
        <v>0</v>
      </c>
    </row>
    <row r="43" spans="1:18">
      <c r="B43" s="115" t="s">
        <v>275</v>
      </c>
      <c r="C43" s="219">
        <f>J10</f>
        <v>37125</v>
      </c>
      <c r="D43" s="167">
        <f>J11</f>
        <v>55125</v>
      </c>
      <c r="E43" s="167">
        <f>J12</f>
        <v>55125</v>
      </c>
      <c r="F43" s="167">
        <f>J13</f>
        <v>73125</v>
      </c>
      <c r="G43" s="167">
        <f>J14</f>
        <v>91125</v>
      </c>
      <c r="H43" s="167">
        <f>J15</f>
        <v>127125</v>
      </c>
      <c r="I43" s="167">
        <f>J16</f>
        <v>127125</v>
      </c>
      <c r="J43" s="167">
        <f>J17</f>
        <v>181125</v>
      </c>
      <c r="K43" s="167">
        <f>J18</f>
        <v>235125</v>
      </c>
      <c r="L43" s="167">
        <f>J19</f>
        <v>289125</v>
      </c>
      <c r="M43" s="167">
        <f>J20</f>
        <v>343125</v>
      </c>
      <c r="N43" s="167">
        <f>J21</f>
        <v>379125</v>
      </c>
      <c r="O43" s="167">
        <f>SUM(J22:J25)</f>
        <v>1374328.125</v>
      </c>
      <c r="P43" s="167">
        <f>SUM(J26:J29)</f>
        <v>995203.125</v>
      </c>
      <c r="Q43" s="167">
        <f>SUM(J30:J33)</f>
        <v>616078.125</v>
      </c>
      <c r="R43" s="167">
        <f>SUM(J34:J37)</f>
        <v>236953.125</v>
      </c>
    </row>
    <row r="44" spans="1:18" ht="15.75" thickBot="1">
      <c r="B44" s="121" t="s">
        <v>62</v>
      </c>
      <c r="C44" s="221">
        <f>G10</f>
        <v>0</v>
      </c>
      <c r="D44" s="222">
        <f>G11</f>
        <v>0</v>
      </c>
      <c r="E44" s="222">
        <f>G12</f>
        <v>0</v>
      </c>
      <c r="F44" s="222">
        <f>G13</f>
        <v>0</v>
      </c>
      <c r="G44" s="222">
        <f>G14</f>
        <v>0</v>
      </c>
      <c r="H44" s="222">
        <f>G15</f>
        <v>0</v>
      </c>
      <c r="I44" s="222">
        <f>G16</f>
        <v>0</v>
      </c>
      <c r="J44" s="222">
        <f>G17</f>
        <v>0</v>
      </c>
      <c r="K44" s="222">
        <f>G18</f>
        <v>0</v>
      </c>
      <c r="L44" s="222">
        <f>G19</f>
        <v>0</v>
      </c>
      <c r="M44" s="222">
        <f>G20</f>
        <v>0</v>
      </c>
      <c r="N44" s="222">
        <f>G21</f>
        <v>0</v>
      </c>
      <c r="O44" s="222">
        <f>SUM(G22:G25)</f>
        <v>12637500</v>
      </c>
      <c r="P44" s="222">
        <f>SUM(G26:G29)</f>
        <v>12637500</v>
      </c>
      <c r="Q44" s="222">
        <f>SUM(G30:G33)</f>
        <v>12637500</v>
      </c>
      <c r="R44" s="222">
        <f>SUM(G34:G37)</f>
        <v>12637500</v>
      </c>
    </row>
    <row r="45" spans="1:18">
      <c r="B45" s="114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8">
      <c r="B46" s="27" t="s">
        <v>151</v>
      </c>
    </row>
  </sheetData>
  <sheetProtection sheet="1" objects="1" scenarios="1"/>
  <mergeCells count="15">
    <mergeCell ref="B40:B41"/>
    <mergeCell ref="K40:N40"/>
    <mergeCell ref="C40:F40"/>
    <mergeCell ref="L30:L33"/>
    <mergeCell ref="L34:L37"/>
    <mergeCell ref="G40:J40"/>
    <mergeCell ref="O40:O41"/>
    <mergeCell ref="P40:P41"/>
    <mergeCell ref="Q40:Q41"/>
    <mergeCell ref="R40:R41"/>
    <mergeCell ref="L10:L13"/>
    <mergeCell ref="L14:L17"/>
    <mergeCell ref="L18:L21"/>
    <mergeCell ref="L22:L25"/>
    <mergeCell ref="L26:L29"/>
  </mergeCells>
  <conditionalFormatting sqref="C4:C6">
    <cfRule type="expression" dxfId="7" priority="1">
      <formula>ISTEXT(C4)</formula>
    </cfRule>
    <cfRule type="cellIs" dxfId="6" priority="5" operator="lessThan">
      <formula>0</formula>
    </cfRule>
  </conditionalFormatting>
  <conditionalFormatting sqref="D10:L10 K19:K21 K15:K17 K18:L18 K14:L14 K31:K33 K34:L34 K27:K29 K30:L30 K23:K25 K26:L26 H14:J21 H22:L22 H11:K13 K35:K37 H23:J37 D11:G37">
    <cfRule type="cellIs" dxfId="5" priority="3" operator="lessThan">
      <formula>0</formula>
    </cfRule>
  </conditionalFormatting>
  <hyperlinks>
    <hyperlink ref="B46" location="Index!A1" display="Back to Index"/>
  </hyperlinks>
  <pageMargins left="0.7" right="0.7" top="0.75" bottom="0.75" header="0.3" footer="0.3"/>
  <pageSetup paperSize="9" orientation="portrait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tabColor rgb="FFFF0000"/>
  </sheetPr>
  <dimension ref="B1:R11"/>
  <sheetViews>
    <sheetView showGridLines="0" zoomScale="84" zoomScaleNormal="84" workbookViewId="0">
      <selection activeCell="G1" sqref="G1"/>
    </sheetView>
  </sheetViews>
  <sheetFormatPr defaultRowHeight="15"/>
  <cols>
    <col min="1" max="1" width="4" customWidth="1"/>
    <col min="2" max="2" width="27.85546875" customWidth="1"/>
    <col min="3" max="3" width="22" bestFit="1" customWidth="1"/>
    <col min="4" max="4" width="13.7109375" bestFit="1" customWidth="1"/>
    <col min="5" max="6" width="11.7109375" bestFit="1" customWidth="1"/>
    <col min="7" max="10" width="10.7109375" bestFit="1" customWidth="1"/>
    <col min="11" max="15" width="9.7109375" bestFit="1" customWidth="1"/>
    <col min="16" max="18" width="9.28515625" bestFit="1" customWidth="1"/>
  </cols>
  <sheetData>
    <row r="1" spans="2:18" ht="23.25">
      <c r="B1" s="79" t="s">
        <v>217</v>
      </c>
    </row>
    <row r="2" spans="2:18" ht="15.75" thickBot="1"/>
    <row r="3" spans="2:18">
      <c r="B3" s="361" t="s">
        <v>216</v>
      </c>
      <c r="C3" s="379" t="s">
        <v>6</v>
      </c>
      <c r="D3" s="379"/>
      <c r="E3" s="379"/>
      <c r="F3" s="379"/>
      <c r="G3" s="379" t="s">
        <v>7</v>
      </c>
      <c r="H3" s="379"/>
      <c r="I3" s="379"/>
      <c r="J3" s="379"/>
      <c r="K3" s="381" t="s">
        <v>8</v>
      </c>
      <c r="L3" s="382"/>
      <c r="M3" s="382"/>
      <c r="N3" s="383"/>
      <c r="O3" s="379" t="s">
        <v>9</v>
      </c>
      <c r="P3" s="379" t="s">
        <v>10</v>
      </c>
      <c r="Q3" s="379" t="s">
        <v>11</v>
      </c>
      <c r="R3" s="379" t="s">
        <v>12</v>
      </c>
    </row>
    <row r="4" spans="2:18">
      <c r="B4" s="380"/>
      <c r="C4" s="128" t="s">
        <v>13</v>
      </c>
      <c r="D4" s="128" t="s">
        <v>14</v>
      </c>
      <c r="E4" s="128" t="s">
        <v>15</v>
      </c>
      <c r="F4" s="128" t="s">
        <v>16</v>
      </c>
      <c r="G4" s="128" t="s">
        <v>13</v>
      </c>
      <c r="H4" s="128" t="s">
        <v>14</v>
      </c>
      <c r="I4" s="128" t="s">
        <v>15</v>
      </c>
      <c r="J4" s="128" t="s">
        <v>16</v>
      </c>
      <c r="K4" s="175" t="s">
        <v>13</v>
      </c>
      <c r="L4" s="175" t="s">
        <v>14</v>
      </c>
      <c r="M4" s="175" t="s">
        <v>15</v>
      </c>
      <c r="N4" s="175" t="s">
        <v>16</v>
      </c>
      <c r="O4" s="357"/>
      <c r="P4" s="357"/>
      <c r="Q4" s="357"/>
      <c r="R4" s="357"/>
    </row>
    <row r="5" spans="2:18">
      <c r="B5" s="111" t="s">
        <v>303</v>
      </c>
      <c r="C5" s="235">
        <v>0</v>
      </c>
      <c r="D5" s="235">
        <f>C9</f>
        <v>540000</v>
      </c>
      <c r="E5" s="235">
        <f t="shared" ref="E5:R5" si="0">D9</f>
        <v>324000</v>
      </c>
      <c r="F5" s="235">
        <f t="shared" si="0"/>
        <v>194400</v>
      </c>
      <c r="G5" s="235">
        <f t="shared" si="0"/>
        <v>116640</v>
      </c>
      <c r="H5" s="235">
        <f t="shared" si="0"/>
        <v>69984</v>
      </c>
      <c r="I5" s="235">
        <f t="shared" si="0"/>
        <v>41990.399999999994</v>
      </c>
      <c r="J5" s="235">
        <f t="shared" si="0"/>
        <v>25194.239999999994</v>
      </c>
      <c r="K5" s="235">
        <f>J9</f>
        <v>15116.543999999996</v>
      </c>
      <c r="L5" s="235">
        <f>K9</f>
        <v>549069.9264</v>
      </c>
      <c r="M5" s="235">
        <f>L9</f>
        <v>329441.95583999995</v>
      </c>
      <c r="N5" s="235">
        <f>M9</f>
        <v>197665.17350399998</v>
      </c>
      <c r="O5" s="235">
        <f t="shared" si="0"/>
        <v>118599.10410239999</v>
      </c>
      <c r="P5" s="235">
        <f t="shared" si="0"/>
        <v>71159.46246143998</v>
      </c>
      <c r="Q5" s="235">
        <f t="shared" si="0"/>
        <v>582695.67747686396</v>
      </c>
      <c r="R5" s="235">
        <f t="shared" si="0"/>
        <v>349617.40648611833</v>
      </c>
    </row>
    <row r="6" spans="2:18">
      <c r="B6" s="141" t="s">
        <v>304</v>
      </c>
      <c r="C6" s="196">
        <f>SUMPRODUCT('Content Development'!$C$6:$C$9,'Content Development'!D6:D9)*'Key Assumptions'!$C$52</f>
        <v>900000</v>
      </c>
      <c r="D6" s="196">
        <f>SUMPRODUCT('Content Development'!$C$6:$C$9,'Content Development'!E6:E9)*'Key Assumptions'!$C$52</f>
        <v>0</v>
      </c>
      <c r="E6" s="196">
        <f>SUMPRODUCT('Content Development'!$C$6:$C$9,'Content Development'!F6:F9)*'Key Assumptions'!$C$52</f>
        <v>0</v>
      </c>
      <c r="F6" s="196">
        <f>SUMPRODUCT('Content Development'!$C$6:$C$9,'Content Development'!G6:G9)*'Key Assumptions'!$C$52</f>
        <v>0</v>
      </c>
      <c r="G6" s="196">
        <f>SUMPRODUCT('Content Development'!$C$6:$C$9,'Content Development'!H6:H9)*'Key Assumptions'!$D$52</f>
        <v>0</v>
      </c>
      <c r="H6" s="196">
        <f>SUMPRODUCT('Content Development'!$C$6:$C$9,'Content Development'!I6:I9)*'Key Assumptions'!$D$52</f>
        <v>0</v>
      </c>
      <c r="I6" s="196">
        <f>SUMPRODUCT('Content Development'!$C$6:$C$9,'Content Development'!J6:J9)*'Key Assumptions'!$D$52</f>
        <v>0</v>
      </c>
      <c r="J6" s="196">
        <f>SUMPRODUCT('Content Development'!$C$6:$C$9,'Content Development'!K6:K9)*'Key Assumptions'!$D$52</f>
        <v>0</v>
      </c>
      <c r="K6" s="196">
        <f>SUMPRODUCT('Content Development'!$C$6:$C$9,'Content Development'!L6:L9)*'Key Assumptions'!$E$52</f>
        <v>900000</v>
      </c>
      <c r="L6" s="196">
        <f>SUMPRODUCT('Content Development'!$C$6:$C$9,'Content Development'!M6:M9)*'Key Assumptions'!$E$52</f>
        <v>0</v>
      </c>
      <c r="M6" s="196">
        <f>SUMPRODUCT('Content Development'!$C$6:$C$9,'Content Development'!N6:N9)*'Key Assumptions'!$E$52</f>
        <v>0</v>
      </c>
      <c r="N6" s="196">
        <f>SUMPRODUCT('Content Development'!$C$6:$C$9,'Content Development'!O6:O9)*'Key Assumptions'!$E$52</f>
        <v>0</v>
      </c>
      <c r="O6" s="196">
        <f>SUMPRODUCT('Content Development'!$C$6:$C$9,'Content Development'!P6:P9)*'Key Assumptions'!F$52</f>
        <v>0</v>
      </c>
      <c r="P6" s="196">
        <f>SUMPRODUCT('Content Development'!$C$6:$C$9,'Content Development'!Q6:Q9)*'Key Assumptions'!G$52</f>
        <v>900000</v>
      </c>
      <c r="Q6" s="196">
        <f>SUMPRODUCT('Content Development'!$C$6:$C$9,'Content Development'!R6:R9)*'Key Assumptions'!H$52</f>
        <v>0</v>
      </c>
      <c r="R6" s="196">
        <f>SUMPRODUCT('Content Development'!$C$6:$C$9,'Content Development'!S6:S9)*'Key Assumptions'!I$52</f>
        <v>900000</v>
      </c>
    </row>
    <row r="7" spans="2:18">
      <c r="B7" s="111" t="s">
        <v>305</v>
      </c>
      <c r="C7" s="218">
        <f>C5+C6</f>
        <v>900000</v>
      </c>
      <c r="D7" s="218">
        <f t="shared" ref="D7:R7" si="1">D5+D6</f>
        <v>540000</v>
      </c>
      <c r="E7" s="218">
        <f t="shared" si="1"/>
        <v>324000</v>
      </c>
      <c r="F7" s="218">
        <f t="shared" si="1"/>
        <v>194400</v>
      </c>
      <c r="G7" s="218">
        <f t="shared" si="1"/>
        <v>116640</v>
      </c>
      <c r="H7" s="218">
        <f t="shared" si="1"/>
        <v>69984</v>
      </c>
      <c r="I7" s="218">
        <f t="shared" si="1"/>
        <v>41990.399999999994</v>
      </c>
      <c r="J7" s="218">
        <f t="shared" si="1"/>
        <v>25194.239999999994</v>
      </c>
      <c r="K7" s="218">
        <f t="shared" si="1"/>
        <v>915116.54399999999</v>
      </c>
      <c r="L7" s="218">
        <f t="shared" si="1"/>
        <v>549069.9264</v>
      </c>
      <c r="M7" s="218">
        <f t="shared" si="1"/>
        <v>329441.95583999995</v>
      </c>
      <c r="N7" s="218">
        <f t="shared" si="1"/>
        <v>197665.17350399998</v>
      </c>
      <c r="O7" s="218">
        <f t="shared" si="1"/>
        <v>118599.10410239999</v>
      </c>
      <c r="P7" s="218">
        <f t="shared" si="1"/>
        <v>971159.46246144001</v>
      </c>
      <c r="Q7" s="218">
        <f t="shared" si="1"/>
        <v>582695.67747686396</v>
      </c>
      <c r="R7" s="218">
        <f t="shared" si="1"/>
        <v>1249617.4064861182</v>
      </c>
    </row>
    <row r="8" spans="2:18">
      <c r="B8" s="111" t="s">
        <v>218</v>
      </c>
      <c r="C8" s="167">
        <f>'Key Assumptions'!$C$17*C7</f>
        <v>360000</v>
      </c>
      <c r="D8" s="167">
        <f>'Key Assumptions'!$C$17*D7</f>
        <v>216000</v>
      </c>
      <c r="E8" s="167">
        <f>'Key Assumptions'!$C$17*E7</f>
        <v>129600</v>
      </c>
      <c r="F8" s="167">
        <f>'Key Assumptions'!$C$17*F7</f>
        <v>77760</v>
      </c>
      <c r="G8" s="167">
        <f>'Key Assumptions'!$C$17*G7</f>
        <v>46656</v>
      </c>
      <c r="H8" s="167">
        <f>'Key Assumptions'!$C$17*H7</f>
        <v>27993.600000000002</v>
      </c>
      <c r="I8" s="167">
        <f>'Key Assumptions'!$C$17*I7</f>
        <v>16796.16</v>
      </c>
      <c r="J8" s="167">
        <f>'Key Assumptions'!$C$17*J7</f>
        <v>10077.695999999998</v>
      </c>
      <c r="K8" s="167">
        <f>'Key Assumptions'!$C$17*K7</f>
        <v>366046.6176</v>
      </c>
      <c r="L8" s="167">
        <f>'Key Assumptions'!$C$17*L7</f>
        <v>219627.97056000002</v>
      </c>
      <c r="M8" s="167">
        <f>'Key Assumptions'!$C$17*M7</f>
        <v>131776.78233599997</v>
      </c>
      <c r="N8" s="167">
        <f>'Key Assumptions'!$C$17*N7</f>
        <v>79066.069401599991</v>
      </c>
      <c r="O8" s="167">
        <f>'Key Assumptions'!$C$17*O7</f>
        <v>47439.641640959999</v>
      </c>
      <c r="P8" s="167">
        <f>'Key Assumptions'!$C$17*P7</f>
        <v>388463.78498457605</v>
      </c>
      <c r="Q8" s="167">
        <f>'Key Assumptions'!$C$17*Q7</f>
        <v>233078.2709907456</v>
      </c>
      <c r="R8" s="167">
        <f>'Key Assumptions'!$C$17*R7</f>
        <v>499846.96259444731</v>
      </c>
    </row>
    <row r="9" spans="2:18" ht="15.75" thickBot="1">
      <c r="B9" s="112" t="s">
        <v>306</v>
      </c>
      <c r="C9" s="222">
        <f t="shared" ref="C9:R9" si="2">C7-C8</f>
        <v>540000</v>
      </c>
      <c r="D9" s="222">
        <f t="shared" si="2"/>
        <v>324000</v>
      </c>
      <c r="E9" s="222">
        <f t="shared" si="2"/>
        <v>194400</v>
      </c>
      <c r="F9" s="222">
        <f t="shared" si="2"/>
        <v>116640</v>
      </c>
      <c r="G9" s="222">
        <f t="shared" si="2"/>
        <v>69984</v>
      </c>
      <c r="H9" s="222">
        <f t="shared" si="2"/>
        <v>41990.399999999994</v>
      </c>
      <c r="I9" s="222">
        <f t="shared" si="2"/>
        <v>25194.239999999994</v>
      </c>
      <c r="J9" s="222">
        <f t="shared" si="2"/>
        <v>15116.543999999996</v>
      </c>
      <c r="K9" s="222">
        <f t="shared" si="2"/>
        <v>549069.9264</v>
      </c>
      <c r="L9" s="222">
        <f t="shared" si="2"/>
        <v>329441.95583999995</v>
      </c>
      <c r="M9" s="222">
        <f t="shared" si="2"/>
        <v>197665.17350399998</v>
      </c>
      <c r="N9" s="222">
        <f t="shared" si="2"/>
        <v>118599.10410239999</v>
      </c>
      <c r="O9" s="222">
        <f t="shared" si="2"/>
        <v>71159.46246143998</v>
      </c>
      <c r="P9" s="222">
        <f t="shared" si="2"/>
        <v>582695.67747686396</v>
      </c>
      <c r="Q9" s="222">
        <f t="shared" si="2"/>
        <v>349617.40648611833</v>
      </c>
      <c r="R9" s="222">
        <f t="shared" si="2"/>
        <v>749770.4438916709</v>
      </c>
    </row>
    <row r="10" spans="2:18"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2:18">
      <c r="B11" s="27" t="s">
        <v>151</v>
      </c>
    </row>
  </sheetData>
  <sheetProtection sheet="1" objects="1" scenarios="1"/>
  <mergeCells count="8">
    <mergeCell ref="R3:R4"/>
    <mergeCell ref="C3:F3"/>
    <mergeCell ref="G3:J3"/>
    <mergeCell ref="B3:B4"/>
    <mergeCell ref="K3:N3"/>
    <mergeCell ref="O3:O4"/>
    <mergeCell ref="P3:P4"/>
    <mergeCell ref="Q3:Q4"/>
  </mergeCells>
  <hyperlinks>
    <hyperlink ref="B11" location="Index!A1" display="Back to Index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>
    <tabColor rgb="FFFF0000"/>
  </sheetPr>
  <dimension ref="B1:R26"/>
  <sheetViews>
    <sheetView showGridLines="0" zoomScale="84" zoomScaleNormal="84" workbookViewId="0">
      <selection activeCell="C31" sqref="C31"/>
    </sheetView>
  </sheetViews>
  <sheetFormatPr defaultRowHeight="15"/>
  <cols>
    <col min="1" max="1" width="3.42578125" customWidth="1"/>
    <col min="2" max="2" width="26.5703125" customWidth="1"/>
    <col min="3" max="3" width="13.85546875" customWidth="1"/>
    <col min="4" max="6" width="13.28515625" bestFit="1" customWidth="1"/>
    <col min="7" max="7" width="11.85546875" customWidth="1"/>
    <col min="8" max="8" width="12" customWidth="1"/>
    <col min="9" max="9" width="11.5703125" customWidth="1"/>
    <col min="10" max="14" width="12.140625" customWidth="1"/>
    <col min="15" max="15" width="11.42578125" customWidth="1"/>
    <col min="16" max="16" width="11.85546875" customWidth="1"/>
    <col min="17" max="17" width="12" customWidth="1"/>
    <col min="18" max="18" width="12.42578125" customWidth="1"/>
  </cols>
  <sheetData>
    <row r="1" spans="2:18" ht="23.25">
      <c r="B1" s="93" t="s">
        <v>230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61"/>
      <c r="P1" s="58"/>
      <c r="Q1" s="58"/>
      <c r="R1" s="58"/>
    </row>
    <row r="2" spans="2:18" ht="3" customHeight="1">
      <c r="B2" s="62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58"/>
      <c r="P2" s="58"/>
      <c r="Q2" s="58"/>
      <c r="R2" s="58"/>
    </row>
    <row r="3" spans="2:18">
      <c r="B3" s="384" t="s">
        <v>216</v>
      </c>
      <c r="C3" s="357" t="s">
        <v>6</v>
      </c>
      <c r="D3" s="357"/>
      <c r="E3" s="357"/>
      <c r="F3" s="357"/>
      <c r="G3" s="357" t="s">
        <v>7</v>
      </c>
      <c r="H3" s="357"/>
      <c r="I3" s="357"/>
      <c r="J3" s="357"/>
      <c r="K3" s="358" t="s">
        <v>8</v>
      </c>
      <c r="L3" s="359"/>
      <c r="M3" s="359"/>
      <c r="N3" s="360"/>
      <c r="O3" s="357" t="s">
        <v>9</v>
      </c>
      <c r="P3" s="357" t="s">
        <v>10</v>
      </c>
      <c r="Q3" s="357" t="s">
        <v>11</v>
      </c>
      <c r="R3" s="357" t="s">
        <v>12</v>
      </c>
    </row>
    <row r="4" spans="2:18" ht="12" customHeight="1">
      <c r="B4" s="385"/>
      <c r="C4" s="75" t="s">
        <v>13</v>
      </c>
      <c r="D4" s="75" t="s">
        <v>14</v>
      </c>
      <c r="E4" s="75" t="s">
        <v>15</v>
      </c>
      <c r="F4" s="75" t="s">
        <v>16</v>
      </c>
      <c r="G4" s="75" t="s">
        <v>13</v>
      </c>
      <c r="H4" s="75" t="s">
        <v>14</v>
      </c>
      <c r="I4" s="75" t="s">
        <v>15</v>
      </c>
      <c r="J4" s="75" t="s">
        <v>16</v>
      </c>
      <c r="K4" s="175" t="s">
        <v>13</v>
      </c>
      <c r="L4" s="175" t="s">
        <v>14</v>
      </c>
      <c r="M4" s="175" t="s">
        <v>15</v>
      </c>
      <c r="N4" s="175" t="s">
        <v>16</v>
      </c>
      <c r="O4" s="357"/>
      <c r="P4" s="357"/>
      <c r="Q4" s="357"/>
      <c r="R4" s="357"/>
    </row>
    <row r="5" spans="2:18">
      <c r="B5" s="65" t="s">
        <v>177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2:18">
      <c r="B6" s="67" t="s">
        <v>22</v>
      </c>
      <c r="C6" s="196">
        <f>Capex!C14</f>
        <v>1670300</v>
      </c>
      <c r="D6" s="196">
        <f>C9+Capex!D14</f>
        <v>2227259.63</v>
      </c>
      <c r="E6" s="196">
        <f>D9+Capex!E14</f>
        <v>1875575.334423</v>
      </c>
      <c r="F6" s="196">
        <f>E9+Capex!F14</f>
        <v>2400121.9891176084</v>
      </c>
      <c r="G6" s="196">
        <f>F9+Capex!G14</f>
        <v>2841842.7270359378</v>
      </c>
      <c r="H6" s="196">
        <f>G9+Capex!H14</f>
        <v>4034515.7604369633</v>
      </c>
      <c r="I6" s="196">
        <f>H9+Capex!I14</f>
        <v>3397465.7218639669</v>
      </c>
      <c r="J6" s="196">
        <f>I9+Capex!J14</f>
        <v>5323105.8843816463</v>
      </c>
      <c r="K6" s="196">
        <f>J9+Capex!K14</f>
        <v>6944687.4652377842</v>
      </c>
      <c r="L6" s="196">
        <f>K9+Capex!L14</f>
        <v>8310221.3144767378</v>
      </c>
      <c r="M6" s="196">
        <f>L9+Capex!M14</f>
        <v>9460137.3689208608</v>
      </c>
      <c r="N6" s="196">
        <f>M9+Capex!N14</f>
        <v>9607781.6783682555</v>
      </c>
      <c r="O6" s="196">
        <f>N9+Capex!O14</f>
        <v>8090712.9513539076</v>
      </c>
      <c r="P6" s="196">
        <f>O9+Capex!P14</f>
        <v>2980618.6512787789</v>
      </c>
      <c r="Q6" s="196">
        <f>P9+Capex!Q14</f>
        <v>1098059.9111311019</v>
      </c>
      <c r="R6" s="196">
        <f>Q9+Capex!R14</f>
        <v>404525.27126069786</v>
      </c>
    </row>
    <row r="7" spans="2:18">
      <c r="B7" s="67" t="s">
        <v>43</v>
      </c>
      <c r="C7" s="196">
        <f>(C6*'Key Assumptions'!$C$11)/4</f>
        <v>263740.37</v>
      </c>
      <c r="D7" s="196">
        <f>(D6*'Key Assumptions'!$C$11)/4</f>
        <v>351684.29557700001</v>
      </c>
      <c r="E7" s="196">
        <f>(E6*'Key Assumptions'!$C$11)/4</f>
        <v>296153.3453053917</v>
      </c>
      <c r="F7" s="196">
        <f>(F6*'Key Assumptions'!$C$11)/4</f>
        <v>378979.2620816704</v>
      </c>
      <c r="G7" s="196">
        <f>(G6*'Key Assumptions'!$C$11)/4</f>
        <v>448726.9665989746</v>
      </c>
      <c r="H7" s="196">
        <f>(H6*'Key Assumptions'!$C$11)/4</f>
        <v>637050.03857299651</v>
      </c>
      <c r="I7" s="196">
        <f>(I6*'Key Assumptions'!$C$11)/4</f>
        <v>536459.83748232038</v>
      </c>
      <c r="J7" s="196">
        <f>(J6*'Key Assumptions'!$C$11)/4</f>
        <v>840518.41914386197</v>
      </c>
      <c r="K7" s="196">
        <f>(K6*'Key Assumptions'!$C$11)/4</f>
        <v>1096566.1507610462</v>
      </c>
      <c r="L7" s="196">
        <f>(L6*'Key Assumptions'!$C$11)/4</f>
        <v>1312183.9455558769</v>
      </c>
      <c r="M7" s="196">
        <f>(M6*'Key Assumptions'!$C$11)/4</f>
        <v>1493755.6905526042</v>
      </c>
      <c r="N7" s="196">
        <f>(N6*'Key Assumptions'!$C$11)/4</f>
        <v>1517068.7270143477</v>
      </c>
      <c r="O7" s="196">
        <f>O6*'Key Assumptions'!$C$11</f>
        <v>5110094.3000751287</v>
      </c>
      <c r="P7" s="196">
        <f>P6*'Key Assumptions'!$C$11</f>
        <v>1882558.740147677</v>
      </c>
      <c r="Q7" s="196">
        <f>Q6*'Key Assumptions'!$C$11</f>
        <v>693534.63987040403</v>
      </c>
      <c r="R7" s="196">
        <f>R6*'Key Assumptions'!$C$11</f>
        <v>255498.1613282568</v>
      </c>
    </row>
    <row r="8" spans="2:18">
      <c r="B8" s="67" t="s">
        <v>167</v>
      </c>
      <c r="C8" s="196">
        <f>C7</f>
        <v>263740.37</v>
      </c>
      <c r="D8" s="196">
        <f>C8+D7</f>
        <v>615424.66557700001</v>
      </c>
      <c r="E8" s="196">
        <f t="shared" ref="E8:J8" si="0">D8+E7</f>
        <v>911578.01088239171</v>
      </c>
      <c r="F8" s="196">
        <f t="shared" si="0"/>
        <v>1290557.2729640622</v>
      </c>
      <c r="G8" s="196">
        <f t="shared" si="0"/>
        <v>1739284.2395630367</v>
      </c>
      <c r="H8" s="196">
        <f t="shared" si="0"/>
        <v>2376334.2781360331</v>
      </c>
      <c r="I8" s="196">
        <f t="shared" si="0"/>
        <v>2912794.1156183537</v>
      </c>
      <c r="J8" s="196">
        <f t="shared" si="0"/>
        <v>3753312.5347622158</v>
      </c>
      <c r="K8" s="196">
        <f t="shared" ref="K8:R8" si="1">J8+K7</f>
        <v>4849878.6855232622</v>
      </c>
      <c r="L8" s="196">
        <f t="shared" si="1"/>
        <v>6162062.6310791392</v>
      </c>
      <c r="M8" s="196">
        <f t="shared" si="1"/>
        <v>7655818.3216317436</v>
      </c>
      <c r="N8" s="196">
        <f t="shared" si="1"/>
        <v>9172887.0486460906</v>
      </c>
      <c r="O8" s="196">
        <f t="shared" si="1"/>
        <v>14282981.348721219</v>
      </c>
      <c r="P8" s="196">
        <f t="shared" si="1"/>
        <v>16165540.088868896</v>
      </c>
      <c r="Q8" s="196">
        <f t="shared" si="1"/>
        <v>16859074.728739299</v>
      </c>
      <c r="R8" s="196">
        <f t="shared" si="1"/>
        <v>17114572.890067555</v>
      </c>
    </row>
    <row r="9" spans="2:18">
      <c r="B9" s="64" t="s">
        <v>33</v>
      </c>
      <c r="C9" s="216">
        <f>C6-C7</f>
        <v>1406559.63</v>
      </c>
      <c r="D9" s="216">
        <f>D6-D7</f>
        <v>1875575.334423</v>
      </c>
      <c r="E9" s="216">
        <f t="shared" ref="E9:R9" si="2">E6-E7</f>
        <v>1579421.9891176084</v>
      </c>
      <c r="F9" s="216">
        <f t="shared" si="2"/>
        <v>2021142.7270359381</v>
      </c>
      <c r="G9" s="216">
        <f t="shared" si="2"/>
        <v>2393115.7604369633</v>
      </c>
      <c r="H9" s="216">
        <f t="shared" si="2"/>
        <v>3397465.7218639669</v>
      </c>
      <c r="I9" s="216">
        <f t="shared" si="2"/>
        <v>2861005.8843816463</v>
      </c>
      <c r="J9" s="216">
        <f t="shared" si="2"/>
        <v>4482587.4652377842</v>
      </c>
      <c r="K9" s="216">
        <f t="shared" si="2"/>
        <v>5848121.3144767378</v>
      </c>
      <c r="L9" s="216">
        <f t="shared" si="2"/>
        <v>6998037.3689208608</v>
      </c>
      <c r="M9" s="216">
        <f t="shared" si="2"/>
        <v>7966381.6783682564</v>
      </c>
      <c r="N9" s="216">
        <f t="shared" si="2"/>
        <v>8090712.9513539076</v>
      </c>
      <c r="O9" s="216">
        <f t="shared" si="2"/>
        <v>2980618.6512787789</v>
      </c>
      <c r="P9" s="216">
        <f t="shared" si="2"/>
        <v>1098059.9111311019</v>
      </c>
      <c r="Q9" s="216">
        <f t="shared" si="2"/>
        <v>404525.27126069786</v>
      </c>
      <c r="R9" s="216">
        <f t="shared" si="2"/>
        <v>149027.10993244106</v>
      </c>
    </row>
    <row r="10" spans="2:18">
      <c r="B10" s="65" t="s">
        <v>5</v>
      </c>
      <c r="C10" s="196"/>
      <c r="D10" s="196"/>
      <c r="E10" s="196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</row>
    <row r="11" spans="2:18">
      <c r="B11" s="67" t="s">
        <v>22</v>
      </c>
      <c r="C11" s="196">
        <f>Capex!C19</f>
        <v>1335500</v>
      </c>
      <c r="D11" s="196">
        <f>C14+Capex!D19</f>
        <v>2520522.5375000001</v>
      </c>
      <c r="E11" s="196">
        <f>D14+Capex!E19</f>
        <v>2236522.6605871874</v>
      </c>
      <c r="F11" s="196">
        <f>E14+Capex!F19</f>
        <v>3320022.4698055261</v>
      </c>
      <c r="G11" s="196">
        <f>F14+Capex!G19</f>
        <v>4281438.9380201884</v>
      </c>
      <c r="H11" s="196">
        <f>G14+Capex!H19</f>
        <v>6470027.8056787634</v>
      </c>
      <c r="I11" s="196">
        <f>H14+Capex!I19</f>
        <v>5741017.422673909</v>
      </c>
      <c r="J11" s="196">
        <f>I14+Capex!J19</f>
        <v>9100648.2845741268</v>
      </c>
      <c r="K11" s="196">
        <f>J14+Capex!K19</f>
        <v>12482382.739109738</v>
      </c>
      <c r="L11" s="196">
        <f>K14+Capex!L19</f>
        <v>15483080.263980549</v>
      </c>
      <c r="M11" s="196">
        <f>L14+Capex!M19</f>
        <v>18145674.195236541</v>
      </c>
      <c r="N11" s="196">
        <f>M14+Capex!N19</f>
        <v>19039210.355288263</v>
      </c>
      <c r="O11" s="196">
        <f>N14+Capex!O19</f>
        <v>16893967.328506157</v>
      </c>
      <c r="P11" s="196">
        <f>O14+Capex!P19</f>
        <v>14990439.559766725</v>
      </c>
      <c r="Q11" s="196">
        <f>P14+Capex!Q19</f>
        <v>8234248.4501798619</v>
      </c>
      <c r="R11" s="196">
        <f>Q14+Capex!R19</f>
        <v>4523072.6736837979</v>
      </c>
    </row>
    <row r="12" spans="2:18">
      <c r="B12" s="67" t="s">
        <v>43</v>
      </c>
      <c r="C12" s="196">
        <f>(C11*'Key Assumptions'!$C$12)/4</f>
        <v>150477.46249999999</v>
      </c>
      <c r="D12" s="196">
        <f>(D11*'Key Assumptions'!$C$12)/4</f>
        <v>283999.87691281253</v>
      </c>
      <c r="E12" s="196">
        <f>(E11*'Key Assumptions'!$C$12)/4</f>
        <v>252000.19078166134</v>
      </c>
      <c r="F12" s="196">
        <f>(F11*'Key Assumptions'!$C$12)/4</f>
        <v>374083.53178533766</v>
      </c>
      <c r="G12" s="196">
        <f>(G11*'Key Assumptions'!$C$12)/4</f>
        <v>482411.1323414247</v>
      </c>
      <c r="H12" s="196">
        <f>(H11*'Key Assumptions'!$C$12)/4</f>
        <v>729010.38300485467</v>
      </c>
      <c r="I12" s="196">
        <f>(I11*'Key Assumptions'!$C$12)/4</f>
        <v>646869.13809978263</v>
      </c>
      <c r="J12" s="196">
        <f>(J11*'Key Assumptions'!$C$12)/4</f>
        <v>1025415.5454643897</v>
      </c>
      <c r="K12" s="196">
        <f>(K11*'Key Assumptions'!$C$12)/4</f>
        <v>1406452.4751291897</v>
      </c>
      <c r="L12" s="196">
        <f>(L11*'Key Assumptions'!$C$12)/4</f>
        <v>1744556.0687440082</v>
      </c>
      <c r="M12" s="196">
        <f>(M11*'Key Assumptions'!$C$12)/4</f>
        <v>2044563.8399482772</v>
      </c>
      <c r="N12" s="196">
        <f>(N11*'Key Assumptions'!$C$12)/4</f>
        <v>2145243.0267821052</v>
      </c>
      <c r="O12" s="196">
        <f>(O11*'Key Assumptions'!$C$12)/4</f>
        <v>1903527.7687394312</v>
      </c>
      <c r="P12" s="196">
        <f>P11*'Key Assumptions'!$C$12</f>
        <v>6756191.1095868628</v>
      </c>
      <c r="Q12" s="196">
        <f>Q11*'Key Assumptions'!$C$12</f>
        <v>3711175.7764960635</v>
      </c>
      <c r="R12" s="196">
        <f>R11*'Key Assumptions'!$C$12</f>
        <v>2038548.8540292876</v>
      </c>
    </row>
    <row r="13" spans="2:18">
      <c r="B13" s="67" t="s">
        <v>167</v>
      </c>
      <c r="C13" s="216">
        <f>C12</f>
        <v>150477.46249999999</v>
      </c>
      <c r="D13" s="216">
        <f>C13+D12</f>
        <v>434477.33941281249</v>
      </c>
      <c r="E13" s="216">
        <f t="shared" ref="E13:J13" si="3">D13+E12</f>
        <v>686477.5301944738</v>
      </c>
      <c r="F13" s="216">
        <f t="shared" si="3"/>
        <v>1060561.0619798114</v>
      </c>
      <c r="G13" s="216">
        <f t="shared" si="3"/>
        <v>1542972.1943212361</v>
      </c>
      <c r="H13" s="216">
        <f t="shared" si="3"/>
        <v>2271982.577326091</v>
      </c>
      <c r="I13" s="216">
        <f t="shared" si="3"/>
        <v>2918851.7154258736</v>
      </c>
      <c r="J13" s="216">
        <f t="shared" si="3"/>
        <v>3944267.2608902631</v>
      </c>
      <c r="K13" s="216">
        <f t="shared" ref="K13:R13" si="4">J13+K12</f>
        <v>5350719.736019453</v>
      </c>
      <c r="L13" s="216">
        <f t="shared" si="4"/>
        <v>7095275.8047634615</v>
      </c>
      <c r="M13" s="216">
        <f t="shared" si="4"/>
        <v>9139839.6447117385</v>
      </c>
      <c r="N13" s="216">
        <f t="shared" si="4"/>
        <v>11285082.671493843</v>
      </c>
      <c r="O13" s="216">
        <f t="shared" si="4"/>
        <v>13188610.440233275</v>
      </c>
      <c r="P13" s="216">
        <f t="shared" si="4"/>
        <v>19944801.54982014</v>
      </c>
      <c r="Q13" s="216">
        <f t="shared" si="4"/>
        <v>23655977.326316204</v>
      </c>
      <c r="R13" s="216">
        <f t="shared" si="4"/>
        <v>25694526.180345491</v>
      </c>
    </row>
    <row r="14" spans="2:18">
      <c r="B14" s="64" t="s">
        <v>33</v>
      </c>
      <c r="C14" s="216">
        <f>C11-C12</f>
        <v>1185022.5375000001</v>
      </c>
      <c r="D14" s="216">
        <f t="shared" ref="D14:R14" si="5">D11-D12</f>
        <v>2236522.6605871874</v>
      </c>
      <c r="E14" s="216">
        <f t="shared" si="5"/>
        <v>1984522.4698055261</v>
      </c>
      <c r="F14" s="216">
        <f t="shared" si="5"/>
        <v>2945938.9380201884</v>
      </c>
      <c r="G14" s="216">
        <f t="shared" si="5"/>
        <v>3799027.8056787634</v>
      </c>
      <c r="H14" s="216">
        <f t="shared" si="5"/>
        <v>5741017.422673909</v>
      </c>
      <c r="I14" s="216">
        <f t="shared" si="5"/>
        <v>5094148.2845741268</v>
      </c>
      <c r="J14" s="216">
        <f t="shared" si="5"/>
        <v>8075232.7391097369</v>
      </c>
      <c r="K14" s="216">
        <f t="shared" si="5"/>
        <v>11075930.263980549</v>
      </c>
      <c r="L14" s="216">
        <f t="shared" si="5"/>
        <v>13738524.195236541</v>
      </c>
      <c r="M14" s="216">
        <f t="shared" si="5"/>
        <v>16101110.355288263</v>
      </c>
      <c r="N14" s="216">
        <f t="shared" si="5"/>
        <v>16893967.328506157</v>
      </c>
      <c r="O14" s="216">
        <f t="shared" si="5"/>
        <v>14990439.559766725</v>
      </c>
      <c r="P14" s="216">
        <f t="shared" si="5"/>
        <v>8234248.4501798619</v>
      </c>
      <c r="Q14" s="216">
        <f t="shared" si="5"/>
        <v>4523072.6736837979</v>
      </c>
      <c r="R14" s="216">
        <f t="shared" si="5"/>
        <v>2484523.8196545104</v>
      </c>
    </row>
    <row r="15" spans="2:18">
      <c r="B15" s="65" t="s">
        <v>173</v>
      </c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</row>
    <row r="16" spans="2:18">
      <c r="B16" s="67" t="s">
        <v>22</v>
      </c>
      <c r="C16" s="196">
        <f>Capex!C34</f>
        <v>1106750</v>
      </c>
      <c r="D16" s="196">
        <f>C19+Capex!D34</f>
        <v>1146865.60625</v>
      </c>
      <c r="E16" s="196">
        <f>D19+Capex!E34</f>
        <v>1072634.7298854687</v>
      </c>
      <c r="F16" s="196">
        <f>E19+Capex!F34</f>
        <v>1114958.4469936318</v>
      </c>
      <c r="G16" s="196">
        <f>F19+Capex!G34</f>
        <v>1154542.7615119689</v>
      </c>
      <c r="H16" s="196">
        <f>G19+Capex!H34</f>
        <v>1303314.9812731068</v>
      </c>
      <c r="I16" s="196">
        <f>H19+Capex!I34</f>
        <v>1218957.919110205</v>
      </c>
      <c r="J16" s="196">
        <f>I19+Capex!J34</f>
        <v>1475310.8677957971</v>
      </c>
      <c r="K16" s="196">
        <f>J19+Capex!K34</f>
        <v>1715071.3718777141</v>
      </c>
      <c r="L16" s="196">
        <f>K19+Capex!L34</f>
        <v>1939313.3773329291</v>
      </c>
      <c r="M16" s="196">
        <f>L19+Capex!M34</f>
        <v>2149041.3189850552</v>
      </c>
      <c r="N16" s="196">
        <f>M19+Capex!N34</f>
        <v>2233444.6196137476</v>
      </c>
      <c r="O16" s="196">
        <f>N19+Capex!O34</f>
        <v>2088884.9166092477</v>
      </c>
      <c r="P16" s="196">
        <f>O19+Capex!P34</f>
        <v>1548072.6116991134</v>
      </c>
      <c r="Q16" s="196">
        <f>P19+Capex!Q34</f>
        <v>1147276.6125302128</v>
      </c>
      <c r="R16" s="196">
        <f>Q19+Capex!R34</f>
        <v>850246.69754614076</v>
      </c>
    </row>
    <row r="17" spans="2:18">
      <c r="B17" s="67" t="s">
        <v>43</v>
      </c>
      <c r="C17" s="196">
        <f>(C16*'Key Assumptions'!$C$13)/4</f>
        <v>71634.393750000003</v>
      </c>
      <c r="D17" s="196">
        <f>(D16*'Key Assumptions'!$C$13)/4</f>
        <v>74230.876364531257</v>
      </c>
      <c r="E17" s="196">
        <f>(E16*'Key Assumptions'!$C$13)/4</f>
        <v>69426.282891836963</v>
      </c>
      <c r="F17" s="196">
        <f>(F16*'Key Assumptions'!$C$13)/4</f>
        <v>72165.685481662818</v>
      </c>
      <c r="G17" s="196">
        <f>(G16*'Key Assumptions'!$C$13)/4</f>
        <v>74727.780238862193</v>
      </c>
      <c r="H17" s="196">
        <f>(H16*'Key Assumptions'!$C$13)/4</f>
        <v>84357.062162901842</v>
      </c>
      <c r="I17" s="196">
        <f>(I16*'Key Assumptions'!$C$13)/4</f>
        <v>78897.051314408032</v>
      </c>
      <c r="J17" s="196">
        <f>(J16*'Key Assumptions'!$C$13)/4</f>
        <v>95489.495918082976</v>
      </c>
      <c r="K17" s="196">
        <f>(K16*'Key Assumptions'!$C$13)/4</f>
        <v>111007.99454478505</v>
      </c>
      <c r="L17" s="196">
        <f>(L16*'Key Assumptions'!$C$13)/4</f>
        <v>125522.05834787384</v>
      </c>
      <c r="M17" s="196">
        <f>(M16*'Key Assumptions'!$C$13)/4</f>
        <v>139096.69937130771</v>
      </c>
      <c r="N17" s="196">
        <f>(N16*'Key Assumptions'!$C$13)/4</f>
        <v>144559.70300449981</v>
      </c>
      <c r="O17" s="196">
        <f>O16*'Key Assumptions'!$C$13</f>
        <v>540812.30491013429</v>
      </c>
      <c r="P17" s="196">
        <f>P16*'Key Assumptions'!$C$13</f>
        <v>400795.99916890048</v>
      </c>
      <c r="Q17" s="196">
        <f>Q16*'Key Assumptions'!$C$13</f>
        <v>297029.91498407215</v>
      </c>
      <c r="R17" s="196">
        <f>R16*'Key Assumptions'!$C$13</f>
        <v>220128.86999469585</v>
      </c>
    </row>
    <row r="18" spans="2:18">
      <c r="B18" s="67" t="s">
        <v>167</v>
      </c>
      <c r="C18" s="216">
        <f>C17</f>
        <v>71634.393750000003</v>
      </c>
      <c r="D18" s="216">
        <f>C18+D17</f>
        <v>145865.27011453127</v>
      </c>
      <c r="E18" s="216">
        <f t="shared" ref="E18:J18" si="6">D18+E17</f>
        <v>215291.55300636822</v>
      </c>
      <c r="F18" s="216">
        <f t="shared" si="6"/>
        <v>287457.23848803103</v>
      </c>
      <c r="G18" s="216">
        <f t="shared" si="6"/>
        <v>362185.01872689323</v>
      </c>
      <c r="H18" s="216">
        <f t="shared" si="6"/>
        <v>446542.08088979509</v>
      </c>
      <c r="I18" s="216">
        <f t="shared" si="6"/>
        <v>525439.13220420317</v>
      </c>
      <c r="J18" s="216">
        <f t="shared" si="6"/>
        <v>620928.62812228617</v>
      </c>
      <c r="K18" s="216">
        <f t="shared" ref="K18:R18" si="7">J18+K17</f>
        <v>731936.62266707118</v>
      </c>
      <c r="L18" s="216">
        <f t="shared" si="7"/>
        <v>857458.68101494503</v>
      </c>
      <c r="M18" s="216">
        <f t="shared" si="7"/>
        <v>996555.38038625277</v>
      </c>
      <c r="N18" s="216">
        <f t="shared" si="7"/>
        <v>1141115.0833907526</v>
      </c>
      <c r="O18" s="216">
        <f t="shared" si="7"/>
        <v>1681927.3883008868</v>
      </c>
      <c r="P18" s="216">
        <f t="shared" si="7"/>
        <v>2082723.3874697874</v>
      </c>
      <c r="Q18" s="216">
        <f t="shared" si="7"/>
        <v>2379753.3024538597</v>
      </c>
      <c r="R18" s="216">
        <f t="shared" si="7"/>
        <v>2599882.1724485555</v>
      </c>
    </row>
    <row r="19" spans="2:18">
      <c r="B19" s="64" t="s">
        <v>33</v>
      </c>
      <c r="C19" s="216">
        <f>C16-C17</f>
        <v>1035115.60625</v>
      </c>
      <c r="D19" s="216">
        <f t="shared" ref="D19:J19" si="8">D16-D17</f>
        <v>1072634.7298854687</v>
      </c>
      <c r="E19" s="216">
        <f t="shared" si="8"/>
        <v>1003208.4469936318</v>
      </c>
      <c r="F19" s="216">
        <f t="shared" si="8"/>
        <v>1042792.7615119689</v>
      </c>
      <c r="G19" s="216">
        <f t="shared" si="8"/>
        <v>1079814.9812731068</v>
      </c>
      <c r="H19" s="216">
        <f t="shared" si="8"/>
        <v>1218957.919110205</v>
      </c>
      <c r="I19" s="216">
        <f t="shared" si="8"/>
        <v>1140060.8677957971</v>
      </c>
      <c r="J19" s="216">
        <f t="shared" si="8"/>
        <v>1379821.3718777141</v>
      </c>
      <c r="K19" s="216">
        <f t="shared" ref="K19:R19" si="9">K16-K17</f>
        <v>1604063.3773329291</v>
      </c>
      <c r="L19" s="216">
        <f t="shared" si="9"/>
        <v>1813791.3189850552</v>
      </c>
      <c r="M19" s="216">
        <f t="shared" si="9"/>
        <v>2009944.6196137476</v>
      </c>
      <c r="N19" s="216">
        <f t="shared" si="9"/>
        <v>2088884.9166092477</v>
      </c>
      <c r="O19" s="216">
        <f t="shared" si="9"/>
        <v>1548072.6116991134</v>
      </c>
      <c r="P19" s="216">
        <f t="shared" si="9"/>
        <v>1147276.6125302128</v>
      </c>
      <c r="Q19" s="216">
        <f t="shared" si="9"/>
        <v>850246.69754614076</v>
      </c>
      <c r="R19" s="216">
        <f t="shared" si="9"/>
        <v>630117.82755144488</v>
      </c>
    </row>
    <row r="20" spans="2:18">
      <c r="B20" s="65" t="s">
        <v>175</v>
      </c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</row>
    <row r="21" spans="2:18">
      <c r="B21" s="67" t="s">
        <v>22</v>
      </c>
      <c r="C21" s="216">
        <f>Capex!C42</f>
        <v>330000</v>
      </c>
      <c r="D21" s="216">
        <f>C24+Capex!D42</f>
        <v>376890.75</v>
      </c>
      <c r="E21" s="216">
        <f>D24+Capex!E42</f>
        <v>352496.49620624998</v>
      </c>
      <c r="F21" s="216">
        <f>E24+Capex!F42</f>
        <v>397931.16048930044</v>
      </c>
      <c r="G21" s="216">
        <f>F24+Capex!G42</f>
        <v>440425.06612663047</v>
      </c>
      <c r="H21" s="216">
        <f>G24+Capex!H42</f>
        <v>548418.55372158438</v>
      </c>
      <c r="I21" s="216">
        <f>H24+Capex!I42</f>
        <v>512922.16283195483</v>
      </c>
      <c r="J21" s="216">
        <f>I24+Capex!J42</f>
        <v>684473.27584265661</v>
      </c>
      <c r="K21" s="216">
        <f>J24+Capex!K42</f>
        <v>844920.74306374067</v>
      </c>
      <c r="L21" s="216">
        <f>K24+Capex!L42</f>
        <v>994983.24796894006</v>
      </c>
      <c r="M21" s="216">
        <f>L24+Capex!M42</f>
        <v>1135332.9572441503</v>
      </c>
      <c r="N21" s="216">
        <f>M24+Capex!N42</f>
        <v>1198348.5315865227</v>
      </c>
      <c r="O21" s="216">
        <f>N24+Capex!O42</f>
        <v>1120785.4228795851</v>
      </c>
      <c r="P21" s="216">
        <f>O24+Capex!P42</f>
        <v>830614.07689606049</v>
      </c>
      <c r="Q21" s="216">
        <f>P24+Capex!Q42</f>
        <v>615568.09238767042</v>
      </c>
      <c r="R21" s="216">
        <f>Q24+Capex!R42</f>
        <v>456197.51326850255</v>
      </c>
    </row>
    <row r="22" spans="2:18">
      <c r="B22" s="67" t="s">
        <v>43</v>
      </c>
      <c r="C22" s="216">
        <f>(C21*'Key Assumptions'!$C$14)/4</f>
        <v>21359.25</v>
      </c>
      <c r="D22" s="216">
        <f>(D21*'Key Assumptions'!$C$14)/4</f>
        <v>24394.253793750002</v>
      </c>
      <c r="E22" s="216">
        <f>(E21*'Key Assumptions'!$C$14)/4</f>
        <v>22815.335716949532</v>
      </c>
      <c r="F22" s="216">
        <f>(F21*'Key Assumptions'!$C$14)/4</f>
        <v>25756.094362669974</v>
      </c>
      <c r="G22" s="216">
        <f>(G21*'Key Assumptions'!$C$14)/4</f>
        <v>28506.51240504616</v>
      </c>
      <c r="H22" s="216">
        <f>(H21*'Key Assumptions'!$C$14)/4</f>
        <v>35496.390889629554</v>
      </c>
      <c r="I22" s="216">
        <f>(I21*'Key Assumptions'!$C$14)/4</f>
        <v>33198.886989298277</v>
      </c>
      <c r="J22" s="216">
        <f>(J21*'Key Assumptions'!$C$14)/4</f>
        <v>44302.532778915949</v>
      </c>
      <c r="K22" s="216">
        <f>(K21*'Key Assumptions'!$C$14)/4</f>
        <v>54687.495094800615</v>
      </c>
      <c r="L22" s="216">
        <f>(L21*'Key Assumptions'!$C$14)/4</f>
        <v>64400.290724789651</v>
      </c>
      <c r="M22" s="216">
        <f>(M21*'Key Assumptions'!$C$14)/4</f>
        <v>73484.425657627638</v>
      </c>
      <c r="N22" s="216">
        <f>(N21*'Key Assumptions'!$C$14)/4</f>
        <v>77563.108706937681</v>
      </c>
      <c r="O22" s="216">
        <f>O21*'Key Assumptions'!$C$14</f>
        <v>290171.34598352457</v>
      </c>
      <c r="P22" s="216">
        <f>P21*'Key Assumptions'!$C$14</f>
        <v>215045.98450839007</v>
      </c>
      <c r="Q22" s="216">
        <f>Q21*'Key Assumptions'!$C$14</f>
        <v>159370.57911916787</v>
      </c>
      <c r="R22" s="216">
        <f>R21*'Key Assumptions'!$C$14</f>
        <v>118109.53618521531</v>
      </c>
    </row>
    <row r="23" spans="2:18">
      <c r="B23" s="67" t="s">
        <v>167</v>
      </c>
      <c r="C23" s="216">
        <f>C22</f>
        <v>21359.25</v>
      </c>
      <c r="D23" s="216">
        <f>C23+D22</f>
        <v>45753.503793750002</v>
      </c>
      <c r="E23" s="216">
        <f t="shared" ref="E23:J23" si="10">D23+E22</f>
        <v>68568.83951069953</v>
      </c>
      <c r="F23" s="216">
        <f t="shared" si="10"/>
        <v>94324.933873369504</v>
      </c>
      <c r="G23" s="216">
        <f t="shared" si="10"/>
        <v>122831.44627841566</v>
      </c>
      <c r="H23" s="216">
        <f t="shared" si="10"/>
        <v>158327.83716804523</v>
      </c>
      <c r="I23" s="216">
        <f t="shared" si="10"/>
        <v>191526.7241573435</v>
      </c>
      <c r="J23" s="216">
        <f t="shared" si="10"/>
        <v>235829.25693625945</v>
      </c>
      <c r="K23" s="216">
        <f t="shared" ref="K23:R23" si="11">J23+K22</f>
        <v>290516.75203106005</v>
      </c>
      <c r="L23" s="216">
        <f t="shared" si="11"/>
        <v>354917.04275584972</v>
      </c>
      <c r="M23" s="216">
        <f t="shared" si="11"/>
        <v>428401.46841347736</v>
      </c>
      <c r="N23" s="216">
        <f t="shared" si="11"/>
        <v>505964.57712041505</v>
      </c>
      <c r="O23" s="216">
        <f t="shared" si="11"/>
        <v>796135.92310393963</v>
      </c>
      <c r="P23" s="216">
        <f t="shared" si="11"/>
        <v>1011181.9076123297</v>
      </c>
      <c r="Q23" s="216">
        <f t="shared" si="11"/>
        <v>1170552.4867314976</v>
      </c>
      <c r="R23" s="216">
        <f t="shared" si="11"/>
        <v>1288662.0229167128</v>
      </c>
    </row>
    <row r="24" spans="2:18">
      <c r="B24" s="64" t="s">
        <v>33</v>
      </c>
      <c r="C24" s="216">
        <f>C21-C22</f>
        <v>308640.75</v>
      </c>
      <c r="D24" s="216">
        <f t="shared" ref="D24:J24" si="12">D21-D22</f>
        <v>352496.49620624998</v>
      </c>
      <c r="E24" s="216">
        <f t="shared" si="12"/>
        <v>329681.16048930044</v>
      </c>
      <c r="F24" s="216">
        <f t="shared" si="12"/>
        <v>372175.06612663047</v>
      </c>
      <c r="G24" s="216">
        <f t="shared" si="12"/>
        <v>411918.55372158432</v>
      </c>
      <c r="H24" s="216">
        <f t="shared" si="12"/>
        <v>512922.16283195483</v>
      </c>
      <c r="I24" s="216">
        <f t="shared" si="12"/>
        <v>479723.27584265656</v>
      </c>
      <c r="J24" s="216">
        <f t="shared" si="12"/>
        <v>640170.74306374067</v>
      </c>
      <c r="K24" s="216">
        <f t="shared" ref="K24:R24" si="13">K21-K22</f>
        <v>790233.24796894006</v>
      </c>
      <c r="L24" s="216">
        <f t="shared" si="13"/>
        <v>930582.95724415046</v>
      </c>
      <c r="M24" s="216">
        <f t="shared" si="13"/>
        <v>1061848.5315865227</v>
      </c>
      <c r="N24" s="216">
        <f t="shared" si="13"/>
        <v>1120785.4228795851</v>
      </c>
      <c r="O24" s="216">
        <f t="shared" si="13"/>
        <v>830614.07689606049</v>
      </c>
      <c r="P24" s="216">
        <f t="shared" si="13"/>
        <v>615568.09238767042</v>
      </c>
      <c r="Q24" s="216">
        <f t="shared" si="13"/>
        <v>456197.51326850255</v>
      </c>
      <c r="R24" s="216">
        <f t="shared" si="13"/>
        <v>338087.9770832872</v>
      </c>
    </row>
    <row r="25" spans="2:18">
      <c r="B25" s="68" t="s">
        <v>174</v>
      </c>
      <c r="C25" s="216">
        <f t="shared" ref="C25:J25" si="14">C22+C17+C12+C7</f>
        <v>507211.47625000001</v>
      </c>
      <c r="D25" s="216">
        <f t="shared" si="14"/>
        <v>734309.30264809378</v>
      </c>
      <c r="E25" s="216">
        <f t="shared" si="14"/>
        <v>640395.1546958395</v>
      </c>
      <c r="F25" s="216">
        <f t="shared" si="14"/>
        <v>850984.57371134078</v>
      </c>
      <c r="G25" s="216">
        <f t="shared" si="14"/>
        <v>1034372.3915843077</v>
      </c>
      <c r="H25" s="216">
        <f t="shared" si="14"/>
        <v>1485913.8746303828</v>
      </c>
      <c r="I25" s="216">
        <f t="shared" si="14"/>
        <v>1295424.9138858095</v>
      </c>
      <c r="J25" s="216">
        <f t="shared" si="14"/>
        <v>2005725.9933052505</v>
      </c>
      <c r="K25" s="216">
        <f t="shared" ref="K25:R25" si="15">K22+K17+K12+K7</f>
        <v>2668714.1155298213</v>
      </c>
      <c r="L25" s="216">
        <f t="shared" si="15"/>
        <v>3246662.3633725485</v>
      </c>
      <c r="M25" s="216">
        <f t="shared" si="15"/>
        <v>3750900.6555298166</v>
      </c>
      <c r="N25" s="216">
        <f t="shared" si="15"/>
        <v>3884434.5655078907</v>
      </c>
      <c r="O25" s="216">
        <f t="shared" si="15"/>
        <v>7844605.7197082192</v>
      </c>
      <c r="P25" s="216">
        <f t="shared" si="15"/>
        <v>9254591.8334118295</v>
      </c>
      <c r="Q25" s="216">
        <f t="shared" si="15"/>
        <v>4861110.9104697071</v>
      </c>
      <c r="R25" s="216">
        <f t="shared" si="15"/>
        <v>2632285.4215374552</v>
      </c>
    </row>
    <row r="26" spans="2:18">
      <c r="B26" s="27" t="s">
        <v>151</v>
      </c>
    </row>
  </sheetData>
  <sheetProtection sheet="1" objects="1" scenarios="1"/>
  <mergeCells count="8">
    <mergeCell ref="R3:R4"/>
    <mergeCell ref="C3:F3"/>
    <mergeCell ref="G3:J3"/>
    <mergeCell ref="B3:B4"/>
    <mergeCell ref="K3:N3"/>
    <mergeCell ref="O3:O4"/>
    <mergeCell ref="P3:P4"/>
    <mergeCell ref="Q3:Q4"/>
  </mergeCells>
  <hyperlinks>
    <hyperlink ref="B26" location="Index!A1" display="Back to Inde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Cover Page</vt:lpstr>
      <vt:lpstr>Index</vt:lpstr>
      <vt:lpstr>Checklist</vt:lpstr>
      <vt:lpstr>Balance Sheet</vt:lpstr>
      <vt:lpstr>P&amp;L Statement</vt:lpstr>
      <vt:lpstr>Cash Flow Statement</vt:lpstr>
      <vt:lpstr>Debt Repayment Schedule</vt:lpstr>
      <vt:lpstr>Content Dev </vt:lpstr>
      <vt:lpstr>Depreciation</vt:lpstr>
      <vt:lpstr>Taxes</vt:lpstr>
      <vt:lpstr>Fund Utilization</vt:lpstr>
      <vt:lpstr>Revenue Schedule</vt:lpstr>
      <vt:lpstr>Operational Expenses</vt:lpstr>
      <vt:lpstr>Capex</vt:lpstr>
      <vt:lpstr>CA and CL</vt:lpstr>
      <vt:lpstr>Key Assumptions</vt:lpstr>
      <vt:lpstr>No. of Students Trained</vt:lpstr>
      <vt:lpstr>Revenue Assumptions</vt:lpstr>
      <vt:lpstr>Capacity Utilization </vt:lpstr>
      <vt:lpstr>Human Resources</vt:lpstr>
      <vt:lpstr>Other Opex</vt:lpstr>
      <vt:lpstr>Other CA and CL</vt:lpstr>
      <vt:lpstr>Capex per Unit</vt:lpstr>
      <vt:lpstr>Equipment-Lab Costs</vt:lpstr>
      <vt:lpstr>Content Development</vt:lpstr>
      <vt:lpstr>Calculation Sheet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G, Manigandan</dc:creator>
  <cp:lastModifiedBy>Shanky</cp:lastModifiedBy>
  <dcterms:created xsi:type="dcterms:W3CDTF">2014-08-28T07:16:19Z</dcterms:created>
  <dcterms:modified xsi:type="dcterms:W3CDTF">2018-06-26T04:38:43Z</dcterms:modified>
</cp:coreProperties>
</file>