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filterPrivacy="1" defaultThemeVersion="124226"/>
  <bookViews>
    <workbookView xWindow="0" yWindow="0" windowWidth="20490" windowHeight="7530" firstSheet="3" activeTab="13"/>
  </bookViews>
  <sheets>
    <sheet name="Sheet1" sheetId="1" state="hidden" r:id="rId1"/>
    <sheet name="sales " sheetId="2" state="hidden" r:id="rId2"/>
    <sheet name="building" sheetId="3" state="hidden" r:id="rId3"/>
    <sheet name="mean of finance" sheetId="4" r:id="rId4"/>
    <sheet name="CMI iii" sheetId="29" r:id="rId5"/>
    <sheet name="form ii" sheetId="28" r:id="rId6"/>
    <sheet name="Cash Flow 2" sheetId="30" r:id="rId7"/>
    <sheet name="Material used" sheetId="25" r:id="rId8"/>
    <sheet name="dep." sheetId="9" r:id="rId9"/>
    <sheet name="Finance cost" sheetId="22" r:id="rId10"/>
    <sheet name="term loan" sheetId="5" r:id="rId11"/>
    <sheet name="man power" sheetId="23" r:id="rId12"/>
    <sheet name=" energy" sheetId="24" r:id="rId13"/>
    <sheet name="MPBF" sheetId="27" r:id="rId14"/>
    <sheet name="ratios" sheetId="26" r:id="rId15"/>
    <sheet name="Sheet6" sheetId="6" state="hidden" r:id="rId16"/>
    <sheet name="power" sheetId="8" state="hidden" r:id="rId17"/>
    <sheet name="fee structure" sheetId="15" state="hidden" r:id="rId18"/>
    <sheet name="student detail" sheetId="14" state="hidden" r:id="rId19"/>
    <sheet name="Sheet12" sheetId="12" state="hidden" r:id="rId20"/>
    <sheet name="bs" sheetId="13" state="hidden" r:id="rId21"/>
    <sheet name="taxation" sheetId="21" state="hidden" r:id="rId22"/>
    <sheet name="cash flow" sheetId="20" state="hidden" r:id="rId23"/>
    <sheet name="ratio" sheetId="19" state="hidden" r:id="rId24"/>
    <sheet name="dscr" sheetId="17" state="hidden" r:id="rId25"/>
    <sheet name="Sheet2" sheetId="18" state="hidden" r:id="rId26"/>
  </sheets>
  <externalReferences>
    <externalReference r:id="rId27"/>
    <externalReference r:id="rId28"/>
  </externalReferences>
  <definedNames>
    <definedName name="_xlnm.Print_Area" localSheetId="20">bs!$A$1:$K$44</definedName>
    <definedName name="_xlnm.Print_Area" localSheetId="2">building!$A$1:$G$81</definedName>
    <definedName name="_xlnm.Print_Area" localSheetId="22">'cash flow'!$A$1:$H$37</definedName>
    <definedName name="_xlnm.Print_Area" localSheetId="6">'Cash Flow 2'!$A$1:$K$52</definedName>
    <definedName name="_xlnm.Print_Area" localSheetId="4">'CMI iii'!$A$1:$K$123</definedName>
    <definedName name="_xlnm.Print_Area" localSheetId="8">dep.!$A$1:$L$36</definedName>
    <definedName name="_xlnm.Print_Area" localSheetId="24">dscr!$A$1:$G$27</definedName>
    <definedName name="_xlnm.Print_Area" localSheetId="17">'fee structure'!$A$1:$G$28</definedName>
    <definedName name="_xlnm.Print_Area" localSheetId="5">'form ii'!$A$1:$L$78</definedName>
    <definedName name="_xlnm.Print_Area" localSheetId="11">'man power'!$A$1:$K$24</definedName>
    <definedName name="_xlnm.Print_Area" localSheetId="7">'Material used'!$A$1:$H$28</definedName>
    <definedName name="_xlnm.Print_Area" localSheetId="3">'mean of finance'!$A$1:$F$40</definedName>
    <definedName name="_xlnm.Print_Area" localSheetId="13">MPBF!$A$1:$G$67</definedName>
    <definedName name="_xlnm.Print_Area" localSheetId="23">ratio!$A$1:$H$37</definedName>
    <definedName name="_xlnm.Print_Area" localSheetId="14">ratios!$A$1:$L$84</definedName>
    <definedName name="_xlnm.Print_Area" localSheetId="1">'sales '!$A$1:$I$21</definedName>
    <definedName name="_xlnm.Print_Area" localSheetId="0">Sheet1!$A$1:$F$43</definedName>
    <definedName name="_xlnm.Print_Area" localSheetId="19">Sheet12!$A$1:$G$41</definedName>
    <definedName name="_xlnm.Print_Area" localSheetId="25">Sheet2!$A$1:$E$49</definedName>
    <definedName name="_xlnm.Print_Area" localSheetId="15">Sheet6!$A$1:$I$15</definedName>
    <definedName name="_xlnm.Print_Area" localSheetId="18">'student detail'!$A$1:$I$80</definedName>
    <definedName name="_xlnm.Print_Area" localSheetId="21">taxation!$A$1:$G$27</definedName>
    <definedName name="_xlnm.Print_Area" localSheetId="10">'term loan'!$A$1:$G$90</definedName>
    <definedName name="_xlnm.Print_Titles" localSheetId="4">'CMI iii'!$6:$7</definedName>
    <definedName name="Workings">'form ii'!$C$91:$E$115</definedName>
  </definedNames>
  <calcPr calcId="162913"/>
</workbook>
</file>

<file path=xl/calcChain.xml><?xml version="1.0" encoding="utf-8"?>
<calcChain xmlns="http://schemas.openxmlformats.org/spreadsheetml/2006/main">
  <c r="B1" i="30" l="1"/>
  <c r="B1" i="28"/>
  <c r="B1" i="29"/>
  <c r="L82" i="26"/>
  <c r="K82" i="26"/>
  <c r="J82" i="26"/>
  <c r="I82" i="26"/>
  <c r="H82" i="26"/>
  <c r="L81" i="26"/>
  <c r="K81" i="26"/>
  <c r="J81" i="26"/>
  <c r="I81" i="26"/>
  <c r="H81" i="26"/>
  <c r="G82" i="26"/>
  <c r="G81" i="26"/>
  <c r="L69" i="26"/>
  <c r="K69" i="26"/>
  <c r="J69" i="26"/>
  <c r="I69" i="26"/>
  <c r="I71" i="26" s="1"/>
  <c r="H69" i="26"/>
  <c r="G69" i="26"/>
  <c r="L60" i="26"/>
  <c r="K60" i="26"/>
  <c r="J60" i="26"/>
  <c r="I60" i="26"/>
  <c r="H60" i="26"/>
  <c r="L59" i="26"/>
  <c r="K59" i="26"/>
  <c r="J59" i="26"/>
  <c r="I59" i="26"/>
  <c r="H59" i="26"/>
  <c r="G60" i="26"/>
  <c r="G59" i="26"/>
  <c r="L53" i="26"/>
  <c r="K53" i="26"/>
  <c r="J53" i="26"/>
  <c r="I53" i="26"/>
  <c r="H53" i="26"/>
  <c r="G53" i="26"/>
  <c r="L42" i="26"/>
  <c r="K42" i="26"/>
  <c r="J42" i="26"/>
  <c r="I42" i="26"/>
  <c r="H42" i="26"/>
  <c r="G42" i="26"/>
  <c r="L28" i="26"/>
  <c r="K28" i="26"/>
  <c r="J28" i="26"/>
  <c r="I28" i="26"/>
  <c r="H28" i="26"/>
  <c r="L27" i="26"/>
  <c r="K27" i="26"/>
  <c r="J27" i="26"/>
  <c r="I27" i="26"/>
  <c r="H27" i="26"/>
  <c r="G28" i="26"/>
  <c r="G27" i="26"/>
  <c r="L21" i="26"/>
  <c r="K21" i="26"/>
  <c r="J21" i="26"/>
  <c r="I21" i="26"/>
  <c r="H21" i="26"/>
  <c r="L20" i="26"/>
  <c r="K20" i="26"/>
  <c r="J20" i="26"/>
  <c r="I20" i="26"/>
  <c r="H20" i="26"/>
  <c r="G21" i="26"/>
  <c r="G20" i="26"/>
  <c r="K9" i="30"/>
  <c r="J9" i="30"/>
  <c r="I9" i="30"/>
  <c r="H9" i="30"/>
  <c r="G9" i="30"/>
  <c r="K43" i="30"/>
  <c r="J43" i="30"/>
  <c r="I43" i="30"/>
  <c r="H43" i="30"/>
  <c r="G43" i="30"/>
  <c r="K42" i="30"/>
  <c r="J42" i="30"/>
  <c r="I42" i="30"/>
  <c r="H42" i="30"/>
  <c r="G42" i="30"/>
  <c r="K40" i="30"/>
  <c r="J40" i="30"/>
  <c r="I40" i="30"/>
  <c r="H40" i="30"/>
  <c r="G40" i="30"/>
  <c r="K24" i="30"/>
  <c r="J24" i="30"/>
  <c r="I24" i="30"/>
  <c r="H24" i="30"/>
  <c r="H26" i="30" s="1"/>
  <c r="G24" i="30"/>
  <c r="K23" i="30"/>
  <c r="J23" i="30"/>
  <c r="I23" i="30"/>
  <c r="H23" i="30"/>
  <c r="G23" i="30"/>
  <c r="K21" i="30"/>
  <c r="J21" i="30"/>
  <c r="J26" i="30" s="1"/>
  <c r="I21" i="30"/>
  <c r="H21" i="30"/>
  <c r="G21" i="30"/>
  <c r="K20" i="30"/>
  <c r="K26" i="30" s="1"/>
  <c r="J20" i="30"/>
  <c r="I20" i="30"/>
  <c r="H20" i="30"/>
  <c r="G20" i="30"/>
  <c r="K14" i="30"/>
  <c r="J14" i="30"/>
  <c r="I14" i="30"/>
  <c r="H14" i="30"/>
  <c r="G14" i="30"/>
  <c r="K12" i="30"/>
  <c r="J12" i="30"/>
  <c r="I12" i="30"/>
  <c r="H12" i="30"/>
  <c r="G12" i="30"/>
  <c r="K11" i="30"/>
  <c r="J11" i="30"/>
  <c r="I11" i="30"/>
  <c r="H11" i="30"/>
  <c r="G11" i="30"/>
  <c r="K34" i="29"/>
  <c r="J34" i="29"/>
  <c r="I34" i="29"/>
  <c r="I47" i="29" s="1"/>
  <c r="H34" i="29"/>
  <c r="G34" i="29"/>
  <c r="F34" i="29"/>
  <c r="F42" i="30" s="1"/>
  <c r="F43" i="30"/>
  <c r="F24" i="30"/>
  <c r="F23" i="30"/>
  <c r="F21" i="30"/>
  <c r="F40" i="30"/>
  <c r="F20" i="30"/>
  <c r="F14" i="30"/>
  <c r="F12" i="30"/>
  <c r="F11" i="30"/>
  <c r="F9" i="30"/>
  <c r="I17" i="30"/>
  <c r="H17" i="30"/>
  <c r="F99" i="29"/>
  <c r="F35" i="30" s="1"/>
  <c r="F37" i="30" s="1"/>
  <c r="E99" i="29"/>
  <c r="K100" i="29"/>
  <c r="J100" i="29"/>
  <c r="I100" i="29"/>
  <c r="H100" i="29"/>
  <c r="G100" i="29"/>
  <c r="F100" i="29"/>
  <c r="E100" i="29"/>
  <c r="D100" i="29"/>
  <c r="D98" i="29"/>
  <c r="K79" i="29"/>
  <c r="J79" i="29"/>
  <c r="I79" i="29"/>
  <c r="H79" i="29"/>
  <c r="G79" i="29"/>
  <c r="F79" i="29"/>
  <c r="E79" i="29"/>
  <c r="K78" i="29"/>
  <c r="J78" i="29"/>
  <c r="I78" i="29"/>
  <c r="H78" i="29"/>
  <c r="G78" i="29"/>
  <c r="F78" i="29"/>
  <c r="E78" i="29"/>
  <c r="D79" i="29"/>
  <c r="D78" i="29"/>
  <c r="K57" i="29"/>
  <c r="J57" i="29"/>
  <c r="I57" i="29"/>
  <c r="H57" i="29"/>
  <c r="G57" i="29"/>
  <c r="F57" i="29"/>
  <c r="E57" i="29"/>
  <c r="D57" i="29"/>
  <c r="K22" i="29"/>
  <c r="J22" i="29"/>
  <c r="I22" i="29"/>
  <c r="H22" i="29"/>
  <c r="G22" i="29"/>
  <c r="F22" i="29"/>
  <c r="E22" i="29"/>
  <c r="D22" i="29"/>
  <c r="F15" i="29"/>
  <c r="F18" i="29" s="1"/>
  <c r="N25" i="29" s="1"/>
  <c r="N26" i="29" s="1"/>
  <c r="L48" i="28"/>
  <c r="K48" i="28"/>
  <c r="J48" i="28"/>
  <c r="I48" i="28"/>
  <c r="H48" i="28"/>
  <c r="G48" i="28"/>
  <c r="L44" i="28"/>
  <c r="K44" i="28"/>
  <c r="J44" i="28"/>
  <c r="I44" i="28"/>
  <c r="H44" i="28"/>
  <c r="G44" i="28"/>
  <c r="L41" i="28"/>
  <c r="K41" i="28"/>
  <c r="J41" i="28"/>
  <c r="I41" i="28"/>
  <c r="H41" i="28"/>
  <c r="G41" i="28"/>
  <c r="H39" i="28" s="1"/>
  <c r="L37" i="28"/>
  <c r="K37" i="28"/>
  <c r="J37" i="28"/>
  <c r="I37" i="28"/>
  <c r="H37" i="28"/>
  <c r="G37" i="28"/>
  <c r="H35" i="28" s="1"/>
  <c r="L30" i="28"/>
  <c r="K30" i="28"/>
  <c r="J30" i="28"/>
  <c r="I30" i="28"/>
  <c r="I32" i="28" s="1"/>
  <c r="O32" i="28" s="1"/>
  <c r="H30" i="28"/>
  <c r="G30" i="28"/>
  <c r="L29" i="28"/>
  <c r="K29" i="28"/>
  <c r="K32" i="28" s="1"/>
  <c r="J29" i="28"/>
  <c r="I29" i="28"/>
  <c r="H29" i="28"/>
  <c r="G29" i="28"/>
  <c r="L22" i="28"/>
  <c r="K22" i="28"/>
  <c r="J22" i="28"/>
  <c r="I22" i="28"/>
  <c r="H22" i="28"/>
  <c r="G22" i="28"/>
  <c r="L13" i="28"/>
  <c r="K13" i="28"/>
  <c r="J13" i="28"/>
  <c r="I13" i="28"/>
  <c r="H13" i="28"/>
  <c r="G13" i="28"/>
  <c r="G11" i="28" s="1"/>
  <c r="D5" i="30"/>
  <c r="C9" i="30"/>
  <c r="D9" i="30"/>
  <c r="E9" i="30"/>
  <c r="C11" i="30"/>
  <c r="E11" i="30"/>
  <c r="C12" i="30"/>
  <c r="D12" i="30"/>
  <c r="E12" i="30"/>
  <c r="G30" i="30"/>
  <c r="K30" i="30"/>
  <c r="D13" i="30"/>
  <c r="C14" i="30"/>
  <c r="D14" i="30"/>
  <c r="D40" i="30" s="1"/>
  <c r="D44" i="30" s="1"/>
  <c r="E14" i="30"/>
  <c r="G17" i="30"/>
  <c r="J17" i="30"/>
  <c r="K17" i="30"/>
  <c r="C20" i="30"/>
  <c r="C26" i="30" s="1"/>
  <c r="D20" i="30"/>
  <c r="E20" i="30"/>
  <c r="G26" i="30"/>
  <c r="D21" i="30"/>
  <c r="E21" i="30"/>
  <c r="D23" i="30"/>
  <c r="E23" i="30"/>
  <c r="M23" i="30"/>
  <c r="N23" i="30"/>
  <c r="D24" i="30"/>
  <c r="E24" i="30"/>
  <c r="D26" i="30"/>
  <c r="I26" i="30"/>
  <c r="E30" i="30"/>
  <c r="F30" i="30"/>
  <c r="H30" i="30"/>
  <c r="I30" i="30"/>
  <c r="J30" i="30"/>
  <c r="D35" i="30"/>
  <c r="E35" i="30"/>
  <c r="C37" i="30"/>
  <c r="D37" i="30"/>
  <c r="E37" i="30"/>
  <c r="G37" i="30"/>
  <c r="H37" i="30"/>
  <c r="I37" i="30"/>
  <c r="J37" i="30"/>
  <c r="K37" i="30"/>
  <c r="B40" i="30"/>
  <c r="C40" i="30"/>
  <c r="C44" i="30" s="1"/>
  <c r="E40" i="30"/>
  <c r="E44" i="30" s="1"/>
  <c r="I44" i="30"/>
  <c r="D41" i="30"/>
  <c r="E41" i="30"/>
  <c r="D42" i="30"/>
  <c r="E42" i="30"/>
  <c r="D43" i="30"/>
  <c r="G44" i="30"/>
  <c r="H44" i="30"/>
  <c r="J44" i="30"/>
  <c r="K44" i="30"/>
  <c r="D48" i="30"/>
  <c r="E48" i="30"/>
  <c r="F48" i="30"/>
  <c r="D50" i="30"/>
  <c r="C14" i="29"/>
  <c r="H15" i="29"/>
  <c r="I15" i="29" s="1"/>
  <c r="C16" i="29"/>
  <c r="C18" i="29"/>
  <c r="D18" i="29"/>
  <c r="E18" i="29"/>
  <c r="L18" i="29"/>
  <c r="N18" i="29"/>
  <c r="C20" i="29"/>
  <c r="C21" i="29"/>
  <c r="C24" i="29"/>
  <c r="D26" i="29"/>
  <c r="E26" i="29"/>
  <c r="C30" i="29"/>
  <c r="D30" i="29"/>
  <c r="D31" i="29" s="1"/>
  <c r="E30" i="29"/>
  <c r="E31" i="29" s="1"/>
  <c r="C31" i="29"/>
  <c r="C49" i="29" s="1"/>
  <c r="D36" i="29"/>
  <c r="D47" i="29" s="1"/>
  <c r="E36" i="29"/>
  <c r="C47" i="29"/>
  <c r="E47" i="29"/>
  <c r="H47" i="29"/>
  <c r="J47" i="29"/>
  <c r="C51" i="29"/>
  <c r="L51" i="29"/>
  <c r="D53" i="29"/>
  <c r="E53" i="29"/>
  <c r="F53" i="29" s="1"/>
  <c r="C59" i="29"/>
  <c r="D59" i="29"/>
  <c r="D125" i="29" s="1"/>
  <c r="E59" i="29"/>
  <c r="F14" i="26" s="1"/>
  <c r="L59" i="29"/>
  <c r="C66" i="29"/>
  <c r="D66" i="29"/>
  <c r="E66" i="29"/>
  <c r="O71" i="29"/>
  <c r="I41" i="26"/>
  <c r="C80" i="29"/>
  <c r="C96" i="29" s="1"/>
  <c r="L80" i="29"/>
  <c r="C91" i="29"/>
  <c r="H91" i="29"/>
  <c r="I91" i="29"/>
  <c r="J91" i="29" s="1"/>
  <c r="K91" i="29" s="1"/>
  <c r="C93" i="29"/>
  <c r="D93" i="29"/>
  <c r="D96" i="29" s="1"/>
  <c r="C94" i="29"/>
  <c r="E96" i="29"/>
  <c r="E131" i="29" s="1"/>
  <c r="L96" i="29"/>
  <c r="L98" i="29"/>
  <c r="L102" i="29" s="1"/>
  <c r="H99" i="29"/>
  <c r="I99" i="29"/>
  <c r="L100" i="29"/>
  <c r="C102" i="29"/>
  <c r="C116" i="29"/>
  <c r="D116" i="29"/>
  <c r="D120" i="29" s="1"/>
  <c r="E116" i="29"/>
  <c r="F116" i="29"/>
  <c r="G116" i="29"/>
  <c r="H116" i="29"/>
  <c r="H120" i="29" s="1"/>
  <c r="I116" i="29"/>
  <c r="J116" i="29"/>
  <c r="K116" i="29"/>
  <c r="C120" i="29"/>
  <c r="C128" i="29" s="1"/>
  <c r="E120" i="29"/>
  <c r="F120" i="29"/>
  <c r="G120" i="29"/>
  <c r="I120" i="29"/>
  <c r="J120" i="29"/>
  <c r="K120" i="29"/>
  <c r="C125" i="29"/>
  <c r="E127" i="28"/>
  <c r="E126" i="28"/>
  <c r="E120" i="28"/>
  <c r="E119" i="28"/>
  <c r="E122" i="28" s="1"/>
  <c r="E115" i="28"/>
  <c r="E110" i="28"/>
  <c r="E112" i="28" s="1"/>
  <c r="C109" i="28"/>
  <c r="C108" i="28"/>
  <c r="E100" i="28"/>
  <c r="E101" i="28" s="1"/>
  <c r="E92" i="28"/>
  <c r="E91" i="28"/>
  <c r="R65" i="28"/>
  <c r="R66" i="28" s="1"/>
  <c r="Q65" i="28"/>
  <c r="Q66" i="28" s="1"/>
  <c r="P65" i="28"/>
  <c r="P66" i="28" s="1"/>
  <c r="F63" i="28"/>
  <c r="M62" i="28"/>
  <c r="L62" i="28"/>
  <c r="K62" i="28"/>
  <c r="J62" i="28"/>
  <c r="I62" i="28"/>
  <c r="H62" i="28"/>
  <c r="G62" i="28"/>
  <c r="F62" i="28"/>
  <c r="E62" i="28"/>
  <c r="D62" i="28"/>
  <c r="I57" i="28"/>
  <c r="I63" i="28" s="1"/>
  <c r="H57" i="28"/>
  <c r="G57" i="28"/>
  <c r="G63" i="28" s="1"/>
  <c r="F57" i="28"/>
  <c r="E57" i="28"/>
  <c r="E63" i="28" s="1"/>
  <c r="D57" i="28"/>
  <c r="D63" i="28" s="1"/>
  <c r="I55" i="28"/>
  <c r="J55" i="28" s="1"/>
  <c r="R52" i="28"/>
  <c r="Q52" i="28"/>
  <c r="P52" i="28"/>
  <c r="Q55" i="28" s="1"/>
  <c r="F43" i="28"/>
  <c r="E43" i="28"/>
  <c r="R42" i="28"/>
  <c r="Q42" i="28"/>
  <c r="R41" i="28"/>
  <c r="Q41" i="28"/>
  <c r="Q43" i="28" s="1"/>
  <c r="Q45" i="28" s="1"/>
  <c r="O41" i="28"/>
  <c r="O42" i="28" s="1"/>
  <c r="O44" i="28" s="1"/>
  <c r="L39" i="28"/>
  <c r="J39" i="28"/>
  <c r="K39" i="28"/>
  <c r="I39" i="28"/>
  <c r="K35" i="28"/>
  <c r="I35" i="28"/>
  <c r="D37" i="28"/>
  <c r="D38" i="28" s="1"/>
  <c r="E36" i="28"/>
  <c r="L35" i="28"/>
  <c r="J35" i="28"/>
  <c r="D35" i="28"/>
  <c r="K34" i="28"/>
  <c r="F34" i="28"/>
  <c r="F38" i="28" s="1"/>
  <c r="E34" i="28"/>
  <c r="E38" i="28" s="1"/>
  <c r="D34" i="28"/>
  <c r="D36" i="28" s="1"/>
  <c r="O31" i="28"/>
  <c r="N30" i="28"/>
  <c r="J32" i="28"/>
  <c r="M30" i="28"/>
  <c r="O29" i="28"/>
  <c r="N29" i="28"/>
  <c r="M29" i="28"/>
  <c r="L21" i="28"/>
  <c r="J34" i="28"/>
  <c r="O22" i="28"/>
  <c r="N22" i="28"/>
  <c r="K21" i="28"/>
  <c r="J21" i="28"/>
  <c r="I21" i="28"/>
  <c r="F21" i="28"/>
  <c r="E21" i="28"/>
  <c r="D21" i="28"/>
  <c r="H14" i="28"/>
  <c r="H11" i="28" s="1"/>
  <c r="D13" i="28"/>
  <c r="D15" i="28" s="1"/>
  <c r="D17" i="28" s="1"/>
  <c r="J12" i="28"/>
  <c r="K12" i="28" s="1"/>
  <c r="I12" i="28"/>
  <c r="I14" i="28" s="1"/>
  <c r="I11" i="28" s="1"/>
  <c r="F11" i="28"/>
  <c r="F15" i="28" s="1"/>
  <c r="F17" i="28" s="1"/>
  <c r="E11" i="28"/>
  <c r="E15" i="28" s="1"/>
  <c r="E17" i="28" s="1"/>
  <c r="D11" i="28"/>
  <c r="O8" i="28"/>
  <c r="N8" i="28"/>
  <c r="M8" i="28"/>
  <c r="O7" i="28"/>
  <c r="N7" i="28"/>
  <c r="N31" i="28" s="1"/>
  <c r="M7" i="28"/>
  <c r="M31" i="28" s="1"/>
  <c r="G61" i="27"/>
  <c r="G63" i="27" s="1"/>
  <c r="F61" i="27"/>
  <c r="F63" i="27" s="1"/>
  <c r="E61" i="27"/>
  <c r="E65" i="27" s="1"/>
  <c r="D61" i="27"/>
  <c r="D65" i="27" s="1"/>
  <c r="C61" i="27"/>
  <c r="C63" i="27" s="1"/>
  <c r="B61" i="27"/>
  <c r="B63" i="27" s="1"/>
  <c r="D84" i="26"/>
  <c r="D82" i="26"/>
  <c r="E81" i="26"/>
  <c r="E84" i="26" s="1"/>
  <c r="D81" i="26"/>
  <c r="L76" i="26"/>
  <c r="K76" i="26"/>
  <c r="J76" i="26"/>
  <c r="I76" i="26"/>
  <c r="H76" i="26"/>
  <c r="G76" i="26"/>
  <c r="F76" i="26"/>
  <c r="E76" i="26"/>
  <c r="F75" i="26"/>
  <c r="E75" i="26"/>
  <c r="L71" i="26"/>
  <c r="H71" i="26"/>
  <c r="F69" i="26"/>
  <c r="E69" i="26"/>
  <c r="E66" i="26" s="1"/>
  <c r="D69" i="26"/>
  <c r="L68" i="26"/>
  <c r="K68" i="26"/>
  <c r="K71" i="26" s="1"/>
  <c r="J68" i="26"/>
  <c r="J71" i="26" s="1"/>
  <c r="I68" i="26"/>
  <c r="H68" i="26"/>
  <c r="G68" i="26"/>
  <c r="F68" i="26"/>
  <c r="E68" i="26"/>
  <c r="D68" i="26"/>
  <c r="D66" i="26" s="1"/>
  <c r="C68" i="26"/>
  <c r="K62" i="26"/>
  <c r="G62" i="26"/>
  <c r="L62" i="26"/>
  <c r="H62" i="26"/>
  <c r="F60" i="26"/>
  <c r="E60" i="26"/>
  <c r="D60" i="26"/>
  <c r="C60" i="26"/>
  <c r="C69" i="26" s="1"/>
  <c r="J62" i="26"/>
  <c r="I62" i="26"/>
  <c r="F59" i="26"/>
  <c r="E59" i="26"/>
  <c r="E62" i="26" s="1"/>
  <c r="D59" i="26"/>
  <c r="C59" i="26"/>
  <c r="C62" i="26" s="1"/>
  <c r="F53" i="26"/>
  <c r="E53" i="26"/>
  <c r="D53" i="26"/>
  <c r="C53" i="26"/>
  <c r="L52" i="26"/>
  <c r="L55" i="26" s="1"/>
  <c r="K52" i="26"/>
  <c r="K55" i="26" s="1"/>
  <c r="J52" i="26"/>
  <c r="J55" i="26" s="1"/>
  <c r="I52" i="26"/>
  <c r="I55" i="26" s="1"/>
  <c r="H52" i="26"/>
  <c r="H55" i="26" s="1"/>
  <c r="G52" i="26"/>
  <c r="G55" i="26" s="1"/>
  <c r="F52" i="26"/>
  <c r="E52" i="26"/>
  <c r="D52" i="26"/>
  <c r="D55" i="26" s="1"/>
  <c r="C52" i="26"/>
  <c r="C55" i="26" s="1"/>
  <c r="N47" i="26"/>
  <c r="F42" i="26"/>
  <c r="E42" i="26"/>
  <c r="D42" i="26"/>
  <c r="C42" i="26"/>
  <c r="L41" i="26"/>
  <c r="L44" i="26" s="1"/>
  <c r="K41" i="26"/>
  <c r="K44" i="26" s="1"/>
  <c r="J41" i="26"/>
  <c r="J44" i="26" s="1"/>
  <c r="H41" i="26"/>
  <c r="H44" i="26" s="1"/>
  <c r="G41" i="26"/>
  <c r="F41" i="26"/>
  <c r="E41" i="26"/>
  <c r="E44" i="26" s="1"/>
  <c r="D41" i="26"/>
  <c r="C41" i="26"/>
  <c r="C44" i="26" s="1"/>
  <c r="C35" i="26"/>
  <c r="F34" i="26"/>
  <c r="F28" i="26"/>
  <c r="E28" i="26"/>
  <c r="D28" i="26"/>
  <c r="C28" i="26"/>
  <c r="F27" i="26"/>
  <c r="F30" i="26" s="1"/>
  <c r="E27" i="26"/>
  <c r="E30" i="26" s="1"/>
  <c r="D27" i="26"/>
  <c r="D34" i="26" s="1"/>
  <c r="C27" i="26"/>
  <c r="C30" i="26" s="1"/>
  <c r="F21" i="26"/>
  <c r="E21" i="26"/>
  <c r="D21" i="26"/>
  <c r="C21" i="26"/>
  <c r="F20" i="26"/>
  <c r="F23" i="26" s="1"/>
  <c r="E20" i="26"/>
  <c r="E23" i="26" s="1"/>
  <c r="D20" i="26"/>
  <c r="D23" i="26" s="1"/>
  <c r="C20" i="26"/>
  <c r="C23" i="26" s="1"/>
  <c r="E14" i="26"/>
  <c r="D14" i="26"/>
  <c r="C14" i="26"/>
  <c r="C13" i="26"/>
  <c r="C16" i="26" s="1"/>
  <c r="D9" i="26"/>
  <c r="C9" i="26"/>
  <c r="C8" i="26"/>
  <c r="C11" i="26" s="1"/>
  <c r="C17" i="30" l="1"/>
  <c r="C28" i="30" s="1"/>
  <c r="C32" i="30" s="1"/>
  <c r="C46" i="30" s="1"/>
  <c r="C55" i="30" s="1"/>
  <c r="E55" i="26"/>
  <c r="E71" i="26"/>
  <c r="D17" i="30"/>
  <c r="D28" i="30" s="1"/>
  <c r="D32" i="30" s="1"/>
  <c r="D46" i="30" s="1"/>
  <c r="D55" i="30" s="1"/>
  <c r="E34" i="26"/>
  <c r="D44" i="26"/>
  <c r="F55" i="26"/>
  <c r="D62" i="26"/>
  <c r="E78" i="26"/>
  <c r="E26" i="30"/>
  <c r="E17" i="30"/>
  <c r="G71" i="26"/>
  <c r="G44" i="26"/>
  <c r="J28" i="30"/>
  <c r="J32" i="30" s="1"/>
  <c r="J46" i="30" s="1"/>
  <c r="K47" i="29"/>
  <c r="F44" i="30"/>
  <c r="F26" i="30"/>
  <c r="F17" i="30"/>
  <c r="I28" i="30"/>
  <c r="I32" i="30" s="1"/>
  <c r="K28" i="30"/>
  <c r="G28" i="30"/>
  <c r="G32" i="30" s="1"/>
  <c r="G46" i="30" s="1"/>
  <c r="D102" i="29"/>
  <c r="E98" i="29" s="1"/>
  <c r="E102" i="29" s="1"/>
  <c r="E128" i="29" s="1"/>
  <c r="E125" i="29"/>
  <c r="M34" i="29"/>
  <c r="G47" i="29"/>
  <c r="F47" i="29"/>
  <c r="H28" i="30"/>
  <c r="H32" i="30" s="1"/>
  <c r="H46" i="30" s="1"/>
  <c r="G15" i="29"/>
  <c r="G18" i="29" s="1"/>
  <c r="H18" i="29"/>
  <c r="I46" i="30"/>
  <c r="K38" i="28"/>
  <c r="O30" i="28"/>
  <c r="O33" i="28" s="1"/>
  <c r="O34" i="28" s="1"/>
  <c r="H32" i="28"/>
  <c r="N32" i="28" s="1"/>
  <c r="N33" i="28" s="1"/>
  <c r="N34" i="28" s="1"/>
  <c r="L32" i="28"/>
  <c r="G21" i="28"/>
  <c r="M22" i="28"/>
  <c r="K32" i="30"/>
  <c r="K46" i="30" s="1"/>
  <c r="D131" i="29"/>
  <c r="E8" i="26"/>
  <c r="E9" i="26"/>
  <c r="D49" i="29"/>
  <c r="D132" i="29"/>
  <c r="C122" i="29"/>
  <c r="D35" i="26" s="1"/>
  <c r="D37" i="26" s="1"/>
  <c r="C132" i="29"/>
  <c r="D8" i="26"/>
  <c r="D11" i="26" s="1"/>
  <c r="C131" i="29"/>
  <c r="D128" i="29"/>
  <c r="C135" i="29"/>
  <c r="C61" i="29"/>
  <c r="D13" i="26"/>
  <c r="D16" i="26" s="1"/>
  <c r="E49" i="29"/>
  <c r="F9" i="26"/>
  <c r="I18" i="29"/>
  <c r="J15" i="29"/>
  <c r="F8" i="26"/>
  <c r="F11" i="26" s="1"/>
  <c r="F78" i="26"/>
  <c r="I44" i="26"/>
  <c r="J57" i="28"/>
  <c r="J63" i="28" s="1"/>
  <c r="K55" i="28"/>
  <c r="D46" i="28"/>
  <c r="D49" i="28" s="1"/>
  <c r="D66" i="28" s="1"/>
  <c r="D70" i="28" s="1"/>
  <c r="D77" i="28" s="1"/>
  <c r="K40" i="28"/>
  <c r="K42" i="28"/>
  <c r="K45" i="28" s="1"/>
  <c r="H15" i="28"/>
  <c r="H17" i="28" s="1"/>
  <c r="N11" i="28"/>
  <c r="G15" i="28"/>
  <c r="G17" i="28" s="1"/>
  <c r="E42" i="28"/>
  <c r="E45" i="28" s="1"/>
  <c r="E46" i="28" s="1"/>
  <c r="E49" i="28" s="1"/>
  <c r="E66" i="28" s="1"/>
  <c r="E70" i="28" s="1"/>
  <c r="E77" i="28" s="1"/>
  <c r="E40" i="28"/>
  <c r="Q68" i="28"/>
  <c r="Q69" i="28" s="1"/>
  <c r="L12" i="28"/>
  <c r="K14" i="28"/>
  <c r="K11" i="28" s="1"/>
  <c r="K15" i="28" s="1"/>
  <c r="K17" i="28" s="1"/>
  <c r="F46" i="28"/>
  <c r="F49" i="28" s="1"/>
  <c r="F66" i="28" s="1"/>
  <c r="F70" i="28" s="1"/>
  <c r="F77" i="28" s="1"/>
  <c r="I15" i="28"/>
  <c r="I17" i="28" s="1"/>
  <c r="O11" i="28"/>
  <c r="J38" i="28"/>
  <c r="J36" i="28"/>
  <c r="F42" i="28"/>
  <c r="F45" i="28" s="1"/>
  <c r="F40" i="28"/>
  <c r="D40" i="28"/>
  <c r="D42" i="28"/>
  <c r="D45" i="28" s="1"/>
  <c r="Q46" i="28"/>
  <c r="R45" i="28"/>
  <c r="J14" i="28"/>
  <c r="J11" i="28" s="1"/>
  <c r="J15" i="28" s="1"/>
  <c r="J17" i="28" s="1"/>
  <c r="G32" i="28"/>
  <c r="M32" i="28" s="1"/>
  <c r="L34" i="28"/>
  <c r="F36" i="28"/>
  <c r="M10" i="28"/>
  <c r="M11" i="28" s="1"/>
  <c r="H21" i="28"/>
  <c r="I34" i="28"/>
  <c r="K36" i="28"/>
  <c r="D63" i="27"/>
  <c r="D67" i="27" s="1"/>
  <c r="B65" i="27"/>
  <c r="B67" i="27" s="1"/>
  <c r="F65" i="27"/>
  <c r="F67" i="27" s="1"/>
  <c r="E63" i="27"/>
  <c r="E67" i="27" s="1"/>
  <c r="C65" i="27"/>
  <c r="C67" i="27" s="1"/>
  <c r="G65" i="27"/>
  <c r="G67" i="27" s="1"/>
  <c r="C71" i="26"/>
  <c r="D71" i="26"/>
  <c r="C34" i="26"/>
  <c r="C37" i="26" s="1"/>
  <c r="D30" i="26"/>
  <c r="G25" i="25"/>
  <c r="H24" i="25" s="1"/>
  <c r="F24" i="25"/>
  <c r="F13" i="25"/>
  <c r="G8" i="25"/>
  <c r="G11" i="25" s="1"/>
  <c r="H7" i="25"/>
  <c r="H12" i="25" s="1"/>
  <c r="G7" i="25"/>
  <c r="G12" i="25" s="1"/>
  <c r="F7" i="25"/>
  <c r="F25" i="25" s="1"/>
  <c r="K15" i="23"/>
  <c r="K14" i="23"/>
  <c r="K9" i="23"/>
  <c r="K8" i="23"/>
  <c r="J15" i="23"/>
  <c r="J14" i="23"/>
  <c r="J9" i="23"/>
  <c r="J8" i="23"/>
  <c r="I15" i="23"/>
  <c r="I14" i="23"/>
  <c r="I9" i="23"/>
  <c r="I8" i="23"/>
  <c r="I17" i="23"/>
  <c r="K13" i="23"/>
  <c r="J13" i="23"/>
  <c r="I13" i="23"/>
  <c r="I11" i="23"/>
  <c r="I19" i="23" s="1"/>
  <c r="I23" i="23" s="1"/>
  <c r="F12" i="24"/>
  <c r="H8" i="24"/>
  <c r="H12" i="24" s="1"/>
  <c r="G8" i="24"/>
  <c r="G12" i="24" s="1"/>
  <c r="F8" i="24"/>
  <c r="E28" i="30" l="1"/>
  <c r="E32" i="30" s="1"/>
  <c r="E46" i="30" s="1"/>
  <c r="E50" i="30" s="1"/>
  <c r="E55" i="30" s="1"/>
  <c r="F28" i="30"/>
  <c r="F32" i="30" s="1"/>
  <c r="F46" i="30" s="1"/>
  <c r="F50" i="30" s="1"/>
  <c r="D122" i="29"/>
  <c r="H34" i="28"/>
  <c r="M33" i="28"/>
  <c r="G34" i="28"/>
  <c r="J18" i="29"/>
  <c r="K15" i="29"/>
  <c r="K18" i="29" s="1"/>
  <c r="D61" i="29"/>
  <c r="D135" i="29"/>
  <c r="E13" i="26"/>
  <c r="E16" i="26" s="1"/>
  <c r="E11" i="26"/>
  <c r="F98" i="29"/>
  <c r="F102" i="29" s="1"/>
  <c r="E122" i="29"/>
  <c r="E61" i="29"/>
  <c r="F13" i="26"/>
  <c r="F16" i="26" s="1"/>
  <c r="E135" i="29"/>
  <c r="C146" i="29"/>
  <c r="D123" i="29"/>
  <c r="J18" i="28"/>
  <c r="K18" i="28"/>
  <c r="K46" i="28"/>
  <c r="H36" i="28"/>
  <c r="H38" i="28"/>
  <c r="H18" i="28"/>
  <c r="I36" i="28"/>
  <c r="I38" i="28"/>
  <c r="I18" i="28"/>
  <c r="L11" i="28"/>
  <c r="L15" i="28" s="1"/>
  <c r="L17" i="28" s="1"/>
  <c r="L14" i="28"/>
  <c r="K57" i="28"/>
  <c r="K63" i="28" s="1"/>
  <c r="L55" i="28"/>
  <c r="L57" i="28" s="1"/>
  <c r="L63" i="28" s="1"/>
  <c r="L36" i="28"/>
  <c r="L38" i="28"/>
  <c r="J42" i="28"/>
  <c r="J45" i="28" s="1"/>
  <c r="J46" i="28" s="1"/>
  <c r="J40" i="28"/>
  <c r="G24" i="25"/>
  <c r="H13" i="25"/>
  <c r="H8" i="25"/>
  <c r="F12" i="25"/>
  <c r="H25" i="25"/>
  <c r="G23" i="25"/>
  <c r="G26" i="25" s="1"/>
  <c r="G28" i="25" s="1"/>
  <c r="F8" i="25"/>
  <c r="J11" i="23"/>
  <c r="K11" i="23"/>
  <c r="H5" i="22"/>
  <c r="H7" i="22" s="1"/>
  <c r="G5" i="22"/>
  <c r="G7" i="22" s="1"/>
  <c r="F5" i="22"/>
  <c r="F7" i="22" s="1"/>
  <c r="E5" i="22"/>
  <c r="E7" i="22" s="1"/>
  <c r="D5" i="22"/>
  <c r="D7" i="22" s="1"/>
  <c r="C7" i="22"/>
  <c r="C5" i="22"/>
  <c r="H6" i="22"/>
  <c r="G6" i="22"/>
  <c r="F6" i="22"/>
  <c r="E6" i="22"/>
  <c r="D6" i="22"/>
  <c r="C6" i="22"/>
  <c r="F33" i="4"/>
  <c r="F34" i="4" s="1"/>
  <c r="F5" i="5"/>
  <c r="E90" i="5" s="1"/>
  <c r="F23" i="4"/>
  <c r="F25" i="4"/>
  <c r="H24" i="4"/>
  <c r="F66" i="29" l="1"/>
  <c r="G48" i="30"/>
  <c r="F55" i="30"/>
  <c r="D146" i="29"/>
  <c r="E123" i="29"/>
  <c r="M34" i="28"/>
  <c r="M37" i="28"/>
  <c r="G38" i="28"/>
  <c r="M39" i="28"/>
  <c r="G36" i="28"/>
  <c r="E146" i="29"/>
  <c r="G98" i="29"/>
  <c r="G102" i="29" s="1"/>
  <c r="J82" i="28"/>
  <c r="J49" i="28"/>
  <c r="J66" i="28" s="1"/>
  <c r="K49" i="28"/>
  <c r="K66" i="28" s="1"/>
  <c r="K82" i="28"/>
  <c r="L40" i="28"/>
  <c r="L42" i="28"/>
  <c r="L45" i="28" s="1"/>
  <c r="L46" i="28" s="1"/>
  <c r="I42" i="28"/>
  <c r="I45" i="28" s="1"/>
  <c r="I46" i="28" s="1"/>
  <c r="I49" i="28" s="1"/>
  <c r="I66" i="28" s="1"/>
  <c r="I40" i="28"/>
  <c r="H40" i="28"/>
  <c r="H42" i="28"/>
  <c r="H45" i="28" s="1"/>
  <c r="H46" i="28" s="1"/>
  <c r="H49" i="28" s="1"/>
  <c r="H66" i="28" s="1"/>
  <c r="L18" i="28"/>
  <c r="G13" i="25"/>
  <c r="G14" i="25" s="1"/>
  <c r="G17" i="25" s="1"/>
  <c r="F11" i="25"/>
  <c r="F14" i="25" s="1"/>
  <c r="F17" i="25" s="1"/>
  <c r="F23" i="25"/>
  <c r="F26" i="25" s="1"/>
  <c r="F28" i="25" s="1"/>
  <c r="H23" i="25"/>
  <c r="H26" i="25" s="1"/>
  <c r="H28" i="25" s="1"/>
  <c r="H11" i="25"/>
  <c r="H14" i="25"/>
  <c r="H17" i="25" s="1"/>
  <c r="K19" i="23"/>
  <c r="K23" i="23" s="1"/>
  <c r="K17" i="23"/>
  <c r="J17" i="23"/>
  <c r="J19" i="23" s="1"/>
  <c r="J23" i="23" s="1"/>
  <c r="E82" i="5"/>
  <c r="E87" i="5"/>
  <c r="E83" i="5"/>
  <c r="E88" i="5"/>
  <c r="E84" i="5"/>
  <c r="E89" i="5"/>
  <c r="E86" i="5"/>
  <c r="F22" i="4"/>
  <c r="F21" i="4"/>
  <c r="G40" i="28" l="1"/>
  <c r="G42" i="28"/>
  <c r="G45" i="28" s="1"/>
  <c r="G46" i="28" s="1"/>
  <c r="G49" i="28" s="1"/>
  <c r="G66" i="28" s="1"/>
  <c r="G68" i="28" s="1"/>
  <c r="G70" i="28" s="1"/>
  <c r="G77" i="28" s="1"/>
  <c r="H98" i="29"/>
  <c r="H102" i="29" s="1"/>
  <c r="L49" i="28"/>
  <c r="L66" i="28" s="1"/>
  <c r="L82" i="28"/>
  <c r="I68" i="28"/>
  <c r="I70" i="28" s="1"/>
  <c r="I77" i="28" s="1"/>
  <c r="K68" i="28"/>
  <c r="K70" i="28" s="1"/>
  <c r="K77" i="28" s="1"/>
  <c r="H68" i="28"/>
  <c r="H70" i="28" s="1"/>
  <c r="H77" i="28" s="1"/>
  <c r="J68" i="28"/>
  <c r="J70" i="28" s="1"/>
  <c r="J77" i="28" s="1"/>
  <c r="E25" i="25"/>
  <c r="E13" i="25"/>
  <c r="E12" i="25"/>
  <c r="D25" i="25"/>
  <c r="D12" i="25"/>
  <c r="D8" i="24"/>
  <c r="D23" i="25"/>
  <c r="D11" i="25"/>
  <c r="D8" i="25"/>
  <c r="D7" i="25"/>
  <c r="G15" i="23"/>
  <c r="G14" i="23"/>
  <c r="H9" i="23"/>
  <c r="H8" i="23"/>
  <c r="G9" i="23"/>
  <c r="G8" i="23"/>
  <c r="I98" i="29" l="1"/>
  <c r="I102" i="29" s="1"/>
  <c r="L68" i="28"/>
  <c r="L70" i="28" s="1"/>
  <c r="L77" i="28" s="1"/>
  <c r="E8" i="24"/>
  <c r="C8" i="24"/>
  <c r="F19" i="23"/>
  <c r="F17" i="23"/>
  <c r="F15" i="23"/>
  <c r="F14" i="23"/>
  <c r="F9" i="23"/>
  <c r="F8" i="23"/>
  <c r="B23" i="25"/>
  <c r="C7" i="25"/>
  <c r="C8" i="25" s="1"/>
  <c r="J98" i="29" l="1"/>
  <c r="J102" i="29" s="1"/>
  <c r="C23" i="25"/>
  <c r="C11" i="25"/>
  <c r="C14" i="25" s="1"/>
  <c r="C17" i="25" s="1"/>
  <c r="C25" i="25"/>
  <c r="D24" i="25" s="1"/>
  <c r="D26" i="25" s="1"/>
  <c r="D28" i="25" s="1"/>
  <c r="C12" i="25"/>
  <c r="E7" i="25"/>
  <c r="K98" i="29" l="1"/>
  <c r="K102" i="29" s="1"/>
  <c r="C26" i="25"/>
  <c r="C28" i="25" s="1"/>
  <c r="D13" i="25"/>
  <c r="D14" i="25" s="1"/>
  <c r="E24" i="25"/>
  <c r="E8" i="25"/>
  <c r="F22" i="9"/>
  <c r="E14" i="25" l="1"/>
  <c r="E17" i="25" s="1"/>
  <c r="E11" i="25"/>
  <c r="E23" i="25"/>
  <c r="D17" i="25"/>
  <c r="E27" i="9"/>
  <c r="E29" i="9" s="1"/>
  <c r="E21" i="9"/>
  <c r="E23" i="9" s="1"/>
  <c r="E9" i="9"/>
  <c r="E11" i="9" s="1"/>
  <c r="E12" i="9" s="1"/>
  <c r="E24" i="9" l="1"/>
  <c r="F21" i="9" s="1"/>
  <c r="F24" i="9" s="1"/>
  <c r="G21" i="9" s="1"/>
  <c r="G23" i="9" s="1"/>
  <c r="E34" i="9"/>
  <c r="F27" i="9"/>
  <c r="F29" i="9" s="1"/>
  <c r="E26" i="25"/>
  <c r="E28" i="25" s="1"/>
  <c r="F9" i="9"/>
  <c r="F11" i="9" s="1"/>
  <c r="F34" i="9" s="1"/>
  <c r="G27" i="9" l="1"/>
  <c r="G29" i="9" s="1"/>
  <c r="E35" i="9"/>
  <c r="E32" i="9" s="1"/>
  <c r="F12" i="9"/>
  <c r="F35" i="9" s="1"/>
  <c r="F32" i="9" s="1"/>
  <c r="G24" i="9"/>
  <c r="H15" i="23"/>
  <c r="H14" i="23"/>
  <c r="H13" i="23"/>
  <c r="G13" i="23"/>
  <c r="E12" i="24"/>
  <c r="D12" i="24"/>
  <c r="C12" i="24"/>
  <c r="F13" i="23"/>
  <c r="D17" i="23"/>
  <c r="F22" i="23" s="1"/>
  <c r="D11" i="23"/>
  <c r="G17" i="9"/>
  <c r="G18" i="9" s="1"/>
  <c r="H15" i="9" s="1"/>
  <c r="H17" i="9" s="1"/>
  <c r="H27" i="9" l="1"/>
  <c r="H29" i="9" s="1"/>
  <c r="H21" i="9"/>
  <c r="H23" i="9" s="1"/>
  <c r="G9" i="9"/>
  <c r="D19" i="23"/>
  <c r="H17" i="23"/>
  <c r="G17" i="23"/>
  <c r="H11" i="23"/>
  <c r="G11" i="23"/>
  <c r="F11" i="23"/>
  <c r="H24" i="9"/>
  <c r="H18" i="9"/>
  <c r="E81" i="5"/>
  <c r="E80" i="5"/>
  <c r="E79" i="5"/>
  <c r="E78" i="5"/>
  <c r="E77" i="5"/>
  <c r="E76" i="5"/>
  <c r="E75" i="5"/>
  <c r="E74" i="5"/>
  <c r="E73" i="5"/>
  <c r="E71" i="5"/>
  <c r="E70" i="5"/>
  <c r="E69" i="5"/>
  <c r="E68" i="5"/>
  <c r="E67" i="5"/>
  <c r="E66" i="5"/>
  <c r="E65" i="5"/>
  <c r="E64" i="5"/>
  <c r="E63" i="5"/>
  <c r="E62" i="5"/>
  <c r="E61" i="5"/>
  <c r="E60" i="5"/>
  <c r="E56" i="5"/>
  <c r="E55" i="5"/>
  <c r="E54" i="5"/>
  <c r="E53" i="5"/>
  <c r="E52" i="5"/>
  <c r="E51" i="5"/>
  <c r="E50" i="5"/>
  <c r="E49" i="5"/>
  <c r="E48" i="5"/>
  <c r="E47" i="5"/>
  <c r="E46" i="5"/>
  <c r="E45" i="5"/>
  <c r="E43" i="5"/>
  <c r="E42" i="5"/>
  <c r="E41" i="5"/>
  <c r="E40" i="5"/>
  <c r="E39" i="5"/>
  <c r="E38" i="5"/>
  <c r="E37" i="5"/>
  <c r="E36" i="5"/>
  <c r="E35" i="5"/>
  <c r="E34" i="5"/>
  <c r="E33" i="5"/>
  <c r="E32" i="5"/>
  <c r="E30" i="5"/>
  <c r="E29" i="5"/>
  <c r="E28" i="5"/>
  <c r="E27" i="5"/>
  <c r="E26" i="5"/>
  <c r="E25" i="5"/>
  <c r="E24" i="5"/>
  <c r="A1" i="5"/>
  <c r="A1" i="22" s="1"/>
  <c r="A2" i="23" s="1"/>
  <c r="I27" i="9" l="1"/>
  <c r="I29" i="9" s="1"/>
  <c r="A1" i="24"/>
  <c r="A1" i="25"/>
  <c r="I21" i="9"/>
  <c r="I23" i="9" s="1"/>
  <c r="G19" i="23"/>
  <c r="G23" i="23" s="1"/>
  <c r="F23" i="23"/>
  <c r="H19" i="23"/>
  <c r="H23" i="23" s="1"/>
  <c r="F38" i="4"/>
  <c r="J27" i="9" l="1"/>
  <c r="J29" i="9" s="1"/>
  <c r="I24" i="9"/>
  <c r="J21" i="9" s="1"/>
  <c r="I15" i="9"/>
  <c r="A1" i="9"/>
  <c r="G59" i="5"/>
  <c r="F59" i="5"/>
  <c r="E59" i="5"/>
  <c r="D59" i="5"/>
  <c r="C59" i="5"/>
  <c r="B59" i="5"/>
  <c r="D29" i="12"/>
  <c r="E29" i="12" s="1"/>
  <c r="F29" i="12" s="1"/>
  <c r="G29" i="12" s="1"/>
  <c r="C14" i="12"/>
  <c r="D10" i="12"/>
  <c r="D14" i="12" s="1"/>
  <c r="F56" i="3"/>
  <c r="F58" i="3" s="1"/>
  <c r="B64" i="3"/>
  <c r="B65" i="3"/>
  <c r="F37" i="3"/>
  <c r="F40" i="3" s="1"/>
  <c r="F25" i="3"/>
  <c r="F65" i="3" s="1"/>
  <c r="F69" i="3" s="1"/>
  <c r="F8" i="3"/>
  <c r="F10" i="3" s="1"/>
  <c r="D26" i="15"/>
  <c r="E26" i="15" s="1"/>
  <c r="F26" i="15" s="1"/>
  <c r="G26" i="15" s="1"/>
  <c r="E25" i="15"/>
  <c r="F25" i="15" s="1"/>
  <c r="G25" i="15" s="1"/>
  <c r="D25" i="15"/>
  <c r="D24" i="15"/>
  <c r="E24" i="15" s="1"/>
  <c r="F24" i="15" s="1"/>
  <c r="G24" i="15" s="1"/>
  <c r="G23" i="15"/>
  <c r="F23" i="15"/>
  <c r="B8" i="21"/>
  <c r="H11" i="20"/>
  <c r="G11" i="20"/>
  <c r="F11" i="20"/>
  <c r="E11" i="20"/>
  <c r="D11" i="20"/>
  <c r="H16" i="20"/>
  <c r="G16" i="20"/>
  <c r="F16" i="20"/>
  <c r="E16" i="20"/>
  <c r="D16" i="20"/>
  <c r="D27" i="20"/>
  <c r="H27" i="20"/>
  <c r="G27" i="20"/>
  <c r="F27" i="20"/>
  <c r="E27" i="20"/>
  <c r="H12" i="20"/>
  <c r="G12" i="20"/>
  <c r="F12" i="20"/>
  <c r="E12" i="20"/>
  <c r="D12" i="20"/>
  <c r="C16" i="20"/>
  <c r="C25" i="20"/>
  <c r="J23" i="15"/>
  <c r="I23" i="15"/>
  <c r="M32" i="13"/>
  <c r="P22" i="13"/>
  <c r="M30" i="13"/>
  <c r="L35" i="13"/>
  <c r="J23" i="9" l="1"/>
  <c r="J24" i="9" s="1"/>
  <c r="K21" i="9" s="1"/>
  <c r="K27" i="9"/>
  <c r="K29" i="9" s="1"/>
  <c r="F39" i="4"/>
  <c r="G10" i="9"/>
  <c r="I17" i="9"/>
  <c r="E10" i="12"/>
  <c r="F26" i="20"/>
  <c r="F57" i="3"/>
  <c r="F60" i="3" s="1"/>
  <c r="F73" i="3"/>
  <c r="F71" i="3"/>
  <c r="L27" i="9" l="1"/>
  <c r="L29" i="9" s="1"/>
  <c r="K23" i="9"/>
  <c r="K24" i="9" s="1"/>
  <c r="L21" i="9" s="1"/>
  <c r="G11" i="9"/>
  <c r="G34" i="9" s="1"/>
  <c r="I18" i="9"/>
  <c r="J15" i="9" s="1"/>
  <c r="J17" i="9" s="1"/>
  <c r="J18" i="9" s="1"/>
  <c r="K15" i="9" s="1"/>
  <c r="F79" i="3"/>
  <c r="F10" i="12"/>
  <c r="E14" i="12"/>
  <c r="K17" i="9" l="1"/>
  <c r="K18" i="9" s="1"/>
  <c r="L15" i="9" s="1"/>
  <c r="L17" i="9" s="1"/>
  <c r="L18" i="9" s="1"/>
  <c r="L23" i="9"/>
  <c r="L24" i="9" s="1"/>
  <c r="G12" i="9"/>
  <c r="G35" i="9" s="1"/>
  <c r="G32" i="9" s="1"/>
  <c r="G10" i="12"/>
  <c r="G14" i="12" s="1"/>
  <c r="F14" i="12"/>
  <c r="M13" i="13"/>
  <c r="L13" i="13"/>
  <c r="E122" i="14"/>
  <c r="E125" i="14" s="1"/>
  <c r="E117" i="14"/>
  <c r="E112" i="14"/>
  <c r="E113" i="14" s="1"/>
  <c r="E107" i="14"/>
  <c r="E108" i="14" s="1"/>
  <c r="E110" i="14" s="1"/>
  <c r="E118" i="14"/>
  <c r="I98" i="14"/>
  <c r="H98" i="14"/>
  <c r="H101" i="14" s="1"/>
  <c r="G98" i="14"/>
  <c r="F98" i="14"/>
  <c r="E98" i="14"/>
  <c r="E99" i="14" s="1"/>
  <c r="E101" i="14" s="1"/>
  <c r="I99" i="14"/>
  <c r="I101" i="14" s="1"/>
  <c r="G99" i="14"/>
  <c r="G101" i="14" s="1"/>
  <c r="F99" i="14"/>
  <c r="F101" i="14" s="1"/>
  <c r="I93" i="14"/>
  <c r="H93" i="14"/>
  <c r="G93" i="14"/>
  <c r="G96" i="14" s="1"/>
  <c r="F93" i="14"/>
  <c r="F96" i="14" s="1"/>
  <c r="E93" i="14"/>
  <c r="E96" i="14" s="1"/>
  <c r="I96" i="14"/>
  <c r="H96" i="14"/>
  <c r="I88" i="14"/>
  <c r="I91" i="14" s="1"/>
  <c r="H88" i="14"/>
  <c r="H91" i="14" s="1"/>
  <c r="G88" i="14"/>
  <c r="G91" i="14" s="1"/>
  <c r="F88" i="14"/>
  <c r="F91" i="14" s="1"/>
  <c r="E88" i="14"/>
  <c r="E91" i="14" s="1"/>
  <c r="I83" i="14"/>
  <c r="H83" i="14"/>
  <c r="G83" i="14"/>
  <c r="F83" i="14"/>
  <c r="E83" i="14"/>
  <c r="I76" i="14"/>
  <c r="H76" i="14"/>
  <c r="G76" i="14"/>
  <c r="F76" i="14"/>
  <c r="E76" i="14"/>
  <c r="E78" i="14" s="1"/>
  <c r="E73" i="14"/>
  <c r="E69" i="14"/>
  <c r="F72" i="14" s="1"/>
  <c r="F73" i="14" s="1"/>
  <c r="E65" i="14"/>
  <c r="F68" i="14" s="1"/>
  <c r="F69" i="14" s="1"/>
  <c r="G72" i="14" s="1"/>
  <c r="G73" i="14" s="1"/>
  <c r="E58" i="14"/>
  <c r="F64" i="14" s="1"/>
  <c r="F65" i="14" s="1"/>
  <c r="G68" i="14" s="1"/>
  <c r="E54" i="14"/>
  <c r="F57" i="14" s="1"/>
  <c r="F58" i="14" s="1"/>
  <c r="G64" i="14" s="1"/>
  <c r="G65" i="14" s="1"/>
  <c r="H68" i="14" s="1"/>
  <c r="H69" i="14" s="1"/>
  <c r="I72" i="14" s="1"/>
  <c r="I73" i="14" s="1"/>
  <c r="E50" i="14"/>
  <c r="F53" i="14" s="1"/>
  <c r="F54" i="14" s="1"/>
  <c r="G57" i="14" s="1"/>
  <c r="G58" i="14" s="1"/>
  <c r="H64" i="14" s="1"/>
  <c r="H65" i="14" s="1"/>
  <c r="I68" i="14" s="1"/>
  <c r="I69" i="14" s="1"/>
  <c r="E46" i="14"/>
  <c r="F49" i="14" s="1"/>
  <c r="F50" i="14" s="1"/>
  <c r="G53" i="14" s="1"/>
  <c r="G54" i="14" s="1"/>
  <c r="H57" i="14" s="1"/>
  <c r="H58" i="14" s="1"/>
  <c r="I64" i="14" s="1"/>
  <c r="I65" i="14" s="1"/>
  <c r="E42" i="14"/>
  <c r="F45" i="14" s="1"/>
  <c r="E38" i="14"/>
  <c r="F41" i="14" s="1"/>
  <c r="F42" i="14" s="1"/>
  <c r="G45" i="14" s="1"/>
  <c r="E34" i="14"/>
  <c r="F37" i="14" s="1"/>
  <c r="F38" i="14" s="1"/>
  <c r="G41" i="14" s="1"/>
  <c r="G42" i="14" s="1"/>
  <c r="H45" i="14" s="1"/>
  <c r="E30" i="14"/>
  <c r="E26" i="14"/>
  <c r="F29" i="14" s="1"/>
  <c r="F30" i="14" s="1"/>
  <c r="E22" i="14"/>
  <c r="F25" i="14" s="1"/>
  <c r="E18" i="14"/>
  <c r="F21" i="14" s="1"/>
  <c r="F22" i="14" s="1"/>
  <c r="G25" i="14" s="1"/>
  <c r="I14" i="14"/>
  <c r="H14" i="14"/>
  <c r="I17" i="14" s="1"/>
  <c r="G14" i="14"/>
  <c r="H17" i="14" s="1"/>
  <c r="H18" i="14" s="1"/>
  <c r="I21" i="14" s="1"/>
  <c r="I22" i="14" s="1"/>
  <c r="F14" i="14"/>
  <c r="G17" i="14" s="1"/>
  <c r="G18" i="14" s="1"/>
  <c r="H21" i="14" s="1"/>
  <c r="E14" i="14"/>
  <c r="F17" i="14" s="1"/>
  <c r="F17" i="2"/>
  <c r="L17" i="2" s="1"/>
  <c r="L7" i="6"/>
  <c r="K7" i="6"/>
  <c r="N10" i="13"/>
  <c r="L9" i="13"/>
  <c r="L10" i="13" s="1"/>
  <c r="D31" i="12"/>
  <c r="E31" i="12" s="1"/>
  <c r="F31" i="12" s="1"/>
  <c r="G31" i="12" s="1"/>
  <c r="D30" i="12"/>
  <c r="E30" i="12" s="1"/>
  <c r="F30" i="12" s="1"/>
  <c r="G30" i="12" s="1"/>
  <c r="E27" i="8"/>
  <c r="E29" i="8" s="1"/>
  <c r="C28" i="12" s="1"/>
  <c r="D28" i="12" s="1"/>
  <c r="E28" i="12" s="1"/>
  <c r="F28" i="12" s="1"/>
  <c r="G28" i="12" s="1"/>
  <c r="E20" i="8"/>
  <c r="E11" i="8"/>
  <c r="E14" i="8" s="1"/>
  <c r="F13" i="6"/>
  <c r="G13" i="6" s="1"/>
  <c r="H13" i="6" s="1"/>
  <c r="I13" i="6" s="1"/>
  <c r="G9" i="6"/>
  <c r="H9" i="6" s="1"/>
  <c r="I9" i="6" s="1"/>
  <c r="F9" i="6"/>
  <c r="F8" i="6"/>
  <c r="G8" i="6" s="1"/>
  <c r="H8" i="6" s="1"/>
  <c r="I8" i="6" s="1"/>
  <c r="F7" i="6"/>
  <c r="F11" i="6" s="1"/>
  <c r="F15" i="6" s="1"/>
  <c r="E11" i="6"/>
  <c r="E15" i="6" s="1"/>
  <c r="B43" i="1"/>
  <c r="C11" i="1"/>
  <c r="G7" i="6" l="1"/>
  <c r="E135" i="14"/>
  <c r="F19" i="2"/>
  <c r="C23" i="12"/>
  <c r="G16" i="13" s="1"/>
  <c r="F33" i="14"/>
  <c r="F34" i="14" s="1"/>
  <c r="G37" i="14" s="1"/>
  <c r="G38" i="14" s="1"/>
  <c r="H41" i="14" s="1"/>
  <c r="H42" i="14" s="1"/>
  <c r="I45" i="14" s="1"/>
  <c r="I46" i="14" s="1"/>
  <c r="G33" i="14"/>
  <c r="G34" i="14" s="1"/>
  <c r="H37" i="14" s="1"/>
  <c r="H38" i="14" s="1"/>
  <c r="I41" i="14" s="1"/>
  <c r="I42" i="14" s="1"/>
  <c r="I18" i="14"/>
  <c r="I107" i="14"/>
  <c r="H86" i="14"/>
  <c r="H103" i="14" s="1"/>
  <c r="G86" i="14"/>
  <c r="G103" i="14" s="1"/>
  <c r="I86" i="14"/>
  <c r="F122" i="14"/>
  <c r="G69" i="14"/>
  <c r="H72" i="14" s="1"/>
  <c r="H73" i="14" s="1"/>
  <c r="G122" i="14"/>
  <c r="H122" i="14"/>
  <c r="I122" i="14"/>
  <c r="I125" i="14" s="1"/>
  <c r="I135" i="14" s="1"/>
  <c r="F46" i="14"/>
  <c r="G49" i="14" s="1"/>
  <c r="G50" i="14" s="1"/>
  <c r="H53" i="14" s="1"/>
  <c r="H54" i="14" s="1"/>
  <c r="I57" i="14" s="1"/>
  <c r="I58" i="14" s="1"/>
  <c r="F117" i="14"/>
  <c r="F120" i="14" s="1"/>
  <c r="F134" i="14" s="1"/>
  <c r="G46" i="14"/>
  <c r="H49" i="14" s="1"/>
  <c r="H50" i="14" s="1"/>
  <c r="I53" i="14" s="1"/>
  <c r="I54" i="14" s="1"/>
  <c r="H46" i="14"/>
  <c r="I49" i="14" s="1"/>
  <c r="I50" i="14" s="1"/>
  <c r="F112" i="14"/>
  <c r="F26" i="14"/>
  <c r="G26" i="14"/>
  <c r="H29" i="14" s="1"/>
  <c r="H30" i="14" s="1"/>
  <c r="I33" i="14" s="1"/>
  <c r="I34" i="14" s="1"/>
  <c r="H22" i="14"/>
  <c r="I25" i="14" s="1"/>
  <c r="I26" i="14" s="1"/>
  <c r="H107" i="14"/>
  <c r="F86" i="14"/>
  <c r="F103" i="14" s="1"/>
  <c r="F18" i="14"/>
  <c r="G21" i="14" s="1"/>
  <c r="F107" i="14"/>
  <c r="E86" i="14"/>
  <c r="E132" i="14" s="1"/>
  <c r="F77" i="14"/>
  <c r="F78" i="14" s="1"/>
  <c r="G77" i="14" s="1"/>
  <c r="G78" i="14" s="1"/>
  <c r="H77" i="14" s="1"/>
  <c r="H78" i="14" s="1"/>
  <c r="I77" i="14" s="1"/>
  <c r="I78" i="14" s="1"/>
  <c r="E120" i="14"/>
  <c r="E134" i="14" s="1"/>
  <c r="F110" i="14"/>
  <c r="H110" i="14"/>
  <c r="E115" i="14"/>
  <c r="E133" i="14" s="1"/>
  <c r="G125" i="14"/>
  <c r="G135" i="14" s="1"/>
  <c r="F18" i="2"/>
  <c r="H7" i="6" l="1"/>
  <c r="G11" i="6"/>
  <c r="G15" i="6" s="1"/>
  <c r="D10" i="19"/>
  <c r="D17" i="20"/>
  <c r="L18" i="2"/>
  <c r="L19" i="2" s="1"/>
  <c r="E137" i="14"/>
  <c r="E127" i="14"/>
  <c r="F21" i="2"/>
  <c r="G29" i="14"/>
  <c r="G112" i="14" s="1"/>
  <c r="H132" i="14"/>
  <c r="G117" i="14"/>
  <c r="G120" i="14" s="1"/>
  <c r="G134" i="14" s="1"/>
  <c r="I103" i="14"/>
  <c r="I110" i="14"/>
  <c r="I132" i="14" s="1"/>
  <c r="F125" i="14"/>
  <c r="F135" i="14" s="1"/>
  <c r="H125" i="14"/>
  <c r="H135" i="14" s="1"/>
  <c r="I117" i="14"/>
  <c r="I120" i="14" s="1"/>
  <c r="I134" i="14" s="1"/>
  <c r="H117" i="14"/>
  <c r="F115" i="14"/>
  <c r="E103" i="14"/>
  <c r="F132" i="14"/>
  <c r="G107" i="14"/>
  <c r="G110" i="14" s="1"/>
  <c r="G22" i="14"/>
  <c r="H25" i="14" s="1"/>
  <c r="I7" i="6" l="1"/>
  <c r="I11" i="6" s="1"/>
  <c r="I15" i="6" s="1"/>
  <c r="H11" i="6"/>
  <c r="H15" i="6" s="1"/>
  <c r="G24" i="13"/>
  <c r="G13" i="13"/>
  <c r="D19" i="20" s="1"/>
  <c r="E19" i="18"/>
  <c r="E20" i="18" s="1"/>
  <c r="E23" i="18" s="1"/>
  <c r="E25" i="18" s="1"/>
  <c r="B38" i="18" s="1"/>
  <c r="D23" i="12"/>
  <c r="G30" i="14"/>
  <c r="G115" i="14"/>
  <c r="H120" i="14"/>
  <c r="H134" i="14" s="1"/>
  <c r="F133" i="14"/>
  <c r="F127" i="14"/>
  <c r="H26" i="14"/>
  <c r="I29" i="14" s="1"/>
  <c r="G132" i="14"/>
  <c r="H16" i="13" l="1"/>
  <c r="E17" i="20" s="1"/>
  <c r="D18" i="20"/>
  <c r="H24" i="13"/>
  <c r="H13" i="13"/>
  <c r="B46" i="18"/>
  <c r="B42" i="18"/>
  <c r="B40" i="18"/>
  <c r="B45" i="18"/>
  <c r="B39" i="18"/>
  <c r="B34" i="18"/>
  <c r="B37" i="18"/>
  <c r="B41" i="18"/>
  <c r="B43" i="18"/>
  <c r="B35" i="18"/>
  <c r="B33" i="18"/>
  <c r="C21" i="21" s="1"/>
  <c r="D21" i="21" s="1"/>
  <c r="E21" i="21" s="1"/>
  <c r="F21" i="21" s="1"/>
  <c r="G21" i="21" s="1"/>
  <c r="B36" i="18"/>
  <c r="B44" i="18"/>
  <c r="E23" i="12"/>
  <c r="I16" i="13" s="1"/>
  <c r="G133" i="14"/>
  <c r="G127" i="14"/>
  <c r="H33" i="14"/>
  <c r="H112" i="14" s="1"/>
  <c r="H115" i="14" s="1"/>
  <c r="F137" i="14"/>
  <c r="I30" i="14"/>
  <c r="C27" i="12" l="1"/>
  <c r="E10" i="19"/>
  <c r="E19" i="20"/>
  <c r="I13" i="13"/>
  <c r="E18" i="20"/>
  <c r="I24" i="13"/>
  <c r="F10" i="19"/>
  <c r="F17" i="20"/>
  <c r="B47" i="18"/>
  <c r="C45" i="18" s="1"/>
  <c r="D45" i="18" s="1"/>
  <c r="G23" i="12"/>
  <c r="K16" i="13" s="1"/>
  <c r="F23" i="12"/>
  <c r="H34" i="14"/>
  <c r="I37" i="14" s="1"/>
  <c r="G137" i="14"/>
  <c r="H133" i="14"/>
  <c r="H127" i="14"/>
  <c r="C43" i="18" l="1"/>
  <c r="D43" i="18" s="1"/>
  <c r="C40" i="18"/>
  <c r="D40" i="18" s="1"/>
  <c r="C44" i="18"/>
  <c r="D44" i="18" s="1"/>
  <c r="C41" i="18"/>
  <c r="C46" i="18"/>
  <c r="D46" i="18" s="1"/>
  <c r="C36" i="18"/>
  <c r="D36" i="18" s="1"/>
  <c r="C35" i="18"/>
  <c r="C34" i="18"/>
  <c r="D34" i="18" s="1"/>
  <c r="C33" i="18"/>
  <c r="C38" i="18"/>
  <c r="D38" i="18" s="1"/>
  <c r="C32" i="18"/>
  <c r="F18" i="20"/>
  <c r="J24" i="13"/>
  <c r="F19" i="20"/>
  <c r="J13" i="13"/>
  <c r="D41" i="18"/>
  <c r="G10" i="19"/>
  <c r="G17" i="20"/>
  <c r="H10" i="19"/>
  <c r="H17" i="20"/>
  <c r="C39" i="18"/>
  <c r="C31" i="18"/>
  <c r="C42" i="18"/>
  <c r="D42" i="18" s="1"/>
  <c r="C37" i="18"/>
  <c r="C18" i="12"/>
  <c r="D21" i="19" s="1"/>
  <c r="I38" i="14"/>
  <c r="I112" i="14"/>
  <c r="I115" i="14" s="1"/>
  <c r="I133" i="14" s="1"/>
  <c r="H137" i="14"/>
  <c r="F32" i="18" l="1"/>
  <c r="C47" i="18"/>
  <c r="D32" i="18"/>
  <c r="E32" i="18" s="1"/>
  <c r="F11" i="13" s="1"/>
  <c r="C15" i="20" s="1"/>
  <c r="D33" i="18"/>
  <c r="E33" i="18" s="1"/>
  <c r="E34" i="18" s="1"/>
  <c r="E13" i="17"/>
  <c r="D35" i="18"/>
  <c r="G19" i="20"/>
  <c r="K13" i="13"/>
  <c r="H19" i="20" s="1"/>
  <c r="G18" i="20"/>
  <c r="K24" i="13"/>
  <c r="H18" i="20" s="1"/>
  <c r="G13" i="17"/>
  <c r="D39" i="18"/>
  <c r="D37" i="18"/>
  <c r="F13" i="17"/>
  <c r="D31" i="18"/>
  <c r="D18" i="12"/>
  <c r="E21" i="19" s="1"/>
  <c r="I127" i="14"/>
  <c r="I137" i="14"/>
  <c r="D13" i="17" l="1"/>
  <c r="C13" i="17"/>
  <c r="G11" i="13"/>
  <c r="D29" i="20" s="1"/>
  <c r="E35" i="18"/>
  <c r="E36" i="18" s="1"/>
  <c r="D47" i="18"/>
  <c r="E31" i="18"/>
  <c r="E18" i="12"/>
  <c r="F21" i="19" s="1"/>
  <c r="H11" i="13" l="1"/>
  <c r="E29" i="20" s="1"/>
  <c r="E37" i="18"/>
  <c r="E38" i="18" s="1"/>
  <c r="F10" i="13"/>
  <c r="F19" i="13" s="1"/>
  <c r="D11" i="5"/>
  <c r="F18" i="12"/>
  <c r="G21" i="19" s="1"/>
  <c r="E39" i="18" l="1"/>
  <c r="E40" i="18" s="1"/>
  <c r="I11" i="13"/>
  <c r="F29" i="20" s="1"/>
  <c r="C19" i="17"/>
  <c r="D19" i="17" s="1"/>
  <c r="E19" i="17" s="1"/>
  <c r="F19" i="17" s="1"/>
  <c r="G19" i="17" s="1"/>
  <c r="C22" i="21"/>
  <c r="D22" i="21" s="1"/>
  <c r="E22" i="21" s="1"/>
  <c r="F22" i="21" s="1"/>
  <c r="G22" i="21" s="1"/>
  <c r="C11" i="20"/>
  <c r="C14" i="20"/>
  <c r="F26" i="13"/>
  <c r="F11" i="5"/>
  <c r="G11" i="5" s="1"/>
  <c r="G18" i="12"/>
  <c r="H21" i="19" s="1"/>
  <c r="J11" i="13" l="1"/>
  <c r="G29" i="20" s="1"/>
  <c r="E41" i="18"/>
  <c r="E42" i="18" s="1"/>
  <c r="C21" i="20"/>
  <c r="D12" i="5"/>
  <c r="F12" i="5" s="1"/>
  <c r="E43" i="18" l="1"/>
  <c r="E44" i="18" s="1"/>
  <c r="E45" i="18" s="1"/>
  <c r="E46" i="18" s="1"/>
  <c r="K11" i="13"/>
  <c r="H29" i="20" s="1"/>
  <c r="D13" i="5"/>
  <c r="F13" i="5" s="1"/>
  <c r="G12" i="5"/>
  <c r="G13" i="5" l="1"/>
  <c r="D14" i="5"/>
  <c r="F14" i="5" s="1"/>
  <c r="D19" i="5"/>
  <c r="G14" i="5" l="1"/>
  <c r="D15" i="5"/>
  <c r="F15" i="5" s="1"/>
  <c r="F19" i="5"/>
  <c r="G19" i="5" s="1"/>
  <c r="G15" i="5" l="1"/>
  <c r="D16" i="5"/>
  <c r="F16" i="5" s="1"/>
  <c r="D20" i="5"/>
  <c r="F20" i="5" s="1"/>
  <c r="G16" i="5" l="1"/>
  <c r="D17" i="5"/>
  <c r="F17" i="5" s="1"/>
  <c r="G17" i="5" s="1"/>
  <c r="G20" i="5"/>
  <c r="D21" i="5"/>
  <c r="F21" i="5" s="1"/>
  <c r="G21" i="5" s="1"/>
  <c r="H19" i="5" l="1"/>
  <c r="D22" i="5"/>
  <c r="F22" i="5" s="1"/>
  <c r="G22" i="5" s="1"/>
  <c r="C25" i="12" l="1"/>
  <c r="C24" i="12"/>
  <c r="D23" i="5"/>
  <c r="F23" i="5" s="1"/>
  <c r="G23" i="5" s="1"/>
  <c r="D24" i="5" l="1"/>
  <c r="F24" i="5" s="1"/>
  <c r="G24" i="5" s="1"/>
  <c r="D25" i="12" l="1"/>
  <c r="D24" i="12"/>
  <c r="D25" i="5"/>
  <c r="F25" i="5" s="1"/>
  <c r="G25" i="5" s="1"/>
  <c r="E25" i="12" l="1"/>
  <c r="E24" i="12"/>
  <c r="D26" i="5"/>
  <c r="F26" i="5" s="1"/>
  <c r="G26" i="5" s="1"/>
  <c r="D27" i="5" l="1"/>
  <c r="F27" i="5" s="1"/>
  <c r="G27" i="5" s="1"/>
  <c r="F24" i="12" l="1"/>
  <c r="F25" i="12"/>
  <c r="D28" i="5"/>
  <c r="F28" i="5" s="1"/>
  <c r="G28" i="5" s="1"/>
  <c r="D29" i="5" l="1"/>
  <c r="F29" i="5" s="1"/>
  <c r="G29" i="5" s="1"/>
  <c r="G25" i="12" l="1"/>
  <c r="G24" i="12"/>
  <c r="D30" i="5"/>
  <c r="F30" i="5" s="1"/>
  <c r="D32" i="5" l="1"/>
  <c r="F32" i="5" s="1"/>
  <c r="G32" i="5" s="1"/>
  <c r="G30" i="5"/>
  <c r="H32" i="5" s="1"/>
  <c r="G10" i="13"/>
  <c r="G19" i="13" s="1"/>
  <c r="D28" i="20" l="1"/>
  <c r="D31" i="20" s="1"/>
  <c r="D33" i="5"/>
  <c r="F33" i="5" s="1"/>
  <c r="G33" i="5" s="1"/>
  <c r="C26" i="12" l="1"/>
  <c r="D14" i="19"/>
  <c r="D34" i="5"/>
  <c r="F34" i="5" s="1"/>
  <c r="G34" i="5" s="1"/>
  <c r="C33" i="12" l="1"/>
  <c r="C35" i="12" s="1"/>
  <c r="C12" i="17"/>
  <c r="C17" i="17" s="1"/>
  <c r="D12" i="17"/>
  <c r="D17" i="17" s="1"/>
  <c r="D35" i="5"/>
  <c r="F35" i="5" s="1"/>
  <c r="G35" i="5" s="1"/>
  <c r="D21" i="17" l="1"/>
  <c r="E26" i="19"/>
  <c r="C9" i="17"/>
  <c r="C15" i="17" s="1"/>
  <c r="D25" i="19" s="1"/>
  <c r="D26" i="19"/>
  <c r="C21" i="17"/>
  <c r="D36" i="5"/>
  <c r="F36" i="5" s="1"/>
  <c r="G36" i="5" s="1"/>
  <c r="C23" i="17" l="1"/>
  <c r="D28" i="19"/>
  <c r="D31" i="19"/>
  <c r="D37" i="5"/>
  <c r="F37" i="5" s="1"/>
  <c r="G37" i="5" l="1"/>
  <c r="D38" i="5"/>
  <c r="F38" i="5" s="1"/>
  <c r="G38" i="5" s="1"/>
  <c r="D39" i="5" l="1"/>
  <c r="F39" i="5" s="1"/>
  <c r="G39" i="5" s="1"/>
  <c r="D40" i="5" l="1"/>
  <c r="F40" i="5" s="1"/>
  <c r="G40" i="5" s="1"/>
  <c r="D41" i="5" l="1"/>
  <c r="F41" i="5" s="1"/>
  <c r="G41" i="5" s="1"/>
  <c r="D42" i="5" l="1"/>
  <c r="F42" i="5" s="1"/>
  <c r="G42" i="5" s="1"/>
  <c r="D43" i="5" l="1"/>
  <c r="F43" i="5" s="1"/>
  <c r="G43" i="5" s="1"/>
  <c r="H45" i="5" s="1"/>
  <c r="D45" i="5" l="1"/>
  <c r="F45" i="5" s="1"/>
  <c r="G45" i="5" s="1"/>
  <c r="H10" i="13"/>
  <c r="H19" i="13" s="1"/>
  <c r="D26" i="12" l="1"/>
  <c r="E12" i="17" s="1"/>
  <c r="E17" i="17" s="1"/>
  <c r="E28" i="20"/>
  <c r="E31" i="20" s="1"/>
  <c r="D46" i="5"/>
  <c r="F46" i="5" s="1"/>
  <c r="G46" i="5" s="1"/>
  <c r="E14" i="19" l="1"/>
  <c r="F26" i="19"/>
  <c r="E21" i="17"/>
  <c r="D47" i="5"/>
  <c r="F47" i="5" s="1"/>
  <c r="G47" i="5" s="1"/>
  <c r="D48" i="5" l="1"/>
  <c r="F48" i="5" s="1"/>
  <c r="G48" i="5" s="1"/>
  <c r="D49" i="5" l="1"/>
  <c r="F49" i="5" s="1"/>
  <c r="G49" i="5" s="1"/>
  <c r="D50" i="5" l="1"/>
  <c r="F50" i="5" s="1"/>
  <c r="G50" i="5" s="1"/>
  <c r="D51" i="5" l="1"/>
  <c r="F51" i="5" s="1"/>
  <c r="G51" i="5" s="1"/>
  <c r="D52" i="5" l="1"/>
  <c r="F52" i="5" s="1"/>
  <c r="G52" i="5" s="1"/>
  <c r="D53" i="5" l="1"/>
  <c r="F53" i="5" s="1"/>
  <c r="D54" i="5" l="1"/>
  <c r="F54" i="5" s="1"/>
  <c r="G54" i="5" s="1"/>
  <c r="G53" i="5"/>
  <c r="D55" i="5" l="1"/>
  <c r="F55" i="5" s="1"/>
  <c r="G55" i="5" s="1"/>
  <c r="D56" i="5" l="1"/>
  <c r="F56" i="5" s="1"/>
  <c r="G56" i="5" s="1"/>
  <c r="H58" i="5" s="1"/>
  <c r="I10" i="13" l="1"/>
  <c r="I19" i="13" s="1"/>
  <c r="D60" i="5"/>
  <c r="F60" i="5" s="1"/>
  <c r="G60" i="5" s="1"/>
  <c r="E26" i="12" l="1"/>
  <c r="F12" i="17" s="1"/>
  <c r="F17" i="17" s="1"/>
  <c r="F28" i="20"/>
  <c r="F31" i="20" s="1"/>
  <c r="D61" i="5"/>
  <c r="F61" i="5" s="1"/>
  <c r="G61" i="5" s="1"/>
  <c r="F14" i="19" l="1"/>
  <c r="D62" i="5"/>
  <c r="F62" i="5" s="1"/>
  <c r="G62" i="5" s="1"/>
  <c r="F21" i="17"/>
  <c r="G26" i="19"/>
  <c r="D63" i="5" l="1"/>
  <c r="F63" i="5" s="1"/>
  <c r="G63" i="5" s="1"/>
  <c r="D64" i="5" l="1"/>
  <c r="F64" i="5" s="1"/>
  <c r="G64" i="5" s="1"/>
  <c r="D65" i="5" l="1"/>
  <c r="F65" i="5" s="1"/>
  <c r="G65" i="5" s="1"/>
  <c r="D66" i="5" l="1"/>
  <c r="F66" i="5" s="1"/>
  <c r="G66" i="5" s="1"/>
  <c r="D67" i="5" l="1"/>
  <c r="F67" i="5" s="1"/>
  <c r="G67" i="5" s="1"/>
  <c r="D68" i="5" l="1"/>
  <c r="F68" i="5" s="1"/>
  <c r="G68" i="5" s="1"/>
  <c r="D69" i="5" l="1"/>
  <c r="F69" i="5" s="1"/>
  <c r="D70" i="5" l="1"/>
  <c r="F70" i="5" s="1"/>
  <c r="G70" i="5" s="1"/>
  <c r="G69" i="5"/>
  <c r="D71" i="5" l="1"/>
  <c r="F71" i="5" s="1"/>
  <c r="G71" i="5" s="1"/>
  <c r="H73" i="5" s="1"/>
  <c r="J10" i="13" l="1"/>
  <c r="J19" i="13" s="1"/>
  <c r="D73" i="5"/>
  <c r="F73" i="5" s="1"/>
  <c r="G73" i="5" s="1"/>
  <c r="F26" i="12" l="1"/>
  <c r="G12" i="17" s="1"/>
  <c r="G17" i="17" s="1"/>
  <c r="G28" i="20"/>
  <c r="G31" i="20" s="1"/>
  <c r="D74" i="5"/>
  <c r="F74" i="5" s="1"/>
  <c r="G74" i="5" s="1"/>
  <c r="G14" i="19" l="1"/>
  <c r="H26" i="19"/>
  <c r="G21" i="17"/>
  <c r="D75" i="5"/>
  <c r="F75" i="5" s="1"/>
  <c r="D76" i="5" l="1"/>
  <c r="F76" i="5" s="1"/>
  <c r="G76" i="5" s="1"/>
  <c r="G75" i="5"/>
  <c r="D77" i="5" l="1"/>
  <c r="F77" i="5" s="1"/>
  <c r="G77" i="5" s="1"/>
  <c r="D78" i="5" l="1"/>
  <c r="F78" i="5" s="1"/>
  <c r="G78" i="5" s="1"/>
  <c r="D79" i="5" l="1"/>
  <c r="F79" i="5" s="1"/>
  <c r="G79" i="5" s="1"/>
  <c r="D80" i="5" l="1"/>
  <c r="F80" i="5" s="1"/>
  <c r="G80" i="5" s="1"/>
  <c r="D81" i="5" l="1"/>
  <c r="F81" i="5" s="1"/>
  <c r="D82" i="5" s="1"/>
  <c r="F82" i="5" s="1"/>
  <c r="D83" i="5" l="1"/>
  <c r="F83" i="5" s="1"/>
  <c r="G82" i="5"/>
  <c r="G81" i="5"/>
  <c r="H81" i="5" s="1"/>
  <c r="K10" i="13"/>
  <c r="K19" i="13" s="1"/>
  <c r="D84" i="5" l="1"/>
  <c r="F84" i="5" s="1"/>
  <c r="G83" i="5"/>
  <c r="H28" i="20"/>
  <c r="H31" i="20" s="1"/>
  <c r="G26" i="12"/>
  <c r="H14" i="19"/>
  <c r="G84" i="5" l="1"/>
  <c r="D86" i="5"/>
  <c r="F86" i="5" s="1"/>
  <c r="D27" i="12"/>
  <c r="D33" i="12" s="1"/>
  <c r="D35" i="12" s="1"/>
  <c r="E27" i="12"/>
  <c r="E33" i="12" s="1"/>
  <c r="E35" i="12" s="1"/>
  <c r="G86" i="5" l="1"/>
  <c r="D87" i="5"/>
  <c r="F87" i="5" s="1"/>
  <c r="E9" i="17"/>
  <c r="E15" i="17" s="1"/>
  <c r="D9" i="17"/>
  <c r="D15" i="17" s="1"/>
  <c r="F27" i="12"/>
  <c r="F33" i="12" s="1"/>
  <c r="F35" i="12" s="1"/>
  <c r="D88" i="5" l="1"/>
  <c r="F88" i="5" s="1"/>
  <c r="G87" i="5"/>
  <c r="G27" i="12"/>
  <c r="G33" i="12" s="1"/>
  <c r="G35" i="12" s="1"/>
  <c r="G9" i="17" s="1"/>
  <c r="G15" i="17" s="1"/>
  <c r="F9" i="17"/>
  <c r="F15" i="17" s="1"/>
  <c r="D23" i="17"/>
  <c r="E25" i="19"/>
  <c r="E23" i="17"/>
  <c r="F25" i="19"/>
  <c r="G88" i="5" l="1"/>
  <c r="D89" i="5"/>
  <c r="F89" i="5" s="1"/>
  <c r="F23" i="17"/>
  <c r="G25" i="19"/>
  <c r="F28" i="19"/>
  <c r="F31" i="19"/>
  <c r="E31" i="19"/>
  <c r="E28" i="19"/>
  <c r="H25" i="19"/>
  <c r="G23" i="17"/>
  <c r="G89" i="5" l="1"/>
  <c r="D90" i="5"/>
  <c r="F90" i="5" s="1"/>
  <c r="G90" i="5" s="1"/>
  <c r="C25" i="17"/>
  <c r="H28" i="19"/>
  <c r="H31" i="19"/>
  <c r="G31" i="19"/>
  <c r="G28" i="19"/>
  <c r="G25" i="21"/>
  <c r="F25" i="21"/>
  <c r="D25" i="21"/>
  <c r="E25" i="21"/>
  <c r="C25" i="21"/>
  <c r="F30" i="13" l="1"/>
  <c r="H9" i="9" l="1"/>
  <c r="C26" i="20"/>
  <c r="C31" i="20" s="1"/>
  <c r="C33" i="20" s="1"/>
  <c r="C37" i="20" s="1"/>
  <c r="H11" i="9" l="1"/>
  <c r="H34" i="9" s="1"/>
  <c r="F31" i="13"/>
  <c r="F32" i="13" s="1"/>
  <c r="D35" i="20"/>
  <c r="F35" i="13"/>
  <c r="H12" i="9" l="1"/>
  <c r="H35" i="9" s="1"/>
  <c r="H32" i="9" s="1"/>
  <c r="F39" i="13"/>
  <c r="F40" i="13" s="1"/>
  <c r="I9" i="9" l="1"/>
  <c r="I11" i="9" s="1"/>
  <c r="I34" i="9" s="1"/>
  <c r="G30" i="13"/>
  <c r="C37" i="12"/>
  <c r="C39" i="12" s="1"/>
  <c r="G31" i="13"/>
  <c r="G32" i="13" l="1"/>
  <c r="I12" i="9"/>
  <c r="C10" i="21"/>
  <c r="C13" i="21" s="1"/>
  <c r="C10" i="17"/>
  <c r="D13" i="20"/>
  <c r="D20" i="19"/>
  <c r="D23" i="19" s="1"/>
  <c r="D10" i="20"/>
  <c r="D21" i="20" s="1"/>
  <c r="D33" i="20" s="1"/>
  <c r="D37" i="20" s="1"/>
  <c r="C8" i="21"/>
  <c r="C12" i="21" s="1"/>
  <c r="G23" i="13"/>
  <c r="J9" i="9" l="1"/>
  <c r="J11" i="9" s="1"/>
  <c r="I35" i="9"/>
  <c r="I32" i="9" s="1"/>
  <c r="H30" i="13" s="1"/>
  <c r="H31" i="13"/>
  <c r="C15" i="21"/>
  <c r="C17" i="21" s="1"/>
  <c r="C19" i="21" s="1"/>
  <c r="D37" i="12"/>
  <c r="G26" i="13"/>
  <c r="D15" i="19"/>
  <c r="D17" i="19" s="1"/>
  <c r="G35" i="13"/>
  <c r="E35" i="20"/>
  <c r="J12" i="9" l="1"/>
  <c r="J34" i="9"/>
  <c r="I31" i="13" s="1"/>
  <c r="H32" i="13"/>
  <c r="D39" i="12"/>
  <c r="D10" i="17"/>
  <c r="E13" i="20"/>
  <c r="D10" i="21"/>
  <c r="D13" i="21" s="1"/>
  <c r="G39" i="13"/>
  <c r="D9" i="19"/>
  <c r="D12" i="19" s="1"/>
  <c r="K9" i="9" l="1"/>
  <c r="J35" i="9"/>
  <c r="J32" i="9" s="1"/>
  <c r="I30" i="13" s="1"/>
  <c r="I32" i="13" s="1"/>
  <c r="E37" i="12"/>
  <c r="E10" i="21" s="1"/>
  <c r="E13" i="21" s="1"/>
  <c r="E20" i="19"/>
  <c r="E23" i="19" s="1"/>
  <c r="E10" i="20"/>
  <c r="E21" i="20" s="1"/>
  <c r="E33" i="20" s="1"/>
  <c r="E37" i="20" s="1"/>
  <c r="H35" i="13" s="1"/>
  <c r="E9" i="19" s="1"/>
  <c r="E12" i="19" s="1"/>
  <c r="D8" i="21"/>
  <c r="D12" i="21" s="1"/>
  <c r="D15" i="21" s="1"/>
  <c r="D17" i="21" s="1"/>
  <c r="D19" i="21" s="1"/>
  <c r="H23" i="13"/>
  <c r="G40" i="13"/>
  <c r="D32" i="19"/>
  <c r="D34" i="19" s="1"/>
  <c r="K11" i="9" l="1"/>
  <c r="K34" i="9" s="1"/>
  <c r="K12" i="9"/>
  <c r="E39" i="12"/>
  <c r="E8" i="21" s="1"/>
  <c r="E12" i="21" s="1"/>
  <c r="E15" i="21" s="1"/>
  <c r="E17" i="21" s="1"/>
  <c r="E19" i="21" s="1"/>
  <c r="E23" i="21" s="1"/>
  <c r="E10" i="17"/>
  <c r="F13" i="20"/>
  <c r="F37" i="12"/>
  <c r="F39" i="12" s="1"/>
  <c r="H39" i="13"/>
  <c r="E32" i="19" s="1"/>
  <c r="E34" i="19" s="1"/>
  <c r="F35" i="20"/>
  <c r="H26" i="13"/>
  <c r="E15" i="19"/>
  <c r="E17" i="19" s="1"/>
  <c r="L9" i="9" l="1"/>
  <c r="K35" i="9"/>
  <c r="K32" i="9"/>
  <c r="J30" i="13" s="1"/>
  <c r="F20" i="19"/>
  <c r="F23" i="19" s="1"/>
  <c r="F10" i="20"/>
  <c r="F21" i="20" s="1"/>
  <c r="F33" i="20" s="1"/>
  <c r="F37" i="20" s="1"/>
  <c r="G35" i="20" s="1"/>
  <c r="I23" i="13"/>
  <c r="F15" i="19" s="1"/>
  <c r="F17" i="19" s="1"/>
  <c r="J31" i="13"/>
  <c r="G13" i="20"/>
  <c r="F10" i="21"/>
  <c r="F13" i="21" s="1"/>
  <c r="F10" i="17"/>
  <c r="H40" i="13"/>
  <c r="F8" i="21"/>
  <c r="F12" i="21" s="1"/>
  <c r="G10" i="20"/>
  <c r="G21" i="20" s="1"/>
  <c r="G33" i="20" s="1"/>
  <c r="G20" i="19"/>
  <c r="G23" i="19" s="1"/>
  <c r="J32" i="13" l="1"/>
  <c r="L11" i="9"/>
  <c r="L34" i="9" s="1"/>
  <c r="I26" i="13"/>
  <c r="J23" i="13"/>
  <c r="G15" i="19" s="1"/>
  <c r="G17" i="19" s="1"/>
  <c r="F15" i="21"/>
  <c r="F17" i="21" s="1"/>
  <c r="F19" i="21" s="1"/>
  <c r="F23" i="21" s="1"/>
  <c r="G37" i="20"/>
  <c r="H35" i="20" s="1"/>
  <c r="I35" i="13"/>
  <c r="F9" i="19" s="1"/>
  <c r="F12" i="19" s="1"/>
  <c r="K31" i="13" l="1"/>
  <c r="L12" i="9"/>
  <c r="L35" i="9" s="1"/>
  <c r="L32" i="9" s="1"/>
  <c r="K30" i="13" s="1"/>
  <c r="G37" i="12"/>
  <c r="G10" i="17" s="1"/>
  <c r="J26" i="13"/>
  <c r="I39" i="13"/>
  <c r="I40" i="13" s="1"/>
  <c r="J35" i="13"/>
  <c r="G9" i="19" s="1"/>
  <c r="G12" i="19" s="1"/>
  <c r="H13" i="20"/>
  <c r="K32" i="13" l="1"/>
  <c r="G39" i="12"/>
  <c r="H20" i="19" s="1"/>
  <c r="H23" i="19" s="1"/>
  <c r="G10" i="21"/>
  <c r="G13" i="21" s="1"/>
  <c r="F32" i="19"/>
  <c r="F34" i="19" s="1"/>
  <c r="J39" i="13"/>
  <c r="J40" i="13" s="1"/>
  <c r="K23" i="13"/>
  <c r="G8" i="21" l="1"/>
  <c r="G12" i="21" s="1"/>
  <c r="G15" i="21" s="1"/>
  <c r="G17" i="21" s="1"/>
  <c r="G19" i="21" s="1"/>
  <c r="G23" i="21" s="1"/>
  <c r="H10" i="20"/>
  <c r="H21" i="20" s="1"/>
  <c r="H33" i="20" s="1"/>
  <c r="H37" i="20" s="1"/>
  <c r="K35" i="13" s="1"/>
  <c r="K39" i="13" s="1"/>
  <c r="H32" i="19" s="1"/>
  <c r="H34" i="19" s="1"/>
  <c r="G32" i="19"/>
  <c r="G34" i="19" s="1"/>
  <c r="K26" i="13"/>
  <c r="H15" i="19"/>
  <c r="H17" i="19" s="1"/>
  <c r="K40" i="13" l="1"/>
  <c r="H9" i="19"/>
  <c r="H12" i="19" s="1"/>
  <c r="A2" i="26" l="1"/>
  <c r="A46" i="26" s="1"/>
  <c r="E35" i="26"/>
  <c r="E37" i="26" s="1"/>
  <c r="F35" i="26" l="1"/>
  <c r="F37" i="26" s="1"/>
  <c r="I84" i="26" l="1"/>
  <c r="K75" i="26"/>
  <c r="K78" i="26" s="1"/>
  <c r="H84" i="26" l="1"/>
  <c r="J84" i="26"/>
  <c r="I30" i="26"/>
  <c r="I34" i="26"/>
  <c r="H30" i="29"/>
  <c r="H31" i="29" s="1"/>
  <c r="L75" i="26"/>
  <c r="L78" i="26" s="1"/>
  <c r="H49" i="29" l="1"/>
  <c r="J30" i="26"/>
  <c r="J34" i="26"/>
  <c r="K84" i="26"/>
  <c r="H75" i="26"/>
  <c r="H78" i="26" s="1"/>
  <c r="J75" i="26"/>
  <c r="J78" i="26" s="1"/>
  <c r="L84" i="26"/>
  <c r="H34" i="26"/>
  <c r="H30" i="26"/>
  <c r="G84" i="26"/>
  <c r="I30" i="29"/>
  <c r="I31" i="29" s="1"/>
  <c r="G30" i="29"/>
  <c r="G31" i="29" s="1"/>
  <c r="I23" i="26"/>
  <c r="G49" i="29" l="1"/>
  <c r="I49" i="29"/>
  <c r="G75" i="26"/>
  <c r="G78" i="26" s="1"/>
  <c r="I75" i="26"/>
  <c r="I78" i="26" s="1"/>
  <c r="K34" i="26"/>
  <c r="K30" i="26"/>
  <c r="L34" i="26"/>
  <c r="L30" i="26"/>
  <c r="G34" i="26"/>
  <c r="G30" i="26"/>
  <c r="H23" i="26"/>
  <c r="D14" i="27"/>
  <c r="D37" i="27" s="1"/>
  <c r="J23" i="26"/>
  <c r="K23" i="26" l="1"/>
  <c r="J30" i="29"/>
  <c r="J31" i="29" s="1"/>
  <c r="G23" i="26"/>
  <c r="F30" i="29"/>
  <c r="F31" i="29" s="1"/>
  <c r="L23" i="26"/>
  <c r="K30" i="29"/>
  <c r="K31" i="29" s="1"/>
  <c r="C14" i="27"/>
  <c r="C37" i="27" s="1"/>
  <c r="I9" i="26"/>
  <c r="E14" i="27"/>
  <c r="E37" i="27" s="1"/>
  <c r="F49" i="29" l="1"/>
  <c r="K49" i="29"/>
  <c r="J49" i="29"/>
  <c r="G53" i="29"/>
  <c r="F59" i="29"/>
  <c r="F61" i="29" s="1"/>
  <c r="B14" i="27"/>
  <c r="B37" i="27" s="1"/>
  <c r="H9" i="26"/>
  <c r="G14" i="27"/>
  <c r="G37" i="27" s="1"/>
  <c r="J9" i="26"/>
  <c r="I13" i="26"/>
  <c r="F14" i="27"/>
  <c r="F37" i="27" s="1"/>
  <c r="F125" i="29" l="1"/>
  <c r="F135" i="29" s="1"/>
  <c r="F128" i="29"/>
  <c r="H53" i="29"/>
  <c r="G59" i="29"/>
  <c r="K9" i="26"/>
  <c r="J13" i="26"/>
  <c r="L9" i="26"/>
  <c r="H13" i="26"/>
  <c r="G125" i="29" l="1"/>
  <c r="G135" i="29" s="1"/>
  <c r="G128" i="29"/>
  <c r="G61" i="29"/>
  <c r="I53" i="29"/>
  <c r="H59" i="29"/>
  <c r="G14" i="26"/>
  <c r="B22" i="27"/>
  <c r="B45" i="27"/>
  <c r="G9" i="26"/>
  <c r="L13" i="26"/>
  <c r="K13" i="26"/>
  <c r="G13" i="26"/>
  <c r="G16" i="26" s="1"/>
  <c r="I59" i="29" l="1"/>
  <c r="J53" i="29"/>
  <c r="H125" i="29"/>
  <c r="H135" i="29" s="1"/>
  <c r="H128" i="29"/>
  <c r="H61" i="29"/>
  <c r="H14" i="26"/>
  <c r="H16" i="26" s="1"/>
  <c r="C22" i="27"/>
  <c r="C45" i="27"/>
  <c r="F96" i="29"/>
  <c r="K53" i="29" l="1"/>
  <c r="K59" i="29" s="1"/>
  <c r="J59" i="29"/>
  <c r="I125" i="29"/>
  <c r="I135" i="29" s="1"/>
  <c r="I128" i="29"/>
  <c r="I61" i="29"/>
  <c r="F131" i="29"/>
  <c r="F122" i="29"/>
  <c r="I14" i="26"/>
  <c r="I16" i="26" s="1"/>
  <c r="D45" i="27"/>
  <c r="D22" i="27"/>
  <c r="G50" i="30" l="1"/>
  <c r="J125" i="29"/>
  <c r="J135" i="29" s="1"/>
  <c r="J128" i="29"/>
  <c r="J61" i="29"/>
  <c r="K125" i="29"/>
  <c r="K135" i="29" s="1"/>
  <c r="K128" i="29"/>
  <c r="K61" i="29"/>
  <c r="F123" i="29"/>
  <c r="F146" i="29"/>
  <c r="G8" i="26"/>
  <c r="G11" i="26" s="1"/>
  <c r="B12" i="27"/>
  <c r="J14" i="26"/>
  <c r="J16" i="26" s="1"/>
  <c r="E45" i="27"/>
  <c r="E22" i="27"/>
  <c r="G35" i="26"/>
  <c r="G37" i="26" s="1"/>
  <c r="G66" i="29" l="1"/>
  <c r="H48" i="30"/>
  <c r="H50" i="30" s="1"/>
  <c r="G55" i="30"/>
  <c r="L14" i="26"/>
  <c r="L16" i="26" s="1"/>
  <c r="G22" i="27"/>
  <c r="G45" i="27"/>
  <c r="K14" i="26"/>
  <c r="K16" i="26" s="1"/>
  <c r="F45" i="27"/>
  <c r="F22" i="27"/>
  <c r="B35" i="27"/>
  <c r="B17" i="27"/>
  <c r="H66" i="29" l="1"/>
  <c r="I48" i="30"/>
  <c r="I50" i="30" s="1"/>
  <c r="H55" i="30"/>
  <c r="G96" i="29"/>
  <c r="B19" i="27"/>
  <c r="B24" i="27" s="1"/>
  <c r="B26" i="27"/>
  <c r="B28" i="27" s="1"/>
  <c r="B42" i="27"/>
  <c r="B40" i="27"/>
  <c r="I66" i="29" l="1"/>
  <c r="J48" i="30"/>
  <c r="J50" i="30" s="1"/>
  <c r="I55" i="30"/>
  <c r="G131" i="29"/>
  <c r="G122" i="29"/>
  <c r="B49" i="27"/>
  <c r="B47" i="27"/>
  <c r="H96" i="29"/>
  <c r="J66" i="29" l="1"/>
  <c r="K48" i="30"/>
  <c r="K50" i="30" s="1"/>
  <c r="K66" i="29" s="1"/>
  <c r="B51" i="27"/>
  <c r="J55" i="30"/>
  <c r="G123" i="29"/>
  <c r="G146" i="29"/>
  <c r="H131" i="29"/>
  <c r="H122" i="29"/>
  <c r="H8" i="26"/>
  <c r="H11" i="26" s="1"/>
  <c r="C12" i="27"/>
  <c r="H35" i="26"/>
  <c r="H37" i="26" s="1"/>
  <c r="K55" i="30" l="1"/>
  <c r="H123" i="29"/>
  <c r="H146" i="29"/>
  <c r="C35" i="27"/>
  <c r="C17" i="27"/>
  <c r="I96" i="29" l="1"/>
  <c r="I8" i="26"/>
  <c r="I11" i="26" s="1"/>
  <c r="D12" i="27"/>
  <c r="C19" i="27"/>
  <c r="C24" i="27" s="1"/>
  <c r="C26" i="27"/>
  <c r="C28" i="27" s="1"/>
  <c r="C42" i="27"/>
  <c r="C40" i="27"/>
  <c r="I35" i="26"/>
  <c r="I37" i="26" s="1"/>
  <c r="I131" i="29" l="1"/>
  <c r="I122" i="29"/>
  <c r="C47" i="27"/>
  <c r="C49" i="27"/>
  <c r="C51" i="27" s="1"/>
  <c r="D35" i="27"/>
  <c r="D17" i="27"/>
  <c r="I123" i="29" l="1"/>
  <c r="I146" i="29"/>
  <c r="J96" i="29"/>
  <c r="D19" i="27"/>
  <c r="D24" i="27" s="1"/>
  <c r="D26" i="27"/>
  <c r="D40" i="27"/>
  <c r="D42" i="27"/>
  <c r="J8" i="26"/>
  <c r="J11" i="26" s="1"/>
  <c r="E12" i="27"/>
  <c r="J35" i="26"/>
  <c r="J37" i="26" s="1"/>
  <c r="D28" i="27" l="1"/>
  <c r="J131" i="29"/>
  <c r="J132" i="29"/>
  <c r="J122" i="29"/>
  <c r="D47" i="27"/>
  <c r="D49" i="27"/>
  <c r="E35" i="27"/>
  <c r="E17" i="27"/>
  <c r="K96" i="29"/>
  <c r="D51" i="27" l="1"/>
  <c r="J123" i="29"/>
  <c r="J146" i="29"/>
  <c r="K131" i="29"/>
  <c r="K122" i="29"/>
  <c r="K132" i="29"/>
  <c r="E26" i="27"/>
  <c r="E19" i="27"/>
  <c r="E24" i="27" s="1"/>
  <c r="E40" i="27"/>
  <c r="E42" i="27"/>
  <c r="K8" i="26"/>
  <c r="K11" i="26" s="1"/>
  <c r="F12" i="27"/>
  <c r="K35" i="26"/>
  <c r="K37" i="26" s="1"/>
  <c r="E28" i="27" l="1"/>
  <c r="K123" i="29"/>
  <c r="K146" i="29"/>
  <c r="E47" i="27"/>
  <c r="E49" i="27"/>
  <c r="L8" i="26"/>
  <c r="L11" i="26" s="1"/>
  <c r="G12" i="27"/>
  <c r="F35" i="27"/>
  <c r="F17" i="27"/>
  <c r="L35" i="26"/>
  <c r="L37" i="26" s="1"/>
  <c r="E51" i="27" l="1"/>
  <c r="G35" i="27"/>
  <c r="G17" i="27"/>
  <c r="F26" i="27"/>
  <c r="F19" i="27"/>
  <c r="F24" i="27" s="1"/>
  <c r="F40" i="27"/>
  <c r="F42" i="27"/>
  <c r="F28" i="27" l="1"/>
  <c r="F49" i="27"/>
  <c r="F47" i="27"/>
  <c r="G40" i="27"/>
  <c r="G42" i="27"/>
  <c r="G19" i="27"/>
  <c r="G24" i="27" s="1"/>
  <c r="G26" i="27"/>
  <c r="G28" i="27" l="1"/>
  <c r="F51" i="27"/>
  <c r="G47" i="27"/>
  <c r="G49" i="27"/>
  <c r="G51" i="27" s="1"/>
</calcChain>
</file>

<file path=xl/comments1.xml><?xml version="1.0" encoding="utf-8"?>
<comments xmlns="http://schemas.openxmlformats.org/spreadsheetml/2006/main">
  <authors>
    <author>Author</author>
  </authors>
  <commentList>
    <comment ref="E8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taken from tally</t>
        </r>
      </text>
    </comment>
  </commentList>
</comments>
</file>

<file path=xl/sharedStrings.xml><?xml version="1.0" encoding="utf-8"?>
<sst xmlns="http://schemas.openxmlformats.org/spreadsheetml/2006/main" count="1250" uniqueCount="752">
  <si>
    <t>PLOT SIZE</t>
  </si>
  <si>
    <t>FAR (PRESENT)</t>
  </si>
  <si>
    <t>GROUND COVERAGE</t>
  </si>
  <si>
    <t>MAXIMUM COVERED AREA</t>
  </si>
  <si>
    <t>COVERED AREA -PHASE-II</t>
  </si>
  <si>
    <t>COVERED AREA -PHASE-I</t>
  </si>
  <si>
    <t>TOTAL COVERED AREA</t>
  </si>
  <si>
    <t>NO OF FLOOR</t>
  </si>
  <si>
    <t>AREA PER FLOOR</t>
  </si>
  <si>
    <t>SQ. MTS</t>
  </si>
  <si>
    <t>MINIMUM OF MAX. ALLOWED COVERAGE (35%)</t>
  </si>
  <si>
    <t xml:space="preserve">PROPOSED USAGE </t>
  </si>
  <si>
    <t>AREA</t>
  </si>
  <si>
    <t>PHASE-1</t>
  </si>
  <si>
    <t>GROUND FLOOR</t>
  </si>
  <si>
    <t>RECEPTION &amp; WATING</t>
  </si>
  <si>
    <t>PRINCIPAL'S ROOM</t>
  </si>
  <si>
    <t>VICE PRINCIPAL'S ROOM</t>
  </si>
  <si>
    <t>OFFICE</t>
  </si>
  <si>
    <t>STAFF ROOMS</t>
  </si>
  <si>
    <t>ACTIVITY HALL</t>
  </si>
  <si>
    <t>MUSIC ROOM</t>
  </si>
  <si>
    <t>LABORATORY</t>
  </si>
  <si>
    <t>LIBRARY</t>
  </si>
  <si>
    <t>CAFETERIA</t>
  </si>
  <si>
    <t>GUARD ROOMS</t>
  </si>
  <si>
    <t>60 SO.MTS</t>
  </si>
  <si>
    <t>50 SQ.MTS</t>
  </si>
  <si>
    <t>40 SQ.MTS</t>
  </si>
  <si>
    <t>60 SQ.MTS</t>
  </si>
  <si>
    <t>100 SQ. MTS.</t>
  </si>
  <si>
    <t>200 SQ.MTS.</t>
  </si>
  <si>
    <t>65 SQ.MTS.</t>
  </si>
  <si>
    <t>100 SQ.MTS.</t>
  </si>
  <si>
    <t>25 SQ.MTS.</t>
  </si>
  <si>
    <t>PHASE-II</t>
  </si>
  <si>
    <t>FIRST FLOOR</t>
  </si>
  <si>
    <t>BUILDING AT NOIDA</t>
  </si>
  <si>
    <t>PROJESTED NO. OF STUDENTS</t>
  </si>
  <si>
    <t>PROJEST REPORT OF THE PROPOSED SCHOOL</t>
  </si>
  <si>
    <t>a</t>
  </si>
  <si>
    <t>b</t>
  </si>
  <si>
    <t>S.No.</t>
  </si>
  <si>
    <t>c</t>
  </si>
  <si>
    <t>d</t>
  </si>
  <si>
    <t>Land</t>
  </si>
  <si>
    <t>Plot size</t>
  </si>
  <si>
    <t>Location</t>
  </si>
  <si>
    <t>Rate of Land</t>
  </si>
  <si>
    <t>sq. mts.</t>
  </si>
  <si>
    <t>Average rate of land</t>
  </si>
  <si>
    <t>cost of plot</t>
  </si>
  <si>
    <t>Lakhs</t>
  </si>
  <si>
    <t>Lease rent payable</t>
  </si>
  <si>
    <t>Conveyance deed</t>
  </si>
  <si>
    <t>Rs.</t>
  </si>
  <si>
    <t>Electrical</t>
  </si>
  <si>
    <t>lakhs</t>
  </si>
  <si>
    <t>Total</t>
  </si>
  <si>
    <t>Misc.civil works like boundry walls,security cabins, parking shed,inner outer approach roads. Etc</t>
  </si>
  <si>
    <t>Descriptions</t>
  </si>
  <si>
    <t xml:space="preserve"> (Rs. lakhs)</t>
  </si>
  <si>
    <t>It is proposed to finance the project as under:</t>
  </si>
  <si>
    <t>(Rs. Lakhs)</t>
  </si>
  <si>
    <t>Term Loan</t>
  </si>
  <si>
    <t>Description</t>
  </si>
  <si>
    <t>Repayment Period</t>
  </si>
  <si>
    <t>Moratorium Period</t>
  </si>
  <si>
    <t>Annual Interest Rate</t>
  </si>
  <si>
    <t>years</t>
  </si>
  <si>
    <t>%</t>
  </si>
  <si>
    <t>Opening Balance</t>
  </si>
  <si>
    <t>Installment</t>
  </si>
  <si>
    <t>Closing Balance</t>
  </si>
  <si>
    <t>2nd Year</t>
  </si>
  <si>
    <t>3rd year</t>
  </si>
  <si>
    <t>4th year</t>
  </si>
  <si>
    <t>5th year</t>
  </si>
  <si>
    <t>Year</t>
  </si>
  <si>
    <t>Months</t>
  </si>
  <si>
    <t>k</t>
  </si>
  <si>
    <t>RECURRING EXPENSES</t>
  </si>
  <si>
    <t>Consumables</t>
  </si>
  <si>
    <t>days</t>
  </si>
  <si>
    <t>1st year</t>
  </si>
  <si>
    <t>2nd year</t>
  </si>
  <si>
    <t>Accounts receivables</t>
  </si>
  <si>
    <t>Misc.Expenses</t>
  </si>
  <si>
    <t>Less</t>
  </si>
  <si>
    <t>Sundry Creditor</t>
  </si>
  <si>
    <t>S.no</t>
  </si>
  <si>
    <t>l</t>
  </si>
  <si>
    <t>m</t>
  </si>
  <si>
    <t>ANNUAL COST OF UTILITIES (POWER &amp; WATER)</t>
  </si>
  <si>
    <t>(at 100% efficency)</t>
  </si>
  <si>
    <t>Power</t>
  </si>
  <si>
    <t>Total Load</t>
  </si>
  <si>
    <t>KW</t>
  </si>
  <si>
    <t>Consumptions</t>
  </si>
  <si>
    <t>Load*8*300*.75</t>
  </si>
  <si>
    <t>(Hrs* days*power factor)</t>
  </si>
  <si>
    <t>KWH</t>
  </si>
  <si>
    <t>Power rate</t>
  </si>
  <si>
    <t>Total power bill</t>
  </si>
  <si>
    <t>Water</t>
  </si>
  <si>
    <t>KL</t>
  </si>
  <si>
    <t>Rate</t>
  </si>
  <si>
    <t>15 per KL</t>
  </si>
  <si>
    <t>Total water bill</t>
  </si>
  <si>
    <t>Fuel</t>
  </si>
  <si>
    <t>Diesel</t>
  </si>
  <si>
    <t>55000 per KL</t>
  </si>
  <si>
    <t>Total bill</t>
  </si>
  <si>
    <t>Total Power  &amp; Water Bill</t>
  </si>
  <si>
    <t>1st Yr.</t>
  </si>
  <si>
    <t>5th Yr.</t>
  </si>
  <si>
    <t>4th Yr.</t>
  </si>
  <si>
    <t>3rd Yr.</t>
  </si>
  <si>
    <t>2nd Yr.</t>
  </si>
  <si>
    <t>Depreciation</t>
  </si>
  <si>
    <t>o</t>
  </si>
  <si>
    <t>p</t>
  </si>
  <si>
    <t>q</t>
  </si>
  <si>
    <t>Projected Expenditure</t>
  </si>
  <si>
    <t>Repair &amp; Maintenance</t>
  </si>
  <si>
    <t>Insurance</t>
  </si>
  <si>
    <t>Interest on term loan</t>
  </si>
  <si>
    <t>Salaries</t>
  </si>
  <si>
    <t>Electricity / Water</t>
  </si>
  <si>
    <t>Preliminary Exp.</t>
  </si>
  <si>
    <t>AMC Computer</t>
  </si>
  <si>
    <t>Telephone exp. &amp; Internet usage</t>
  </si>
  <si>
    <t>Printing &amp; Statonary</t>
  </si>
  <si>
    <t>Total Expenditure</t>
  </si>
  <si>
    <t>Surplus/(Deficiency) before depreciation</t>
  </si>
  <si>
    <t>Surplus/(Deficiency) depreciation</t>
  </si>
  <si>
    <t>Const. Period</t>
  </si>
  <si>
    <t>1st Year</t>
  </si>
  <si>
    <t>3rd Year</t>
  </si>
  <si>
    <t>4 th Year</t>
  </si>
  <si>
    <t>5 th year</t>
  </si>
  <si>
    <t xml:space="preserve">Projected Balance Sheet </t>
  </si>
  <si>
    <t>Particulars</t>
  </si>
  <si>
    <t>Promoters Capital</t>
  </si>
  <si>
    <t>ADD. Surplus/ (Deficiency)</t>
  </si>
  <si>
    <t>Unsecured Loans</t>
  </si>
  <si>
    <t>Total (A)</t>
  </si>
  <si>
    <t>Fixed Assets</t>
  </si>
  <si>
    <t>Gross block</t>
  </si>
  <si>
    <t>Net block</t>
  </si>
  <si>
    <t>Pre-liminary Expenses W/off</t>
  </si>
  <si>
    <t>cash &amp; Bank Balance</t>
  </si>
  <si>
    <t>Other current assets</t>
  </si>
  <si>
    <t>Total(B)</t>
  </si>
  <si>
    <t>PROJECT REPORT OF THE PROPOSED SCHOOL</t>
  </si>
  <si>
    <t>CALCULATION OF NO OF STUDENT</t>
  </si>
  <si>
    <t>Junior Wing</t>
  </si>
  <si>
    <t>year1</t>
  </si>
  <si>
    <t>year2</t>
  </si>
  <si>
    <t>year3</t>
  </si>
  <si>
    <t>year4</t>
  </si>
  <si>
    <t>year5</t>
  </si>
  <si>
    <t>Nursery</t>
  </si>
  <si>
    <t>New adm.</t>
  </si>
  <si>
    <t>section</t>
  </si>
  <si>
    <t>Pramoted</t>
  </si>
  <si>
    <t>LKG</t>
  </si>
  <si>
    <t>UKG</t>
  </si>
  <si>
    <t>Class 1</t>
  </si>
  <si>
    <t>Class 2</t>
  </si>
  <si>
    <t>Class 3</t>
  </si>
  <si>
    <t>Class 4</t>
  </si>
  <si>
    <t>Class 5</t>
  </si>
  <si>
    <t>Class 6</t>
  </si>
  <si>
    <t>Class 7</t>
  </si>
  <si>
    <t>Class 8</t>
  </si>
  <si>
    <t>Class 9</t>
  </si>
  <si>
    <t>Class 10</t>
  </si>
  <si>
    <t>Class 11</t>
  </si>
  <si>
    <t>Class 12</t>
  </si>
  <si>
    <t>Total New Adm.</t>
  </si>
  <si>
    <t>Total Pramoted</t>
  </si>
  <si>
    <t>Grand Total</t>
  </si>
  <si>
    <t>TOTAL  OF NEW ADM.</t>
  </si>
  <si>
    <t>Less Free Students @10%</t>
  </si>
  <si>
    <t>Paid Students</t>
  </si>
  <si>
    <t>Primary Section</t>
  </si>
  <si>
    <t>Secondary section</t>
  </si>
  <si>
    <t>Senior Secondary section</t>
  </si>
  <si>
    <t>Total New Admn.</t>
  </si>
  <si>
    <t>TOTAL OF PROMOTED STUDENTS;</t>
  </si>
  <si>
    <t>Total -Paid pramoted</t>
  </si>
  <si>
    <t>Total Paid STUDENTS</t>
  </si>
  <si>
    <t>PROPOSED FEES STRUCTURE</t>
  </si>
  <si>
    <t>Particular</t>
  </si>
  <si>
    <t>Admission Fees (non refundable)</t>
  </si>
  <si>
    <t>Annual Charge</t>
  </si>
  <si>
    <t>Registration Charge</t>
  </si>
  <si>
    <t>Caution Money (Refundable)</t>
  </si>
  <si>
    <t>DAY SCHOLARS</t>
  </si>
  <si>
    <t>TUITION FEES</t>
  </si>
  <si>
    <t>Secondary Section</t>
  </si>
  <si>
    <t>Senior Secondary Section</t>
  </si>
  <si>
    <t>PROJECTIONS  INCOME STATEMENT</t>
  </si>
  <si>
    <t>TOTAL RECEIPTS OF SCHOOL</t>
  </si>
  <si>
    <t>Interest &amp; Other Income</t>
  </si>
  <si>
    <t>TOTAL INCOME</t>
  </si>
  <si>
    <t>TERM LIABILITIES</t>
  </si>
  <si>
    <t>Caution Money refundable</t>
  </si>
  <si>
    <t>CURRENT LIABILITIES</t>
  </si>
  <si>
    <t>Expenses payable</t>
  </si>
  <si>
    <t>Advance  Fees received</t>
  </si>
  <si>
    <t>TOTAL OUTSIDE LIABILITIES</t>
  </si>
  <si>
    <t>CAPITAL FUND</t>
  </si>
  <si>
    <t>FIXED ASSETS</t>
  </si>
  <si>
    <t>CURRENT ASSETS</t>
  </si>
  <si>
    <t>Profit before depreciation</t>
  </si>
  <si>
    <t>Add: Depreciation</t>
  </si>
  <si>
    <t>Total-A</t>
  </si>
  <si>
    <t xml:space="preserve">Bank interest </t>
  </si>
  <si>
    <t>Instalments</t>
  </si>
  <si>
    <t>Total-B</t>
  </si>
  <si>
    <t>Ratio</t>
  </si>
  <si>
    <t>Average DSCR</t>
  </si>
  <si>
    <t>Noida Authority loan calculation</t>
  </si>
  <si>
    <t>Terms for Allotement in brief</t>
  </si>
  <si>
    <t>Rate of Interest</t>
  </si>
  <si>
    <t>Penal Interest Rate</t>
  </si>
  <si>
    <t>+/-</t>
  </si>
  <si>
    <r>
      <t xml:space="preserve">Amount </t>
    </r>
    <r>
      <rPr>
        <b/>
        <sz val="11"/>
        <color theme="3"/>
        <rFont val="Rupee Foradian"/>
        <family val="2"/>
      </rPr>
      <t>`</t>
    </r>
  </si>
  <si>
    <t>Total Cost of the Plot (A)</t>
  </si>
  <si>
    <t>Less :</t>
  </si>
  <si>
    <t>Registration money (B)</t>
  </si>
  <si>
    <t>Total (B+C) = (D)</t>
  </si>
  <si>
    <t>Repayment Schedule</t>
  </si>
  <si>
    <t>Installment No.</t>
  </si>
  <si>
    <t>Principal Amount</t>
  </si>
  <si>
    <t>Interest Amount</t>
  </si>
  <si>
    <t>Total Installment Amt.</t>
  </si>
  <si>
    <t>Plot alloted on …….</t>
  </si>
  <si>
    <t>Allotment money (30% of cost of Plot)</t>
  </si>
  <si>
    <t>Balance allotment money ©</t>
  </si>
  <si>
    <t>Remaining money (70% of cost of Plot), to be paid in 16 half yearly equal installments (A-D) = (E)</t>
  </si>
  <si>
    <r>
      <t xml:space="preserve">Plot value </t>
    </r>
    <r>
      <rPr>
        <sz val="11"/>
        <color theme="1"/>
        <rFont val="Rupee Foradian"/>
        <family val="2"/>
      </rPr>
      <t>` 39,20,35,000</t>
    </r>
  </si>
  <si>
    <t>First 12 months  is monotarirum period and in this period no principal will be paid, only interest will be paid</t>
  </si>
  <si>
    <t>Rs. 20,660 per sq. mtr.</t>
  </si>
  <si>
    <t>Advertisment exp.</t>
  </si>
  <si>
    <t>Add: Interest cost</t>
  </si>
  <si>
    <t>bank interest</t>
  </si>
  <si>
    <t>Noida authority</t>
  </si>
  <si>
    <t>Balance amount</t>
  </si>
  <si>
    <t>Total WDV</t>
  </si>
  <si>
    <t>SENIOR SECONDARY SCHOOL, NOIDA</t>
  </si>
  <si>
    <t>a unit of</t>
  </si>
  <si>
    <t>N. C. EDUCATIONAL TRUST</t>
  </si>
  <si>
    <r>
      <t xml:space="preserve">                </t>
    </r>
    <r>
      <rPr>
        <b/>
        <u/>
        <sz val="14"/>
        <rFont val="Arial"/>
        <family val="2"/>
      </rPr>
      <t xml:space="preserve"> Calculation of Ratios</t>
    </r>
  </si>
  <si>
    <t>Ratios</t>
  </si>
  <si>
    <t>Current Ratio</t>
  </si>
  <si>
    <t>Current Assets</t>
  </si>
  <si>
    <t>Current Liablities</t>
  </si>
  <si>
    <t>Total Outside Liabl.(excl. Unsecured Loan)</t>
  </si>
  <si>
    <t>Tangible Net Worth</t>
  </si>
  <si>
    <t>Profit Margin</t>
  </si>
  <si>
    <t>PAT</t>
  </si>
  <si>
    <t>Net Sales</t>
  </si>
  <si>
    <t>In percentage</t>
  </si>
  <si>
    <t>PBDIT</t>
  </si>
  <si>
    <t>Interest</t>
  </si>
  <si>
    <t>In times</t>
  </si>
  <si>
    <t>These are the projections, we cannot certify the same, however we have compiled the data as per information provided by the management</t>
  </si>
  <si>
    <t>Year1</t>
  </si>
  <si>
    <t>Year 2</t>
  </si>
  <si>
    <t>Year 3</t>
  </si>
  <si>
    <t>Year 4</t>
  </si>
  <si>
    <t>Year 5</t>
  </si>
  <si>
    <t>Sector 137 ,Noida (U.P)</t>
  </si>
  <si>
    <t>Building Fund (refundable)</t>
  </si>
  <si>
    <t>Building fund</t>
  </si>
  <si>
    <t>Return on Total Assets</t>
  </si>
  <si>
    <t>Total Assets</t>
  </si>
  <si>
    <t>SOURCES OF FUND</t>
  </si>
  <si>
    <t>Surplus / deficit</t>
  </si>
  <si>
    <t>increse in contribution</t>
  </si>
  <si>
    <t>depreciation</t>
  </si>
  <si>
    <t>Increse in long term loan</t>
  </si>
  <si>
    <t>Increase in unsecured loan</t>
  </si>
  <si>
    <t>increase in current liabilities</t>
  </si>
  <si>
    <t>refundable deposits</t>
  </si>
  <si>
    <t>APPLICATION OF FUND</t>
  </si>
  <si>
    <t>Increse in Capital Exp.</t>
  </si>
  <si>
    <t>Increse in Current Assets</t>
  </si>
  <si>
    <t>Decrease in term Loan</t>
  </si>
  <si>
    <t>Decrease in deferred Liability</t>
  </si>
  <si>
    <t>Surplus</t>
  </si>
  <si>
    <t xml:space="preserve">Opening Balance </t>
  </si>
  <si>
    <t>Clossing Balance</t>
  </si>
  <si>
    <t>Increse in Deferred liability</t>
  </si>
  <si>
    <t>Corpus contribution</t>
  </si>
  <si>
    <t>PROJECTED CASH FLOW STATEMENT</t>
  </si>
  <si>
    <t>4000 SQ. MTS</t>
  </si>
  <si>
    <t>CLASS ROOMS-76 nos</t>
  </si>
  <si>
    <t>TAXATION ON PROJECTED INCOME</t>
  </si>
  <si>
    <t>Add,</t>
  </si>
  <si>
    <t xml:space="preserve">Total income </t>
  </si>
  <si>
    <t>Less Depreciation</t>
  </si>
  <si>
    <t>Taxable income</t>
  </si>
  <si>
    <t xml:space="preserve">Balance </t>
  </si>
  <si>
    <t xml:space="preserve">Term loan </t>
  </si>
  <si>
    <t>adhoc deduction @ 15% u/s 11(1)</t>
  </si>
  <si>
    <t>Set apart U/s 11(2)</t>
  </si>
  <si>
    <t>Repayment of loan</t>
  </si>
  <si>
    <t>SWIMMING POOL</t>
  </si>
  <si>
    <t>500 SQ. MTS.</t>
  </si>
  <si>
    <t>5500 SQ. MTS.</t>
  </si>
  <si>
    <t>Continued</t>
  </si>
  <si>
    <t>PROJECTED NO. OF STUDENTS</t>
  </si>
  <si>
    <t>s</t>
  </si>
  <si>
    <t>r</t>
  </si>
  <si>
    <t>Total Plot Area</t>
  </si>
  <si>
    <t>Sq. Mtr.</t>
  </si>
  <si>
    <t>FAR</t>
  </si>
  <si>
    <t>Permissible Area in FAR</t>
  </si>
  <si>
    <t>Ground Coverage</t>
  </si>
  <si>
    <t>Permissible Area in ground Coverage</t>
  </si>
  <si>
    <t>Ground Floor</t>
  </si>
  <si>
    <t>Reception ,Office, Conference Room, Cafeteria, Principal Room, Staff Room, Toilet Block</t>
  </si>
  <si>
    <t>First Floor</t>
  </si>
  <si>
    <t>Class Room, Music Room, Activity hall &amp; Toilet Block</t>
  </si>
  <si>
    <t>Second Floor</t>
  </si>
  <si>
    <t>Class Room, Library, laboratory &amp; Toilet Block</t>
  </si>
  <si>
    <t>Total FAR</t>
  </si>
  <si>
    <t>Basement (Part)</t>
  </si>
  <si>
    <t>Services &amp; Parking</t>
  </si>
  <si>
    <t>Total Built Up</t>
  </si>
  <si>
    <t>Phase-II</t>
  </si>
  <si>
    <t>Phase-I</t>
  </si>
  <si>
    <t>Class Room &amp; Toilet Block</t>
  </si>
  <si>
    <t>Third Floor</t>
  </si>
  <si>
    <t>Building</t>
  </si>
  <si>
    <t>BUILDING &amp;  STRUCTURE</t>
  </si>
  <si>
    <t>Constuction Cost @1000/- Sq. Ft</t>
  </si>
  <si>
    <t>Water/ Sanitation</t>
  </si>
  <si>
    <t>DSCR CALCULATION</t>
  </si>
  <si>
    <t>N C EDUCATIONAL TRUST</t>
  </si>
  <si>
    <t>Qty.</t>
  </si>
  <si>
    <t>Project component and cost</t>
  </si>
  <si>
    <t>Sale</t>
  </si>
  <si>
    <t>(Rs.  In Lacs)</t>
  </si>
  <si>
    <t xml:space="preserve">Total Depreciation 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</si>
  <si>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</si>
  <si>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</si>
  <si>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</si>
  <si>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</si>
  <si>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</si>
  <si>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</si>
  <si>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</si>
  <si>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</si>
  <si>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</si>
  <si>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</si>
  <si>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</si>
  <si>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</si>
  <si>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2016-17</t>
  </si>
  <si>
    <t>2017-18</t>
  </si>
  <si>
    <t>2018-19</t>
  </si>
  <si>
    <t>2019-20</t>
  </si>
  <si>
    <t>2020-21</t>
  </si>
  <si>
    <t>2021-22</t>
  </si>
  <si>
    <t>TOTAL</t>
  </si>
  <si>
    <t>Plant &amp; Machinery</t>
  </si>
  <si>
    <t>Working Capital Requirements</t>
  </si>
  <si>
    <t>Furniture &amp; Fittings</t>
  </si>
  <si>
    <t>WDV</t>
  </si>
  <si>
    <t>Years</t>
  </si>
  <si>
    <t>Interest on working Capital</t>
  </si>
  <si>
    <t xml:space="preserve">Total </t>
  </si>
  <si>
    <t>(A)</t>
  </si>
  <si>
    <t>(B)</t>
  </si>
  <si>
    <t>(I) TERM LOAN ITS REPAYMENT AND INTEREST SCHEDULE</t>
  </si>
  <si>
    <t>Opening</t>
  </si>
  <si>
    <t>Additon</t>
  </si>
  <si>
    <t>Man Power</t>
  </si>
  <si>
    <t>S.No</t>
  </si>
  <si>
    <t xml:space="preserve">Name of post </t>
  </si>
  <si>
    <t>Number</t>
  </si>
  <si>
    <t>Salary (P.M)</t>
  </si>
  <si>
    <t>Manager</t>
  </si>
  <si>
    <t>Supervisor</t>
  </si>
  <si>
    <t>Operator</t>
  </si>
  <si>
    <t>Labour</t>
  </si>
  <si>
    <t>Direct/ Factory</t>
  </si>
  <si>
    <t>Total(a)</t>
  </si>
  <si>
    <t>Total(b)</t>
  </si>
  <si>
    <t>Grand Total(a+b)</t>
  </si>
  <si>
    <t>Total Salary(P.A)</t>
  </si>
  <si>
    <t>Total Staff requirement</t>
  </si>
  <si>
    <t>Total salary</t>
  </si>
  <si>
    <t>(Rs. In lacs)</t>
  </si>
  <si>
    <t>Incremental Rate</t>
  </si>
  <si>
    <t>Details of power &amp; fuel expenses</t>
  </si>
  <si>
    <t xml:space="preserve">Particulars </t>
  </si>
  <si>
    <t>Total Power requirement (in KVA)</t>
  </si>
  <si>
    <t>Total unit required at installed capacity</t>
  </si>
  <si>
    <t>Rate / unit</t>
  </si>
  <si>
    <t>8/-</t>
  </si>
  <si>
    <t>Total expenses on power &amp; fuel (Rs. In lacs)</t>
  </si>
  <si>
    <t>(I)</t>
  </si>
  <si>
    <t xml:space="preserve">Means of Finance </t>
  </si>
  <si>
    <t>Depreciation Chart</t>
  </si>
  <si>
    <t>(F)</t>
  </si>
  <si>
    <t>(G) Finance cost</t>
  </si>
  <si>
    <t>(H)</t>
  </si>
  <si>
    <t>2015-16</t>
  </si>
  <si>
    <t>Closing</t>
  </si>
  <si>
    <t>Details of Raw material required</t>
  </si>
  <si>
    <t xml:space="preserve">Capacity Utilised </t>
  </si>
  <si>
    <t>Total production in a Month (In Tons)</t>
  </si>
  <si>
    <t>Total Production capacity of Machine ( In Tons)</t>
  </si>
  <si>
    <t>10  per day</t>
  </si>
  <si>
    <t>Total production for the year (In tons)</t>
  </si>
  <si>
    <t>Polycarbonate resin in KG</t>
  </si>
  <si>
    <t>Cost per KG</t>
  </si>
  <si>
    <t>Cost of material</t>
  </si>
  <si>
    <t>Total material purchased for the year</t>
  </si>
  <si>
    <t>Less  Closing Stock (i.e. one month)</t>
  </si>
  <si>
    <t>Total Sale during the year (in Tons)</t>
  </si>
  <si>
    <t xml:space="preserve">Total sale </t>
  </si>
  <si>
    <t>Sale price per KG</t>
  </si>
  <si>
    <t>Add opening stock</t>
  </si>
  <si>
    <t>Less Opening Stock</t>
  </si>
  <si>
    <t>Add Closing Stock</t>
  </si>
  <si>
    <t>(J)</t>
  </si>
  <si>
    <t xml:space="preserve">Material- Polycarbonate Resin  </t>
  </si>
  <si>
    <t>Details of sale of finished goods- Polycarbonate solid sheets</t>
  </si>
  <si>
    <t>Extruder A-JWS45/30</t>
  </si>
  <si>
    <t>Extruder B-JWS130/38</t>
  </si>
  <si>
    <t>JWS45/30 - Feeding System</t>
  </si>
  <si>
    <t>JWS130/38- Feeding System</t>
  </si>
  <si>
    <t>JWS130/38- vented Single extruder</t>
  </si>
  <si>
    <t xml:space="preserve">T-die </t>
  </si>
  <si>
    <t>Three -roller calendar</t>
  </si>
  <si>
    <t>Up and Down film coating Unit</t>
  </si>
  <si>
    <t>Inline cutting unit</t>
  </si>
  <si>
    <t>High Efficiency Dust suction unit</t>
  </si>
  <si>
    <t>Electric Control System</t>
  </si>
  <si>
    <t xml:space="preserve">Plant &amp; Machinery </t>
  </si>
  <si>
    <t>Imported</t>
  </si>
  <si>
    <t>Indigenous</t>
  </si>
  <si>
    <t>Servo Stablizer-250KVA</t>
  </si>
  <si>
    <t>Generator-500KVA</t>
  </si>
  <si>
    <t>UPS-160KVA</t>
  </si>
  <si>
    <t>Other Mis. Expenses</t>
  </si>
  <si>
    <t>Promoter's Contribution</t>
  </si>
  <si>
    <t xml:space="preserve">Bank Finance </t>
  </si>
  <si>
    <t>12 Months</t>
  </si>
  <si>
    <t>2022-23</t>
  </si>
  <si>
    <t>2023-24</t>
  </si>
  <si>
    <t>Interest on Term Loan</t>
  </si>
  <si>
    <t>(K) Calculation of Ratios</t>
  </si>
  <si>
    <t>31.08.2015</t>
  </si>
  <si>
    <t>Total Outside Liabl.</t>
  </si>
  <si>
    <t>Return on capital employed</t>
  </si>
  <si>
    <t xml:space="preserve">   Total Assets-current liabilities</t>
  </si>
  <si>
    <t>Days sales in inventory (DIS)</t>
  </si>
  <si>
    <t>Inventory</t>
  </si>
  <si>
    <t>COGS</t>
  </si>
  <si>
    <t>(In Days)</t>
  </si>
  <si>
    <t>Calculation of Ratios</t>
  </si>
  <si>
    <t>Debtor Turnover ratio</t>
  </si>
  <si>
    <t>Sundry debtors</t>
  </si>
  <si>
    <t>gross sales</t>
  </si>
  <si>
    <t>In Days</t>
  </si>
  <si>
    <t>.</t>
  </si>
  <si>
    <t>Gross profit ratio</t>
  </si>
  <si>
    <t>gross profit</t>
  </si>
  <si>
    <t>Sales</t>
  </si>
  <si>
    <t>Creditor turnover ratio</t>
  </si>
  <si>
    <t>Creditors</t>
  </si>
  <si>
    <t>Purchase</t>
  </si>
  <si>
    <t>Debt Service Coverage Ratio</t>
  </si>
  <si>
    <t>Total Debt Service</t>
  </si>
  <si>
    <t xml:space="preserve">COMPUTATION OF MAXIMUM PERMISSIBLE </t>
  </si>
  <si>
    <t>BANK FINANCE FOR WORKING CAPITAL</t>
  </si>
  <si>
    <t>Amount in : lacs</t>
  </si>
  <si>
    <t>Projected</t>
  </si>
  <si>
    <t>Projection</t>
  </si>
  <si>
    <t xml:space="preserve"> FIRST METHOD OF LENDING</t>
  </si>
  <si>
    <t xml:space="preserve"> 1. Total current assets</t>
  </si>
  <si>
    <t xml:space="preserve"> 2. Other current liabilities</t>
  </si>
  <si>
    <t xml:space="preserve">    (other than bank borrowings)</t>
  </si>
  <si>
    <t xml:space="preserve"> 3. Working capital gap</t>
  </si>
  <si>
    <t xml:space="preserve"> 4. Min.stipulated Net working capital</t>
  </si>
  <si>
    <t xml:space="preserve">    (25% of WCG excluding export receivables)</t>
  </si>
  <si>
    <t xml:space="preserve"> 5. Actual/projected net working capital</t>
  </si>
  <si>
    <t xml:space="preserve"> 6. Item 3 minus item 4</t>
  </si>
  <si>
    <t xml:space="preserve"> 7. Item 3 minus item 5</t>
  </si>
  <si>
    <t xml:space="preserve"> 8. Maximum permissible bank finance</t>
  </si>
  <si>
    <t xml:space="preserve">    (lower of 6 or 7)</t>
  </si>
  <si>
    <t xml:space="preserve"> 9. Excess borrowings representing</t>
  </si>
  <si>
    <t xml:space="preserve">    shortfall in NWC</t>
  </si>
  <si>
    <t xml:space="preserve"> SECOND METHOD OF LENDING</t>
  </si>
  <si>
    <t xml:space="preserve"> 2. Other current liabilities (other</t>
  </si>
  <si>
    <t xml:space="preserve">    than bank borrowings)</t>
  </si>
  <si>
    <t xml:space="preserve"> 4. Minimum stipulated NWC (25% of </t>
  </si>
  <si>
    <t xml:space="preserve">    total current assets excluding</t>
  </si>
  <si>
    <t xml:space="preserve">    export receivables)</t>
  </si>
  <si>
    <t xml:space="preserve"> 9. Excess borrowings representing </t>
  </si>
  <si>
    <t>TURNOVER METHOD OF LENDING</t>
  </si>
  <si>
    <t xml:space="preserve"> 1. Projected sale/ turnover</t>
  </si>
  <si>
    <t xml:space="preserve"> 2. 25% of the T/O as required W/c</t>
  </si>
  <si>
    <t xml:space="preserve"> 3. Minimum Margin of 5% of T/O</t>
  </si>
  <si>
    <t xml:space="preserve"> 4. Eligible Bank Finance (2-3)</t>
  </si>
  <si>
    <t>ASSESSMENT OF WORKING CAPITAL REQUIREMENTS</t>
  </si>
  <si>
    <t xml:space="preserve">  OPERATING STATEMENTS </t>
  </si>
  <si>
    <t xml:space="preserve"> (Amount – Rs. in lacs)</t>
  </si>
  <si>
    <t>(D)</t>
  </si>
  <si>
    <t>Name :</t>
  </si>
  <si>
    <t>PREVIOUS- YEAR AUDITED</t>
  </si>
  <si>
    <t>FOLLOWING- YEAR PROVISIONAL</t>
  </si>
  <si>
    <t>FOLLOWING- YEAR PROJ.</t>
  </si>
  <si>
    <t>Gross Sales</t>
  </si>
  <si>
    <t>(i)</t>
  </si>
  <si>
    <t>Export sales</t>
  </si>
  <si>
    <t>(ii)</t>
  </si>
  <si>
    <t>Domestic sales/Gross Receipts</t>
  </si>
  <si>
    <t>(iii)</t>
  </si>
  <si>
    <t>Duty Drawaback</t>
  </si>
  <si>
    <t>Less excise duty</t>
  </si>
  <si>
    <t>Net sales ( 1-2)</t>
  </si>
  <si>
    <t xml:space="preserve">% age rise (+) or fall (-) in </t>
  </si>
  <si>
    <t>net sales as compared to previous year</t>
  </si>
  <si>
    <t>Cost of Sales</t>
  </si>
  <si>
    <t xml:space="preserve"> </t>
  </si>
  <si>
    <t>i)</t>
  </si>
  <si>
    <t>Raw materials (including stores and other items used in the process of manufacture)</t>
  </si>
  <si>
    <t>Don’t delate</t>
  </si>
  <si>
    <t>a)  Indigenous (Consumables)</t>
  </si>
  <si>
    <t>material cost</t>
  </si>
  <si>
    <t>b)  Imported</t>
  </si>
  <si>
    <t>ii)</t>
  </si>
  <si>
    <t>Other</t>
  </si>
  <si>
    <t>Power &amp; fuel</t>
  </si>
  <si>
    <t>(iv)</t>
  </si>
  <si>
    <t>Direct labour</t>
  </si>
  <si>
    <t>(v)</t>
  </si>
  <si>
    <t>Depreciation on Plant &amp; Machinery</t>
  </si>
  <si>
    <t>(vi)</t>
  </si>
  <si>
    <t>Other Manufacturing exp</t>
  </si>
  <si>
    <t>total cost</t>
  </si>
  <si>
    <t>(vii)</t>
  </si>
  <si>
    <t>SUB-TOTAL ( i to v)</t>
  </si>
  <si>
    <t>saling price</t>
  </si>
  <si>
    <t>(viii)</t>
  </si>
  <si>
    <t>Add :  Opening stock-Material</t>
  </si>
  <si>
    <t>(ix)</t>
  </si>
  <si>
    <t xml:space="preserve">          Sub – total</t>
  </si>
  <si>
    <t>(x)</t>
  </si>
  <si>
    <t>Deduct Closing stock – Material</t>
  </si>
  <si>
    <t>(xi)</t>
  </si>
  <si>
    <t>Cost of production</t>
  </si>
  <si>
    <t>(xii)</t>
  </si>
  <si>
    <t>Add : Opening stock of finished goods</t>
  </si>
  <si>
    <t>(xiii)</t>
  </si>
  <si>
    <t>(xiv)</t>
  </si>
  <si>
    <t>Deduct closing stock of finished goods</t>
  </si>
  <si>
    <t>(xv)</t>
  </si>
  <si>
    <t>SUB-TOTAL (Total cost of sales)</t>
  </si>
  <si>
    <t>Selling &amp; general &amp; Adm. Expenses</t>
  </si>
  <si>
    <t>b) Depreciation on other</t>
  </si>
  <si>
    <t xml:space="preserve">SUB – TOTAL  </t>
  </si>
  <si>
    <t>Operating profit before interest (3–7)</t>
  </si>
  <si>
    <t>Operating profit after interest (8-9)</t>
  </si>
  <si>
    <t>MG Polyplast</t>
  </si>
  <si>
    <t>net profit</t>
  </si>
  <si>
    <t>(i) Add other non-operating Income</t>
  </si>
  <si>
    <t>sale</t>
  </si>
  <si>
    <t>ratio</t>
  </si>
  <si>
    <t>(a)Profit on sale of FA.</t>
  </si>
  <si>
    <t>(b)Commission</t>
  </si>
  <si>
    <t xml:space="preserve">(a)Other income </t>
  </si>
  <si>
    <t>material consumed</t>
  </si>
  <si>
    <t>Sub – total (income)</t>
  </si>
  <si>
    <t>change in stock</t>
  </si>
  <si>
    <t>(ii) Deduct other non-operating expenses</t>
  </si>
  <si>
    <t>other manf. Exp</t>
  </si>
  <si>
    <t xml:space="preserve"> Adjustment Related to P1</t>
  </si>
  <si>
    <t>Sub-total (expenses)</t>
  </si>
  <si>
    <t>Net of other non-operating income/expenses</t>
  </si>
  <si>
    <t>[net of 11 (i) &amp; 11 (ii)]</t>
  </si>
  <si>
    <t>Profit before tax/loss</t>
  </si>
  <si>
    <t xml:space="preserve">    [10+11] (iii) </t>
  </si>
  <si>
    <t>Tax Expenses</t>
  </si>
  <si>
    <t>Net profit / loss (12-13)</t>
  </si>
  <si>
    <t>(a)  Equity dividend paid</t>
  </si>
  <si>
    <t>(b)  Dividend Rate</t>
  </si>
  <si>
    <t>Provision For deferred Taxes</t>
  </si>
  <si>
    <t>Retained profit ( 14- 15)</t>
  </si>
  <si>
    <t>Retained profit /Net profit (% age)</t>
  </si>
  <si>
    <t>Raw material opening</t>
  </si>
  <si>
    <t>Purchases</t>
  </si>
  <si>
    <t>Raw material closing</t>
  </si>
  <si>
    <t>RAW MATERIAL</t>
  </si>
  <si>
    <t>FINISHED GOODS</t>
  </si>
  <si>
    <t>fin. Goods opening</t>
  </si>
  <si>
    <t>fin. Goods closing</t>
  </si>
  <si>
    <t>For 2014</t>
  </si>
  <si>
    <t>Opening Stock raw material</t>
  </si>
  <si>
    <t>Closing Stock raw material</t>
  </si>
  <si>
    <t>Opening Stock of Finished goods</t>
  </si>
  <si>
    <t>Closing stock of finished goods</t>
  </si>
  <si>
    <t>diff</t>
  </si>
  <si>
    <t xml:space="preserve">       (iv) Other liabilities not provided for </t>
  </si>
  <si>
    <t xml:space="preserve">            liabilities</t>
  </si>
  <si>
    <t xml:space="preserve">      (iii) Disputed excise/customs/tax   </t>
  </si>
  <si>
    <t xml:space="preserve">      (ii)  Gratuity liability not provided for </t>
  </si>
  <si>
    <t xml:space="preserve">      (I)   Arrears of cumulative  dividends</t>
  </si>
  <si>
    <t>(B) Contingent liabilities :</t>
  </si>
  <si>
    <t xml:space="preserve">(A) Arrears of depreciation </t>
  </si>
  <si>
    <t>ADDITIONAL INFORMATION</t>
  </si>
  <si>
    <t>Net Worth [(14)/44)]</t>
  </si>
  <si>
    <t>Total Outside liabilities/Tangible</t>
  </si>
  <si>
    <t xml:space="preserve">ROI </t>
  </si>
  <si>
    <t>Current Ratio (Items 25/11)</t>
  </si>
  <si>
    <t>[(13 + 18) - (28+33)]</t>
  </si>
  <si>
    <t>NET WORKING CAPITAL</t>
  </si>
  <si>
    <t xml:space="preserve">TANGIBLE NET WORTH </t>
  </si>
  <si>
    <r>
      <t xml:space="preserve">TOTAL ASSETS </t>
    </r>
    <r>
      <rPr>
        <sz val="12"/>
        <color indexed="8"/>
        <rFont val="Times New Roman"/>
        <family val="1"/>
      </rPr>
      <t>(Total of 24,28, &amp; 33)</t>
    </r>
  </si>
  <si>
    <t>Intangible assets (patents, goodwill prelim, expenses ,bad/dobbdful debts not provided for etc.)</t>
  </si>
  <si>
    <t>TOTAL OTHER NON -CURR.ASSETS (Total of 29 to 31)</t>
  </si>
  <si>
    <t>Other non-current assets inclg.dues from directors</t>
  </si>
  <si>
    <t>Non-consumable stores &amp; spairs</t>
  </si>
  <si>
    <t>(iv) Others-Security Deposits</t>
  </si>
  <si>
    <t>(iii) Deferred receivables (maturity exceeding one year)</t>
  </si>
  <si>
    <t>(ii)  Advance to suppliers of capital goods &amp; contractors</t>
  </si>
  <si>
    <t xml:space="preserve">    b) Other</t>
  </si>
  <si>
    <t>(I)  a) Investments in subsidiary companies/affiliates</t>
  </si>
  <si>
    <t>Investment /books debts/advances/deposits which are not Current Assets</t>
  </si>
  <si>
    <t>OTHER NON CURRENT ASSETS</t>
  </si>
  <si>
    <t>NET BLOCK (25+26-27)</t>
  </si>
  <si>
    <t xml:space="preserve">Depreciation </t>
  </si>
  <si>
    <t>Addition/delation  during the year</t>
  </si>
  <si>
    <t xml:space="preserve">Net Block (land &amp; building , machinery,work-in- progress </t>
  </si>
  <si>
    <t>FIXED ASSETS :</t>
  </si>
  <si>
    <r>
      <t xml:space="preserve">TOTAL CURRENT ASSETS </t>
    </r>
    <r>
      <rPr>
        <sz val="12"/>
        <color indexed="8"/>
        <rFont val="Times New Roman"/>
        <family val="1"/>
      </rPr>
      <t>( 19 to 23)</t>
    </r>
  </si>
  <si>
    <t>iii) Other Current Assets</t>
  </si>
  <si>
    <t xml:space="preserve"> ii) Advances Recoverable in cash or in kind</t>
  </si>
  <si>
    <t>I) Trade advances to parties</t>
  </si>
  <si>
    <t>Other current assets (specify major items)</t>
  </si>
  <si>
    <t>Advance payment of Taxes</t>
  </si>
  <si>
    <t>Advance to suppliers of raw materials &amp; stores/spares</t>
  </si>
  <si>
    <t>c) Goods in Transit</t>
  </si>
  <si>
    <t xml:space="preserve">      b)  Imdigenous</t>
  </si>
  <si>
    <t xml:space="preserve">      a)  Imported</t>
  </si>
  <si>
    <t>(iv)  Other consumabls spares</t>
  </si>
  <si>
    <t>(ii)  Finished goods</t>
  </si>
  <si>
    <t xml:space="preserve">      b)  Indigenous</t>
  </si>
  <si>
    <t>used in the process of manufacture)</t>
  </si>
  <si>
    <t xml:space="preserve">(i)   Raw material (incldg. Stores &amp; other items </t>
  </si>
  <si>
    <t>22</t>
  </si>
  <si>
    <t>Inventory :</t>
  </si>
  <si>
    <t>(ii) Export receivables (incldg bills purchased/discounted by banks)</t>
  </si>
  <si>
    <t>(i)Receivables other than deferred &amp; exports(incldg. Bills purchased &amp; discounted by banks)</t>
  </si>
  <si>
    <t>21</t>
  </si>
  <si>
    <t>(i) Fixed Deposits with Bank</t>
  </si>
  <si>
    <t>Investments [other than long term investments)</t>
  </si>
  <si>
    <t>20</t>
  </si>
  <si>
    <t xml:space="preserve">Cash and bank balance </t>
  </si>
  <si>
    <t>19</t>
  </si>
  <si>
    <t xml:space="preserve">ASSETS </t>
  </si>
  <si>
    <t>TOTAL LIABILITIES</t>
  </si>
  <si>
    <t>18</t>
  </si>
  <si>
    <t>NET WORTH</t>
  </si>
  <si>
    <t>Profit for the year</t>
  </si>
  <si>
    <t>Security Premium Reserve</t>
  </si>
  <si>
    <t>General Reserve</t>
  </si>
  <si>
    <t>Share Capital</t>
  </si>
  <si>
    <r>
      <t>TOTAL OUTSIDE LIABILITIES</t>
    </r>
    <r>
      <rPr>
        <sz val="12"/>
        <color indexed="8"/>
        <rFont val="Times New Roman"/>
        <family val="1"/>
      </rPr>
      <t xml:space="preserve"> (9+11)</t>
    </r>
  </si>
  <si>
    <t xml:space="preserve">OTHER LONG TERM LIABILITIES </t>
  </si>
  <si>
    <t>Other term liabilities</t>
  </si>
  <si>
    <t>Term deposits (repayable after one year)</t>
  </si>
  <si>
    <t>Deferred Tax Liabilities</t>
  </si>
  <si>
    <t xml:space="preserve">Term Loans </t>
  </si>
  <si>
    <t>Other long term Provisions</t>
  </si>
  <si>
    <t xml:space="preserve">                      </t>
  </si>
  <si>
    <t>(b) Unsecured loans</t>
  </si>
  <si>
    <t>(a)Term Loan</t>
  </si>
  <si>
    <t>(Total of 1 to 8)</t>
  </si>
  <si>
    <t>TOTAL CURRENT LIABILITIES</t>
  </si>
  <si>
    <t>Deposits/ instalmentsof term loans/DPGs/Debentures, etc.(due within one year)</t>
  </si>
  <si>
    <t>Other current liabilities &amp; Provisions (due within one year)</t>
  </si>
  <si>
    <t xml:space="preserve">   </t>
  </si>
  <si>
    <t>Other statutory liabilities (due within one year)</t>
  </si>
  <si>
    <t>Dividend payable</t>
  </si>
  <si>
    <t>Provision for Taxation</t>
  </si>
  <si>
    <t>Other Liabilities</t>
  </si>
  <si>
    <t>Trade Payable</t>
  </si>
  <si>
    <t xml:space="preserve"> Short-term borrowings from others</t>
  </si>
  <si>
    <t xml:space="preserve"> Sub-total(A)</t>
  </si>
  <si>
    <t>(iii) (of which BP &amp; BD)</t>
  </si>
  <si>
    <t>(ii)From other Banks</t>
  </si>
  <si>
    <t>CC LIMIT</t>
  </si>
  <si>
    <t>(i) From applicant Bank  Term Loan</t>
  </si>
  <si>
    <t xml:space="preserve">(incldg. Bill purchased, discounted &amp; excess borrowings placed on repayment basis)  </t>
  </si>
  <si>
    <t>Short-term borrowings from banks</t>
  </si>
  <si>
    <t>Liabilities</t>
  </si>
  <si>
    <t xml:space="preserve">Previous Year </t>
  </si>
  <si>
    <t xml:space="preserve">No. </t>
  </si>
  <si>
    <t>PARTICULARS</t>
  </si>
  <si>
    <t xml:space="preserve">S. </t>
  </si>
  <si>
    <t xml:space="preserve"> ANALYSIS OF BALANCE SHEET </t>
  </si>
  <si>
    <t>(C)</t>
  </si>
  <si>
    <t>FORM-III</t>
  </si>
  <si>
    <t xml:space="preserve">ASSESSMENT OF WORKING CAPITAL REQUIREMENTS </t>
  </si>
  <si>
    <t>Difference</t>
  </si>
  <si>
    <t>Closing Cash and Cash Equivalents</t>
  </si>
  <si>
    <t>Opening Cash and Cash Equivalents</t>
  </si>
  <si>
    <t>Net Decrease/Increase in Cash or Equivalents</t>
  </si>
  <si>
    <t xml:space="preserve">Net Cash Flow From Financing Activities </t>
  </si>
  <si>
    <t>Unsecured Loan</t>
  </si>
  <si>
    <t>Capital Introduce</t>
  </si>
  <si>
    <t>3. Cash Flow Arising From Financing Activities</t>
  </si>
  <si>
    <t>Net Cash Flow From Investing Activities</t>
  </si>
  <si>
    <t>Purchase of Fixed Assets (Net of Sale)</t>
  </si>
  <si>
    <t>2. Cash Flow Arising From Investing Activities</t>
  </si>
  <si>
    <t>Net Cash Flow From Operating Activities (C-D)</t>
  </si>
  <si>
    <t>Less : Tax Adjustement (D)</t>
  </si>
  <si>
    <t xml:space="preserve">Cash Flow From Operating Activities  (C)  (A-B) </t>
  </si>
  <si>
    <t>Net Cash Flow From Working Capital Changes (B)</t>
  </si>
  <si>
    <t>Current Liabilities and Provisions</t>
  </si>
  <si>
    <t>Other Current Assets</t>
  </si>
  <si>
    <t>Trade &amp; Other Receivables</t>
  </si>
  <si>
    <t>Inventories</t>
  </si>
  <si>
    <t>Adjustment For Working Capital Changes</t>
  </si>
  <si>
    <t>Operating Profit Before Working Capital Changes (A)</t>
  </si>
  <si>
    <t>Interest on Loan'</t>
  </si>
  <si>
    <t>Provision for Gratuity</t>
  </si>
  <si>
    <t>Income Tax Provision</t>
  </si>
  <si>
    <t>Adjustment for :</t>
  </si>
  <si>
    <t>Net Profit After  Tax</t>
  </si>
  <si>
    <t xml:space="preserve">1. Cash Flow Arising From Operating Activities </t>
  </si>
  <si>
    <t xml:space="preserve">Amount </t>
  </si>
  <si>
    <t>AS AT 31/03/2023</t>
  </si>
  <si>
    <t>AS AT 31/03/2022</t>
  </si>
  <si>
    <t>AS AT 31/03/2021</t>
  </si>
  <si>
    <t>AS AT 31/03/2020</t>
  </si>
  <si>
    <t>AS AT 31/03/2019</t>
  </si>
  <si>
    <t>AS AT 31/03/2018</t>
  </si>
  <si>
    <t>AS AT 31/03/2015</t>
  </si>
  <si>
    <t>AS AT 31/03/2013</t>
  </si>
  <si>
    <t>AS AT 31/03/2012</t>
  </si>
  <si>
    <t>(E)</t>
  </si>
  <si>
    <t>CASH FLOW STATEMENT</t>
  </si>
  <si>
    <t>……………………………. Pvt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</si>
</sst>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(* #,##0_);_(* \(#,##0\);_(* &quot;-&quot;??_);_(@_)"/>
    <numFmt numFmtId="165" formatCode="0.00_);\(0.00\)"/>
    <numFmt numFmtId="166" formatCode="_ * #,##0.00_ ;_ * \-#,##0.00_ ;_ * &quot;-&quot;??_ ;_ @_ "/>
    <numFmt numFmtId="167" formatCode="_-* #,##0.00_-;\-* #,##0.00_-;_-* &quot;-&quot;??_-;_-@_-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4" tint="-0.499984740745262"/>
      <name val="Cambria"/>
      <family val="1"/>
      <scheme val="major"/>
    </font>
    <font>
      <b/>
      <sz val="11"/>
      <color theme="3"/>
      <name val="Cambria"/>
      <family val="1"/>
      <scheme val="major"/>
    </font>
    <font>
      <sz val="11"/>
      <color theme="1"/>
      <name val="Rupee Foradian"/>
      <family val="2"/>
    </font>
    <font>
      <b/>
      <sz val="11"/>
      <color theme="3"/>
      <name val="Rupee Foradian"/>
      <family val="2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</font>
    <font>
      <b/>
      <sz val="12"/>
      <color indexed="8"/>
      <name val="Times New Roman"/>
      <family val="1"/>
    </font>
    <font>
      <b/>
      <sz val="1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name val="Times New Roman"/>
      <family val="1"/>
    </font>
    <font>
      <b/>
      <u/>
      <sz val="14"/>
      <name val="Times New Roman"/>
      <family val="1"/>
    </font>
    <font>
      <b/>
      <sz val="12"/>
      <color theme="1"/>
      <name val="Times New Roman"/>
      <family val="1"/>
    </font>
    <font>
      <sz val="14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u/>
      <sz val="12"/>
      <color theme="1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6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</cellStyleXfs>
  <cellXfs count="639">
    <xf numFmtId="0" fontId="0" fillId="0" borderId="0" xfId="0"/>
    <xf numFmtId="9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/>
    <xf numFmtId="0" fontId="0" fillId="0" borderId="10" xfId="0" applyBorder="1"/>
    <xf numFmtId="0" fontId="0" fillId="0" borderId="0" xfId="0" applyFont="1"/>
    <xf numFmtId="43" fontId="0" fillId="0" borderId="0" xfId="1" applyFont="1"/>
    <xf numFmtId="2" fontId="0" fillId="0" borderId="0" xfId="0" applyNumberFormat="1"/>
    <xf numFmtId="43" fontId="0" fillId="0" borderId="0" xfId="0" applyNumberFormat="1"/>
    <xf numFmtId="43" fontId="2" fillId="0" borderId="0" xfId="1" applyFont="1"/>
    <xf numFmtId="43" fontId="2" fillId="0" borderId="10" xfId="0" applyNumberFormat="1" applyFont="1" applyBorder="1"/>
    <xf numFmtId="43" fontId="0" fillId="0" borderId="6" xfId="1" applyFont="1" applyBorder="1"/>
    <xf numFmtId="43" fontId="0" fillId="0" borderId="6" xfId="0" applyNumberFormat="1" applyBorder="1"/>
    <xf numFmtId="43" fontId="2" fillId="0" borderId="6" xfId="0" applyNumberFormat="1" applyFont="1" applyBorder="1"/>
    <xf numFmtId="43" fontId="2" fillId="0" borderId="6" xfId="1" applyFont="1" applyBorder="1"/>
    <xf numFmtId="0" fontId="2" fillId="0" borderId="5" xfId="0" applyFont="1" applyBorder="1" applyAlignment="1">
      <alignment horizontal="center"/>
    </xf>
    <xf numFmtId="43" fontId="2" fillId="0" borderId="0" xfId="0" applyNumberFormat="1" applyFont="1"/>
    <xf numFmtId="0" fontId="2" fillId="0" borderId="0" xfId="0" applyFont="1"/>
    <xf numFmtId="0" fontId="0" fillId="0" borderId="0" xfId="0" applyFill="1" applyBorder="1"/>
    <xf numFmtId="0" fontId="2" fillId="0" borderId="12" xfId="0" applyFont="1" applyBorder="1"/>
    <xf numFmtId="43" fontId="0" fillId="0" borderId="8" xfId="0" applyNumberFormat="1" applyBorder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1" xfId="0" applyFill="1" applyBorder="1"/>
    <xf numFmtId="0" fontId="0" fillId="0" borderId="2" xfId="0" applyFill="1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43" fontId="0" fillId="0" borderId="8" xfId="1" applyFont="1" applyBorder="1"/>
    <xf numFmtId="43" fontId="0" fillId="0" borderId="11" xfId="1" applyFont="1" applyBorder="1"/>
    <xf numFmtId="43" fontId="0" fillId="0" borderId="12" xfId="1" applyFont="1" applyBorder="1"/>
    <xf numFmtId="0" fontId="0" fillId="0" borderId="1" xfId="0" applyFill="1" applyBorder="1"/>
    <xf numFmtId="0" fontId="0" fillId="0" borderId="0" xfId="0" applyFill="1" applyBorder="1"/>
    <xf numFmtId="0" fontId="0" fillId="0" borderId="2" xfId="0" applyFill="1" applyBorder="1"/>
    <xf numFmtId="0" fontId="0" fillId="2" borderId="0" xfId="0" applyFill="1"/>
    <xf numFmtId="0" fontId="3" fillId="2" borderId="0" xfId="0" applyFont="1" applyFill="1"/>
    <xf numFmtId="43" fontId="0" fillId="2" borderId="0" xfId="1" applyFont="1" applyFill="1"/>
    <xf numFmtId="43" fontId="0" fillId="2" borderId="0" xfId="0" applyNumberFormat="1" applyFill="1"/>
    <xf numFmtId="43" fontId="2" fillId="0" borderId="16" xfId="0" applyNumberFormat="1" applyFont="1" applyBorder="1"/>
    <xf numFmtId="43" fontId="0" fillId="0" borderId="0" xfId="1" applyFont="1" applyBorder="1"/>
    <xf numFmtId="0" fontId="3" fillId="0" borderId="1" xfId="0" applyFont="1" applyFill="1" applyBorder="1"/>
    <xf numFmtId="2" fontId="2" fillId="0" borderId="0" xfId="0" applyNumberFormat="1" applyFont="1"/>
    <xf numFmtId="0" fontId="5" fillId="0" borderId="0" xfId="0" applyFont="1"/>
    <xf numFmtId="0" fontId="6" fillId="3" borderId="0" xfId="0" applyFont="1" applyFill="1"/>
    <xf numFmtId="0" fontId="6" fillId="0" borderId="0" xfId="0" applyFont="1" applyFill="1"/>
    <xf numFmtId="9" fontId="5" fillId="0" borderId="0" xfId="0" applyNumberFormat="1" applyFont="1"/>
    <xf numFmtId="0" fontId="7" fillId="3" borderId="11" xfId="0" quotePrefix="1" applyFont="1" applyFill="1" applyBorder="1"/>
    <xf numFmtId="0" fontId="7" fillId="3" borderId="11" xfId="1" applyNumberFormat="1" applyFont="1" applyFill="1" applyBorder="1" applyAlignment="1">
      <alignment horizontal="right"/>
    </xf>
    <xf numFmtId="0" fontId="5" fillId="0" borderId="11" xfId="0" quotePrefix="1" applyFont="1" applyBorder="1"/>
    <xf numFmtId="0" fontId="5" fillId="0" borderId="5" xfId="0" applyFont="1" applyBorder="1"/>
    <xf numFmtId="0" fontId="5" fillId="0" borderId="6" xfId="0" applyFont="1" applyBorder="1"/>
    <xf numFmtId="43" fontId="10" fillId="0" borderId="11" xfId="1" applyFont="1" applyBorder="1"/>
    <xf numFmtId="0" fontId="5" fillId="0" borderId="0" xfId="0" applyFont="1" applyFill="1" applyBorder="1"/>
    <xf numFmtId="0" fontId="10" fillId="0" borderId="11" xfId="0" applyFont="1" applyBorder="1"/>
    <xf numFmtId="0" fontId="5" fillId="0" borderId="11" xfId="0" applyFont="1" applyBorder="1"/>
    <xf numFmtId="43" fontId="5" fillId="0" borderId="11" xfId="1" applyFont="1" applyBorder="1"/>
    <xf numFmtId="43" fontId="5" fillId="0" borderId="0" xfId="0" applyNumberFormat="1" applyFont="1"/>
    <xf numFmtId="0" fontId="5" fillId="0" borderId="0" xfId="0" applyFont="1" applyBorder="1"/>
    <xf numFmtId="0" fontId="7" fillId="3" borderId="0" xfId="0" applyFont="1" applyFill="1" applyBorder="1"/>
    <xf numFmtId="14" fontId="5" fillId="0" borderId="0" xfId="0" applyNumberFormat="1" applyFont="1"/>
    <xf numFmtId="0" fontId="10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wrapText="1"/>
    </xf>
    <xf numFmtId="0" fontId="5" fillId="0" borderId="11" xfId="0" applyFont="1" applyBorder="1" applyAlignment="1">
      <alignment horizontal="center"/>
    </xf>
    <xf numFmtId="43" fontId="5" fillId="0" borderId="11" xfId="0" applyNumberFormat="1" applyFont="1" applyBorder="1"/>
    <xf numFmtId="43" fontId="10" fillId="0" borderId="11" xfId="0" applyNumberFormat="1" applyFont="1" applyBorder="1"/>
    <xf numFmtId="43" fontId="5" fillId="0" borderId="0" xfId="0" applyNumberFormat="1" applyFont="1" applyFill="1" applyBorder="1"/>
    <xf numFmtId="43" fontId="10" fillId="0" borderId="0" xfId="0" applyNumberFormat="1" applyFont="1" applyFill="1" applyBorder="1"/>
    <xf numFmtId="0" fontId="10" fillId="0" borderId="0" xfId="0" applyFont="1" applyFill="1" applyBorder="1"/>
    <xf numFmtId="2" fontId="10" fillId="0" borderId="0" xfId="0" applyNumberFormat="1" applyFont="1" applyFill="1" applyBorder="1"/>
    <xf numFmtId="0" fontId="5" fillId="0" borderId="0" xfId="0" applyFont="1"/>
    <xf numFmtId="0" fontId="2" fillId="2" borderId="0" xfId="0" applyFont="1" applyFill="1"/>
    <xf numFmtId="0" fontId="0" fillId="0" borderId="0" xfId="0" applyAlignment="1"/>
    <xf numFmtId="0" fontId="0" fillId="0" borderId="0" xfId="0" applyFill="1"/>
    <xf numFmtId="0" fontId="12" fillId="0" borderId="0" xfId="0" applyFont="1" applyFill="1" applyAlignment="1">
      <alignment horizontal="center"/>
    </xf>
    <xf numFmtId="2" fontId="12" fillId="0" borderId="0" xfId="0" applyNumberFormat="1" applyFont="1" applyFill="1" applyAlignment="1">
      <alignment horizontal="right"/>
    </xf>
    <xf numFmtId="0" fontId="12" fillId="0" borderId="0" xfId="0" applyFont="1" applyFill="1" applyAlignment="1">
      <alignment horizontal="right"/>
    </xf>
    <xf numFmtId="2" fontId="0" fillId="0" borderId="0" xfId="0" applyNumberFormat="1" applyFill="1"/>
    <xf numFmtId="0" fontId="0" fillId="0" borderId="16" xfId="0" applyFill="1" applyBorder="1" applyAlignment="1">
      <alignment horizontal="center"/>
    </xf>
    <xf numFmtId="2" fontId="0" fillId="0" borderId="16" xfId="0" applyNumberFormat="1" applyFill="1" applyBorder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65" fontId="0" fillId="0" borderId="16" xfId="0" applyNumberFormat="1" applyFill="1" applyBorder="1"/>
    <xf numFmtId="4" fontId="0" fillId="0" borderId="0" xfId="0" applyNumberFormat="1" applyFill="1"/>
    <xf numFmtId="165" fontId="0" fillId="0" borderId="0" xfId="0" applyNumberFormat="1" applyFill="1"/>
    <xf numFmtId="4" fontId="0" fillId="0" borderId="16" xfId="0" applyNumberFormat="1" applyFill="1" applyBorder="1"/>
    <xf numFmtId="0" fontId="12" fillId="0" borderId="0" xfId="0" applyFont="1" applyFill="1" applyAlignment="1">
      <alignment horizontal="center" wrapText="1"/>
    </xf>
    <xf numFmtId="0" fontId="15" fillId="0" borderId="0" xfId="0" applyFont="1" applyFill="1" applyAlignment="1">
      <alignment horizontal="center"/>
    </xf>
    <xf numFmtId="43" fontId="0" fillId="0" borderId="0" xfId="0" applyNumberFormat="1" applyFill="1"/>
    <xf numFmtId="43" fontId="0" fillId="0" borderId="1" xfId="1" applyFont="1" applyFill="1" applyBorder="1"/>
    <xf numFmtId="0" fontId="0" fillId="0" borderId="0" xfId="0" applyAlignment="1">
      <alignment horizontal="center"/>
    </xf>
    <xf numFmtId="0" fontId="2" fillId="0" borderId="0" xfId="0" applyFont="1"/>
    <xf numFmtId="0" fontId="3" fillId="0" borderId="6" xfId="0" applyFont="1" applyBorder="1"/>
    <xf numFmtId="0" fontId="2" fillId="0" borderId="11" xfId="0" applyFont="1" applyBorder="1"/>
    <xf numFmtId="0" fontId="0" fillId="0" borderId="1" xfId="0" applyBorder="1"/>
    <xf numFmtId="0" fontId="0" fillId="0" borderId="2" xfId="0" applyBorder="1"/>
    <xf numFmtId="0" fontId="0" fillId="0" borderId="1" xfId="0" applyFill="1" applyBorder="1"/>
    <xf numFmtId="0" fontId="0" fillId="0" borderId="0" xfId="0" applyFill="1" applyBorder="1"/>
    <xf numFmtId="0" fontId="0" fillId="0" borderId="2" xfId="0" applyFill="1" applyBorder="1"/>
    <xf numFmtId="0" fontId="2" fillId="0" borderId="0" xfId="0" applyFont="1"/>
    <xf numFmtId="0" fontId="0" fillId="0" borderId="1" xfId="0" applyBorder="1"/>
    <xf numFmtId="0" fontId="0" fillId="0" borderId="0" xfId="0" applyBorder="1"/>
    <xf numFmtId="0" fontId="0" fillId="0" borderId="0" xfId="0" applyAlignment="1">
      <alignment horizontal="left" wrapText="1"/>
    </xf>
    <xf numFmtId="9" fontId="2" fillId="0" borderId="0" xfId="0" applyNumberFormat="1" applyFont="1"/>
    <xf numFmtId="2" fontId="2" fillId="0" borderId="6" xfId="0" applyNumberFormat="1" applyFont="1" applyBorder="1"/>
    <xf numFmtId="0" fontId="2" fillId="0" borderId="0" xfId="0" applyFont="1" applyAlignment="1">
      <alignment horizontal="right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9" fontId="0" fillId="2" borderId="0" xfId="0" applyNumberForma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10" fontId="0" fillId="0" borderId="0" xfId="0" applyNumberFormat="1" applyBorder="1"/>
    <xf numFmtId="43" fontId="0" fillId="0" borderId="2" xfId="1" applyFont="1" applyBorder="1"/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43" fontId="0" fillId="0" borderId="1" xfId="1" applyFont="1" applyBorder="1"/>
    <xf numFmtId="43" fontId="0" fillId="0" borderId="5" xfId="1" applyFont="1" applyBorder="1"/>
    <xf numFmtId="43" fontId="0" fillId="0" borderId="13" xfId="1" applyFont="1" applyBorder="1"/>
    <xf numFmtId="43" fontId="0" fillId="0" borderId="0" xfId="0" applyNumberFormat="1" applyBorder="1"/>
    <xf numFmtId="43" fontId="0" fillId="0" borderId="14" xfId="1" applyFont="1" applyBorder="1"/>
    <xf numFmtId="43" fontId="2" fillId="0" borderId="5" xfId="1" applyFont="1" applyBorder="1"/>
    <xf numFmtId="43" fontId="2" fillId="0" borderId="11" xfId="1" applyFont="1" applyBorder="1"/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/>
    <xf numFmtId="0" fontId="16" fillId="0" borderId="0" xfId="0" applyFont="1" applyFill="1" applyBorder="1" applyAlignment="1"/>
    <xf numFmtId="0" fontId="0" fillId="2" borderId="0" xfId="0" applyFill="1" applyAlignment="1">
      <alignment horizontal="center"/>
    </xf>
    <xf numFmtId="0" fontId="2" fillId="0" borderId="0" xfId="0" applyFont="1"/>
    <xf numFmtId="0" fontId="0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164" fontId="0" fillId="2" borderId="0" xfId="1" applyNumberFormat="1" applyFont="1" applyFill="1"/>
    <xf numFmtId="164" fontId="2" fillId="2" borderId="0" xfId="0" applyNumberFormat="1" applyFont="1" applyFill="1"/>
    <xf numFmtId="0" fontId="4" fillId="2" borderId="0" xfId="0" applyFont="1" applyFill="1"/>
    <xf numFmtId="164" fontId="0" fillId="2" borderId="0" xfId="0" applyNumberFormat="1" applyFill="1"/>
    <xf numFmtId="0" fontId="0" fillId="2" borderId="0" xfId="0" applyFont="1" applyFill="1"/>
    <xf numFmtId="0" fontId="0" fillId="2" borderId="0" xfId="0" applyFill="1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/>
    <xf numFmtId="0" fontId="2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16" xfId="0" applyFont="1" applyBorder="1"/>
    <xf numFmtId="43" fontId="2" fillId="0" borderId="16" xfId="1" applyFon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Fill="1" applyBorder="1"/>
    <xf numFmtId="43" fontId="1" fillId="0" borderId="0" xfId="1" applyFont="1" applyAlignment="1">
      <alignment horizontal="center" vertical="center" wrapText="1"/>
    </xf>
    <xf numFmtId="43" fontId="0" fillId="0" borderId="17" xfId="1" applyFont="1" applyBorder="1" applyAlignment="1">
      <alignment horizontal="center" vertical="center" wrapText="1"/>
    </xf>
    <xf numFmtId="43" fontId="2" fillId="0" borderId="17" xfId="1" applyFont="1" applyBorder="1"/>
    <xf numFmtId="43" fontId="2" fillId="0" borderId="14" xfId="1" applyFont="1" applyBorder="1"/>
    <xf numFmtId="0" fontId="2" fillId="0" borderId="0" xfId="0" applyFont="1"/>
    <xf numFmtId="0" fontId="0" fillId="0" borderId="11" xfId="0" applyBorder="1"/>
    <xf numFmtId="2" fontId="0" fillId="0" borderId="11" xfId="0" applyNumberFormat="1" applyBorder="1"/>
    <xf numFmtId="43" fontId="2" fillId="0" borderId="11" xfId="0" applyNumberFormat="1" applyFont="1" applyBorder="1"/>
    <xf numFmtId="0" fontId="0" fillId="0" borderId="1" xfId="0" applyBorder="1"/>
    <xf numFmtId="0" fontId="0" fillId="0" borderId="0" xfId="0" applyBorder="1"/>
    <xf numFmtId="0" fontId="0" fillId="0" borderId="0" xfId="0" applyFill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3" fillId="0" borderId="0" xfId="0" applyFont="1" applyBorder="1"/>
    <xf numFmtId="0" fontId="2" fillId="0" borderId="0" xfId="0" applyFont="1"/>
    <xf numFmtId="0" fontId="0" fillId="0" borderId="0" xfId="0" applyFill="1" applyBorder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0" fillId="0" borderId="11" xfId="0" applyBorder="1" applyAlignment="1">
      <alignment horizontal="center"/>
    </xf>
    <xf numFmtId="164" fontId="0" fillId="0" borderId="11" xfId="1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Fill="1" applyBorder="1"/>
    <xf numFmtId="0" fontId="3" fillId="0" borderId="0" xfId="0" applyFont="1" applyFill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9" fontId="0" fillId="0" borderId="0" xfId="0" applyNumberFormat="1" applyAlignment="1">
      <alignment horizontal="center"/>
    </xf>
    <xf numFmtId="2" fontId="0" fillId="0" borderId="0" xfId="2" applyNumberFormat="1" applyFont="1" applyAlignment="1">
      <alignment horizontal="center"/>
    </xf>
    <xf numFmtId="43" fontId="0" fillId="0" borderId="0" xfId="1" applyFont="1" applyAlignment="1">
      <alignment horizontal="center"/>
    </xf>
    <xf numFmtId="43" fontId="2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3" fontId="0" fillId="0" borderId="10" xfId="1" applyFont="1" applyBorder="1" applyAlignment="1">
      <alignment horizontal="center"/>
    </xf>
    <xf numFmtId="43" fontId="1" fillId="0" borderId="0" xfId="1" applyFont="1" applyAlignment="1">
      <alignment horizontal="center"/>
    </xf>
    <xf numFmtId="43" fontId="2" fillId="0" borderId="10" xfId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Font="1" applyAlignment="1">
      <alignment horizontal="left"/>
    </xf>
    <xf numFmtId="0" fontId="0" fillId="0" borderId="11" xfId="0" applyFont="1" applyBorder="1"/>
    <xf numFmtId="43" fontId="0" fillId="0" borderId="11" xfId="0" applyNumberFormat="1" applyFont="1" applyBorder="1"/>
    <xf numFmtId="0" fontId="19" fillId="0" borderId="0" xfId="3" applyFill="1"/>
    <xf numFmtId="0" fontId="21" fillId="0" borderId="0" xfId="3" applyFont="1" applyFill="1" applyAlignment="1"/>
    <xf numFmtId="0" fontId="12" fillId="0" borderId="11" xfId="3" applyFont="1" applyFill="1" applyBorder="1" applyAlignment="1">
      <alignment horizontal="center"/>
    </xf>
    <xf numFmtId="2" fontId="12" fillId="0" borderId="6" xfId="3" applyNumberFormat="1" applyFont="1" applyFill="1" applyBorder="1" applyAlignment="1">
      <alignment horizontal="right"/>
    </xf>
    <xf numFmtId="0" fontId="12" fillId="0" borderId="6" xfId="3" applyFont="1" applyFill="1" applyBorder="1" applyAlignment="1">
      <alignment horizontal="right"/>
    </xf>
    <xf numFmtId="0" fontId="12" fillId="0" borderId="11" xfId="3" applyFont="1" applyFill="1" applyBorder="1" applyAlignment="1">
      <alignment horizontal="right"/>
    </xf>
    <xf numFmtId="0" fontId="12" fillId="0" borderId="12" xfId="3" applyFont="1" applyFill="1" applyBorder="1" applyAlignment="1">
      <alignment horizontal="right"/>
    </xf>
    <xf numFmtId="0" fontId="12" fillId="0" borderId="14" xfId="3" applyFont="1" applyFill="1" applyBorder="1" applyAlignment="1">
      <alignment horizontal="right"/>
    </xf>
    <xf numFmtId="2" fontId="12" fillId="0" borderId="14" xfId="3" applyNumberFormat="1" applyFont="1" applyFill="1" applyBorder="1" applyAlignment="1">
      <alignment horizontal="right"/>
    </xf>
    <xf numFmtId="2" fontId="12" fillId="0" borderId="12" xfId="3" applyNumberFormat="1" applyFont="1" applyFill="1" applyBorder="1" applyAlignment="1">
      <alignment horizontal="right"/>
    </xf>
    <xf numFmtId="0" fontId="12" fillId="0" borderId="8" xfId="3" applyFont="1" applyFill="1" applyBorder="1" applyAlignment="1">
      <alignment horizontal="center"/>
    </xf>
    <xf numFmtId="2" fontId="19" fillId="0" borderId="0" xfId="3" applyNumberFormat="1" applyFill="1" applyBorder="1"/>
    <xf numFmtId="0" fontId="19" fillId="0" borderId="0" xfId="3" applyFill="1" applyBorder="1"/>
    <xf numFmtId="0" fontId="19" fillId="0" borderId="8" xfId="3" applyFill="1" applyBorder="1"/>
    <xf numFmtId="0" fontId="19" fillId="0" borderId="18" xfId="3" applyFill="1" applyBorder="1" applyAlignment="1">
      <alignment horizontal="center"/>
    </xf>
    <xf numFmtId="2" fontId="19" fillId="0" borderId="16" xfId="3" applyNumberFormat="1" applyFill="1" applyBorder="1"/>
    <xf numFmtId="2" fontId="19" fillId="0" borderId="18" xfId="3" applyNumberFormat="1" applyFill="1" applyBorder="1"/>
    <xf numFmtId="0" fontId="19" fillId="0" borderId="8" xfId="3" applyFill="1" applyBorder="1" applyAlignment="1">
      <alignment horizontal="center"/>
    </xf>
    <xf numFmtId="2" fontId="19" fillId="0" borderId="8" xfId="3" applyNumberFormat="1" applyFill="1" applyBorder="1"/>
    <xf numFmtId="2" fontId="15" fillId="0" borderId="0" xfId="3" applyNumberFormat="1" applyFont="1" applyFill="1" applyBorder="1" applyAlignment="1">
      <alignment horizontal="right"/>
    </xf>
    <xf numFmtId="2" fontId="15" fillId="0" borderId="8" xfId="3" applyNumberFormat="1" applyFont="1" applyFill="1" applyBorder="1" applyAlignment="1">
      <alignment horizontal="right"/>
    </xf>
    <xf numFmtId="165" fontId="19" fillId="0" borderId="16" xfId="3" applyNumberFormat="1" applyFill="1" applyBorder="1"/>
    <xf numFmtId="4" fontId="19" fillId="0" borderId="0" xfId="3" applyNumberFormat="1" applyFill="1" applyBorder="1"/>
    <xf numFmtId="4" fontId="19" fillId="0" borderId="8" xfId="3" applyNumberFormat="1" applyFill="1" applyBorder="1"/>
    <xf numFmtId="165" fontId="19" fillId="0" borderId="0" xfId="3" applyNumberFormat="1" applyFill="1" applyBorder="1"/>
    <xf numFmtId="165" fontId="19" fillId="0" borderId="8" xfId="3" applyNumberFormat="1" applyFill="1" applyBorder="1"/>
    <xf numFmtId="4" fontId="19" fillId="0" borderId="16" xfId="3" applyNumberFormat="1" applyFill="1" applyBorder="1"/>
    <xf numFmtId="4" fontId="19" fillId="0" borderId="18" xfId="3" applyNumberFormat="1" applyFill="1" applyBorder="1"/>
    <xf numFmtId="43" fontId="19" fillId="0" borderId="8" xfId="4" applyFont="1" applyFill="1" applyBorder="1"/>
    <xf numFmtId="0" fontId="12" fillId="0" borderId="8" xfId="3" applyFont="1" applyFill="1" applyBorder="1" applyAlignment="1">
      <alignment horizontal="center" wrapText="1"/>
    </xf>
    <xf numFmtId="0" fontId="15" fillId="0" borderId="8" xfId="3" applyFont="1" applyFill="1" applyBorder="1" applyAlignment="1">
      <alignment horizontal="center"/>
    </xf>
    <xf numFmtId="43" fontId="0" fillId="0" borderId="16" xfId="4" applyFont="1" applyFill="1" applyBorder="1"/>
    <xf numFmtId="43" fontId="0" fillId="0" borderId="18" xfId="4" applyFont="1" applyFill="1" applyBorder="1"/>
    <xf numFmtId="43" fontId="0" fillId="0" borderId="0" xfId="4" applyFont="1" applyFill="1" applyBorder="1"/>
    <xf numFmtId="43" fontId="0" fillId="0" borderId="8" xfId="4" applyFont="1" applyFill="1" applyBorder="1"/>
    <xf numFmtId="2" fontId="19" fillId="0" borderId="0" xfId="3" applyNumberFormat="1" applyFill="1" applyBorder="1" applyAlignment="1"/>
    <xf numFmtId="43" fontId="0" fillId="0" borderId="0" xfId="4" applyFont="1" applyFill="1" applyBorder="1" applyAlignment="1"/>
    <xf numFmtId="2" fontId="19" fillId="0" borderId="8" xfId="3" applyNumberFormat="1" applyFill="1" applyBorder="1" applyAlignment="1"/>
    <xf numFmtId="2" fontId="15" fillId="0" borderId="8" xfId="3" applyNumberFormat="1" applyFont="1" applyFill="1" applyBorder="1" applyAlignment="1"/>
    <xf numFmtId="0" fontId="19" fillId="0" borderId="16" xfId="3" applyFill="1" applyBorder="1"/>
    <xf numFmtId="0" fontId="19" fillId="0" borderId="18" xfId="3" applyFill="1" applyBorder="1"/>
    <xf numFmtId="0" fontId="21" fillId="0" borderId="0" xfId="3" applyFont="1" applyFill="1" applyBorder="1" applyAlignment="1"/>
    <xf numFmtId="0" fontId="12" fillId="0" borderId="12" xfId="3" applyFont="1" applyFill="1" applyBorder="1" applyAlignment="1">
      <alignment horizontal="center" wrapText="1"/>
    </xf>
    <xf numFmtId="0" fontId="19" fillId="0" borderId="14" xfId="3" applyFill="1" applyBorder="1"/>
    <xf numFmtId="0" fontId="19" fillId="0" borderId="12" xfId="3" applyFill="1" applyBorder="1"/>
    <xf numFmtId="43" fontId="19" fillId="0" borderId="16" xfId="3" applyNumberFormat="1" applyFill="1" applyBorder="1"/>
    <xf numFmtId="43" fontId="19" fillId="0" borderId="18" xfId="3" applyNumberFormat="1" applyFill="1" applyBorder="1"/>
    <xf numFmtId="43" fontId="19" fillId="0" borderId="0" xfId="3" applyNumberFormat="1" applyFill="1" applyBorder="1"/>
    <xf numFmtId="43" fontId="19" fillId="0" borderId="8" xfId="3" applyNumberFormat="1" applyFill="1" applyBorder="1"/>
    <xf numFmtId="43" fontId="15" fillId="0" borderId="0" xfId="4" applyFont="1" applyFill="1" applyBorder="1"/>
    <xf numFmtId="4" fontId="19" fillId="0" borderId="1" xfId="3" applyNumberFormat="1" applyFill="1" applyBorder="1"/>
    <xf numFmtId="0" fontId="15" fillId="0" borderId="18" xfId="3" applyFont="1" applyFill="1" applyBorder="1" applyAlignment="1">
      <alignment horizontal="center"/>
    </xf>
    <xf numFmtId="0" fontId="22" fillId="0" borderId="8" xfId="3" applyFont="1" applyFill="1" applyBorder="1" applyAlignment="1">
      <alignment wrapText="1"/>
    </xf>
    <xf numFmtId="0" fontId="22" fillId="0" borderId="0" xfId="3" applyFont="1" applyFill="1" applyBorder="1" applyAlignment="1">
      <alignment wrapText="1"/>
    </xf>
    <xf numFmtId="4" fontId="19" fillId="0" borderId="3" xfId="3" applyNumberFormat="1" applyFill="1" applyBorder="1"/>
    <xf numFmtId="43" fontId="19" fillId="0" borderId="1" xfId="3" applyNumberFormat="1" applyFill="1" applyBorder="1"/>
    <xf numFmtId="0" fontId="19" fillId="0" borderId="1" xfId="3" applyFill="1" applyBorder="1" applyAlignment="1">
      <alignment horizontal="center"/>
    </xf>
    <xf numFmtId="0" fontId="23" fillId="0" borderId="3" xfId="3" applyFont="1" applyFill="1" applyBorder="1" applyAlignment="1">
      <alignment horizontal="left"/>
    </xf>
    <xf numFmtId="0" fontId="19" fillId="0" borderId="0" xfId="3" applyFill="1" applyAlignment="1">
      <alignment horizontal="center"/>
    </xf>
    <xf numFmtId="43" fontId="19" fillId="0" borderId="0" xfId="3" applyNumberFormat="1" applyFill="1"/>
    <xf numFmtId="0" fontId="26" fillId="0" borderId="0" xfId="3" applyFont="1" applyFill="1" applyBorder="1"/>
    <xf numFmtId="0" fontId="27" fillId="0" borderId="0" xfId="3" applyFont="1" applyFill="1" applyBorder="1" applyAlignment="1" applyProtection="1">
      <alignment horizontal="center"/>
    </xf>
    <xf numFmtId="2" fontId="26" fillId="0" borderId="0" xfId="3" applyNumberFormat="1" applyFont="1" applyFill="1" applyBorder="1"/>
    <xf numFmtId="2" fontId="26" fillId="0" borderId="0" xfId="3" applyNumberFormat="1" applyFont="1" applyFill="1" applyBorder="1" applyAlignment="1" applyProtection="1">
      <alignment horizontal="right"/>
    </xf>
    <xf numFmtId="0" fontId="26" fillId="0" borderId="11" xfId="3" applyFont="1" applyFill="1" applyBorder="1"/>
    <xf numFmtId="0" fontId="26" fillId="0" borderId="11" xfId="3" applyFont="1" applyFill="1" applyBorder="1" applyAlignment="1">
      <alignment horizontal="right"/>
    </xf>
    <xf numFmtId="0" fontId="26" fillId="0" borderId="11" xfId="4" applyNumberFormat="1" applyFont="1" applyFill="1" applyBorder="1" applyAlignment="1" applyProtection="1">
      <alignment horizontal="center"/>
    </xf>
    <xf numFmtId="0" fontId="26" fillId="0" borderId="11" xfId="3" applyFont="1" applyFill="1" applyBorder="1" applyAlignment="1">
      <alignment horizontal="center"/>
    </xf>
    <xf numFmtId="0" fontId="28" fillId="0" borderId="11" xfId="3" applyFont="1" applyFill="1" applyBorder="1" applyAlignment="1">
      <alignment horizontal="center"/>
    </xf>
    <xf numFmtId="0" fontId="27" fillId="0" borderId="11" xfId="3" applyFont="1" applyFill="1" applyBorder="1" applyAlignment="1" applyProtection="1">
      <alignment horizontal="left"/>
    </xf>
    <xf numFmtId="0" fontId="26" fillId="0" borderId="11" xfId="3" applyFont="1" applyFill="1" applyBorder="1" applyAlignment="1" applyProtection="1">
      <alignment horizontal="left"/>
    </xf>
    <xf numFmtId="2" fontId="26" fillId="0" borderId="11" xfId="3" applyNumberFormat="1" applyFont="1" applyFill="1" applyBorder="1" applyAlignment="1" applyProtection="1">
      <alignment horizontal="center"/>
    </xf>
    <xf numFmtId="0" fontId="26" fillId="0" borderId="11" xfId="3" applyFont="1" applyFill="1" applyBorder="1" applyAlignment="1" applyProtection="1">
      <alignment horizontal="fill"/>
    </xf>
    <xf numFmtId="2" fontId="26" fillId="0" borderId="11" xfId="3" applyNumberFormat="1" applyFont="1" applyFill="1" applyBorder="1" applyAlignment="1" applyProtection="1">
      <alignment horizontal="fill"/>
    </xf>
    <xf numFmtId="0" fontId="29" fillId="0" borderId="11" xfId="3" applyFont="1" applyFill="1" applyBorder="1" applyAlignment="1" applyProtection="1">
      <alignment horizontal="left"/>
    </xf>
    <xf numFmtId="43" fontId="29" fillId="0" borderId="11" xfId="4" applyFont="1" applyFill="1" applyBorder="1" applyProtection="1"/>
    <xf numFmtId="0" fontId="29" fillId="0" borderId="0" xfId="3" applyFont="1" applyFill="1" applyBorder="1"/>
    <xf numFmtId="0" fontId="29" fillId="0" borderId="11" xfId="3" applyFont="1" applyFill="1" applyBorder="1"/>
    <xf numFmtId="43" fontId="29" fillId="0" borderId="11" xfId="4" applyFont="1" applyFill="1" applyBorder="1"/>
    <xf numFmtId="2" fontId="29" fillId="0" borderId="0" xfId="3" applyNumberFormat="1" applyFont="1" applyFill="1" applyBorder="1"/>
    <xf numFmtId="43" fontId="26" fillId="0" borderId="11" xfId="4" applyFont="1" applyFill="1" applyBorder="1" applyProtection="1"/>
    <xf numFmtId="43" fontId="26" fillId="0" borderId="0" xfId="4" applyFont="1" applyFill="1" applyBorder="1"/>
    <xf numFmtId="0" fontId="19" fillId="0" borderId="0" xfId="3" applyFont="1"/>
    <xf numFmtId="0" fontId="27" fillId="0" borderId="11" xfId="3" applyFont="1" applyFill="1" applyBorder="1"/>
    <xf numFmtId="43" fontId="26" fillId="0" borderId="11" xfId="4" applyFont="1" applyFill="1" applyBorder="1" applyAlignment="1" applyProtection="1">
      <alignment horizontal="center"/>
    </xf>
    <xf numFmtId="0" fontId="26" fillId="0" borderId="0" xfId="3" applyFont="1" applyFill="1" applyBorder="1" applyAlignment="1" applyProtection="1">
      <alignment horizontal="left"/>
    </xf>
    <xf numFmtId="0" fontId="23" fillId="0" borderId="0" xfId="3" applyFont="1" applyFill="1" applyBorder="1"/>
    <xf numFmtId="0" fontId="23" fillId="0" borderId="0" xfId="3" applyFont="1" applyFill="1"/>
    <xf numFmtId="0" fontId="23" fillId="0" borderId="0" xfId="3" applyFont="1" applyFill="1" applyBorder="1" applyAlignment="1">
      <alignment horizontal="center"/>
    </xf>
    <xf numFmtId="43" fontId="23" fillId="0" borderId="0" xfId="3" applyNumberFormat="1" applyFont="1" applyFill="1" applyBorder="1"/>
    <xf numFmtId="2" fontId="23" fillId="0" borderId="0" xfId="3" applyNumberFormat="1" applyFont="1" applyFill="1" applyBorder="1"/>
    <xf numFmtId="166" fontId="23" fillId="0" borderId="0" xfId="3" applyNumberFormat="1" applyFont="1" applyFill="1" applyBorder="1"/>
    <xf numFmtId="0" fontId="23" fillId="0" borderId="0" xfId="3" applyFont="1" applyFill="1" applyBorder="1" applyAlignment="1">
      <alignment horizontal="right"/>
    </xf>
    <xf numFmtId="0" fontId="23" fillId="0" borderId="0" xfId="3" applyFont="1" applyFill="1" applyBorder="1" applyAlignment="1"/>
    <xf numFmtId="0" fontId="30" fillId="0" borderId="0" xfId="3" applyFont="1" applyFill="1" applyBorder="1"/>
    <xf numFmtId="0" fontId="30" fillId="0" borderId="3" xfId="3" applyFont="1" applyFill="1" applyBorder="1" applyAlignment="1">
      <alignment horizontal="center"/>
    </xf>
    <xf numFmtId="0" fontId="30" fillId="0" borderId="11" xfId="3" applyFont="1" applyFill="1" applyBorder="1" applyAlignment="1">
      <alignment vertical="top" wrapText="1"/>
    </xf>
    <xf numFmtId="0" fontId="30" fillId="0" borderId="11" xfId="3" applyNumberFormat="1" applyFont="1" applyFill="1" applyBorder="1" applyAlignment="1">
      <alignment horizontal="center" vertical="center" wrapText="1"/>
    </xf>
    <xf numFmtId="0" fontId="30" fillId="0" borderId="11" xfId="3" applyFont="1" applyFill="1" applyBorder="1" applyAlignment="1">
      <alignment horizontal="center"/>
    </xf>
    <xf numFmtId="0" fontId="30" fillId="0" borderId="11" xfId="3" applyFont="1" applyFill="1" applyBorder="1" applyAlignment="1">
      <alignment horizontal="right"/>
    </xf>
    <xf numFmtId="0" fontId="31" fillId="0" borderId="0" xfId="3" applyFont="1" applyFill="1"/>
    <xf numFmtId="0" fontId="31" fillId="0" borderId="0" xfId="3" applyFont="1" applyFill="1" applyBorder="1"/>
    <xf numFmtId="0" fontId="31" fillId="0" borderId="13" xfId="3" applyFont="1" applyFill="1" applyBorder="1" applyAlignment="1">
      <alignment horizontal="center"/>
    </xf>
    <xf numFmtId="0" fontId="31" fillId="0" borderId="11" xfId="3" applyFont="1" applyFill="1" applyBorder="1"/>
    <xf numFmtId="2" fontId="31" fillId="0" borderId="11" xfId="3" applyNumberFormat="1" applyFont="1" applyFill="1" applyBorder="1" applyAlignment="1">
      <alignment horizontal="center" vertical="top" wrapText="1"/>
    </xf>
    <xf numFmtId="1" fontId="31" fillId="0" borderId="11" xfId="3" applyNumberFormat="1" applyFont="1" applyFill="1" applyBorder="1" applyAlignment="1">
      <alignment horizontal="center" vertical="top" wrapText="1"/>
    </xf>
    <xf numFmtId="0" fontId="31" fillId="0" borderId="5" xfId="3" applyFont="1" applyFill="1" applyBorder="1" applyAlignment="1">
      <alignment horizontal="center"/>
    </xf>
    <xf numFmtId="2" fontId="31" fillId="0" borderId="11" xfId="3" applyNumberFormat="1" applyFont="1" applyFill="1" applyBorder="1"/>
    <xf numFmtId="43" fontId="31" fillId="0" borderId="11" xfId="4" applyFont="1" applyFill="1" applyBorder="1"/>
    <xf numFmtId="43" fontId="31" fillId="0" borderId="11" xfId="4" applyFont="1" applyFill="1" applyBorder="1" applyAlignment="1">
      <alignment horizontal="right"/>
    </xf>
    <xf numFmtId="43" fontId="31" fillId="0" borderId="11" xfId="4" applyFont="1" applyFill="1" applyBorder="1" applyAlignment="1"/>
    <xf numFmtId="0" fontId="31" fillId="0" borderId="5" xfId="3" applyFont="1" applyFill="1" applyBorder="1" applyAlignment="1">
      <alignment horizontal="center" wrapText="1"/>
    </xf>
    <xf numFmtId="0" fontId="31" fillId="0" borderId="11" xfId="3" applyFont="1" applyFill="1" applyBorder="1" applyAlignment="1"/>
    <xf numFmtId="2" fontId="31" fillId="0" borderId="11" xfId="4" applyNumberFormat="1" applyFont="1" applyFill="1" applyBorder="1" applyAlignment="1">
      <alignment vertical="top" wrapText="1"/>
    </xf>
    <xf numFmtId="43" fontId="31" fillId="0" borderId="11" xfId="4" applyFont="1" applyFill="1" applyBorder="1" applyAlignment="1">
      <alignment horizontal="right" vertical="top"/>
    </xf>
    <xf numFmtId="43" fontId="31" fillId="0" borderId="0" xfId="3" applyNumberFormat="1" applyFont="1" applyFill="1"/>
    <xf numFmtId="0" fontId="31" fillId="0" borderId="11" xfId="3" applyFont="1" applyFill="1" applyBorder="1" applyAlignment="1">
      <alignment vertical="top" wrapText="1"/>
    </xf>
    <xf numFmtId="43" fontId="31" fillId="0" borderId="11" xfId="4" applyFont="1" applyFill="1" applyBorder="1" applyAlignment="1">
      <alignment vertical="top"/>
    </xf>
    <xf numFmtId="2" fontId="31" fillId="0" borderId="11" xfId="3" applyNumberFormat="1" applyFont="1" applyFill="1" applyBorder="1" applyAlignment="1">
      <alignment vertical="top" wrapText="1"/>
    </xf>
    <xf numFmtId="43" fontId="31" fillId="0" borderId="0" xfId="4" applyFont="1" applyFill="1"/>
    <xf numFmtId="43" fontId="31" fillId="0" borderId="11" xfId="4" applyFont="1" applyFill="1" applyBorder="1" applyAlignment="1">
      <alignment vertical="top" wrapText="1"/>
    </xf>
    <xf numFmtId="0" fontId="31" fillId="0" borderId="11" xfId="3" applyFont="1" applyFill="1" applyBorder="1" applyAlignment="1">
      <alignment wrapText="1"/>
    </xf>
    <xf numFmtId="43" fontId="31" fillId="0" borderId="11" xfId="4" applyFont="1" applyFill="1" applyBorder="1" applyAlignment="1">
      <alignment wrapText="1"/>
    </xf>
    <xf numFmtId="2" fontId="31" fillId="0" borderId="11" xfId="4" applyNumberFormat="1" applyFont="1" applyFill="1" applyBorder="1" applyAlignment="1">
      <alignment vertical="top"/>
    </xf>
    <xf numFmtId="0" fontId="31" fillId="0" borderId="5" xfId="3" applyFont="1" applyFill="1" applyBorder="1" applyAlignment="1">
      <alignment horizontal="center" vertical="center"/>
    </xf>
    <xf numFmtId="0" fontId="31" fillId="0" borderId="11" xfId="3" applyFont="1" applyFill="1" applyBorder="1" applyAlignment="1">
      <alignment vertical="center" wrapText="1"/>
    </xf>
    <xf numFmtId="2" fontId="31" fillId="0" borderId="11" xfId="3" applyNumberFormat="1" applyFont="1" applyFill="1" applyBorder="1" applyAlignment="1">
      <alignment vertical="center" wrapText="1"/>
    </xf>
    <xf numFmtId="43" fontId="31" fillId="0" borderId="11" xfId="4" applyFont="1" applyFill="1" applyBorder="1" applyAlignment="1">
      <alignment vertical="center"/>
    </xf>
    <xf numFmtId="43" fontId="31" fillId="0" borderId="11" xfId="4" applyFont="1" applyFill="1" applyBorder="1" applyAlignment="1">
      <alignment vertical="center" wrapText="1"/>
    </xf>
    <xf numFmtId="0" fontId="31" fillId="0" borderId="0" xfId="3" applyFont="1" applyFill="1" applyAlignment="1">
      <alignment vertical="center"/>
    </xf>
    <xf numFmtId="2" fontId="31" fillId="0" borderId="11" xfId="3" applyNumberFormat="1" applyFont="1" applyFill="1" applyBorder="1" applyAlignment="1"/>
    <xf numFmtId="0" fontId="31" fillId="0" borderId="5" xfId="3" applyFont="1" applyFill="1" applyBorder="1" applyAlignment="1">
      <alignment horizontal="center" vertical="top"/>
    </xf>
    <xf numFmtId="2" fontId="31" fillId="0" borderId="11" xfId="3" applyNumberFormat="1" applyFont="1" applyFill="1" applyBorder="1" applyAlignment="1">
      <alignment horizontal="right" vertical="top" wrapText="1"/>
    </xf>
    <xf numFmtId="43" fontId="31" fillId="0" borderId="11" xfId="4" applyFont="1" applyFill="1" applyBorder="1" applyAlignment="1">
      <alignment horizontal="right" vertical="top" wrapText="1"/>
    </xf>
    <xf numFmtId="43" fontId="31" fillId="0" borderId="0" xfId="3" applyNumberFormat="1" applyFont="1" applyFill="1" applyAlignment="1">
      <alignment vertical="top"/>
    </xf>
    <xf numFmtId="0" fontId="31" fillId="0" borderId="0" xfId="3" applyFont="1" applyFill="1" applyAlignment="1">
      <alignment vertical="top"/>
    </xf>
    <xf numFmtId="0" fontId="31" fillId="0" borderId="11" xfId="3" applyFont="1" applyFill="1" applyBorder="1" applyAlignment="1">
      <alignment vertical="center"/>
    </xf>
    <xf numFmtId="2" fontId="31" fillId="0" borderId="11" xfId="3" applyNumberFormat="1" applyFont="1" applyFill="1" applyBorder="1" applyAlignment="1">
      <alignment horizontal="right" wrapText="1"/>
    </xf>
    <xf numFmtId="43" fontId="31" fillId="0" borderId="11" xfId="4" applyFont="1" applyFill="1" applyBorder="1" applyAlignment="1">
      <alignment horizontal="right" wrapText="1"/>
    </xf>
    <xf numFmtId="43" fontId="31" fillId="0" borderId="11" xfId="3" applyNumberFormat="1" applyFont="1" applyFill="1" applyBorder="1" applyAlignment="1">
      <alignment vertical="center"/>
    </xf>
    <xf numFmtId="2" fontId="31" fillId="0" borderId="11" xfId="3" applyNumberFormat="1" applyFont="1" applyFill="1" applyBorder="1" applyAlignment="1">
      <alignment wrapText="1"/>
    </xf>
    <xf numFmtId="0" fontId="31" fillId="0" borderId="5" xfId="3" applyFont="1" applyFill="1" applyBorder="1" applyAlignment="1">
      <alignment horizontal="center" vertical="top" wrapText="1"/>
    </xf>
    <xf numFmtId="43" fontId="31" fillId="0" borderId="11" xfId="3" applyNumberFormat="1" applyFont="1" applyFill="1" applyBorder="1"/>
    <xf numFmtId="43" fontId="31" fillId="0" borderId="0" xfId="3" applyNumberFormat="1" applyFont="1" applyFill="1" applyAlignment="1"/>
    <xf numFmtId="0" fontId="31" fillId="0" borderId="0" xfId="3" applyFont="1" applyFill="1" applyAlignment="1"/>
    <xf numFmtId="0" fontId="31" fillId="0" borderId="11" xfId="3" applyFont="1" applyFill="1" applyBorder="1" applyAlignment="1">
      <alignment vertical="top"/>
    </xf>
    <xf numFmtId="2" fontId="31" fillId="0" borderId="0" xfId="3" applyNumberFormat="1" applyFont="1" applyFill="1" applyAlignment="1"/>
    <xf numFmtId="166" fontId="31" fillId="0" borderId="0" xfId="3" applyNumberFormat="1" applyFont="1" applyFill="1" applyAlignment="1"/>
    <xf numFmtId="43" fontId="30" fillId="0" borderId="11" xfId="4" applyFont="1" applyFill="1" applyBorder="1" applyAlignment="1"/>
    <xf numFmtId="43" fontId="31" fillId="0" borderId="0" xfId="4" applyFont="1" applyFill="1" applyAlignment="1"/>
    <xf numFmtId="2" fontId="31" fillId="0" borderId="11" xfId="3" applyNumberFormat="1" applyFont="1" applyFill="1" applyBorder="1" applyAlignment="1">
      <alignment vertical="top"/>
    </xf>
    <xf numFmtId="0" fontId="31" fillId="0" borderId="11" xfId="3" applyNumberFormat="1" applyFont="1" applyFill="1" applyBorder="1" applyAlignment="1">
      <alignment vertical="top"/>
    </xf>
    <xf numFmtId="2" fontId="30" fillId="0" borderId="0" xfId="3" applyNumberFormat="1" applyFont="1" applyFill="1" applyAlignment="1"/>
    <xf numFmtId="0" fontId="31" fillId="0" borderId="11" xfId="3" applyFont="1" applyFill="1" applyBorder="1" applyAlignment="1">
      <alignment horizontal="center" vertical="top"/>
    </xf>
    <xf numFmtId="2" fontId="31" fillId="0" borderId="11" xfId="4" applyNumberFormat="1" applyFont="1" applyFill="1" applyBorder="1" applyAlignment="1"/>
    <xf numFmtId="0" fontId="32" fillId="0" borderId="0" xfId="3" applyFont="1" applyFill="1" applyAlignment="1">
      <alignment horizontal="left"/>
    </xf>
    <xf numFmtId="2" fontId="23" fillId="0" borderId="0" xfId="3" applyNumberFormat="1" applyFont="1" applyFill="1" applyBorder="1" applyAlignment="1"/>
    <xf numFmtId="0" fontId="23" fillId="0" borderId="0" xfId="3" applyFont="1" applyFill="1" applyAlignment="1"/>
    <xf numFmtId="43" fontId="23" fillId="0" borderId="0" xfId="3" applyNumberFormat="1" applyFont="1" applyFill="1" applyBorder="1" applyAlignment="1">
      <alignment horizontal="right"/>
    </xf>
    <xf numFmtId="43" fontId="23" fillId="0" borderId="0" xfId="3" applyNumberFormat="1" applyFont="1" applyFill="1" applyBorder="1" applyAlignment="1"/>
    <xf numFmtId="43" fontId="23" fillId="0" borderId="0" xfId="3" applyNumberFormat="1" applyFont="1" applyFill="1" applyAlignment="1"/>
    <xf numFmtId="0" fontId="23" fillId="0" borderId="0" xfId="3" applyFont="1" applyFill="1" applyAlignment="1">
      <alignment horizontal="center"/>
    </xf>
    <xf numFmtId="2" fontId="32" fillId="0" borderId="0" xfId="3" applyNumberFormat="1" applyFont="1" applyFill="1" applyBorder="1" applyAlignment="1">
      <alignment horizontal="center"/>
    </xf>
    <xf numFmtId="0" fontId="32" fillId="0" borderId="0" xfId="3" applyFont="1" applyFill="1" applyAlignment="1">
      <alignment horizontal="center"/>
    </xf>
    <xf numFmtId="2" fontId="23" fillId="0" borderId="0" xfId="3" applyNumberFormat="1" applyFont="1" applyFill="1" applyAlignment="1"/>
    <xf numFmtId="43" fontId="23" fillId="0" borderId="0" xfId="3" applyNumberFormat="1" applyFont="1" applyFill="1"/>
    <xf numFmtId="167" fontId="32" fillId="0" borderId="10" xfId="3" applyNumberFormat="1" applyFont="1" applyFill="1" applyBorder="1"/>
    <xf numFmtId="0" fontId="32" fillId="0" borderId="10" xfId="3" applyFont="1" applyFill="1" applyBorder="1"/>
    <xf numFmtId="0" fontId="32" fillId="0" borderId="17" xfId="3" applyFont="1" applyFill="1" applyBorder="1"/>
    <xf numFmtId="2" fontId="32" fillId="0" borderId="17" xfId="3" applyNumberFormat="1" applyFont="1" applyFill="1" applyBorder="1"/>
    <xf numFmtId="0" fontId="23" fillId="0" borderId="11" xfId="3" applyFont="1" applyFill="1" applyBorder="1" applyAlignment="1">
      <alignment horizontal="right"/>
    </xf>
    <xf numFmtId="0" fontId="23" fillId="0" borderId="11" xfId="3" applyFont="1" applyFill="1" applyBorder="1"/>
    <xf numFmtId="0" fontId="23" fillId="0" borderId="11" xfId="3" applyFont="1" applyFill="1" applyBorder="1" applyAlignment="1"/>
    <xf numFmtId="0" fontId="33" fillId="0" borderId="0" xfId="3" applyFont="1" applyFill="1"/>
    <xf numFmtId="0" fontId="33" fillId="0" borderId="0" xfId="3" applyFont="1" applyFill="1" applyAlignment="1">
      <alignment horizontal="center"/>
    </xf>
    <xf numFmtId="0" fontId="33" fillId="0" borderId="0" xfId="3" applyFont="1" applyFill="1" applyBorder="1"/>
    <xf numFmtId="0" fontId="33" fillId="0" borderId="0" xfId="3" applyFont="1" applyFill="1" applyBorder="1" applyAlignment="1">
      <alignment horizontal="center"/>
    </xf>
    <xf numFmtId="2" fontId="28" fillId="0" borderId="0" xfId="3" applyNumberFormat="1" applyFont="1" applyFill="1" applyBorder="1"/>
    <xf numFmtId="0" fontId="28" fillId="0" borderId="0" xfId="3" applyFont="1" applyFill="1" applyBorder="1"/>
    <xf numFmtId="2" fontId="33" fillId="0" borderId="0" xfId="3" applyNumberFormat="1" applyFont="1" applyFill="1" applyBorder="1"/>
    <xf numFmtId="0" fontId="28" fillId="0" borderId="0" xfId="3" applyFont="1" applyFill="1" applyBorder="1" applyAlignment="1">
      <alignment horizontal="center"/>
    </xf>
    <xf numFmtId="2" fontId="33" fillId="0" borderId="0" xfId="3" applyNumberFormat="1" applyFont="1" applyFill="1" applyBorder="1" applyAlignment="1">
      <alignment horizontal="right"/>
    </xf>
    <xf numFmtId="2" fontId="28" fillId="0" borderId="0" xfId="3" applyNumberFormat="1" applyFont="1" applyFill="1" applyBorder="1" applyAlignment="1">
      <alignment horizontal="right"/>
    </xf>
    <xf numFmtId="0" fontId="22" fillId="0" borderId="0" xfId="3" applyFont="1" applyFill="1" applyBorder="1" applyAlignment="1"/>
    <xf numFmtId="0" fontId="33" fillId="0" borderId="0" xfId="3" applyFont="1" applyFill="1" applyBorder="1" applyAlignment="1">
      <alignment wrapText="1"/>
    </xf>
    <xf numFmtId="0" fontId="33" fillId="0" borderId="0" xfId="3" applyFont="1" applyFill="1" applyBorder="1" applyAlignment="1">
      <alignment horizontal="left"/>
    </xf>
    <xf numFmtId="2" fontId="28" fillId="0" borderId="0" xfId="3" applyNumberFormat="1" applyFont="1" applyFill="1" applyBorder="1" applyAlignment="1">
      <alignment horizontal="center"/>
    </xf>
    <xf numFmtId="2" fontId="33" fillId="0" borderId="0" xfId="3" applyNumberFormat="1" applyFont="1" applyFill="1" applyBorder="1" applyAlignment="1">
      <alignment horizontal="center"/>
    </xf>
    <xf numFmtId="0" fontId="28" fillId="0" borderId="0" xfId="3" applyFont="1" applyFill="1"/>
    <xf numFmtId="49" fontId="33" fillId="0" borderId="0" xfId="3" applyNumberFormat="1" applyFont="1" applyFill="1" applyBorder="1" applyAlignment="1">
      <alignment wrapText="1"/>
    </xf>
    <xf numFmtId="49" fontId="33" fillId="0" borderId="0" xfId="3" applyNumberFormat="1" applyFont="1" applyFill="1" applyBorder="1"/>
    <xf numFmtId="0" fontId="33" fillId="0" borderId="0" xfId="3" applyNumberFormat="1" applyFont="1" applyFill="1" applyBorder="1" applyAlignment="1">
      <alignment horizontal="center" wrapText="1"/>
    </xf>
    <xf numFmtId="0" fontId="33" fillId="0" borderId="0" xfId="3" applyNumberFormat="1" applyFont="1" applyFill="1" applyBorder="1" applyAlignment="1" applyProtection="1">
      <alignment horizontal="center"/>
    </xf>
    <xf numFmtId="0" fontId="33" fillId="0" borderId="0" xfId="3" applyFont="1" applyFill="1" applyBorder="1" applyAlignment="1" applyProtection="1">
      <alignment horizontal="left"/>
    </xf>
    <xf numFmtId="14" fontId="33" fillId="0" borderId="0" xfId="3" applyNumberFormat="1" applyFont="1" applyFill="1" applyBorder="1" applyAlignment="1" applyProtection="1">
      <alignment horizontal="left"/>
    </xf>
    <xf numFmtId="0" fontId="34" fillId="0" borderId="0" xfId="3" applyFont="1" applyFill="1" applyBorder="1" applyAlignment="1">
      <alignment horizontal="center"/>
    </xf>
    <xf numFmtId="0" fontId="22" fillId="0" borderId="0" xfId="3" applyFont="1" applyFill="1" applyAlignment="1">
      <alignment wrapText="1"/>
    </xf>
    <xf numFmtId="43" fontId="33" fillId="0" borderId="0" xfId="3" applyNumberFormat="1" applyFont="1" applyFill="1" applyBorder="1"/>
    <xf numFmtId="43" fontId="28" fillId="0" borderId="0" xfId="4" applyFont="1" applyFill="1" applyBorder="1" applyAlignment="1"/>
    <xf numFmtId="167" fontId="33" fillId="0" borderId="0" xfId="3" applyNumberFormat="1" applyFont="1" applyFill="1" applyBorder="1"/>
    <xf numFmtId="43" fontId="33" fillId="0" borderId="0" xfId="4" applyFont="1" applyFill="1" applyBorder="1" applyAlignment="1"/>
    <xf numFmtId="43" fontId="33" fillId="0" borderId="8" xfId="4" applyFont="1" applyFill="1" applyBorder="1" applyAlignment="1"/>
    <xf numFmtId="43" fontId="33" fillId="0" borderId="19" xfId="4" applyFont="1" applyFill="1" applyBorder="1" applyAlignment="1"/>
    <xf numFmtId="0" fontId="33" fillId="0" borderId="19" xfId="3" applyFont="1" applyFill="1" applyBorder="1"/>
    <xf numFmtId="0" fontId="33" fillId="0" borderId="20" xfId="3" applyFont="1" applyFill="1" applyBorder="1"/>
    <xf numFmtId="0" fontId="33" fillId="0" borderId="19" xfId="3" applyFont="1" applyFill="1" applyBorder="1" applyAlignment="1">
      <alignment horizontal="center"/>
    </xf>
    <xf numFmtId="0" fontId="33" fillId="0" borderId="8" xfId="3" applyFont="1" applyFill="1" applyBorder="1" applyAlignment="1"/>
    <xf numFmtId="0" fontId="33" fillId="0" borderId="0" xfId="3" applyFont="1" applyFill="1" applyBorder="1" applyAlignment="1"/>
    <xf numFmtId="0" fontId="33" fillId="0" borderId="8" xfId="3" applyFont="1" applyFill="1" applyBorder="1" applyAlignment="1">
      <alignment horizontal="center"/>
    </xf>
    <xf numFmtId="0" fontId="33" fillId="0" borderId="8" xfId="3" applyFont="1" applyFill="1" applyBorder="1"/>
    <xf numFmtId="166" fontId="33" fillId="0" borderId="8" xfId="3" applyNumberFormat="1" applyFont="1" applyFill="1" applyBorder="1"/>
    <xf numFmtId="43" fontId="33" fillId="0" borderId="12" xfId="4" applyFont="1" applyFill="1" applyBorder="1" applyAlignment="1"/>
    <xf numFmtId="0" fontId="28" fillId="0" borderId="12" xfId="3" applyFont="1" applyFill="1" applyBorder="1" applyAlignment="1">
      <alignment horizontal="center"/>
    </xf>
    <xf numFmtId="0" fontId="28" fillId="0" borderId="14" xfId="3" applyFont="1" applyFill="1" applyBorder="1" applyAlignment="1">
      <alignment horizontal="center"/>
    </xf>
    <xf numFmtId="0" fontId="33" fillId="0" borderId="12" xfId="3" applyFont="1" applyFill="1" applyBorder="1" applyAlignment="1">
      <alignment horizontal="center"/>
    </xf>
    <xf numFmtId="43" fontId="33" fillId="0" borderId="0" xfId="4" applyFont="1" applyFill="1" applyBorder="1" applyAlignment="1">
      <alignment horizontal="right"/>
    </xf>
    <xf numFmtId="2" fontId="33" fillId="0" borderId="8" xfId="3" applyNumberFormat="1" applyFont="1" applyFill="1" applyBorder="1" applyAlignment="1">
      <alignment horizontal="right"/>
    </xf>
    <xf numFmtId="12" fontId="33" fillId="0" borderId="1" xfId="3" applyNumberFormat="1" applyFont="1" applyFill="1" applyBorder="1" applyAlignment="1">
      <alignment horizontal="right"/>
    </xf>
    <xf numFmtId="43" fontId="28" fillId="0" borderId="8" xfId="4" applyFont="1" applyFill="1" applyBorder="1" applyAlignment="1"/>
    <xf numFmtId="43" fontId="28" fillId="0" borderId="11" xfId="4" applyFont="1" applyFill="1" applyBorder="1" applyAlignment="1"/>
    <xf numFmtId="166" fontId="28" fillId="0" borderId="8" xfId="3" applyNumberFormat="1" applyFont="1" applyFill="1" applyBorder="1" applyAlignment="1"/>
    <xf numFmtId="0" fontId="28" fillId="0" borderId="0" xfId="3" applyFont="1" applyFill="1" applyBorder="1" applyAlignment="1"/>
    <xf numFmtId="0" fontId="28" fillId="0" borderId="8" xfId="3" applyFont="1" applyFill="1" applyBorder="1"/>
    <xf numFmtId="43" fontId="28" fillId="0" borderId="8" xfId="3" applyNumberFormat="1" applyFont="1" applyFill="1" applyBorder="1"/>
    <xf numFmtId="0" fontId="28" fillId="0" borderId="8" xfId="3" applyFont="1" applyFill="1" applyBorder="1" applyAlignment="1">
      <alignment horizontal="center"/>
    </xf>
    <xf numFmtId="0" fontId="33" fillId="0" borderId="1" xfId="3" applyFont="1" applyFill="1" applyBorder="1"/>
    <xf numFmtId="0" fontId="33" fillId="0" borderId="1" xfId="3" applyFont="1" applyFill="1" applyBorder="1" applyAlignment="1">
      <alignment vertical="top" wrapText="1"/>
    </xf>
    <xf numFmtId="0" fontId="33" fillId="0" borderId="8" xfId="3" applyFont="1" applyFill="1" applyBorder="1" applyAlignment="1">
      <alignment vertical="top" wrapText="1"/>
    </xf>
    <xf numFmtId="0" fontId="28" fillId="0" borderId="1" xfId="3" applyFont="1" applyFill="1" applyBorder="1" applyAlignment="1">
      <alignment wrapText="1"/>
    </xf>
    <xf numFmtId="0" fontId="33" fillId="0" borderId="8" xfId="3" applyFont="1" applyFill="1" applyBorder="1" applyAlignment="1">
      <alignment wrapText="1"/>
    </xf>
    <xf numFmtId="43" fontId="33" fillId="0" borderId="8" xfId="4" applyFont="1" applyFill="1" applyBorder="1" applyAlignment="1">
      <alignment horizontal="center"/>
    </xf>
    <xf numFmtId="43" fontId="33" fillId="0" borderId="1" xfId="4" applyFont="1" applyFill="1" applyBorder="1" applyAlignment="1"/>
    <xf numFmtId="2" fontId="33" fillId="0" borderId="8" xfId="3" applyNumberFormat="1" applyFont="1" applyFill="1" applyBorder="1"/>
    <xf numFmtId="0" fontId="28" fillId="0" borderId="1" xfId="3" applyFont="1" applyFill="1" applyBorder="1"/>
    <xf numFmtId="0" fontId="28" fillId="0" borderId="5" xfId="3" applyFont="1" applyFill="1" applyBorder="1"/>
    <xf numFmtId="0" fontId="33" fillId="0" borderId="11" xfId="3" applyFont="1" applyFill="1" applyBorder="1" applyAlignment="1">
      <alignment horizontal="center"/>
    </xf>
    <xf numFmtId="43" fontId="28" fillId="0" borderId="21" xfId="4" applyFont="1" applyFill="1" applyBorder="1" applyAlignment="1"/>
    <xf numFmtId="49" fontId="28" fillId="0" borderId="22" xfId="3" applyNumberFormat="1" applyFont="1" applyFill="1" applyBorder="1"/>
    <xf numFmtId="0" fontId="33" fillId="0" borderId="5" xfId="3" applyFont="1" applyFill="1" applyBorder="1" applyAlignment="1">
      <alignment horizontal="center"/>
    </xf>
    <xf numFmtId="49" fontId="28" fillId="0" borderId="1" xfId="3" applyNumberFormat="1" applyFont="1" applyFill="1" applyBorder="1"/>
    <xf numFmtId="49" fontId="28" fillId="0" borderId="0" xfId="3" applyNumberFormat="1" applyFont="1" applyFill="1" applyBorder="1"/>
    <xf numFmtId="49" fontId="33" fillId="0" borderId="0" xfId="3" applyNumberFormat="1" applyFont="1" applyFill="1" applyBorder="1" applyAlignment="1"/>
    <xf numFmtId="49" fontId="33" fillId="0" borderId="1" xfId="3" applyNumberFormat="1" applyFont="1" applyFill="1" applyBorder="1" applyAlignment="1"/>
    <xf numFmtId="2" fontId="33" fillId="0" borderId="1" xfId="3" applyNumberFormat="1" applyFont="1" applyFill="1" applyBorder="1" applyAlignment="1"/>
    <xf numFmtId="49" fontId="33" fillId="0" borderId="1" xfId="3" applyNumberFormat="1" applyFont="1" applyFill="1" applyBorder="1"/>
    <xf numFmtId="0" fontId="22" fillId="0" borderId="8" xfId="3" applyFont="1" applyFill="1" applyBorder="1" applyAlignment="1">
      <alignment vertical="top" wrapText="1"/>
    </xf>
    <xf numFmtId="2" fontId="33" fillId="0" borderId="1" xfId="3" applyNumberFormat="1" applyFont="1" applyFill="1" applyBorder="1"/>
    <xf numFmtId="49" fontId="33" fillId="0" borderId="8" xfId="3" applyNumberFormat="1" applyFont="1" applyFill="1" applyBorder="1" applyAlignment="1">
      <alignment horizontal="center"/>
    </xf>
    <xf numFmtId="49" fontId="33" fillId="0" borderId="0" xfId="3" applyNumberFormat="1" applyFont="1" applyFill="1" applyBorder="1" applyAlignment="1">
      <alignment horizontal="left"/>
    </xf>
    <xf numFmtId="49" fontId="33" fillId="0" borderId="1" xfId="3" applyNumberFormat="1" applyFont="1" applyFill="1" applyBorder="1" applyAlignment="1">
      <alignment wrapText="1"/>
    </xf>
    <xf numFmtId="43" fontId="33" fillId="0" borderId="0" xfId="3" applyNumberFormat="1" applyFont="1" applyFill="1"/>
    <xf numFmtId="0" fontId="28" fillId="0" borderId="1" xfId="3" applyFont="1" applyFill="1" applyBorder="1" applyAlignment="1">
      <alignment horizontal="center"/>
    </xf>
    <xf numFmtId="43" fontId="33" fillId="0" borderId="11" xfId="4" applyFont="1" applyFill="1" applyBorder="1" applyAlignment="1"/>
    <xf numFmtId="0" fontId="28" fillId="0" borderId="5" xfId="3" applyFont="1" applyFill="1" applyBorder="1" applyAlignment="1">
      <alignment horizontal="center"/>
    </xf>
    <xf numFmtId="0" fontId="28" fillId="0" borderId="6" xfId="3" applyFont="1" applyFill="1" applyBorder="1" applyAlignment="1">
      <alignment horizontal="center"/>
    </xf>
    <xf numFmtId="49" fontId="33" fillId="0" borderId="11" xfId="3" applyNumberFormat="1" applyFont="1" applyFill="1" applyBorder="1" applyAlignment="1">
      <alignment horizontal="center"/>
    </xf>
    <xf numFmtId="0" fontId="28" fillId="0" borderId="16" xfId="3" applyFont="1" applyFill="1" applyBorder="1"/>
    <xf numFmtId="49" fontId="33" fillId="0" borderId="0" xfId="3" applyNumberFormat="1" applyFont="1" applyFill="1" applyBorder="1" applyAlignment="1">
      <alignment horizontal="center"/>
    </xf>
    <xf numFmtId="43" fontId="28" fillId="0" borderId="18" xfId="4" applyFont="1" applyFill="1" applyBorder="1" applyAlignment="1"/>
    <xf numFmtId="0" fontId="28" fillId="0" borderId="3" xfId="3" applyFont="1" applyFill="1" applyBorder="1"/>
    <xf numFmtId="49" fontId="33" fillId="0" borderId="18" xfId="3" applyNumberFormat="1" applyFont="1" applyFill="1" applyBorder="1" applyAlignment="1">
      <alignment horizontal="center"/>
    </xf>
    <xf numFmtId="43" fontId="28" fillId="0" borderId="11" xfId="4" applyNumberFormat="1" applyFont="1" applyFill="1" applyBorder="1" applyAlignment="1"/>
    <xf numFmtId="2" fontId="28" fillId="0" borderId="11" xfId="4" applyNumberFormat="1" applyFont="1" applyFill="1" applyBorder="1" applyAlignment="1"/>
    <xf numFmtId="2" fontId="33" fillId="0" borderId="1" xfId="3" applyNumberFormat="1" applyFont="1" applyFill="1" applyBorder="1" applyAlignment="1">
      <alignment horizontal="right"/>
    </xf>
    <xf numFmtId="43" fontId="33" fillId="0" borderId="2" xfId="4" applyFont="1" applyFill="1" applyBorder="1" applyAlignment="1"/>
    <xf numFmtId="0" fontId="33" fillId="0" borderId="1" xfId="3" applyFont="1" applyFill="1" applyBorder="1" applyAlignment="1">
      <alignment wrapText="1"/>
    </xf>
    <xf numFmtId="2" fontId="33" fillId="0" borderId="8" xfId="3" applyNumberFormat="1" applyFont="1" applyFill="1" applyBorder="1" applyAlignment="1">
      <alignment wrapText="1"/>
    </xf>
    <xf numFmtId="0" fontId="33" fillId="0" borderId="1" xfId="3" applyFont="1" applyFill="1" applyBorder="1" applyAlignment="1"/>
    <xf numFmtId="43" fontId="28" fillId="0" borderId="0" xfId="3" applyNumberFormat="1" applyFont="1" applyFill="1"/>
    <xf numFmtId="0" fontId="33" fillId="0" borderId="18" xfId="3" applyFont="1" applyFill="1" applyBorder="1"/>
    <xf numFmtId="0" fontId="33" fillId="0" borderId="16" xfId="3" applyFont="1" applyFill="1" applyBorder="1"/>
    <xf numFmtId="2" fontId="33" fillId="0" borderId="8" xfId="3" applyNumberFormat="1" applyFont="1" applyFill="1" applyBorder="1" applyAlignment="1">
      <alignment vertical="top" wrapText="1"/>
    </xf>
    <xf numFmtId="43" fontId="37" fillId="0" borderId="8" xfId="4" applyFont="1" applyFill="1" applyBorder="1" applyAlignment="1"/>
    <xf numFmtId="43" fontId="33" fillId="0" borderId="0" xfId="4" applyFont="1" applyFill="1" applyBorder="1"/>
    <xf numFmtId="43" fontId="33" fillId="0" borderId="8" xfId="4" applyFont="1" applyFill="1" applyBorder="1"/>
    <xf numFmtId="43" fontId="28" fillId="0" borderId="9" xfId="4" applyFont="1" applyFill="1" applyBorder="1" applyAlignment="1"/>
    <xf numFmtId="0" fontId="33" fillId="0" borderId="1" xfId="3" quotePrefix="1" applyFont="1" applyFill="1" applyBorder="1" applyAlignment="1">
      <alignment horizontal="center"/>
    </xf>
    <xf numFmtId="43" fontId="33" fillId="0" borderId="0" xfId="4" applyFont="1" applyFill="1" applyBorder="1" applyAlignment="1" applyProtection="1"/>
    <xf numFmtId="43" fontId="33" fillId="0" borderId="8" xfId="4" applyFont="1" applyFill="1" applyBorder="1" applyAlignment="1" applyProtection="1"/>
    <xf numFmtId="0" fontId="33" fillId="0" borderId="0" xfId="3" applyFont="1" applyFill="1" applyBorder="1" applyAlignment="1" applyProtection="1">
      <alignment horizontal="center"/>
    </xf>
    <xf numFmtId="0" fontId="33" fillId="0" borderId="11" xfId="3" applyFont="1" applyFill="1" applyBorder="1" applyAlignment="1" applyProtection="1">
      <alignment horizontal="center"/>
    </xf>
    <xf numFmtId="0" fontId="33" fillId="0" borderId="5" xfId="3" applyFont="1" applyFill="1" applyBorder="1"/>
    <xf numFmtId="2" fontId="28" fillId="0" borderId="12" xfId="3" applyNumberFormat="1" applyFont="1" applyFill="1" applyBorder="1" applyAlignment="1">
      <alignment horizontal="center"/>
    </xf>
    <xf numFmtId="14" fontId="28" fillId="0" borderId="0" xfId="3" applyNumberFormat="1" applyFont="1" applyFill="1" applyBorder="1" applyAlignment="1" applyProtection="1">
      <alignment horizontal="center"/>
    </xf>
    <xf numFmtId="0" fontId="28" fillId="0" borderId="13" xfId="3" applyFont="1" applyFill="1" applyBorder="1"/>
    <xf numFmtId="0" fontId="34" fillId="0" borderId="0" xfId="3" applyFont="1" applyFill="1" applyAlignment="1">
      <alignment horizontal="center"/>
    </xf>
    <xf numFmtId="0" fontId="34" fillId="0" borderId="1" xfId="3" applyFont="1" applyFill="1" applyBorder="1" applyAlignment="1">
      <alignment horizontal="center"/>
    </xf>
    <xf numFmtId="0" fontId="34" fillId="0" borderId="0" xfId="3" applyFont="1" applyFill="1" applyAlignment="1">
      <alignment horizontal="center" wrapText="1"/>
    </xf>
    <xf numFmtId="0" fontId="20" fillId="0" borderId="13" xfId="3" applyFont="1" applyFill="1" applyBorder="1" applyAlignment="1"/>
    <xf numFmtId="43" fontId="36" fillId="0" borderId="0" xfId="4" applyFont="1" applyFill="1" applyBorder="1" applyAlignment="1">
      <alignment horizontal="center" vertical="top" wrapText="1"/>
    </xf>
    <xf numFmtId="43" fontId="36" fillId="0" borderId="0" xfId="4" applyFont="1" applyFill="1" applyBorder="1" applyAlignment="1">
      <alignment horizontal="left" vertical="top" wrapText="1"/>
    </xf>
    <xf numFmtId="0" fontId="19" fillId="0" borderId="1" xfId="3" applyFill="1" applyBorder="1"/>
    <xf numFmtId="43" fontId="36" fillId="0" borderId="1" xfId="4" applyFont="1" applyFill="1" applyBorder="1" applyAlignment="1">
      <alignment horizontal="left" vertical="top" wrapText="1"/>
    </xf>
    <xf numFmtId="43" fontId="36" fillId="0" borderId="11" xfId="4" applyFont="1" applyFill="1" applyBorder="1" applyAlignment="1">
      <alignment horizontal="center" vertical="top" wrapText="1"/>
    </xf>
    <xf numFmtId="43" fontId="36" fillId="0" borderId="11" xfId="4" applyFont="1" applyFill="1" applyBorder="1" applyAlignment="1">
      <alignment horizontal="left" vertical="top" wrapText="1"/>
    </xf>
    <xf numFmtId="0" fontId="12" fillId="0" borderId="0" xfId="3" applyFont="1" applyFill="1" applyBorder="1"/>
    <xf numFmtId="43" fontId="12" fillId="0" borderId="0" xfId="3" applyNumberFormat="1" applyFont="1" applyFill="1" applyBorder="1"/>
    <xf numFmtId="43" fontId="20" fillId="0" borderId="11" xfId="4" applyFont="1" applyFill="1" applyBorder="1" applyAlignment="1">
      <alignment horizontal="center" vertical="top" wrapText="1"/>
    </xf>
    <xf numFmtId="43" fontId="20" fillId="0" borderId="11" xfId="4" applyFont="1" applyFill="1" applyBorder="1" applyAlignment="1">
      <alignment horizontal="left" vertical="top" wrapText="1"/>
    </xf>
    <xf numFmtId="0" fontId="15" fillId="0" borderId="0" xfId="3" applyFont="1" applyFill="1" applyBorder="1"/>
    <xf numFmtId="43" fontId="15" fillId="0" borderId="0" xfId="3" applyNumberFormat="1" applyFont="1" applyFill="1" applyBorder="1"/>
    <xf numFmtId="164" fontId="36" fillId="0" borderId="11" xfId="4" applyNumberFormat="1" applyFont="1" applyFill="1" applyBorder="1" applyAlignment="1">
      <alignment horizontal="center" vertical="top" wrapText="1"/>
    </xf>
    <xf numFmtId="164" fontId="36" fillId="0" borderId="11" xfId="4" applyNumberFormat="1" applyFont="1" applyFill="1" applyBorder="1" applyAlignment="1">
      <alignment vertical="top" wrapText="1"/>
    </xf>
    <xf numFmtId="0" fontId="38" fillId="0" borderId="0" xfId="3" applyFont="1" applyFill="1" applyBorder="1" applyAlignment="1">
      <alignment horizontal="center" vertical="top"/>
    </xf>
    <xf numFmtId="0" fontId="20" fillId="0" borderId="0" xfId="3" applyFont="1" applyFill="1" applyAlignment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3" fontId="1" fillId="0" borderId="0" xfId="1" applyFont="1" applyAlignment="1">
      <alignment horizontal="center" vertical="center" wrapText="1"/>
    </xf>
    <xf numFmtId="0" fontId="33" fillId="0" borderId="0" xfId="3" applyFont="1" applyFill="1" applyBorder="1" applyAlignment="1">
      <alignment wrapText="1"/>
    </xf>
    <xf numFmtId="0" fontId="22" fillId="0" borderId="0" xfId="3" applyFont="1" applyFill="1" applyBorder="1" applyAlignment="1"/>
    <xf numFmtId="49" fontId="33" fillId="0" borderId="0" xfId="3" applyNumberFormat="1" applyFont="1" applyFill="1" applyBorder="1" applyAlignment="1">
      <alignment wrapText="1"/>
    </xf>
    <xf numFmtId="0" fontId="22" fillId="0" borderId="0" xfId="3" applyFont="1" applyFill="1" applyBorder="1" applyAlignment="1">
      <alignment wrapText="1"/>
    </xf>
    <xf numFmtId="0" fontId="34" fillId="0" borderId="0" xfId="3" applyFont="1" applyFill="1" applyBorder="1" applyAlignment="1">
      <alignment horizontal="center"/>
    </xf>
    <xf numFmtId="49" fontId="33" fillId="0" borderId="1" xfId="3" applyNumberFormat="1" applyFont="1" applyFill="1" applyBorder="1" applyAlignment="1">
      <alignment vertical="top" wrapText="1"/>
    </xf>
    <xf numFmtId="0" fontId="22" fillId="0" borderId="1" xfId="3" applyFont="1" applyFill="1" applyBorder="1" applyAlignment="1">
      <alignment vertical="top" wrapText="1"/>
    </xf>
    <xf numFmtId="0" fontId="20" fillId="0" borderId="14" xfId="3" applyFont="1" applyFill="1" applyBorder="1" applyAlignment="1">
      <alignment horizontal="center"/>
    </xf>
    <xf numFmtId="0" fontId="34" fillId="0" borderId="1" xfId="3" applyFont="1" applyFill="1" applyBorder="1" applyAlignment="1">
      <alignment horizontal="center"/>
    </xf>
    <xf numFmtId="0" fontId="35" fillId="0" borderId="0" xfId="3" applyFont="1" applyFill="1" applyAlignment="1">
      <alignment horizontal="center" wrapText="1"/>
    </xf>
    <xf numFmtId="0" fontId="22" fillId="0" borderId="0" xfId="3" applyFont="1" applyFill="1" applyAlignment="1">
      <alignment wrapText="1"/>
    </xf>
    <xf numFmtId="0" fontId="28" fillId="0" borderId="13" xfId="3" applyFont="1" applyFill="1" applyBorder="1" applyAlignment="1">
      <alignment wrapText="1"/>
    </xf>
    <xf numFmtId="0" fontId="28" fillId="0" borderId="1" xfId="3" applyFont="1" applyFill="1" applyBorder="1" applyAlignment="1">
      <alignment wrapText="1"/>
    </xf>
    <xf numFmtId="0" fontId="33" fillId="0" borderId="8" xfId="3" applyFont="1" applyFill="1" applyBorder="1" applyAlignment="1">
      <alignment horizontal="left" vertical="top" wrapText="1"/>
    </xf>
    <xf numFmtId="0" fontId="33" fillId="0" borderId="1" xfId="3" applyFont="1" applyFill="1" applyBorder="1" applyAlignment="1">
      <alignment wrapText="1"/>
    </xf>
    <xf numFmtId="0" fontId="33" fillId="0" borderId="1" xfId="3" applyFont="1" applyFill="1" applyBorder="1" applyAlignment="1">
      <alignment vertical="top" wrapText="1"/>
    </xf>
    <xf numFmtId="0" fontId="28" fillId="0" borderId="0" xfId="3" applyFont="1" applyFill="1" applyBorder="1" applyAlignment="1">
      <alignment horizontal="center"/>
    </xf>
    <xf numFmtId="0" fontId="20" fillId="0" borderId="13" xfId="3" applyFont="1" applyFill="1" applyBorder="1" applyAlignment="1">
      <alignment horizontal="center" vertical="center" wrapText="1"/>
    </xf>
    <xf numFmtId="0" fontId="20" fillId="0" borderId="14" xfId="3" applyFont="1" applyFill="1" applyBorder="1" applyAlignment="1">
      <alignment horizontal="center" vertical="center" wrapText="1"/>
    </xf>
    <xf numFmtId="0" fontId="20" fillId="0" borderId="3" xfId="3" applyFont="1" applyFill="1" applyBorder="1" applyAlignment="1">
      <alignment horizontal="center" vertical="center" wrapText="1"/>
    </xf>
    <xf numFmtId="0" fontId="20" fillId="0" borderId="16" xfId="3" applyFont="1" applyFill="1" applyBorder="1" applyAlignment="1">
      <alignment horizontal="center" vertical="center" wrapText="1"/>
    </xf>
    <xf numFmtId="0" fontId="39" fillId="0" borderId="0" xfId="3" applyFont="1" applyFill="1" applyBorder="1" applyAlignment="1">
      <alignment horizontal="center"/>
    </xf>
    <xf numFmtId="43" fontId="36" fillId="0" borderId="0" xfId="4" applyFont="1" applyFill="1" applyBorder="1" applyAlignment="1">
      <alignment horizontal="center" vertical="top" wrapText="1"/>
    </xf>
    <xf numFmtId="0" fontId="18" fillId="0" borderId="0" xfId="0" applyFont="1" applyAlignment="1">
      <alignment horizontal="center"/>
    </xf>
    <xf numFmtId="0" fontId="2" fillId="0" borderId="16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6" fillId="0" borderId="0" xfId="3" applyFont="1" applyFill="1" applyBorder="1" applyAlignment="1" applyProtection="1">
      <alignment horizontal="center"/>
    </xf>
    <xf numFmtId="0" fontId="27" fillId="0" borderId="0" xfId="3" applyFont="1" applyFill="1" applyBorder="1" applyAlignment="1" applyProtection="1">
      <alignment horizontal="center"/>
    </xf>
    <xf numFmtId="0" fontId="20" fillId="0" borderId="0" xfId="3" quotePrefix="1" applyFont="1" applyFill="1" applyBorder="1" applyAlignment="1">
      <alignment horizontal="left"/>
    </xf>
    <xf numFmtId="0" fontId="21" fillId="0" borderId="0" xfId="3" applyFont="1" applyFill="1" applyAlignment="1"/>
    <xf numFmtId="0" fontId="20" fillId="0" borderId="0" xfId="3" applyFont="1" applyFill="1" applyBorder="1" applyAlignment="1">
      <alignment horizontal="left"/>
    </xf>
    <xf numFmtId="0" fontId="21" fillId="0" borderId="0" xfId="3" applyFont="1" applyFill="1" applyBorder="1" applyAlignment="1"/>
    <xf numFmtId="0" fontId="0" fillId="2" borderId="0" xfId="0" applyFill="1" applyAlignment="1">
      <alignment horizontal="left" vertical="top" wrapText="1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3" fillId="0" borderId="1" xfId="0" applyFont="1" applyFill="1" applyBorder="1"/>
    <xf numFmtId="0" fontId="3" fillId="0" borderId="0" xfId="0" applyFont="1" applyFill="1" applyBorder="1"/>
    <xf numFmtId="0" fontId="3" fillId="0" borderId="2" xfId="0" applyFont="1" applyFill="1" applyBorder="1"/>
    <xf numFmtId="0" fontId="2" fillId="0" borderId="1" xfId="0" applyFont="1" applyFill="1" applyBorder="1"/>
    <xf numFmtId="0" fontId="2" fillId="0" borderId="0" xfId="0" applyFont="1" applyFill="1" applyBorder="1"/>
    <xf numFmtId="0" fontId="2" fillId="0" borderId="2" xfId="0" applyFont="1" applyFill="1" applyBorder="1"/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3" fillId="0" borderId="1" xfId="0" applyFont="1" applyBorder="1"/>
    <xf numFmtId="0" fontId="3" fillId="0" borderId="0" xfId="0" applyFont="1" applyBorder="1"/>
    <xf numFmtId="0" fontId="3" fillId="0" borderId="2" xfId="0" applyFont="1" applyBorder="1"/>
    <xf numFmtId="0" fontId="2" fillId="0" borderId="0" xfId="0" applyFont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0" fillId="0" borderId="1" xfId="0" applyFill="1" applyBorder="1"/>
    <xf numFmtId="0" fontId="0" fillId="0" borderId="0" xfId="0" applyFill="1" applyBorder="1"/>
    <xf numFmtId="0" fontId="0" fillId="0" borderId="2" xfId="0" applyFill="1" applyBorder="1"/>
    <xf numFmtId="0" fontId="0" fillId="0" borderId="0" xfId="0" applyAlignment="1">
      <alignment vertical="center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11" xfId="0" applyFont="1" applyBorder="1" applyAlignment="1">
      <alignment vertical="center"/>
    </xf>
    <xf numFmtId="0" fontId="16" fillId="0" borderId="0" xfId="0" applyFont="1" applyFill="1" applyBorder="1" applyAlignment="1">
      <alignment horizontal="left"/>
    </xf>
    <xf numFmtId="0" fontId="13" fillId="0" borderId="0" xfId="0" applyFont="1" applyFill="1" applyAlignment="1">
      <alignment horizontal="center"/>
    </xf>
    <xf numFmtId="0" fontId="5" fillId="0" borderId="0" xfId="0" applyFont="1" applyAlignment="1">
      <alignment horizontal="left" wrapText="1"/>
    </xf>
    <xf numFmtId="0" fontId="7" fillId="3" borderId="5" xfId="0" applyFont="1" applyFill="1" applyBorder="1"/>
    <xf numFmtId="0" fontId="7" fillId="3" borderId="6" xfId="0" applyFont="1" applyFill="1" applyBorder="1"/>
    <xf numFmtId="0" fontId="7" fillId="3" borderId="7" xfId="0" applyFont="1" applyFill="1" applyBorder="1"/>
    <xf numFmtId="0" fontId="7" fillId="3" borderId="0" xfId="0" applyFont="1" applyFill="1"/>
    <xf numFmtId="0" fontId="5" fillId="0" borderId="0" xfId="0" applyFont="1"/>
    <xf numFmtId="14" fontId="5" fillId="0" borderId="0" xfId="0" applyNumberFormat="1" applyFont="1"/>
    <xf numFmtId="0" fontId="5" fillId="0" borderId="0" xfId="0" applyFont="1" applyFill="1" applyBorder="1" applyAlignment="1">
      <alignment horizontal="left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5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</cellXfs>
  <cellStyles count="5">
    <cellStyle name="Comma" xfId="1" builtinId="3"/>
    <cellStyle name="Comma 2" xfId="4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anies/vanshaj%20clothing%20pvt%20ltd/AY%202017-18/balance%20sheet/Balance%20she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nal%20Project%20Repor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"/>
      <sheetName val="Profit &amp; Loss"/>
      <sheetName val="CFS"/>
      <sheetName val="Dep Chart"/>
      <sheetName val="Balance Sheet "/>
      <sheetName val="P &amp; L"/>
      <sheetName val="Share Capital"/>
      <sheetName val="Statement of Change in equity"/>
      <sheetName val="Trial"/>
      <sheetName val="New Trial"/>
      <sheetName val="Assets"/>
      <sheetName val=" Assets &amp; lia."/>
      <sheetName val="F.A Chart"/>
      <sheetName val="OTHER EXPENSES"/>
      <sheetName val="AS-18"/>
      <sheetName val="List"/>
      <sheetName val=" new trial"/>
      <sheetName val="Sheet1"/>
      <sheetName val="final Trial Balance"/>
      <sheetName val="ESIC ,Debtor ageing"/>
      <sheetName val="TDS Deduction"/>
      <sheetName val="new Trial bal"/>
      <sheetName val="Sheet2"/>
    </sheetNames>
    <sheetDataSet>
      <sheetData sheetId="0"/>
      <sheetData sheetId="1"/>
      <sheetData sheetId="2"/>
      <sheetData sheetId="3"/>
      <sheetData sheetId="4">
        <row r="15">
          <cell r="C15">
            <v>10000000</v>
          </cell>
        </row>
        <row r="23">
          <cell r="C23">
            <v>1500</v>
          </cell>
        </row>
        <row r="32">
          <cell r="C32">
            <v>4292006</v>
          </cell>
        </row>
        <row r="43">
          <cell r="C43">
            <v>65377</v>
          </cell>
        </row>
      </sheetData>
      <sheetData sheetId="5">
        <row r="18">
          <cell r="C18">
            <v>88350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awing"/>
      <sheetName val="wc"/>
      <sheetName val="form IV"/>
      <sheetName val="ratios"/>
      <sheetName val="MPBF"/>
      <sheetName val="form ii"/>
      <sheetName val="CMI iii"/>
      <sheetName val="Cash Flow 2"/>
      <sheetName val="projected bs"/>
      <sheetName val="Expense"/>
      <sheetName val="Fixed Assets"/>
      <sheetName val="Short Term Maturity"/>
      <sheetName val="Sheet1"/>
      <sheetName val="REPAYMENT SCH."/>
      <sheetName val="Dep Chart"/>
      <sheetName val="Sheet5"/>
      <sheetName val="Sheet2"/>
    </sheetNames>
    <sheetDataSet>
      <sheetData sheetId="0"/>
      <sheetData sheetId="1"/>
      <sheetData sheetId="2"/>
      <sheetData sheetId="3"/>
      <sheetData sheetId="4"/>
      <sheetData sheetId="5">
        <row r="13">
          <cell r="G13">
            <v>1650</v>
          </cell>
          <cell r="H13">
            <v>5335</v>
          </cell>
          <cell r="I13">
            <v>6545</v>
          </cell>
          <cell r="J13">
            <v>6600</v>
          </cell>
          <cell r="K13">
            <v>6600</v>
          </cell>
          <cell r="L13">
            <v>6600</v>
          </cell>
        </row>
        <row r="15">
          <cell r="D15">
            <v>795.23295340000004</v>
          </cell>
          <cell r="E15">
            <v>0</v>
          </cell>
          <cell r="F15">
            <v>0</v>
          </cell>
        </row>
        <row r="17">
          <cell r="D17">
            <v>795.23295340000004</v>
          </cell>
          <cell r="E17">
            <v>0</v>
          </cell>
          <cell r="F17">
            <v>0</v>
          </cell>
        </row>
        <row r="21">
          <cell r="D21">
            <v>388.46</v>
          </cell>
          <cell r="E21">
            <v>0</v>
          </cell>
          <cell r="F21">
            <v>0</v>
          </cell>
        </row>
        <row r="42">
          <cell r="D42">
            <v>378.42881829999999</v>
          </cell>
          <cell r="E42">
            <v>0</v>
          </cell>
          <cell r="F42">
            <v>0</v>
          </cell>
        </row>
        <row r="44">
          <cell r="F44">
            <v>0</v>
          </cell>
        </row>
        <row r="46">
          <cell r="D46">
            <v>408.77413510000008</v>
          </cell>
          <cell r="E46">
            <v>-2.6499999999999999E-2</v>
          </cell>
          <cell r="F46">
            <v>-0.88349999999999995</v>
          </cell>
          <cell r="H46">
            <v>105.37948522500028</v>
          </cell>
          <cell r="K46">
            <v>136.36556159347856</v>
          </cell>
        </row>
        <row r="48">
          <cell r="D48">
            <v>26.12</v>
          </cell>
          <cell r="G48">
            <v>29.166666666666668</v>
          </cell>
          <cell r="H48">
            <v>49.416669999999996</v>
          </cell>
          <cell r="I48">
            <v>46.625</v>
          </cell>
          <cell r="J48">
            <v>43.625</v>
          </cell>
        </row>
        <row r="66">
          <cell r="E66">
            <v>-2.6499999999999999E-2</v>
          </cell>
          <cell r="F66">
            <v>-0.88349999999999995</v>
          </cell>
          <cell r="G66">
            <v>3.2381398333332818</v>
          </cell>
          <cell r="H66">
            <v>55.962815225000284</v>
          </cell>
          <cell r="I66">
            <v>83.004422171249644</v>
          </cell>
          <cell r="J66">
            <v>92.636182602562258</v>
          </cell>
        </row>
        <row r="68">
          <cell r="D68">
            <v>0</v>
          </cell>
          <cell r="E68">
            <v>0</v>
          </cell>
        </row>
        <row r="70">
          <cell r="D70">
            <v>384.97413510000007</v>
          </cell>
          <cell r="E70">
            <v>-2.6499999999999999E-2</v>
          </cell>
          <cell r="F70">
            <v>-0.88349999999999995</v>
          </cell>
        </row>
      </sheetData>
      <sheetData sheetId="6"/>
      <sheetData sheetId="7"/>
      <sheetData sheetId="8">
        <row r="19">
          <cell r="C19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0.65376999999999996</v>
          </cell>
        </row>
        <row r="46">
          <cell r="C46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view="pageBreakPreview" topLeftCell="A12" zoomScale="115" zoomScaleSheetLayoutView="115" workbookViewId="0">
      <selection activeCell="C12" sqref="C12"/>
    </sheetView>
  </sheetViews>
  <sheetFormatPr defaultRowHeight="15"/>
  <cols>
    <col min="1" max="1" width="24.7109375" customWidth="1"/>
    <col min="2" max="3" width="19.140625" customWidth="1"/>
  </cols>
  <sheetData>
    <row r="1" spans="1:9">
      <c r="A1" s="536" t="s">
        <v>252</v>
      </c>
      <c r="B1" s="536"/>
      <c r="C1" s="536"/>
      <c r="D1" s="536"/>
      <c r="E1" s="536"/>
      <c r="F1" s="536"/>
      <c r="G1" s="95"/>
      <c r="H1" s="95"/>
      <c r="I1" s="95"/>
    </row>
    <row r="2" spans="1:9">
      <c r="A2" s="536" t="s">
        <v>253</v>
      </c>
      <c r="B2" s="536"/>
      <c r="C2" s="536"/>
      <c r="D2" s="536"/>
      <c r="E2" s="536"/>
      <c r="F2" s="536"/>
      <c r="G2" s="536"/>
      <c r="H2" s="536"/>
      <c r="I2" s="536"/>
    </row>
    <row r="3" spans="1:9">
      <c r="A3" s="536" t="s">
        <v>254</v>
      </c>
      <c r="B3" s="536"/>
      <c r="C3" s="536"/>
      <c r="D3" s="536"/>
      <c r="E3" s="536"/>
      <c r="F3" s="536"/>
      <c r="G3" s="536"/>
      <c r="H3" s="536"/>
      <c r="I3" s="536"/>
    </row>
    <row r="5" spans="1:9">
      <c r="A5" s="17" t="s">
        <v>37</v>
      </c>
    </row>
    <row r="6" spans="1:9">
      <c r="A6" t="s">
        <v>0</v>
      </c>
      <c r="C6">
        <v>16500</v>
      </c>
      <c r="D6" t="s">
        <v>9</v>
      </c>
    </row>
    <row r="7" spans="1:9">
      <c r="A7" t="s">
        <v>1</v>
      </c>
      <c r="C7" s="1">
        <v>0.35</v>
      </c>
    </row>
    <row r="8" spans="1:9">
      <c r="A8" t="s">
        <v>2</v>
      </c>
    </row>
    <row r="10" spans="1:9">
      <c r="A10" t="s">
        <v>3</v>
      </c>
      <c r="C10">
        <v>16500</v>
      </c>
      <c r="D10" t="s">
        <v>9</v>
      </c>
    </row>
    <row r="11" spans="1:9">
      <c r="A11" t="s">
        <v>10</v>
      </c>
      <c r="C11">
        <f>C10*35%</f>
        <v>5775</v>
      </c>
      <c r="D11" t="s">
        <v>9</v>
      </c>
    </row>
    <row r="13" spans="1:9">
      <c r="A13" t="s">
        <v>5</v>
      </c>
      <c r="C13">
        <v>5500</v>
      </c>
      <c r="D13" t="s">
        <v>9</v>
      </c>
    </row>
    <row r="14" spans="1:9">
      <c r="A14" t="s">
        <v>4</v>
      </c>
      <c r="C14">
        <v>5000</v>
      </c>
      <c r="D14" t="s">
        <v>9</v>
      </c>
    </row>
    <row r="15" spans="1:9">
      <c r="A15" t="s">
        <v>6</v>
      </c>
      <c r="C15">
        <v>10500</v>
      </c>
      <c r="D15" t="s">
        <v>9</v>
      </c>
    </row>
    <row r="17" spans="1:4">
      <c r="A17" t="s">
        <v>7</v>
      </c>
      <c r="C17">
        <v>2</v>
      </c>
    </row>
    <row r="18" spans="1:4">
      <c r="A18" t="s">
        <v>8</v>
      </c>
      <c r="C18">
        <v>5500</v>
      </c>
      <c r="D18" t="s">
        <v>9</v>
      </c>
    </row>
    <row r="20" spans="1:4">
      <c r="A20" s="13" t="s">
        <v>11</v>
      </c>
      <c r="B20" s="15" t="s">
        <v>12</v>
      </c>
      <c r="C20" s="7"/>
      <c r="D20" s="8"/>
    </row>
    <row r="21" spans="1:4">
      <c r="A21" s="2"/>
      <c r="B21" s="9"/>
      <c r="C21" s="2"/>
      <c r="D21" s="3"/>
    </row>
    <row r="22" spans="1:4">
      <c r="A22" s="2" t="s">
        <v>13</v>
      </c>
      <c r="B22" s="9"/>
      <c r="C22" s="2"/>
      <c r="D22" s="3"/>
    </row>
    <row r="23" spans="1:4">
      <c r="A23" s="2" t="s">
        <v>14</v>
      </c>
      <c r="B23" s="9"/>
      <c r="C23" s="2"/>
      <c r="D23" s="3"/>
    </row>
    <row r="24" spans="1:4">
      <c r="A24" s="117" t="s">
        <v>300</v>
      </c>
      <c r="B24" s="10" t="s">
        <v>299</v>
      </c>
      <c r="C24" s="2"/>
      <c r="D24" s="3"/>
    </row>
    <row r="25" spans="1:4">
      <c r="A25" s="2" t="s">
        <v>15</v>
      </c>
      <c r="B25" s="10" t="s">
        <v>26</v>
      </c>
      <c r="C25" s="2"/>
      <c r="D25" s="3"/>
    </row>
    <row r="26" spans="1:4">
      <c r="A26" s="2" t="s">
        <v>16</v>
      </c>
      <c r="B26" s="10" t="s">
        <v>27</v>
      </c>
      <c r="C26" s="2"/>
      <c r="D26" s="3"/>
    </row>
    <row r="27" spans="1:4">
      <c r="A27" s="2" t="s">
        <v>17</v>
      </c>
      <c r="B27" s="10" t="s">
        <v>28</v>
      </c>
      <c r="C27" s="2"/>
      <c r="D27" s="3"/>
    </row>
    <row r="28" spans="1:4">
      <c r="A28" s="2" t="s">
        <v>18</v>
      </c>
      <c r="B28" s="10" t="s">
        <v>29</v>
      </c>
      <c r="C28" s="2"/>
      <c r="D28" s="3"/>
    </row>
    <row r="29" spans="1:4">
      <c r="A29" s="2" t="s">
        <v>19</v>
      </c>
      <c r="B29" s="10" t="s">
        <v>30</v>
      </c>
      <c r="C29" s="2"/>
      <c r="D29" s="3"/>
    </row>
    <row r="30" spans="1:4">
      <c r="A30" s="2" t="s">
        <v>20</v>
      </c>
      <c r="B30" s="10" t="s">
        <v>31</v>
      </c>
      <c r="C30" s="2"/>
      <c r="D30" s="3"/>
    </row>
    <row r="31" spans="1:4">
      <c r="A31" s="2" t="s">
        <v>21</v>
      </c>
      <c r="B31" s="10" t="s">
        <v>32</v>
      </c>
      <c r="C31" s="2"/>
      <c r="D31" s="3"/>
    </row>
    <row r="32" spans="1:4">
      <c r="A32" s="2" t="s">
        <v>22</v>
      </c>
      <c r="B32" s="10" t="s">
        <v>33</v>
      </c>
      <c r="C32" s="2"/>
      <c r="D32" s="3"/>
    </row>
    <row r="33" spans="1:4">
      <c r="A33" s="2" t="s">
        <v>23</v>
      </c>
      <c r="B33" s="10" t="s">
        <v>31</v>
      </c>
      <c r="C33" s="2"/>
      <c r="D33" s="3"/>
    </row>
    <row r="34" spans="1:4">
      <c r="A34" s="2" t="s">
        <v>24</v>
      </c>
      <c r="B34" s="10" t="s">
        <v>33</v>
      </c>
      <c r="C34" s="2"/>
      <c r="D34" s="3"/>
    </row>
    <row r="35" spans="1:4">
      <c r="A35" s="2" t="s">
        <v>25</v>
      </c>
      <c r="B35" s="10" t="s">
        <v>34</v>
      </c>
      <c r="C35" s="2"/>
      <c r="D35" s="3"/>
    </row>
    <row r="36" spans="1:4">
      <c r="A36" s="117" t="s">
        <v>311</v>
      </c>
      <c r="B36" s="10" t="s">
        <v>312</v>
      </c>
      <c r="C36" s="2"/>
      <c r="D36" s="3"/>
    </row>
    <row r="37" spans="1:4">
      <c r="A37" s="117"/>
      <c r="B37" s="9"/>
      <c r="C37" s="117"/>
      <c r="D37" s="118"/>
    </row>
    <row r="38" spans="1:4" ht="15.75" thickBot="1">
      <c r="A38" s="12" t="s">
        <v>6</v>
      </c>
      <c r="B38" s="11" t="s">
        <v>313</v>
      </c>
      <c r="C38" s="2"/>
      <c r="D38" s="3"/>
    </row>
    <row r="39" spans="1:4" ht="15.75" thickTop="1">
      <c r="A39" s="2"/>
      <c r="B39" s="9"/>
      <c r="C39" s="2"/>
      <c r="D39" s="3"/>
    </row>
    <row r="40" spans="1:4">
      <c r="A40" s="12" t="s">
        <v>35</v>
      </c>
      <c r="B40" s="9"/>
      <c r="C40" s="2"/>
      <c r="D40" s="3"/>
    </row>
    <row r="41" spans="1:4">
      <c r="A41" s="2" t="s">
        <v>36</v>
      </c>
      <c r="B41" s="9"/>
      <c r="C41" s="2"/>
      <c r="D41" s="3"/>
    </row>
    <row r="42" spans="1:4">
      <c r="A42" s="2"/>
      <c r="B42" s="9"/>
      <c r="C42" s="2"/>
      <c r="D42" s="3"/>
    </row>
    <row r="43" spans="1:4" ht="15.75" thickBot="1">
      <c r="A43" s="4" t="s">
        <v>6</v>
      </c>
      <c r="B43" s="11" t="str">
        <f>B38</f>
        <v>5500 SQ. MTS.</v>
      </c>
      <c r="C43" s="4"/>
      <c r="D43" s="5"/>
    </row>
    <row r="44" spans="1:4" ht="15.75" thickTop="1"/>
  </sheetData>
  <mergeCells count="5">
    <mergeCell ref="A1:F1"/>
    <mergeCell ref="A2:F2"/>
    <mergeCell ref="G2:I2"/>
    <mergeCell ref="A3:F3"/>
    <mergeCell ref="G3:I3"/>
  </mergeCells>
  <pageMargins left="0.7" right="0.7" top="0.75" bottom="0.75" header="0.3" footer="0.3"/>
  <pageSetup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view="pageBreakPreview" zoomScale="124" zoomScaleSheetLayoutView="124" workbookViewId="0">
      <selection sqref="A1:G1"/>
    </sheetView>
  </sheetViews>
  <sheetFormatPr defaultRowHeight="15"/>
  <cols>
    <col min="1" max="1" width="5.42578125" customWidth="1"/>
    <col min="2" max="2" width="25.28515625" bestFit="1" customWidth="1"/>
    <col min="3" max="3" width="9.42578125" customWidth="1"/>
    <col min="4" max="4" width="10.28515625" customWidth="1"/>
    <col min="5" max="5" width="9.42578125" customWidth="1"/>
    <col min="6" max="6" width="10.42578125" customWidth="1"/>
    <col min="7" max="7" width="9.7109375" customWidth="1"/>
    <col min="8" max="8" width="11.28515625" customWidth="1"/>
  </cols>
  <sheetData>
    <row r="1" spans="1:8" ht="21">
      <c r="A1" s="568" t="str">
        <f>+'term loan'!A1</f>
        <v>……………………………. Pvt Ltd</v>
      </c>
      <c r="B1" s="568"/>
      <c r="C1" s="568"/>
      <c r="D1" s="568"/>
      <c r="E1" s="568"/>
      <c r="F1" s="568"/>
      <c r="G1" s="568"/>
    </row>
    <row r="2" spans="1:8">
      <c r="A2" s="17" t="s">
        <v>409</v>
      </c>
    </row>
    <row r="3" spans="1:8">
      <c r="H3" s="220" t="s">
        <v>63</v>
      </c>
    </row>
    <row r="4" spans="1:8">
      <c r="B4" s="116" t="s">
        <v>372</v>
      </c>
      <c r="C4" s="116" t="s">
        <v>362</v>
      </c>
      <c r="D4" s="116" t="s">
        <v>363</v>
      </c>
      <c r="E4" s="116" t="s">
        <v>364</v>
      </c>
      <c r="F4" s="116" t="s">
        <v>365</v>
      </c>
      <c r="G4" s="116" t="s">
        <v>366</v>
      </c>
      <c r="H4" s="116" t="s">
        <v>454</v>
      </c>
    </row>
    <row r="5" spans="1:8">
      <c r="B5" s="229" t="s">
        <v>456</v>
      </c>
      <c r="C5" s="230">
        <f>SUM('term loan'!G11:G17)/100000</f>
        <v>8.75</v>
      </c>
      <c r="D5" s="230">
        <f>SUM('term loan'!G19:G30)/100000</f>
        <v>14.41667</v>
      </c>
      <c r="E5" s="230">
        <f>SUM('term loan'!G32:G43)/100000</f>
        <v>11.625</v>
      </c>
      <c r="F5" s="230">
        <f>SUM('term loan'!G45:G56)/100000</f>
        <v>8.625</v>
      </c>
      <c r="G5" s="230">
        <f>SUM('term loan'!G60:G71)/100000</f>
        <v>5.625</v>
      </c>
      <c r="H5" s="230">
        <f>SUM('term loan'!G73:G84)/100000</f>
        <v>2.625</v>
      </c>
    </row>
    <row r="6" spans="1:8">
      <c r="B6" s="185" t="s">
        <v>373</v>
      </c>
      <c r="C6" s="186">
        <f>350*10%*7/12</f>
        <v>20.416666666666668</v>
      </c>
      <c r="D6" s="186">
        <f>350*10%</f>
        <v>35</v>
      </c>
      <c r="E6" s="186">
        <f t="shared" ref="E6:H6" si="0">350*10%</f>
        <v>35</v>
      </c>
      <c r="F6" s="186">
        <f t="shared" si="0"/>
        <v>35</v>
      </c>
      <c r="G6" s="186">
        <f t="shared" si="0"/>
        <v>35</v>
      </c>
      <c r="H6" s="186">
        <f t="shared" si="0"/>
        <v>35</v>
      </c>
    </row>
    <row r="7" spans="1:8">
      <c r="B7" s="116" t="s">
        <v>374</v>
      </c>
      <c r="C7" s="187">
        <f>SUM(C5:C6)</f>
        <v>29.166666666666668</v>
      </c>
      <c r="D7" s="187">
        <f t="shared" ref="D7:H7" si="1">SUM(D5:D6)</f>
        <v>49.416669999999996</v>
      </c>
      <c r="E7" s="187">
        <f t="shared" si="1"/>
        <v>46.625</v>
      </c>
      <c r="F7" s="187">
        <f t="shared" si="1"/>
        <v>43.625</v>
      </c>
      <c r="G7" s="187">
        <f t="shared" si="1"/>
        <v>40.625</v>
      </c>
      <c r="H7" s="187">
        <f t="shared" si="1"/>
        <v>37.625</v>
      </c>
    </row>
  </sheetData>
  <mergeCells count="1">
    <mergeCell ref="A1:G1"/>
  </mergeCells>
  <pageMargins left="0.7" right="0.7" top="0.75" bottom="0.75" header="0.3" footer="0.3"/>
  <pageSetup scale="8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view="pageBreakPreview" zoomScaleSheetLayoutView="100" workbookViewId="0">
      <selection sqref="A1:G1"/>
    </sheetView>
  </sheetViews>
  <sheetFormatPr defaultRowHeight="15"/>
  <cols>
    <col min="1" max="1" width="4.7109375" customWidth="1"/>
    <col min="2" max="2" width="12" style="163" customWidth="1"/>
    <col min="3" max="3" width="10.85546875" customWidth="1"/>
    <col min="4" max="4" width="19" customWidth="1"/>
    <col min="5" max="5" width="13.5703125" customWidth="1"/>
    <col min="6" max="6" width="18.28515625" customWidth="1"/>
    <col min="7" max="8" width="17.28515625" customWidth="1"/>
    <col min="9" max="9" width="14.28515625" bestFit="1" customWidth="1"/>
  </cols>
  <sheetData>
    <row r="1" spans="1:9" ht="23.25">
      <c r="A1" s="542" t="str">
        <f>+'mean of finance'!A1:F1</f>
        <v>……………………………. Pvt Ltd</v>
      </c>
      <c r="B1" s="542"/>
      <c r="C1" s="542"/>
      <c r="D1" s="542"/>
      <c r="E1" s="542"/>
      <c r="F1" s="542"/>
      <c r="G1" s="542"/>
      <c r="H1" s="536"/>
      <c r="I1" s="536"/>
    </row>
    <row r="3" spans="1:9">
      <c r="A3" s="570" t="s">
        <v>377</v>
      </c>
      <c r="B3" s="570"/>
      <c r="C3" s="570"/>
      <c r="D3" s="570"/>
      <c r="E3" s="570"/>
      <c r="F3" s="17"/>
      <c r="G3" s="17"/>
      <c r="H3" s="16"/>
    </row>
    <row r="5" spans="1:9">
      <c r="B5" s="163" t="s">
        <v>64</v>
      </c>
      <c r="F5" s="28">
        <f>'mean of finance'!F32*100000</f>
        <v>15000000</v>
      </c>
    </row>
    <row r="6" spans="1:9">
      <c r="B6" s="163" t="s">
        <v>66</v>
      </c>
      <c r="F6">
        <v>7</v>
      </c>
      <c r="G6" t="s">
        <v>69</v>
      </c>
    </row>
    <row r="7" spans="1:9">
      <c r="B7" s="163" t="s">
        <v>67</v>
      </c>
      <c r="F7" s="18" t="s">
        <v>453</v>
      </c>
    </row>
    <row r="8" spans="1:9">
      <c r="B8" s="163" t="s">
        <v>68</v>
      </c>
      <c r="F8" s="27">
        <v>10</v>
      </c>
      <c r="G8" t="s">
        <v>70</v>
      </c>
    </row>
    <row r="10" spans="1:9">
      <c r="B10" s="133" t="s">
        <v>78</v>
      </c>
      <c r="C10" s="132" t="s">
        <v>79</v>
      </c>
      <c r="D10" s="134" t="s">
        <v>71</v>
      </c>
      <c r="E10" s="134" t="s">
        <v>72</v>
      </c>
      <c r="F10" s="134" t="s">
        <v>73</v>
      </c>
      <c r="G10" s="128" t="s">
        <v>267</v>
      </c>
    </row>
    <row r="11" spans="1:9">
      <c r="B11" s="171" t="s">
        <v>362</v>
      </c>
      <c r="C11" s="219" t="s">
        <v>355</v>
      </c>
      <c r="D11" s="26">
        <f>F5</f>
        <v>15000000</v>
      </c>
      <c r="E11" s="26">
        <v>0</v>
      </c>
      <c r="F11" s="26">
        <f>D11-E11</f>
        <v>15000000</v>
      </c>
      <c r="G11" s="26">
        <f>ROUND((F11*$F$8%)/12,0)</f>
        <v>125000</v>
      </c>
      <c r="H11" s="26"/>
      <c r="I11" s="28"/>
    </row>
    <row r="12" spans="1:9">
      <c r="C12" s="219" t="s">
        <v>356</v>
      </c>
      <c r="D12" s="26">
        <f>F11</f>
        <v>15000000</v>
      </c>
      <c r="E12" s="26">
        <v>0</v>
      </c>
      <c r="F12" s="26">
        <f>D12-E12</f>
        <v>15000000</v>
      </c>
      <c r="G12" s="26">
        <f t="shared" ref="G12" si="0">ROUND((F12*$F$8%)/12,0)</f>
        <v>125000</v>
      </c>
      <c r="H12" s="26"/>
    </row>
    <row r="13" spans="1:9">
      <c r="C13" s="219" t="s">
        <v>357</v>
      </c>
      <c r="D13" s="26">
        <f t="shared" ref="D13" si="1">F12</f>
        <v>15000000</v>
      </c>
      <c r="E13" s="26">
        <v>0</v>
      </c>
      <c r="F13" s="26">
        <f t="shared" ref="F13" si="2">D13-E13</f>
        <v>15000000</v>
      </c>
      <c r="G13" s="26">
        <f>ROUND((F13*$F$8%)/12,0)</f>
        <v>125000</v>
      </c>
      <c r="H13" s="26"/>
    </row>
    <row r="14" spans="1:9">
      <c r="C14" s="219" t="s">
        <v>358</v>
      </c>
      <c r="D14" s="26">
        <f t="shared" ref="D14:D17" si="3">F13</f>
        <v>15000000</v>
      </c>
      <c r="E14" s="26">
        <v>0</v>
      </c>
      <c r="F14" s="26">
        <f t="shared" ref="F14:F17" si="4">D14-E14</f>
        <v>15000000</v>
      </c>
      <c r="G14" s="26">
        <f t="shared" ref="G14:G17" si="5">ROUND((F14*$F$8%)/12,0)</f>
        <v>125000</v>
      </c>
      <c r="H14" s="26"/>
    </row>
    <row r="15" spans="1:9">
      <c r="C15" s="219" t="s">
        <v>359</v>
      </c>
      <c r="D15" s="26">
        <f t="shared" si="3"/>
        <v>15000000</v>
      </c>
      <c r="E15" s="26">
        <v>0</v>
      </c>
      <c r="F15" s="26">
        <f t="shared" si="4"/>
        <v>15000000</v>
      </c>
      <c r="G15" s="26">
        <f t="shared" si="5"/>
        <v>125000</v>
      </c>
      <c r="H15" s="26"/>
    </row>
    <row r="16" spans="1:9">
      <c r="C16" s="219" t="s">
        <v>360</v>
      </c>
      <c r="D16" s="26">
        <f t="shared" si="3"/>
        <v>15000000</v>
      </c>
      <c r="E16" s="26">
        <v>0</v>
      </c>
      <c r="F16" s="26">
        <f t="shared" si="4"/>
        <v>15000000</v>
      </c>
      <c r="G16" s="26">
        <f t="shared" si="5"/>
        <v>125000</v>
      </c>
      <c r="H16" s="26"/>
    </row>
    <row r="17" spans="2:8">
      <c r="C17" s="219" t="s">
        <v>349</v>
      </c>
      <c r="D17" s="26">
        <f t="shared" si="3"/>
        <v>15000000</v>
      </c>
      <c r="E17" s="26">
        <v>0</v>
      </c>
      <c r="F17" s="26">
        <f t="shared" si="4"/>
        <v>15000000</v>
      </c>
      <c r="G17" s="26">
        <f t="shared" si="5"/>
        <v>125000</v>
      </c>
      <c r="H17" s="26"/>
    </row>
    <row r="18" spans="2:8">
      <c r="C18" s="19"/>
      <c r="D18" s="26"/>
      <c r="E18" s="26"/>
      <c r="F18" s="26"/>
      <c r="G18" s="26"/>
      <c r="H18" s="26"/>
    </row>
    <row r="19" spans="2:8">
      <c r="B19" s="171" t="s">
        <v>363</v>
      </c>
      <c r="C19" s="171" t="s">
        <v>350</v>
      </c>
      <c r="D19" s="26">
        <f>F13</f>
        <v>15000000</v>
      </c>
      <c r="E19" s="26">
        <v>0</v>
      </c>
      <c r="F19" s="26">
        <f>D19-E19</f>
        <v>15000000</v>
      </c>
      <c r="G19" s="26">
        <f>ROUND((F19*$F$8%)/12,0)</f>
        <v>125000</v>
      </c>
      <c r="H19" s="26">
        <f>SUM(G11:G18)/100000</f>
        <v>8.75</v>
      </c>
    </row>
    <row r="20" spans="2:8">
      <c r="C20" s="171" t="s">
        <v>351</v>
      </c>
      <c r="D20" s="26">
        <f>F19</f>
        <v>15000000</v>
      </c>
      <c r="E20" s="26">
        <v>0</v>
      </c>
      <c r="F20" s="26">
        <f t="shared" ref="F20:F30" si="6">D20-E20</f>
        <v>15000000</v>
      </c>
      <c r="G20" s="26">
        <f t="shared" ref="G20:G30" si="7">ROUND((F20*$F$8%)/12,0)</f>
        <v>125000</v>
      </c>
      <c r="H20" s="26"/>
    </row>
    <row r="21" spans="2:8">
      <c r="C21" s="171" t="s">
        <v>352</v>
      </c>
      <c r="D21" s="26">
        <f t="shared" ref="D21:D30" si="8">F20</f>
        <v>15000000</v>
      </c>
      <c r="E21" s="26">
        <v>0</v>
      </c>
      <c r="F21" s="26">
        <f t="shared" si="6"/>
        <v>15000000</v>
      </c>
      <c r="G21" s="26">
        <f t="shared" ref="G21:G29" si="9">ROUND((F21*$F$8%)/12,0)</f>
        <v>125000</v>
      </c>
      <c r="H21" s="26"/>
    </row>
    <row r="22" spans="2:8">
      <c r="C22" s="171" t="s">
        <v>353</v>
      </c>
      <c r="D22" s="26">
        <f t="shared" si="8"/>
        <v>15000000</v>
      </c>
      <c r="E22" s="26">
        <v>0</v>
      </c>
      <c r="F22" s="26">
        <f t="shared" si="6"/>
        <v>15000000</v>
      </c>
      <c r="G22" s="26">
        <f t="shared" si="9"/>
        <v>125000</v>
      </c>
      <c r="H22" s="26"/>
    </row>
    <row r="23" spans="2:8">
      <c r="C23" s="171" t="s">
        <v>354</v>
      </c>
      <c r="D23" s="26">
        <f t="shared" si="8"/>
        <v>15000000</v>
      </c>
      <c r="E23" s="26">
        <v>0</v>
      </c>
      <c r="F23" s="26">
        <f t="shared" si="6"/>
        <v>15000000</v>
      </c>
      <c r="G23" s="26">
        <f t="shared" si="9"/>
        <v>125000</v>
      </c>
      <c r="H23" s="26"/>
    </row>
    <row r="24" spans="2:8">
      <c r="C24" s="171" t="s">
        <v>355</v>
      </c>
      <c r="D24" s="26">
        <f t="shared" si="8"/>
        <v>15000000</v>
      </c>
      <c r="E24" s="26">
        <f t="shared" ref="E24:E30" si="10">ROUND($F$5/60,0)</f>
        <v>250000</v>
      </c>
      <c r="F24" s="26">
        <f t="shared" si="6"/>
        <v>14750000</v>
      </c>
      <c r="G24" s="26">
        <f t="shared" si="9"/>
        <v>122917</v>
      </c>
      <c r="H24" s="26"/>
    </row>
    <row r="25" spans="2:8">
      <c r="C25" s="171" t="s">
        <v>356</v>
      </c>
      <c r="D25" s="26">
        <f t="shared" si="8"/>
        <v>14750000</v>
      </c>
      <c r="E25" s="26">
        <f t="shared" si="10"/>
        <v>250000</v>
      </c>
      <c r="F25" s="26">
        <f t="shared" si="6"/>
        <v>14500000</v>
      </c>
      <c r="G25" s="26">
        <f t="shared" si="9"/>
        <v>120833</v>
      </c>
      <c r="H25" s="26"/>
    </row>
    <row r="26" spans="2:8">
      <c r="C26" s="171" t="s">
        <v>357</v>
      </c>
      <c r="D26" s="26">
        <f t="shared" si="8"/>
        <v>14500000</v>
      </c>
      <c r="E26" s="26">
        <f t="shared" si="10"/>
        <v>250000</v>
      </c>
      <c r="F26" s="26">
        <f t="shared" si="6"/>
        <v>14250000</v>
      </c>
      <c r="G26" s="26">
        <f t="shared" si="9"/>
        <v>118750</v>
      </c>
      <c r="H26" s="26"/>
    </row>
    <row r="27" spans="2:8">
      <c r="C27" s="171" t="s">
        <v>358</v>
      </c>
      <c r="D27" s="26">
        <f t="shared" si="8"/>
        <v>14250000</v>
      </c>
      <c r="E27" s="26">
        <f t="shared" si="10"/>
        <v>250000</v>
      </c>
      <c r="F27" s="26">
        <f t="shared" si="6"/>
        <v>14000000</v>
      </c>
      <c r="G27" s="26">
        <f t="shared" si="9"/>
        <v>116667</v>
      </c>
      <c r="H27" s="26"/>
    </row>
    <row r="28" spans="2:8">
      <c r="C28" s="171" t="s">
        <v>359</v>
      </c>
      <c r="D28" s="26">
        <f t="shared" si="8"/>
        <v>14000000</v>
      </c>
      <c r="E28" s="26">
        <f t="shared" si="10"/>
        <v>250000</v>
      </c>
      <c r="F28" s="26">
        <f t="shared" si="6"/>
        <v>13750000</v>
      </c>
      <c r="G28" s="26">
        <f t="shared" si="9"/>
        <v>114583</v>
      </c>
      <c r="H28" s="26"/>
    </row>
    <row r="29" spans="2:8">
      <c r="C29" s="171" t="s">
        <v>360</v>
      </c>
      <c r="D29" s="26">
        <f t="shared" si="8"/>
        <v>13750000</v>
      </c>
      <c r="E29" s="26">
        <f t="shared" si="10"/>
        <v>250000</v>
      </c>
      <c r="F29" s="26">
        <f t="shared" si="6"/>
        <v>13500000</v>
      </c>
      <c r="G29" s="26">
        <f t="shared" si="9"/>
        <v>112500</v>
      </c>
      <c r="H29" s="26"/>
    </row>
    <row r="30" spans="2:8">
      <c r="C30" s="171" t="s">
        <v>349</v>
      </c>
      <c r="D30" s="26">
        <f t="shared" si="8"/>
        <v>13500000</v>
      </c>
      <c r="E30" s="26">
        <f t="shared" si="10"/>
        <v>250000</v>
      </c>
      <c r="F30" s="26">
        <f t="shared" si="6"/>
        <v>13250000</v>
      </c>
      <c r="G30" s="26">
        <f t="shared" si="7"/>
        <v>110417</v>
      </c>
      <c r="H30" s="26"/>
    </row>
    <row r="31" spans="2:8">
      <c r="B31" s="174"/>
      <c r="C31" s="174"/>
      <c r="D31" s="26"/>
      <c r="E31" s="26"/>
      <c r="F31" s="26"/>
      <c r="G31" s="26"/>
      <c r="H31" s="26"/>
    </row>
    <row r="32" spans="2:8">
      <c r="B32" s="171" t="s">
        <v>364</v>
      </c>
      <c r="C32" s="171" t="s">
        <v>350</v>
      </c>
      <c r="D32" s="26">
        <f>F30</f>
        <v>13250000</v>
      </c>
      <c r="E32" s="26">
        <f t="shared" ref="E32:E43" si="11">ROUND($F$5/60,0)</f>
        <v>250000</v>
      </c>
      <c r="F32" s="26">
        <f t="shared" ref="F32:F43" si="12">D32-E32</f>
        <v>13000000</v>
      </c>
      <c r="G32" s="26">
        <f>ROUND((F32*$F$8%)/12,0)</f>
        <v>108333</v>
      </c>
      <c r="H32" s="26">
        <f>SUM(G19:G30)/100000</f>
        <v>14.41667</v>
      </c>
    </row>
    <row r="33" spans="2:13">
      <c r="C33" s="171" t="s">
        <v>351</v>
      </c>
      <c r="D33" s="26">
        <f>F32</f>
        <v>13000000</v>
      </c>
      <c r="E33" s="26">
        <f t="shared" si="11"/>
        <v>250000</v>
      </c>
      <c r="F33" s="26">
        <f t="shared" si="12"/>
        <v>12750000</v>
      </c>
      <c r="G33" s="26">
        <f>ROUND((F33*$F$8%)/12,0)</f>
        <v>106250</v>
      </c>
      <c r="H33" s="26"/>
    </row>
    <row r="34" spans="2:13">
      <c r="C34" s="171" t="s">
        <v>352</v>
      </c>
      <c r="D34" s="26">
        <f t="shared" ref="D34:D43" si="13">F33</f>
        <v>12750000</v>
      </c>
      <c r="E34" s="26">
        <f t="shared" si="11"/>
        <v>250000</v>
      </c>
      <c r="F34" s="26">
        <f t="shared" si="12"/>
        <v>12500000</v>
      </c>
      <c r="G34" s="26">
        <f>ROUND((F34*$F$8%)/12,0)</f>
        <v>104167</v>
      </c>
      <c r="H34" s="26"/>
    </row>
    <row r="35" spans="2:13">
      <c r="C35" s="171" t="s">
        <v>353</v>
      </c>
      <c r="D35" s="26">
        <f t="shared" si="13"/>
        <v>12500000</v>
      </c>
      <c r="E35" s="26">
        <f t="shared" si="11"/>
        <v>250000</v>
      </c>
      <c r="F35" s="26">
        <f t="shared" si="12"/>
        <v>12250000</v>
      </c>
      <c r="G35" s="26">
        <f>ROUND((F35*$F$8%)/12,0)</f>
        <v>102083</v>
      </c>
      <c r="H35" s="26"/>
    </row>
    <row r="36" spans="2:13">
      <c r="C36" s="171" t="s">
        <v>354</v>
      </c>
      <c r="D36" s="26">
        <f t="shared" si="13"/>
        <v>12250000</v>
      </c>
      <c r="E36" s="26">
        <f t="shared" si="11"/>
        <v>250000</v>
      </c>
      <c r="F36" s="26">
        <f t="shared" si="12"/>
        <v>12000000</v>
      </c>
      <c r="G36" s="26">
        <f>ROUND((F36*$F$8%)/12,0)</f>
        <v>100000</v>
      </c>
      <c r="H36" s="26"/>
    </row>
    <row r="37" spans="2:13">
      <c r="C37" s="171" t="s">
        <v>355</v>
      </c>
      <c r="D37" s="26">
        <f t="shared" si="13"/>
        <v>12000000</v>
      </c>
      <c r="E37" s="26">
        <f t="shared" si="11"/>
        <v>250000</v>
      </c>
      <c r="F37" s="26">
        <f t="shared" si="12"/>
        <v>11750000</v>
      </c>
      <c r="G37" s="26">
        <f t="shared" ref="G37" si="14">ROUND((F37*$F$8%)/12,0)</f>
        <v>97917</v>
      </c>
      <c r="H37" s="26"/>
    </row>
    <row r="38" spans="2:13">
      <c r="C38" s="171" t="s">
        <v>356</v>
      </c>
      <c r="D38" s="26">
        <f t="shared" si="13"/>
        <v>11750000</v>
      </c>
      <c r="E38" s="26">
        <f t="shared" si="11"/>
        <v>250000</v>
      </c>
      <c r="F38" s="26">
        <f t="shared" si="12"/>
        <v>11500000</v>
      </c>
      <c r="G38" s="26">
        <f t="shared" ref="G38:G43" si="15">ROUND((F38*$F$8%)/12,0)</f>
        <v>95833</v>
      </c>
      <c r="H38" s="26"/>
    </row>
    <row r="39" spans="2:13">
      <c r="C39" s="171" t="s">
        <v>357</v>
      </c>
      <c r="D39" s="26">
        <f t="shared" si="13"/>
        <v>11500000</v>
      </c>
      <c r="E39" s="26">
        <f t="shared" si="11"/>
        <v>250000</v>
      </c>
      <c r="F39" s="26">
        <f t="shared" si="12"/>
        <v>11250000</v>
      </c>
      <c r="G39" s="26">
        <f t="shared" si="15"/>
        <v>93750</v>
      </c>
      <c r="H39" s="26"/>
    </row>
    <row r="40" spans="2:13">
      <c r="C40" s="171" t="s">
        <v>358</v>
      </c>
      <c r="D40" s="26">
        <f t="shared" si="13"/>
        <v>11250000</v>
      </c>
      <c r="E40" s="26">
        <f t="shared" si="11"/>
        <v>250000</v>
      </c>
      <c r="F40" s="26">
        <f t="shared" si="12"/>
        <v>11000000</v>
      </c>
      <c r="G40" s="26">
        <f t="shared" si="15"/>
        <v>91667</v>
      </c>
      <c r="H40" s="26"/>
    </row>
    <row r="41" spans="2:13">
      <c r="C41" s="171" t="s">
        <v>359</v>
      </c>
      <c r="D41" s="26">
        <f t="shared" si="13"/>
        <v>11000000</v>
      </c>
      <c r="E41" s="26">
        <f t="shared" si="11"/>
        <v>250000</v>
      </c>
      <c r="F41" s="26">
        <f t="shared" si="12"/>
        <v>10750000</v>
      </c>
      <c r="G41" s="26">
        <f t="shared" si="15"/>
        <v>89583</v>
      </c>
      <c r="H41" s="26"/>
    </row>
    <row r="42" spans="2:13">
      <c r="C42" s="171" t="s">
        <v>360</v>
      </c>
      <c r="D42" s="26">
        <f t="shared" si="13"/>
        <v>10750000</v>
      </c>
      <c r="E42" s="26">
        <f t="shared" si="11"/>
        <v>250000</v>
      </c>
      <c r="F42" s="26">
        <f t="shared" si="12"/>
        <v>10500000</v>
      </c>
      <c r="G42" s="26">
        <f t="shared" si="15"/>
        <v>87500</v>
      </c>
      <c r="H42" s="26"/>
    </row>
    <row r="43" spans="2:13">
      <c r="C43" s="171" t="s">
        <v>349</v>
      </c>
      <c r="D43" s="26">
        <f t="shared" si="13"/>
        <v>10500000</v>
      </c>
      <c r="E43" s="26">
        <f t="shared" si="11"/>
        <v>250000</v>
      </c>
      <c r="F43" s="26">
        <f t="shared" si="12"/>
        <v>10250000</v>
      </c>
      <c r="G43" s="26">
        <f t="shared" si="15"/>
        <v>85417</v>
      </c>
      <c r="H43" s="26"/>
    </row>
    <row r="44" spans="2:13">
      <c r="B44" s="174"/>
      <c r="C44" s="174"/>
      <c r="D44" s="26"/>
      <c r="E44" s="26"/>
      <c r="F44" s="26"/>
      <c r="G44" s="26"/>
      <c r="H44" s="26"/>
    </row>
    <row r="45" spans="2:13">
      <c r="B45" s="171" t="s">
        <v>365</v>
      </c>
      <c r="C45" s="171" t="s">
        <v>350</v>
      </c>
      <c r="D45" s="26">
        <f>F43</f>
        <v>10250000</v>
      </c>
      <c r="E45" s="26">
        <f t="shared" ref="E45:E56" si="16">ROUND($F$5/60,0)</f>
        <v>250000</v>
      </c>
      <c r="F45" s="26">
        <f t="shared" ref="F45:F56" si="17">D45-E45</f>
        <v>10000000</v>
      </c>
      <c r="G45" s="26">
        <f t="shared" ref="G45:G52" si="18">ROUND((F45*$F$8%)/12,0)</f>
        <v>83333</v>
      </c>
      <c r="H45" s="26">
        <f>SUM(G32:G43)/100000</f>
        <v>11.625</v>
      </c>
    </row>
    <row r="46" spans="2:13">
      <c r="C46" s="171" t="s">
        <v>351</v>
      </c>
      <c r="D46" s="26">
        <f>F45</f>
        <v>10000000</v>
      </c>
      <c r="E46" s="26">
        <f t="shared" si="16"/>
        <v>250000</v>
      </c>
      <c r="F46" s="26">
        <f t="shared" si="17"/>
        <v>9750000</v>
      </c>
      <c r="G46" s="26">
        <f t="shared" si="18"/>
        <v>81250</v>
      </c>
      <c r="H46" s="26"/>
      <c r="K46" s="168"/>
      <c r="L46" s="172"/>
      <c r="M46" s="29"/>
    </row>
    <row r="47" spans="2:13">
      <c r="C47" s="171" t="s">
        <v>352</v>
      </c>
      <c r="D47" s="26">
        <f t="shared" ref="D47:D56" si="19">F46</f>
        <v>9750000</v>
      </c>
      <c r="E47" s="26">
        <f t="shared" si="16"/>
        <v>250000</v>
      </c>
      <c r="F47" s="26">
        <f t="shared" si="17"/>
        <v>9500000</v>
      </c>
      <c r="G47" s="26">
        <f t="shared" si="18"/>
        <v>79167</v>
      </c>
      <c r="H47" s="26"/>
      <c r="K47" s="172"/>
      <c r="L47" s="172"/>
      <c r="M47" s="29"/>
    </row>
    <row r="48" spans="2:13">
      <c r="C48" s="171" t="s">
        <v>353</v>
      </c>
      <c r="D48" s="26">
        <f t="shared" si="19"/>
        <v>9500000</v>
      </c>
      <c r="E48" s="26">
        <f t="shared" si="16"/>
        <v>250000</v>
      </c>
      <c r="F48" s="26">
        <f t="shared" si="17"/>
        <v>9250000</v>
      </c>
      <c r="G48" s="26">
        <f t="shared" si="18"/>
        <v>77083</v>
      </c>
      <c r="H48" s="26"/>
    </row>
    <row r="49" spans="2:8">
      <c r="C49" s="171" t="s">
        <v>354</v>
      </c>
      <c r="D49" s="26">
        <f t="shared" si="19"/>
        <v>9250000</v>
      </c>
      <c r="E49" s="26">
        <f t="shared" si="16"/>
        <v>250000</v>
      </c>
      <c r="F49" s="26">
        <f t="shared" si="17"/>
        <v>9000000</v>
      </c>
      <c r="G49" s="26">
        <f t="shared" si="18"/>
        <v>75000</v>
      </c>
      <c r="H49" s="26"/>
    </row>
    <row r="50" spans="2:8">
      <c r="C50" s="171" t="s">
        <v>355</v>
      </c>
      <c r="D50" s="26">
        <f t="shared" si="19"/>
        <v>9000000</v>
      </c>
      <c r="E50" s="26">
        <f t="shared" si="16"/>
        <v>250000</v>
      </c>
      <c r="F50" s="26">
        <f t="shared" si="17"/>
        <v>8750000</v>
      </c>
      <c r="G50" s="26">
        <f t="shared" si="18"/>
        <v>72917</v>
      </c>
      <c r="H50" s="26"/>
    </row>
    <row r="51" spans="2:8">
      <c r="C51" s="171" t="s">
        <v>356</v>
      </c>
      <c r="D51" s="26">
        <f t="shared" si="19"/>
        <v>8750000</v>
      </c>
      <c r="E51" s="26">
        <f t="shared" si="16"/>
        <v>250000</v>
      </c>
      <c r="F51" s="26">
        <f t="shared" si="17"/>
        <v>8500000</v>
      </c>
      <c r="G51" s="26">
        <f t="shared" si="18"/>
        <v>70833</v>
      </c>
      <c r="H51" s="26"/>
    </row>
    <row r="52" spans="2:8">
      <c r="C52" s="171" t="s">
        <v>357</v>
      </c>
      <c r="D52" s="26">
        <f t="shared" si="19"/>
        <v>8500000</v>
      </c>
      <c r="E52" s="26">
        <f t="shared" si="16"/>
        <v>250000</v>
      </c>
      <c r="F52" s="26">
        <f t="shared" si="17"/>
        <v>8250000</v>
      </c>
      <c r="G52" s="26">
        <f t="shared" si="18"/>
        <v>68750</v>
      </c>
      <c r="H52" s="26"/>
    </row>
    <row r="53" spans="2:8">
      <c r="C53" s="171" t="s">
        <v>358</v>
      </c>
      <c r="D53" s="26">
        <f t="shared" si="19"/>
        <v>8250000</v>
      </c>
      <c r="E53" s="26">
        <f t="shared" si="16"/>
        <v>250000</v>
      </c>
      <c r="F53" s="26">
        <f t="shared" si="17"/>
        <v>8000000</v>
      </c>
      <c r="G53" s="26">
        <f t="shared" ref="G53" si="20">ROUND((F53*$F$8%)/12,0)</f>
        <v>66667</v>
      </c>
      <c r="H53" s="26"/>
    </row>
    <row r="54" spans="2:8">
      <c r="C54" s="171" t="s">
        <v>359</v>
      </c>
      <c r="D54" s="26">
        <f t="shared" si="19"/>
        <v>8000000</v>
      </c>
      <c r="E54" s="26">
        <f t="shared" si="16"/>
        <v>250000</v>
      </c>
      <c r="F54" s="26">
        <f t="shared" si="17"/>
        <v>7750000</v>
      </c>
      <c r="G54" s="26">
        <f>ROUND((F54*$F$8%)/12,0)</f>
        <v>64583</v>
      </c>
      <c r="H54" s="26"/>
    </row>
    <row r="55" spans="2:8">
      <c r="C55" s="171" t="s">
        <v>360</v>
      </c>
      <c r="D55" s="26">
        <f t="shared" si="19"/>
        <v>7750000</v>
      </c>
      <c r="E55" s="26">
        <f t="shared" si="16"/>
        <v>250000</v>
      </c>
      <c r="F55" s="26">
        <f t="shared" si="17"/>
        <v>7500000</v>
      </c>
      <c r="G55" s="26">
        <f>ROUND((F55*$F$8%)/12,0)</f>
        <v>62500</v>
      </c>
      <c r="H55" s="26"/>
    </row>
    <row r="56" spans="2:8">
      <c r="C56" s="171" t="s">
        <v>349</v>
      </c>
      <c r="D56" s="26">
        <f t="shared" si="19"/>
        <v>7500000</v>
      </c>
      <c r="E56" s="26">
        <f t="shared" si="16"/>
        <v>250000</v>
      </c>
      <c r="F56" s="26">
        <f t="shared" si="17"/>
        <v>7250000</v>
      </c>
      <c r="G56" s="26">
        <f>ROUND((F56*$F$8%)/12,0)</f>
        <v>60417</v>
      </c>
      <c r="H56" s="26"/>
    </row>
    <row r="57" spans="2:8">
      <c r="B57" s="174"/>
      <c r="C57" s="174"/>
      <c r="D57" s="26"/>
      <c r="E57" s="26"/>
      <c r="F57" s="26"/>
      <c r="G57" s="26"/>
      <c r="H57" s="26"/>
    </row>
    <row r="58" spans="2:8">
      <c r="H58" s="26">
        <f>SUM(G45:G56)/100000</f>
        <v>8.625</v>
      </c>
    </row>
    <row r="59" spans="2:8">
      <c r="B59" s="164" t="str">
        <f t="shared" ref="B59:G59" si="21">B10</f>
        <v>Year</v>
      </c>
      <c r="C59" s="164" t="str">
        <f t="shared" si="21"/>
        <v>Months</v>
      </c>
      <c r="D59" s="29" t="str">
        <f t="shared" si="21"/>
        <v>Opening Balance</v>
      </c>
      <c r="E59" s="29" t="str">
        <f t="shared" si="21"/>
        <v>Installment</v>
      </c>
      <c r="F59" s="29" t="str">
        <f t="shared" si="21"/>
        <v>Closing Balance</v>
      </c>
      <c r="G59" s="29" t="str">
        <f t="shared" si="21"/>
        <v>Interest</v>
      </c>
      <c r="H59" s="26"/>
    </row>
    <row r="60" spans="2:8">
      <c r="B60" s="171" t="s">
        <v>366</v>
      </c>
      <c r="C60" s="171" t="s">
        <v>350</v>
      </c>
      <c r="D60" s="26">
        <f>F56</f>
        <v>7250000</v>
      </c>
      <c r="E60" s="26">
        <f t="shared" ref="E60:E71" si="22">ROUND($F$5/60,0)</f>
        <v>250000</v>
      </c>
      <c r="F60" s="26">
        <f t="shared" ref="F60" si="23">D60-E60</f>
        <v>7000000</v>
      </c>
      <c r="G60" s="26">
        <f>ROUND((F60*$F$8%)/12,0)</f>
        <v>58333</v>
      </c>
      <c r="H60" s="26"/>
    </row>
    <row r="61" spans="2:8">
      <c r="C61" s="171" t="s">
        <v>351</v>
      </c>
      <c r="D61" s="26">
        <f>F60</f>
        <v>7000000</v>
      </c>
      <c r="E61" s="26">
        <f t="shared" si="22"/>
        <v>250000</v>
      </c>
      <c r="F61" s="26">
        <f t="shared" ref="F61:F71" si="24">D61-E61</f>
        <v>6750000</v>
      </c>
      <c r="G61" s="26">
        <f t="shared" ref="G61:G68" si="25">ROUND((F61*$F$8%)/12,0)</f>
        <v>56250</v>
      </c>
      <c r="H61" s="26"/>
    </row>
    <row r="62" spans="2:8">
      <c r="C62" s="171" t="s">
        <v>352</v>
      </c>
      <c r="D62" s="26">
        <f t="shared" ref="D62:D71" si="26">F61</f>
        <v>6750000</v>
      </c>
      <c r="E62" s="26">
        <f t="shared" si="22"/>
        <v>250000</v>
      </c>
      <c r="F62" s="26">
        <f t="shared" si="24"/>
        <v>6500000</v>
      </c>
      <c r="G62" s="26">
        <f t="shared" si="25"/>
        <v>54167</v>
      </c>
      <c r="H62" s="26"/>
    </row>
    <row r="63" spans="2:8">
      <c r="C63" s="171" t="s">
        <v>353</v>
      </c>
      <c r="D63" s="26">
        <f t="shared" si="26"/>
        <v>6500000</v>
      </c>
      <c r="E63" s="26">
        <f t="shared" si="22"/>
        <v>250000</v>
      </c>
      <c r="F63" s="26">
        <f t="shared" si="24"/>
        <v>6250000</v>
      </c>
      <c r="G63" s="26">
        <f t="shared" si="25"/>
        <v>52083</v>
      </c>
      <c r="H63" s="26"/>
    </row>
    <row r="64" spans="2:8">
      <c r="C64" s="171" t="s">
        <v>354</v>
      </c>
      <c r="D64" s="26">
        <f t="shared" si="26"/>
        <v>6250000</v>
      </c>
      <c r="E64" s="26">
        <f t="shared" si="22"/>
        <v>250000</v>
      </c>
      <c r="F64" s="26">
        <f t="shared" si="24"/>
        <v>6000000</v>
      </c>
      <c r="G64" s="26">
        <f t="shared" si="25"/>
        <v>50000</v>
      </c>
      <c r="H64" s="26"/>
    </row>
    <row r="65" spans="2:8">
      <c r="C65" s="171" t="s">
        <v>355</v>
      </c>
      <c r="D65" s="26">
        <f t="shared" si="26"/>
        <v>6000000</v>
      </c>
      <c r="E65" s="26">
        <f t="shared" si="22"/>
        <v>250000</v>
      </c>
      <c r="F65" s="26">
        <f t="shared" si="24"/>
        <v>5750000</v>
      </c>
      <c r="G65" s="26">
        <f t="shared" si="25"/>
        <v>47917</v>
      </c>
      <c r="H65" s="26"/>
    </row>
    <row r="66" spans="2:8">
      <c r="C66" s="171" t="s">
        <v>356</v>
      </c>
      <c r="D66" s="26">
        <f t="shared" si="26"/>
        <v>5750000</v>
      </c>
      <c r="E66" s="26">
        <f t="shared" si="22"/>
        <v>250000</v>
      </c>
      <c r="F66" s="26">
        <f t="shared" si="24"/>
        <v>5500000</v>
      </c>
      <c r="G66" s="26">
        <f t="shared" si="25"/>
        <v>45833</v>
      </c>
      <c r="H66" s="26"/>
    </row>
    <row r="67" spans="2:8">
      <c r="C67" s="171" t="s">
        <v>357</v>
      </c>
      <c r="D67" s="26">
        <f t="shared" si="26"/>
        <v>5500000</v>
      </c>
      <c r="E67" s="26">
        <f t="shared" si="22"/>
        <v>250000</v>
      </c>
      <c r="F67" s="26">
        <f t="shared" si="24"/>
        <v>5250000</v>
      </c>
      <c r="G67" s="26">
        <f t="shared" si="25"/>
        <v>43750</v>
      </c>
      <c r="H67" s="26"/>
    </row>
    <row r="68" spans="2:8">
      <c r="C68" s="171" t="s">
        <v>358</v>
      </c>
      <c r="D68" s="26">
        <f t="shared" si="26"/>
        <v>5250000</v>
      </c>
      <c r="E68" s="26">
        <f t="shared" si="22"/>
        <v>250000</v>
      </c>
      <c r="F68" s="26">
        <f t="shared" si="24"/>
        <v>5000000</v>
      </c>
      <c r="G68" s="26">
        <f t="shared" si="25"/>
        <v>41667</v>
      </c>
      <c r="H68" s="26"/>
    </row>
    <row r="69" spans="2:8">
      <c r="C69" s="171" t="s">
        <v>359</v>
      </c>
      <c r="D69" s="26">
        <f t="shared" si="26"/>
        <v>5000000</v>
      </c>
      <c r="E69" s="26">
        <f t="shared" si="22"/>
        <v>250000</v>
      </c>
      <c r="F69" s="26">
        <f t="shared" si="24"/>
        <v>4750000</v>
      </c>
      <c r="G69" s="26">
        <f t="shared" ref="G69" si="27">ROUND((F69*$F$8%)/12,0)</f>
        <v>39583</v>
      </c>
      <c r="H69" s="26"/>
    </row>
    <row r="70" spans="2:8">
      <c r="C70" s="171" t="s">
        <v>360</v>
      </c>
      <c r="D70" s="26">
        <f t="shared" si="26"/>
        <v>4750000</v>
      </c>
      <c r="E70" s="26">
        <f t="shared" si="22"/>
        <v>250000</v>
      </c>
      <c r="F70" s="26">
        <f t="shared" si="24"/>
        <v>4500000</v>
      </c>
      <c r="G70" s="26">
        <f>ROUND((F70*$F$8%)/12,0)</f>
        <v>37500</v>
      </c>
      <c r="H70" s="26"/>
    </row>
    <row r="71" spans="2:8">
      <c r="C71" s="171" t="s">
        <v>349</v>
      </c>
      <c r="D71" s="26">
        <f t="shared" si="26"/>
        <v>4500000</v>
      </c>
      <c r="E71" s="26">
        <f t="shared" si="22"/>
        <v>250000</v>
      </c>
      <c r="F71" s="26">
        <f t="shared" si="24"/>
        <v>4250000</v>
      </c>
      <c r="G71" s="26">
        <f>ROUND((F71*$F$8%)/12,0)</f>
        <v>35417</v>
      </c>
      <c r="H71" s="26"/>
    </row>
    <row r="72" spans="2:8">
      <c r="B72" s="174"/>
      <c r="C72" s="174"/>
      <c r="D72" s="26"/>
      <c r="E72" s="26"/>
      <c r="F72" s="26"/>
      <c r="G72" s="26"/>
      <c r="H72" s="26"/>
    </row>
    <row r="73" spans="2:8">
      <c r="B73" s="171" t="s">
        <v>454</v>
      </c>
      <c r="C73" s="171" t="s">
        <v>350</v>
      </c>
      <c r="D73" s="26">
        <f>F71</f>
        <v>4250000</v>
      </c>
      <c r="E73" s="26">
        <f t="shared" ref="E73:E90" si="28">ROUND($F$5/60,0)</f>
        <v>250000</v>
      </c>
      <c r="F73" s="26">
        <f t="shared" ref="F73" si="29">D73-E73</f>
        <v>4000000</v>
      </c>
      <c r="G73" s="26">
        <f>ROUND((F73*$F$8%)/12,0)</f>
        <v>33333</v>
      </c>
      <c r="H73" s="26">
        <f>SUM(G60:G71)/100000</f>
        <v>5.625</v>
      </c>
    </row>
    <row r="74" spans="2:8">
      <c r="C74" s="171" t="s">
        <v>351</v>
      </c>
      <c r="D74" s="26">
        <f>F73</f>
        <v>4000000</v>
      </c>
      <c r="E74" s="26">
        <f t="shared" si="28"/>
        <v>250000</v>
      </c>
      <c r="F74" s="26">
        <f t="shared" ref="F74:F84" si="30">D74-E74</f>
        <v>3750000</v>
      </c>
      <c r="G74" s="26">
        <f>ROUND((F74*$F$8%)/12,0)</f>
        <v>31250</v>
      </c>
      <c r="H74" s="26"/>
    </row>
    <row r="75" spans="2:8">
      <c r="C75" s="171" t="s">
        <v>352</v>
      </c>
      <c r="D75" s="26">
        <f t="shared" ref="D75:D81" si="31">F74</f>
        <v>3750000</v>
      </c>
      <c r="E75" s="26">
        <f t="shared" si="28"/>
        <v>250000</v>
      </c>
      <c r="F75" s="26">
        <f t="shared" si="30"/>
        <v>3500000</v>
      </c>
      <c r="G75" s="26">
        <f t="shared" ref="G75" si="32">ROUND((F75*$F$8%)/12,0)</f>
        <v>29167</v>
      </c>
      <c r="H75" s="26"/>
    </row>
    <row r="76" spans="2:8">
      <c r="C76" s="171" t="s">
        <v>353</v>
      </c>
      <c r="D76" s="26">
        <f t="shared" si="31"/>
        <v>3500000</v>
      </c>
      <c r="E76" s="26">
        <f t="shared" si="28"/>
        <v>250000</v>
      </c>
      <c r="F76" s="26">
        <f t="shared" si="30"/>
        <v>3250000</v>
      </c>
      <c r="G76" s="26">
        <f t="shared" ref="G76:G82" si="33">ROUND((F76*$F$8%)/12,0)</f>
        <v>27083</v>
      </c>
      <c r="H76" s="26"/>
    </row>
    <row r="77" spans="2:8">
      <c r="C77" s="171" t="s">
        <v>354</v>
      </c>
      <c r="D77" s="26">
        <f t="shared" si="31"/>
        <v>3250000</v>
      </c>
      <c r="E77" s="26">
        <f t="shared" si="28"/>
        <v>250000</v>
      </c>
      <c r="F77" s="26">
        <f t="shared" si="30"/>
        <v>3000000</v>
      </c>
      <c r="G77" s="26">
        <f t="shared" si="33"/>
        <v>25000</v>
      </c>
      <c r="H77" s="26"/>
    </row>
    <row r="78" spans="2:8">
      <c r="C78" s="171" t="s">
        <v>355</v>
      </c>
      <c r="D78" s="26">
        <f t="shared" si="31"/>
        <v>3000000</v>
      </c>
      <c r="E78" s="26">
        <f t="shared" si="28"/>
        <v>250000</v>
      </c>
      <c r="F78" s="26">
        <f t="shared" si="30"/>
        <v>2750000</v>
      </c>
      <c r="G78" s="26">
        <f t="shared" si="33"/>
        <v>22917</v>
      </c>
      <c r="H78" s="26"/>
    </row>
    <row r="79" spans="2:8">
      <c r="C79" s="171" t="s">
        <v>356</v>
      </c>
      <c r="D79" s="26">
        <f t="shared" si="31"/>
        <v>2750000</v>
      </c>
      <c r="E79" s="26">
        <f t="shared" si="28"/>
        <v>250000</v>
      </c>
      <c r="F79" s="26">
        <f t="shared" si="30"/>
        <v>2500000</v>
      </c>
      <c r="G79" s="26">
        <f t="shared" si="33"/>
        <v>20833</v>
      </c>
      <c r="H79" s="26"/>
    </row>
    <row r="80" spans="2:8">
      <c r="C80" s="171" t="s">
        <v>357</v>
      </c>
      <c r="D80" s="26">
        <f t="shared" si="31"/>
        <v>2500000</v>
      </c>
      <c r="E80" s="26">
        <f t="shared" si="28"/>
        <v>250000</v>
      </c>
      <c r="F80" s="26">
        <f t="shared" si="30"/>
        <v>2250000</v>
      </c>
      <c r="G80" s="26">
        <f t="shared" si="33"/>
        <v>18750</v>
      </c>
      <c r="H80" s="26"/>
    </row>
    <row r="81" spans="2:8">
      <c r="C81" s="174" t="s">
        <v>358</v>
      </c>
      <c r="D81" s="26">
        <f t="shared" si="31"/>
        <v>2250000</v>
      </c>
      <c r="E81" s="26">
        <f t="shared" si="28"/>
        <v>250000</v>
      </c>
      <c r="F81" s="26">
        <f t="shared" si="30"/>
        <v>2000000</v>
      </c>
      <c r="G81" s="26">
        <f t="shared" si="33"/>
        <v>16667</v>
      </c>
      <c r="H81" s="26">
        <f>SUM(G73:G81)/100000</f>
        <v>2.25</v>
      </c>
    </row>
    <row r="82" spans="2:8">
      <c r="C82" s="219" t="s">
        <v>359</v>
      </c>
      <c r="D82" s="26">
        <f>F81</f>
        <v>2000000</v>
      </c>
      <c r="E82" s="26">
        <f t="shared" si="28"/>
        <v>250000</v>
      </c>
      <c r="F82" s="26">
        <f t="shared" si="30"/>
        <v>1750000</v>
      </c>
      <c r="G82" s="26">
        <f t="shared" si="33"/>
        <v>14583</v>
      </c>
    </row>
    <row r="83" spans="2:8">
      <c r="C83" s="219" t="s">
        <v>360</v>
      </c>
      <c r="D83" s="26">
        <f>F82</f>
        <v>1750000</v>
      </c>
      <c r="E83" s="26">
        <f t="shared" si="28"/>
        <v>250000</v>
      </c>
      <c r="F83" s="26">
        <f t="shared" si="30"/>
        <v>1500000</v>
      </c>
      <c r="G83" s="26">
        <f>ROUND((F83*$F$8%)/12,0)</f>
        <v>12500</v>
      </c>
    </row>
    <row r="84" spans="2:8">
      <c r="C84" s="219" t="s">
        <v>349</v>
      </c>
      <c r="D84" s="26">
        <f>F83</f>
        <v>1500000</v>
      </c>
      <c r="E84" s="26">
        <f t="shared" si="28"/>
        <v>250000</v>
      </c>
      <c r="F84" s="26">
        <f t="shared" si="30"/>
        <v>1250000</v>
      </c>
      <c r="G84" s="26">
        <f>ROUND((F84*$F$8%)/12,0)</f>
        <v>10417</v>
      </c>
    </row>
    <row r="86" spans="2:8">
      <c r="B86" s="163" t="s">
        <v>455</v>
      </c>
      <c r="C86" s="219" t="s">
        <v>350</v>
      </c>
      <c r="D86" s="26">
        <f>F84</f>
        <v>1250000</v>
      </c>
      <c r="E86" s="26">
        <f t="shared" si="28"/>
        <v>250000</v>
      </c>
      <c r="F86" s="26">
        <f t="shared" ref="F86:F90" si="34">D86-E86</f>
        <v>1000000</v>
      </c>
      <c r="G86" s="26">
        <f>ROUND((F86*$F$8%)/12,0)</f>
        <v>8333</v>
      </c>
    </row>
    <row r="87" spans="2:8">
      <c r="C87" s="219" t="s">
        <v>351</v>
      </c>
      <c r="D87" s="26">
        <f>F86</f>
        <v>1000000</v>
      </c>
      <c r="E87" s="26">
        <f t="shared" si="28"/>
        <v>250000</v>
      </c>
      <c r="F87" s="26">
        <f t="shared" si="34"/>
        <v>750000</v>
      </c>
      <c r="G87" s="26">
        <f>ROUND((F87*$F$8%)/12,0)</f>
        <v>6250</v>
      </c>
    </row>
    <row r="88" spans="2:8">
      <c r="C88" s="219" t="s">
        <v>352</v>
      </c>
      <c r="D88" s="26">
        <f t="shared" ref="D88:D90" si="35">F87</f>
        <v>750000</v>
      </c>
      <c r="E88" s="26">
        <f t="shared" si="28"/>
        <v>250000</v>
      </c>
      <c r="F88" s="26">
        <f t="shared" si="34"/>
        <v>500000</v>
      </c>
      <c r="G88" s="26">
        <f t="shared" ref="G88:G90" si="36">ROUND((F88*$F$8%)/12,0)</f>
        <v>4167</v>
      </c>
    </row>
    <row r="89" spans="2:8">
      <c r="C89" s="219" t="s">
        <v>353</v>
      </c>
      <c r="D89" s="26">
        <f t="shared" si="35"/>
        <v>500000</v>
      </c>
      <c r="E89" s="26">
        <f t="shared" si="28"/>
        <v>250000</v>
      </c>
      <c r="F89" s="26">
        <f t="shared" si="34"/>
        <v>250000</v>
      </c>
      <c r="G89" s="26">
        <f t="shared" si="36"/>
        <v>2083</v>
      </c>
    </row>
    <row r="90" spans="2:8">
      <c r="C90" s="219" t="s">
        <v>354</v>
      </c>
      <c r="D90" s="26">
        <f t="shared" si="35"/>
        <v>250000</v>
      </c>
      <c r="E90" s="26">
        <f t="shared" si="28"/>
        <v>250000</v>
      </c>
      <c r="F90" s="26">
        <f t="shared" si="34"/>
        <v>0</v>
      </c>
      <c r="G90" s="26">
        <f t="shared" si="36"/>
        <v>0</v>
      </c>
    </row>
  </sheetData>
  <mergeCells count="3">
    <mergeCell ref="A1:G1"/>
    <mergeCell ref="H1:I1"/>
    <mergeCell ref="A3:E3"/>
  </mergeCells>
  <pageMargins left="0.7" right="0.7" top="0.49" bottom="0.48" header="0.3" footer="0.3"/>
  <pageSetup scale="85" orientation="portrait" horizontalDpi="4294967293" r:id="rId1"/>
  <rowBreaks count="1" manualBreakCount="1">
    <brk id="57" max="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7"/>
  <sheetViews>
    <sheetView view="pageBreakPreview" zoomScale="106" zoomScaleNormal="100" zoomScaleSheetLayoutView="106" workbookViewId="0">
      <selection activeCell="K1" sqref="K1"/>
    </sheetView>
  </sheetViews>
  <sheetFormatPr defaultRowHeight="15"/>
  <cols>
    <col min="1" max="1" width="5.140625" customWidth="1"/>
    <col min="2" max="2" width="7.85546875" customWidth="1"/>
    <col min="3" max="3" width="18.85546875" customWidth="1"/>
    <col min="4" max="4" width="10.28515625" customWidth="1"/>
    <col min="5" max="5" width="13.7109375" customWidth="1"/>
    <col min="6" max="6" width="18" customWidth="1"/>
    <col min="7" max="7" width="16.42578125" bestFit="1" customWidth="1"/>
    <col min="8" max="8" width="19.85546875" bestFit="1" customWidth="1"/>
    <col min="9" max="9" width="17.85546875" customWidth="1"/>
    <col min="10" max="10" width="17" customWidth="1"/>
    <col min="11" max="11" width="18.85546875" customWidth="1"/>
  </cols>
  <sheetData>
    <row r="2" spans="1:11" ht="21">
      <c r="A2" s="541" t="str">
        <f>'Finance cost'!A1:G1</f>
        <v>……………………………. Pvt Ltd</v>
      </c>
      <c r="B2" s="541"/>
      <c r="C2" s="541"/>
      <c r="D2" s="541"/>
      <c r="E2" s="541"/>
      <c r="F2" s="541"/>
      <c r="G2" s="541"/>
      <c r="H2" s="541"/>
      <c r="I2" s="193"/>
      <c r="J2" s="193"/>
    </row>
    <row r="3" spans="1:11">
      <c r="A3" t="s">
        <v>410</v>
      </c>
      <c r="B3" s="17" t="s">
        <v>380</v>
      </c>
      <c r="C3" s="17"/>
    </row>
    <row r="4" spans="1:11">
      <c r="B4" s="17"/>
      <c r="C4" s="17"/>
    </row>
    <row r="5" spans="1:11">
      <c r="B5" s="17" t="s">
        <v>389</v>
      </c>
      <c r="C5" s="17"/>
    </row>
    <row r="6" spans="1:11">
      <c r="B6" s="17"/>
      <c r="C6" s="17"/>
      <c r="F6" s="192" t="s">
        <v>362</v>
      </c>
      <c r="G6" s="192" t="s">
        <v>363</v>
      </c>
      <c r="H6" s="192" t="s">
        <v>364</v>
      </c>
      <c r="I6" s="226" t="s">
        <v>365</v>
      </c>
      <c r="J6" s="226" t="s">
        <v>366</v>
      </c>
      <c r="K6" s="226" t="s">
        <v>454</v>
      </c>
    </row>
    <row r="7" spans="1:11">
      <c r="B7" s="149" t="s">
        <v>381</v>
      </c>
      <c r="C7" s="116" t="s">
        <v>382</v>
      </c>
      <c r="D7" s="116" t="s">
        <v>383</v>
      </c>
      <c r="E7" s="116" t="s">
        <v>384</v>
      </c>
      <c r="F7" s="116" t="s">
        <v>393</v>
      </c>
      <c r="G7" s="116" t="s">
        <v>393</v>
      </c>
      <c r="H7" s="116" t="s">
        <v>393</v>
      </c>
      <c r="I7" s="116" t="s">
        <v>393</v>
      </c>
      <c r="J7" s="116" t="s">
        <v>393</v>
      </c>
      <c r="K7" s="116" t="s">
        <v>393</v>
      </c>
    </row>
    <row r="8" spans="1:11">
      <c r="B8" s="202">
        <v>1</v>
      </c>
      <c r="C8" s="185" t="s">
        <v>385</v>
      </c>
      <c r="D8" s="202">
        <v>2</v>
      </c>
      <c r="E8" s="53">
        <v>35000</v>
      </c>
      <c r="F8" s="53">
        <f>D8*E8*7</f>
        <v>490000</v>
      </c>
      <c r="G8" s="53">
        <f>($D$8*$E$8*12)*110%</f>
        <v>924000.00000000012</v>
      </c>
      <c r="H8" s="53">
        <f t="shared" ref="H8:K9" si="0">G8*110%</f>
        <v>1016400.0000000002</v>
      </c>
      <c r="I8" s="53">
        <f t="shared" si="0"/>
        <v>1118040.0000000002</v>
      </c>
      <c r="J8" s="53">
        <f t="shared" si="0"/>
        <v>1229844.0000000005</v>
      </c>
      <c r="K8" s="53">
        <f t="shared" si="0"/>
        <v>1352828.4000000006</v>
      </c>
    </row>
    <row r="9" spans="1:11">
      <c r="B9" s="202">
        <v>2</v>
      </c>
      <c r="C9" s="185" t="s">
        <v>386</v>
      </c>
      <c r="D9" s="202">
        <v>4</v>
      </c>
      <c r="E9" s="53">
        <v>30000</v>
      </c>
      <c r="F9" s="53">
        <f>D9*E9*7</f>
        <v>840000</v>
      </c>
      <c r="G9" s="53">
        <f>($D$9*$E$9*12)*110%</f>
        <v>1584000.0000000002</v>
      </c>
      <c r="H9" s="53">
        <f t="shared" si="0"/>
        <v>1742400.0000000005</v>
      </c>
      <c r="I9" s="53">
        <f t="shared" si="0"/>
        <v>1916640.0000000007</v>
      </c>
      <c r="J9" s="53">
        <f t="shared" si="0"/>
        <v>2108304.0000000009</v>
      </c>
      <c r="K9" s="53">
        <f t="shared" si="0"/>
        <v>2319134.4000000013</v>
      </c>
    </row>
    <row r="10" spans="1:11">
      <c r="B10" s="202"/>
      <c r="C10" s="185"/>
      <c r="D10" s="202"/>
      <c r="E10" s="53"/>
      <c r="F10" s="53"/>
      <c r="G10" s="53"/>
      <c r="H10" s="53"/>
      <c r="I10" s="53"/>
      <c r="J10" s="53"/>
      <c r="K10" s="53"/>
    </row>
    <row r="11" spans="1:11">
      <c r="B11" s="202"/>
      <c r="C11" s="116" t="s">
        <v>390</v>
      </c>
      <c r="D11" s="149">
        <f>D8+D9</f>
        <v>6</v>
      </c>
      <c r="E11" s="145"/>
      <c r="F11" s="145">
        <f>F8+F9</f>
        <v>1330000</v>
      </c>
      <c r="G11" s="145">
        <f t="shared" ref="G11:H11" si="1">G8+G9</f>
        <v>2508000.0000000005</v>
      </c>
      <c r="H11" s="145">
        <f t="shared" si="1"/>
        <v>2758800.0000000009</v>
      </c>
      <c r="I11" s="145">
        <f t="shared" ref="I11:K11" si="2">I8+I9</f>
        <v>3034680.0000000009</v>
      </c>
      <c r="J11" s="145">
        <f t="shared" si="2"/>
        <v>3338148.0000000014</v>
      </c>
      <c r="K11" s="145">
        <f t="shared" si="2"/>
        <v>3671962.8000000017</v>
      </c>
    </row>
    <row r="13" spans="1:11">
      <c r="B13" s="149" t="s">
        <v>381</v>
      </c>
      <c r="C13" s="116" t="s">
        <v>382</v>
      </c>
      <c r="D13" s="116" t="s">
        <v>383</v>
      </c>
      <c r="E13" s="116" t="s">
        <v>384</v>
      </c>
      <c r="F13" s="116" t="str">
        <f>F7</f>
        <v>Total Salary(P.A)</v>
      </c>
      <c r="G13" s="116" t="str">
        <f>G7</f>
        <v>Total Salary(P.A)</v>
      </c>
      <c r="H13" s="116" t="str">
        <f>H7</f>
        <v>Total Salary(P.A)</v>
      </c>
      <c r="I13" s="116" t="str">
        <f t="shared" ref="I13:K13" si="3">I7</f>
        <v>Total Salary(P.A)</v>
      </c>
      <c r="J13" s="116" t="str">
        <f t="shared" si="3"/>
        <v>Total Salary(P.A)</v>
      </c>
      <c r="K13" s="116" t="str">
        <f t="shared" si="3"/>
        <v>Total Salary(P.A)</v>
      </c>
    </row>
    <row r="14" spans="1:11">
      <c r="B14" s="202">
        <v>1</v>
      </c>
      <c r="C14" s="185" t="s">
        <v>387</v>
      </c>
      <c r="D14" s="202">
        <v>4</v>
      </c>
      <c r="E14" s="202">
        <v>12000</v>
      </c>
      <c r="F14" s="53">
        <f>D14*E14*7</f>
        <v>336000</v>
      </c>
      <c r="G14" s="53">
        <f>(D14*E14*12)*110%</f>
        <v>633600</v>
      </c>
      <c r="H14" s="53">
        <f t="shared" ref="H14:K15" si="4">G14*110%</f>
        <v>696960</v>
      </c>
      <c r="I14" s="53">
        <f t="shared" si="4"/>
        <v>766656.00000000012</v>
      </c>
      <c r="J14" s="53">
        <f t="shared" si="4"/>
        <v>843321.60000000021</v>
      </c>
      <c r="K14" s="53">
        <f t="shared" si="4"/>
        <v>927653.76000000036</v>
      </c>
    </row>
    <row r="15" spans="1:11">
      <c r="B15" s="202">
        <v>2</v>
      </c>
      <c r="C15" s="185" t="s">
        <v>388</v>
      </c>
      <c r="D15" s="202">
        <v>16</v>
      </c>
      <c r="E15" s="202">
        <v>10000</v>
      </c>
      <c r="F15" s="53">
        <f>D15*E15*7</f>
        <v>1120000</v>
      </c>
      <c r="G15" s="53">
        <f>(D15*E15*12)*110%</f>
        <v>2112000</v>
      </c>
      <c r="H15" s="53">
        <f t="shared" si="4"/>
        <v>2323200</v>
      </c>
      <c r="I15" s="53">
        <f t="shared" si="4"/>
        <v>2555520</v>
      </c>
      <c r="J15" s="53">
        <f t="shared" si="4"/>
        <v>2811072</v>
      </c>
      <c r="K15" s="53">
        <f t="shared" si="4"/>
        <v>3092179.2</v>
      </c>
    </row>
    <row r="16" spans="1:11">
      <c r="B16" s="202"/>
      <c r="C16" s="185"/>
      <c r="D16" s="202"/>
      <c r="E16" s="202"/>
      <c r="F16" s="53"/>
      <c r="G16" s="185"/>
      <c r="H16" s="185"/>
      <c r="I16" s="185"/>
      <c r="J16" s="185"/>
      <c r="K16" s="185"/>
    </row>
    <row r="17" spans="1:11">
      <c r="B17" s="185"/>
      <c r="C17" s="116" t="s">
        <v>391</v>
      </c>
      <c r="D17" s="149">
        <f>D14+D15</f>
        <v>20</v>
      </c>
      <c r="E17" s="116"/>
      <c r="F17" s="145">
        <f>F14+F15</f>
        <v>1456000</v>
      </c>
      <c r="G17" s="145">
        <f t="shared" ref="G17:H17" si="5">G14+G15</f>
        <v>2745600</v>
      </c>
      <c r="H17" s="145">
        <f t="shared" si="5"/>
        <v>3020160</v>
      </c>
      <c r="I17" s="145">
        <f t="shared" ref="I17:K17" si="6">I14+I15</f>
        <v>3322176</v>
      </c>
      <c r="J17" s="145">
        <f t="shared" si="6"/>
        <v>3654393.6</v>
      </c>
      <c r="K17" s="145">
        <f t="shared" si="6"/>
        <v>4019832.9600000004</v>
      </c>
    </row>
    <row r="19" spans="1:11">
      <c r="B19" s="185"/>
      <c r="C19" s="116" t="s">
        <v>392</v>
      </c>
      <c r="D19" s="149">
        <f>D17+D11</f>
        <v>26</v>
      </c>
      <c r="E19" s="116"/>
      <c r="F19" s="187">
        <f>F11+F17</f>
        <v>2786000</v>
      </c>
      <c r="G19" s="187">
        <f>G11+G17</f>
        <v>5253600</v>
      </c>
      <c r="H19" s="187">
        <f>H11+H17</f>
        <v>5778960.0000000009</v>
      </c>
      <c r="I19" s="187">
        <f t="shared" ref="I19:K19" si="7">I11+I17</f>
        <v>6356856.0000000009</v>
      </c>
      <c r="J19" s="187">
        <f t="shared" si="7"/>
        <v>6992541.6000000015</v>
      </c>
      <c r="K19" s="187">
        <f t="shared" si="7"/>
        <v>7691795.7600000016</v>
      </c>
    </row>
    <row r="20" spans="1:11">
      <c r="C20" s="197"/>
      <c r="D20" s="197"/>
      <c r="E20" s="197"/>
      <c r="F20" s="36"/>
    </row>
    <row r="22" spans="1:11">
      <c r="A22" s="197" t="s">
        <v>394</v>
      </c>
      <c r="B22" s="197"/>
      <c r="C22" s="197"/>
      <c r="D22" s="197"/>
      <c r="E22" s="197"/>
      <c r="F22" s="197">
        <f>D17+D11</f>
        <v>26</v>
      </c>
      <c r="G22" s="197">
        <v>26</v>
      </c>
      <c r="H22" s="197">
        <v>26</v>
      </c>
      <c r="I22" s="227">
        <v>26</v>
      </c>
      <c r="J22" s="227">
        <v>26</v>
      </c>
      <c r="K22" s="227">
        <v>26</v>
      </c>
    </row>
    <row r="23" spans="1:11">
      <c r="A23" s="197" t="s">
        <v>395</v>
      </c>
      <c r="B23" s="197"/>
      <c r="C23" s="36" t="s">
        <v>396</v>
      </c>
      <c r="D23" s="197"/>
      <c r="E23" s="197"/>
      <c r="F23" s="36">
        <f>F19/100000</f>
        <v>27.86</v>
      </c>
      <c r="G23" s="36">
        <f>G19/100000</f>
        <v>52.536000000000001</v>
      </c>
      <c r="H23" s="36">
        <f>H19/100000</f>
        <v>57.789600000000007</v>
      </c>
      <c r="I23" s="36">
        <f t="shared" ref="I23:K23" si="8">I19/100000</f>
        <v>63.568560000000012</v>
      </c>
      <c r="J23" s="36">
        <f t="shared" si="8"/>
        <v>69.925416000000013</v>
      </c>
      <c r="K23" s="36">
        <f t="shared" si="8"/>
        <v>76.917957600000022</v>
      </c>
    </row>
    <row r="24" spans="1:11">
      <c r="A24" s="197" t="s">
        <v>397</v>
      </c>
      <c r="B24" s="197"/>
      <c r="C24" s="197"/>
      <c r="D24" s="197"/>
      <c r="E24" s="197"/>
      <c r="F24" s="126">
        <v>0.1</v>
      </c>
      <c r="G24" s="126">
        <v>0.1</v>
      </c>
      <c r="H24" s="126">
        <v>0.1</v>
      </c>
      <c r="I24" s="126">
        <v>0.1</v>
      </c>
      <c r="J24" s="126">
        <v>0.1</v>
      </c>
      <c r="K24" s="126">
        <v>0.1</v>
      </c>
    </row>
    <row r="27" spans="1:11">
      <c r="F27" s="28"/>
    </row>
  </sheetData>
  <mergeCells count="1">
    <mergeCell ref="A2:H2"/>
  </mergeCells>
  <pageMargins left="0.7" right="0.7" top="0.75" bottom="0.75" header="0.3" footer="0.3"/>
  <pageSetup scale="7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view="pageBreakPreview" zoomScaleNormal="100" zoomScaleSheetLayoutView="100" workbookViewId="0">
      <selection activeCell="F14" sqref="F14"/>
    </sheetView>
  </sheetViews>
  <sheetFormatPr defaultRowHeight="15"/>
  <cols>
    <col min="2" max="2" width="39.140625" customWidth="1"/>
    <col min="3" max="3" width="10.42578125" style="191" customWidth="1"/>
    <col min="4" max="4" width="10.85546875" customWidth="1"/>
    <col min="5" max="5" width="11.7109375" customWidth="1"/>
  </cols>
  <sheetData>
    <row r="1" spans="1:8">
      <c r="A1" s="541" t="str">
        <f>'man power'!A2:F2</f>
        <v>……………………………. Pvt Ltd</v>
      </c>
      <c r="B1" s="541"/>
      <c r="C1" s="541"/>
      <c r="D1" s="541"/>
      <c r="E1" s="541"/>
    </row>
    <row r="3" spans="1:8">
      <c r="A3" t="s">
        <v>405</v>
      </c>
      <c r="B3" s="17" t="s">
        <v>398</v>
      </c>
    </row>
    <row r="5" spans="1:8">
      <c r="B5" s="116" t="s">
        <v>399</v>
      </c>
      <c r="C5" s="149" t="s">
        <v>362</v>
      </c>
      <c r="D5" s="116" t="s">
        <v>363</v>
      </c>
      <c r="E5" s="116" t="s">
        <v>364</v>
      </c>
      <c r="F5" s="116" t="s">
        <v>365</v>
      </c>
      <c r="G5" s="116" t="s">
        <v>366</v>
      </c>
      <c r="H5" s="116" t="s">
        <v>454</v>
      </c>
    </row>
    <row r="6" spans="1:8">
      <c r="B6" s="185" t="s">
        <v>400</v>
      </c>
      <c r="C6" s="202">
        <v>300</v>
      </c>
      <c r="D6" s="185">
        <v>300</v>
      </c>
      <c r="E6" s="185">
        <v>300</v>
      </c>
      <c r="F6" s="185">
        <v>300</v>
      </c>
      <c r="G6" s="185">
        <v>300</v>
      </c>
      <c r="H6" s="185">
        <v>300</v>
      </c>
    </row>
    <row r="7" spans="1:8">
      <c r="B7" s="185"/>
      <c r="C7" s="202"/>
      <c r="D7" s="185"/>
      <c r="E7" s="185"/>
      <c r="F7" s="185"/>
      <c r="G7" s="185"/>
      <c r="H7" s="185"/>
    </row>
    <row r="8" spans="1:8">
      <c r="B8" s="185" t="s">
        <v>401</v>
      </c>
      <c r="C8" s="203">
        <f>125*24*25*7</f>
        <v>525000</v>
      </c>
      <c r="D8" s="185">
        <f>200*24*25*12</f>
        <v>1440000</v>
      </c>
      <c r="E8" s="185">
        <f>250*24*25*12</f>
        <v>1800000</v>
      </c>
      <c r="F8" s="185">
        <f t="shared" ref="F8:H8" si="0">250*24*25*12</f>
        <v>1800000</v>
      </c>
      <c r="G8" s="185">
        <f t="shared" si="0"/>
        <v>1800000</v>
      </c>
      <c r="H8" s="185">
        <f t="shared" si="0"/>
        <v>1800000</v>
      </c>
    </row>
    <row r="9" spans="1:8">
      <c r="B9" s="185"/>
      <c r="C9" s="202"/>
      <c r="D9" s="185"/>
      <c r="E9" s="185"/>
      <c r="F9" s="185"/>
      <c r="G9" s="185"/>
      <c r="H9" s="185"/>
    </row>
    <row r="10" spans="1:8">
      <c r="B10" s="185" t="s">
        <v>402</v>
      </c>
      <c r="C10" s="202" t="s">
        <v>403</v>
      </c>
      <c r="D10" s="202" t="s">
        <v>403</v>
      </c>
      <c r="E10" s="202" t="s">
        <v>403</v>
      </c>
      <c r="F10" s="202" t="s">
        <v>403</v>
      </c>
      <c r="G10" s="202" t="s">
        <v>403</v>
      </c>
      <c r="H10" s="202" t="s">
        <v>403</v>
      </c>
    </row>
    <row r="11" spans="1:8">
      <c r="B11" s="185"/>
      <c r="C11" s="202"/>
      <c r="D11" s="185"/>
      <c r="E11" s="185"/>
      <c r="F11" s="185"/>
      <c r="G11" s="185"/>
      <c r="H11" s="185"/>
    </row>
    <row r="12" spans="1:8">
      <c r="B12" s="116" t="s">
        <v>404</v>
      </c>
      <c r="C12" s="204">
        <f>(C8*8)/100000</f>
        <v>42</v>
      </c>
      <c r="D12" s="204">
        <f>(D8*8)/100000</f>
        <v>115.2</v>
      </c>
      <c r="E12" s="204">
        <f>(E8*8)/100000</f>
        <v>144</v>
      </c>
      <c r="F12" s="204">
        <f t="shared" ref="F12:H12" si="1">(F8*8)/100000</f>
        <v>144</v>
      </c>
      <c r="G12" s="204">
        <f t="shared" si="1"/>
        <v>144</v>
      </c>
      <c r="H12" s="204">
        <f t="shared" si="1"/>
        <v>144</v>
      </c>
    </row>
  </sheetData>
  <mergeCells count="1">
    <mergeCell ref="A1:E1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69"/>
  <sheetViews>
    <sheetView tabSelected="1" view="pageBreakPreview" zoomScaleNormal="100" zoomScaleSheetLayoutView="100" workbookViewId="0">
      <selection activeCell="B1" sqref="B1"/>
    </sheetView>
  </sheetViews>
  <sheetFormatPr defaultRowHeight="12.75"/>
  <cols>
    <col min="1" max="1" width="57" style="313" customWidth="1"/>
    <col min="2" max="2" width="14.28515625" style="313" customWidth="1"/>
    <col min="3" max="3" width="16" style="313" customWidth="1"/>
    <col min="4" max="7" width="20.28515625" style="313" customWidth="1"/>
    <col min="8" max="256" width="9.140625" style="313"/>
    <col min="257" max="257" width="57" style="313" customWidth="1"/>
    <col min="258" max="258" width="14.28515625" style="313" customWidth="1"/>
    <col min="259" max="259" width="16" style="313" customWidth="1"/>
    <col min="260" max="263" width="20.28515625" style="313" customWidth="1"/>
    <col min="264" max="512" width="9.140625" style="313"/>
    <col min="513" max="513" width="57" style="313" customWidth="1"/>
    <col min="514" max="514" width="14.28515625" style="313" customWidth="1"/>
    <col min="515" max="515" width="16" style="313" customWidth="1"/>
    <col min="516" max="519" width="20.28515625" style="313" customWidth="1"/>
    <col min="520" max="768" width="9.140625" style="313"/>
    <col min="769" max="769" width="57" style="313" customWidth="1"/>
    <col min="770" max="770" width="14.28515625" style="313" customWidth="1"/>
    <col min="771" max="771" width="16" style="313" customWidth="1"/>
    <col min="772" max="775" width="20.28515625" style="313" customWidth="1"/>
    <col min="776" max="1024" width="9.140625" style="313"/>
    <col min="1025" max="1025" width="57" style="313" customWidth="1"/>
    <col min="1026" max="1026" width="14.28515625" style="313" customWidth="1"/>
    <col min="1027" max="1027" width="16" style="313" customWidth="1"/>
    <col min="1028" max="1031" width="20.28515625" style="313" customWidth="1"/>
    <col min="1032" max="1280" width="9.140625" style="313"/>
    <col min="1281" max="1281" width="57" style="313" customWidth="1"/>
    <col min="1282" max="1282" width="14.28515625" style="313" customWidth="1"/>
    <col min="1283" max="1283" width="16" style="313" customWidth="1"/>
    <col min="1284" max="1287" width="20.28515625" style="313" customWidth="1"/>
    <col min="1288" max="1536" width="9.140625" style="313"/>
    <col min="1537" max="1537" width="57" style="313" customWidth="1"/>
    <col min="1538" max="1538" width="14.28515625" style="313" customWidth="1"/>
    <col min="1539" max="1539" width="16" style="313" customWidth="1"/>
    <col min="1540" max="1543" width="20.28515625" style="313" customWidth="1"/>
    <col min="1544" max="1792" width="9.140625" style="313"/>
    <col min="1793" max="1793" width="57" style="313" customWidth="1"/>
    <col min="1794" max="1794" width="14.28515625" style="313" customWidth="1"/>
    <col min="1795" max="1795" width="16" style="313" customWidth="1"/>
    <col min="1796" max="1799" width="20.28515625" style="313" customWidth="1"/>
    <col min="1800" max="2048" width="9.140625" style="313"/>
    <col min="2049" max="2049" width="57" style="313" customWidth="1"/>
    <col min="2050" max="2050" width="14.28515625" style="313" customWidth="1"/>
    <col min="2051" max="2051" width="16" style="313" customWidth="1"/>
    <col min="2052" max="2055" width="20.28515625" style="313" customWidth="1"/>
    <col min="2056" max="2304" width="9.140625" style="313"/>
    <col min="2305" max="2305" width="57" style="313" customWidth="1"/>
    <col min="2306" max="2306" width="14.28515625" style="313" customWidth="1"/>
    <col min="2307" max="2307" width="16" style="313" customWidth="1"/>
    <col min="2308" max="2311" width="20.28515625" style="313" customWidth="1"/>
    <col min="2312" max="2560" width="9.140625" style="313"/>
    <col min="2561" max="2561" width="57" style="313" customWidth="1"/>
    <col min="2562" max="2562" width="14.28515625" style="313" customWidth="1"/>
    <col min="2563" max="2563" width="16" style="313" customWidth="1"/>
    <col min="2564" max="2567" width="20.28515625" style="313" customWidth="1"/>
    <col min="2568" max="2816" width="9.140625" style="313"/>
    <col min="2817" max="2817" width="57" style="313" customWidth="1"/>
    <col min="2818" max="2818" width="14.28515625" style="313" customWidth="1"/>
    <col min="2819" max="2819" width="16" style="313" customWidth="1"/>
    <col min="2820" max="2823" width="20.28515625" style="313" customWidth="1"/>
    <col min="2824" max="3072" width="9.140625" style="313"/>
    <col min="3073" max="3073" width="57" style="313" customWidth="1"/>
    <col min="3074" max="3074" width="14.28515625" style="313" customWidth="1"/>
    <col min="3075" max="3075" width="16" style="313" customWidth="1"/>
    <col min="3076" max="3079" width="20.28515625" style="313" customWidth="1"/>
    <col min="3080" max="3328" width="9.140625" style="313"/>
    <col min="3329" max="3329" width="57" style="313" customWidth="1"/>
    <col min="3330" max="3330" width="14.28515625" style="313" customWidth="1"/>
    <col min="3331" max="3331" width="16" style="313" customWidth="1"/>
    <col min="3332" max="3335" width="20.28515625" style="313" customWidth="1"/>
    <col min="3336" max="3584" width="9.140625" style="313"/>
    <col min="3585" max="3585" width="57" style="313" customWidth="1"/>
    <col min="3586" max="3586" width="14.28515625" style="313" customWidth="1"/>
    <col min="3587" max="3587" width="16" style="313" customWidth="1"/>
    <col min="3588" max="3591" width="20.28515625" style="313" customWidth="1"/>
    <col min="3592" max="3840" width="9.140625" style="313"/>
    <col min="3841" max="3841" width="57" style="313" customWidth="1"/>
    <col min="3842" max="3842" width="14.28515625" style="313" customWidth="1"/>
    <col min="3843" max="3843" width="16" style="313" customWidth="1"/>
    <col min="3844" max="3847" width="20.28515625" style="313" customWidth="1"/>
    <col min="3848" max="4096" width="9.140625" style="313"/>
    <col min="4097" max="4097" width="57" style="313" customWidth="1"/>
    <col min="4098" max="4098" width="14.28515625" style="313" customWidth="1"/>
    <col min="4099" max="4099" width="16" style="313" customWidth="1"/>
    <col min="4100" max="4103" width="20.28515625" style="313" customWidth="1"/>
    <col min="4104" max="4352" width="9.140625" style="313"/>
    <col min="4353" max="4353" width="57" style="313" customWidth="1"/>
    <col min="4354" max="4354" width="14.28515625" style="313" customWidth="1"/>
    <col min="4355" max="4355" width="16" style="313" customWidth="1"/>
    <col min="4356" max="4359" width="20.28515625" style="313" customWidth="1"/>
    <col min="4360" max="4608" width="9.140625" style="313"/>
    <col min="4609" max="4609" width="57" style="313" customWidth="1"/>
    <col min="4610" max="4610" width="14.28515625" style="313" customWidth="1"/>
    <col min="4611" max="4611" width="16" style="313" customWidth="1"/>
    <col min="4612" max="4615" width="20.28515625" style="313" customWidth="1"/>
    <col min="4616" max="4864" width="9.140625" style="313"/>
    <col min="4865" max="4865" width="57" style="313" customWidth="1"/>
    <col min="4866" max="4866" width="14.28515625" style="313" customWidth="1"/>
    <col min="4867" max="4867" width="16" style="313" customWidth="1"/>
    <col min="4868" max="4871" width="20.28515625" style="313" customWidth="1"/>
    <col min="4872" max="5120" width="9.140625" style="313"/>
    <col min="5121" max="5121" width="57" style="313" customWidth="1"/>
    <col min="5122" max="5122" width="14.28515625" style="313" customWidth="1"/>
    <col min="5123" max="5123" width="16" style="313" customWidth="1"/>
    <col min="5124" max="5127" width="20.28515625" style="313" customWidth="1"/>
    <col min="5128" max="5376" width="9.140625" style="313"/>
    <col min="5377" max="5377" width="57" style="313" customWidth="1"/>
    <col min="5378" max="5378" width="14.28515625" style="313" customWidth="1"/>
    <col min="5379" max="5379" width="16" style="313" customWidth="1"/>
    <col min="5380" max="5383" width="20.28515625" style="313" customWidth="1"/>
    <col min="5384" max="5632" width="9.140625" style="313"/>
    <col min="5633" max="5633" width="57" style="313" customWidth="1"/>
    <col min="5634" max="5634" width="14.28515625" style="313" customWidth="1"/>
    <col min="5635" max="5635" width="16" style="313" customWidth="1"/>
    <col min="5636" max="5639" width="20.28515625" style="313" customWidth="1"/>
    <col min="5640" max="5888" width="9.140625" style="313"/>
    <col min="5889" max="5889" width="57" style="313" customWidth="1"/>
    <col min="5890" max="5890" width="14.28515625" style="313" customWidth="1"/>
    <col min="5891" max="5891" width="16" style="313" customWidth="1"/>
    <col min="5892" max="5895" width="20.28515625" style="313" customWidth="1"/>
    <col min="5896" max="6144" width="9.140625" style="313"/>
    <col min="6145" max="6145" width="57" style="313" customWidth="1"/>
    <col min="6146" max="6146" width="14.28515625" style="313" customWidth="1"/>
    <col min="6147" max="6147" width="16" style="313" customWidth="1"/>
    <col min="6148" max="6151" width="20.28515625" style="313" customWidth="1"/>
    <col min="6152" max="6400" width="9.140625" style="313"/>
    <col min="6401" max="6401" width="57" style="313" customWidth="1"/>
    <col min="6402" max="6402" width="14.28515625" style="313" customWidth="1"/>
    <col min="6403" max="6403" width="16" style="313" customWidth="1"/>
    <col min="6404" max="6407" width="20.28515625" style="313" customWidth="1"/>
    <col min="6408" max="6656" width="9.140625" style="313"/>
    <col min="6657" max="6657" width="57" style="313" customWidth="1"/>
    <col min="6658" max="6658" width="14.28515625" style="313" customWidth="1"/>
    <col min="6659" max="6659" width="16" style="313" customWidth="1"/>
    <col min="6660" max="6663" width="20.28515625" style="313" customWidth="1"/>
    <col min="6664" max="6912" width="9.140625" style="313"/>
    <col min="6913" max="6913" width="57" style="313" customWidth="1"/>
    <col min="6914" max="6914" width="14.28515625" style="313" customWidth="1"/>
    <col min="6915" max="6915" width="16" style="313" customWidth="1"/>
    <col min="6916" max="6919" width="20.28515625" style="313" customWidth="1"/>
    <col min="6920" max="7168" width="9.140625" style="313"/>
    <col min="7169" max="7169" width="57" style="313" customWidth="1"/>
    <col min="7170" max="7170" width="14.28515625" style="313" customWidth="1"/>
    <col min="7171" max="7171" width="16" style="313" customWidth="1"/>
    <col min="7172" max="7175" width="20.28515625" style="313" customWidth="1"/>
    <col min="7176" max="7424" width="9.140625" style="313"/>
    <col min="7425" max="7425" width="57" style="313" customWidth="1"/>
    <col min="7426" max="7426" width="14.28515625" style="313" customWidth="1"/>
    <col min="7427" max="7427" width="16" style="313" customWidth="1"/>
    <col min="7428" max="7431" width="20.28515625" style="313" customWidth="1"/>
    <col min="7432" max="7680" width="9.140625" style="313"/>
    <col min="7681" max="7681" width="57" style="313" customWidth="1"/>
    <col min="7682" max="7682" width="14.28515625" style="313" customWidth="1"/>
    <col min="7683" max="7683" width="16" style="313" customWidth="1"/>
    <col min="7684" max="7687" width="20.28515625" style="313" customWidth="1"/>
    <col min="7688" max="7936" width="9.140625" style="313"/>
    <col min="7937" max="7937" width="57" style="313" customWidth="1"/>
    <col min="7938" max="7938" width="14.28515625" style="313" customWidth="1"/>
    <col min="7939" max="7939" width="16" style="313" customWidth="1"/>
    <col min="7940" max="7943" width="20.28515625" style="313" customWidth="1"/>
    <col min="7944" max="8192" width="9.140625" style="313"/>
    <col min="8193" max="8193" width="57" style="313" customWidth="1"/>
    <col min="8194" max="8194" width="14.28515625" style="313" customWidth="1"/>
    <col min="8195" max="8195" width="16" style="313" customWidth="1"/>
    <col min="8196" max="8199" width="20.28515625" style="313" customWidth="1"/>
    <col min="8200" max="8448" width="9.140625" style="313"/>
    <col min="8449" max="8449" width="57" style="313" customWidth="1"/>
    <col min="8450" max="8450" width="14.28515625" style="313" customWidth="1"/>
    <col min="8451" max="8451" width="16" style="313" customWidth="1"/>
    <col min="8452" max="8455" width="20.28515625" style="313" customWidth="1"/>
    <col min="8456" max="8704" width="9.140625" style="313"/>
    <col min="8705" max="8705" width="57" style="313" customWidth="1"/>
    <col min="8706" max="8706" width="14.28515625" style="313" customWidth="1"/>
    <col min="8707" max="8707" width="16" style="313" customWidth="1"/>
    <col min="8708" max="8711" width="20.28515625" style="313" customWidth="1"/>
    <col min="8712" max="8960" width="9.140625" style="313"/>
    <col min="8961" max="8961" width="57" style="313" customWidth="1"/>
    <col min="8962" max="8962" width="14.28515625" style="313" customWidth="1"/>
    <col min="8963" max="8963" width="16" style="313" customWidth="1"/>
    <col min="8964" max="8967" width="20.28515625" style="313" customWidth="1"/>
    <col min="8968" max="9216" width="9.140625" style="313"/>
    <col min="9217" max="9217" width="57" style="313" customWidth="1"/>
    <col min="9218" max="9218" width="14.28515625" style="313" customWidth="1"/>
    <col min="9219" max="9219" width="16" style="313" customWidth="1"/>
    <col min="9220" max="9223" width="20.28515625" style="313" customWidth="1"/>
    <col min="9224" max="9472" width="9.140625" style="313"/>
    <col min="9473" max="9473" width="57" style="313" customWidth="1"/>
    <col min="9474" max="9474" width="14.28515625" style="313" customWidth="1"/>
    <col min="9475" max="9475" width="16" style="313" customWidth="1"/>
    <col min="9476" max="9479" width="20.28515625" style="313" customWidth="1"/>
    <col min="9480" max="9728" width="9.140625" style="313"/>
    <col min="9729" max="9729" width="57" style="313" customWidth="1"/>
    <col min="9730" max="9730" width="14.28515625" style="313" customWidth="1"/>
    <col min="9731" max="9731" width="16" style="313" customWidth="1"/>
    <col min="9732" max="9735" width="20.28515625" style="313" customWidth="1"/>
    <col min="9736" max="9984" width="9.140625" style="313"/>
    <col min="9985" max="9985" width="57" style="313" customWidth="1"/>
    <col min="9986" max="9986" width="14.28515625" style="313" customWidth="1"/>
    <col min="9987" max="9987" width="16" style="313" customWidth="1"/>
    <col min="9988" max="9991" width="20.28515625" style="313" customWidth="1"/>
    <col min="9992" max="10240" width="9.140625" style="313"/>
    <col min="10241" max="10241" width="57" style="313" customWidth="1"/>
    <col min="10242" max="10242" width="14.28515625" style="313" customWidth="1"/>
    <col min="10243" max="10243" width="16" style="313" customWidth="1"/>
    <col min="10244" max="10247" width="20.28515625" style="313" customWidth="1"/>
    <col min="10248" max="10496" width="9.140625" style="313"/>
    <col min="10497" max="10497" width="57" style="313" customWidth="1"/>
    <col min="10498" max="10498" width="14.28515625" style="313" customWidth="1"/>
    <col min="10499" max="10499" width="16" style="313" customWidth="1"/>
    <col min="10500" max="10503" width="20.28515625" style="313" customWidth="1"/>
    <col min="10504" max="10752" width="9.140625" style="313"/>
    <col min="10753" max="10753" width="57" style="313" customWidth="1"/>
    <col min="10754" max="10754" width="14.28515625" style="313" customWidth="1"/>
    <col min="10755" max="10755" width="16" style="313" customWidth="1"/>
    <col min="10756" max="10759" width="20.28515625" style="313" customWidth="1"/>
    <col min="10760" max="11008" width="9.140625" style="313"/>
    <col min="11009" max="11009" width="57" style="313" customWidth="1"/>
    <col min="11010" max="11010" width="14.28515625" style="313" customWidth="1"/>
    <col min="11011" max="11011" width="16" style="313" customWidth="1"/>
    <col min="11012" max="11015" width="20.28515625" style="313" customWidth="1"/>
    <col min="11016" max="11264" width="9.140625" style="313"/>
    <col min="11265" max="11265" width="57" style="313" customWidth="1"/>
    <col min="11266" max="11266" width="14.28515625" style="313" customWidth="1"/>
    <col min="11267" max="11267" width="16" style="313" customWidth="1"/>
    <col min="11268" max="11271" width="20.28515625" style="313" customWidth="1"/>
    <col min="11272" max="11520" width="9.140625" style="313"/>
    <col min="11521" max="11521" width="57" style="313" customWidth="1"/>
    <col min="11522" max="11522" width="14.28515625" style="313" customWidth="1"/>
    <col min="11523" max="11523" width="16" style="313" customWidth="1"/>
    <col min="11524" max="11527" width="20.28515625" style="313" customWidth="1"/>
    <col min="11528" max="11776" width="9.140625" style="313"/>
    <col min="11777" max="11777" width="57" style="313" customWidth="1"/>
    <col min="11778" max="11778" width="14.28515625" style="313" customWidth="1"/>
    <col min="11779" max="11779" width="16" style="313" customWidth="1"/>
    <col min="11780" max="11783" width="20.28515625" style="313" customWidth="1"/>
    <col min="11784" max="12032" width="9.140625" style="313"/>
    <col min="12033" max="12033" width="57" style="313" customWidth="1"/>
    <col min="12034" max="12034" width="14.28515625" style="313" customWidth="1"/>
    <col min="12035" max="12035" width="16" style="313" customWidth="1"/>
    <col min="12036" max="12039" width="20.28515625" style="313" customWidth="1"/>
    <col min="12040" max="12288" width="9.140625" style="313"/>
    <col min="12289" max="12289" width="57" style="313" customWidth="1"/>
    <col min="12290" max="12290" width="14.28515625" style="313" customWidth="1"/>
    <col min="12291" max="12291" width="16" style="313" customWidth="1"/>
    <col min="12292" max="12295" width="20.28515625" style="313" customWidth="1"/>
    <col min="12296" max="12544" width="9.140625" style="313"/>
    <col min="12545" max="12545" width="57" style="313" customWidth="1"/>
    <col min="12546" max="12546" width="14.28515625" style="313" customWidth="1"/>
    <col min="12547" max="12547" width="16" style="313" customWidth="1"/>
    <col min="12548" max="12551" width="20.28515625" style="313" customWidth="1"/>
    <col min="12552" max="12800" width="9.140625" style="313"/>
    <col min="12801" max="12801" width="57" style="313" customWidth="1"/>
    <col min="12802" max="12802" width="14.28515625" style="313" customWidth="1"/>
    <col min="12803" max="12803" width="16" style="313" customWidth="1"/>
    <col min="12804" max="12807" width="20.28515625" style="313" customWidth="1"/>
    <col min="12808" max="13056" width="9.140625" style="313"/>
    <col min="13057" max="13057" width="57" style="313" customWidth="1"/>
    <col min="13058" max="13058" width="14.28515625" style="313" customWidth="1"/>
    <col min="13059" max="13059" width="16" style="313" customWidth="1"/>
    <col min="13060" max="13063" width="20.28515625" style="313" customWidth="1"/>
    <col min="13064" max="13312" width="9.140625" style="313"/>
    <col min="13313" max="13313" width="57" style="313" customWidth="1"/>
    <col min="13314" max="13314" width="14.28515625" style="313" customWidth="1"/>
    <col min="13315" max="13315" width="16" style="313" customWidth="1"/>
    <col min="13316" max="13319" width="20.28515625" style="313" customWidth="1"/>
    <col min="13320" max="13568" width="9.140625" style="313"/>
    <col min="13569" max="13569" width="57" style="313" customWidth="1"/>
    <col min="13570" max="13570" width="14.28515625" style="313" customWidth="1"/>
    <col min="13571" max="13571" width="16" style="313" customWidth="1"/>
    <col min="13572" max="13575" width="20.28515625" style="313" customWidth="1"/>
    <col min="13576" max="13824" width="9.140625" style="313"/>
    <col min="13825" max="13825" width="57" style="313" customWidth="1"/>
    <col min="13826" max="13826" width="14.28515625" style="313" customWidth="1"/>
    <col min="13827" max="13827" width="16" style="313" customWidth="1"/>
    <col min="13828" max="13831" width="20.28515625" style="313" customWidth="1"/>
    <col min="13832" max="14080" width="9.140625" style="313"/>
    <col min="14081" max="14081" width="57" style="313" customWidth="1"/>
    <col min="14082" max="14082" width="14.28515625" style="313" customWidth="1"/>
    <col min="14083" max="14083" width="16" style="313" customWidth="1"/>
    <col min="14084" max="14087" width="20.28515625" style="313" customWidth="1"/>
    <col min="14088" max="14336" width="9.140625" style="313"/>
    <col min="14337" max="14337" width="57" style="313" customWidth="1"/>
    <col min="14338" max="14338" width="14.28515625" style="313" customWidth="1"/>
    <col min="14339" max="14339" width="16" style="313" customWidth="1"/>
    <col min="14340" max="14343" width="20.28515625" style="313" customWidth="1"/>
    <col min="14344" max="14592" width="9.140625" style="313"/>
    <col min="14593" max="14593" width="57" style="313" customWidth="1"/>
    <col min="14594" max="14594" width="14.28515625" style="313" customWidth="1"/>
    <col min="14595" max="14595" width="16" style="313" customWidth="1"/>
    <col min="14596" max="14599" width="20.28515625" style="313" customWidth="1"/>
    <col min="14600" max="14848" width="9.140625" style="313"/>
    <col min="14849" max="14849" width="57" style="313" customWidth="1"/>
    <col min="14850" max="14850" width="14.28515625" style="313" customWidth="1"/>
    <col min="14851" max="14851" width="16" style="313" customWidth="1"/>
    <col min="14852" max="14855" width="20.28515625" style="313" customWidth="1"/>
    <col min="14856" max="15104" width="9.140625" style="313"/>
    <col min="15105" max="15105" width="57" style="313" customWidth="1"/>
    <col min="15106" max="15106" width="14.28515625" style="313" customWidth="1"/>
    <col min="15107" max="15107" width="16" style="313" customWidth="1"/>
    <col min="15108" max="15111" width="20.28515625" style="313" customWidth="1"/>
    <col min="15112" max="15360" width="9.140625" style="313"/>
    <col min="15361" max="15361" width="57" style="313" customWidth="1"/>
    <col min="15362" max="15362" width="14.28515625" style="313" customWidth="1"/>
    <col min="15363" max="15363" width="16" style="313" customWidth="1"/>
    <col min="15364" max="15367" width="20.28515625" style="313" customWidth="1"/>
    <col min="15368" max="15616" width="9.140625" style="313"/>
    <col min="15617" max="15617" width="57" style="313" customWidth="1"/>
    <col min="15618" max="15618" width="14.28515625" style="313" customWidth="1"/>
    <col min="15619" max="15619" width="16" style="313" customWidth="1"/>
    <col min="15620" max="15623" width="20.28515625" style="313" customWidth="1"/>
    <col min="15624" max="15872" width="9.140625" style="313"/>
    <col min="15873" max="15873" width="57" style="313" customWidth="1"/>
    <col min="15874" max="15874" width="14.28515625" style="313" customWidth="1"/>
    <col min="15875" max="15875" width="16" style="313" customWidth="1"/>
    <col min="15876" max="15879" width="20.28515625" style="313" customWidth="1"/>
    <col min="15880" max="16128" width="9.140625" style="313"/>
    <col min="16129" max="16129" width="57" style="313" customWidth="1"/>
    <col min="16130" max="16130" width="14.28515625" style="313" customWidth="1"/>
    <col min="16131" max="16131" width="16" style="313" customWidth="1"/>
    <col min="16132" max="16135" width="20.28515625" style="313" customWidth="1"/>
    <col min="16136" max="16384" width="9.140625" style="313"/>
  </cols>
  <sheetData>
    <row r="2" spans="1:8" s="291" customFormat="1" ht="18.75">
      <c r="A2" s="571" t="s">
        <v>480</v>
      </c>
      <c r="B2" s="571"/>
      <c r="C2" s="571"/>
      <c r="D2" s="571"/>
      <c r="E2" s="571"/>
      <c r="F2" s="571"/>
      <c r="G2" s="571"/>
    </row>
    <row r="3" spans="1:8" s="291" customFormat="1" ht="18.75">
      <c r="A3" s="572" t="s">
        <v>481</v>
      </c>
      <c r="B3" s="572"/>
      <c r="C3" s="572"/>
      <c r="D3" s="572"/>
      <c r="E3" s="572"/>
      <c r="F3" s="572"/>
      <c r="G3" s="572"/>
    </row>
    <row r="4" spans="1:8" s="291" customFormat="1" ht="18.75">
      <c r="A4" s="292"/>
      <c r="B4" s="292"/>
      <c r="C4" s="292"/>
      <c r="D4" s="293"/>
      <c r="E4" s="293"/>
      <c r="F4" s="293"/>
      <c r="G4" s="293"/>
    </row>
    <row r="5" spans="1:8" s="291" customFormat="1" ht="18.75">
      <c r="D5" s="294"/>
      <c r="E5" s="294"/>
      <c r="F5" s="294"/>
      <c r="G5" s="294" t="s">
        <v>482</v>
      </c>
    </row>
    <row r="6" spans="1:8" s="291" customFormat="1" ht="18.75">
      <c r="D6" s="293"/>
      <c r="E6" s="293"/>
      <c r="F6" s="293"/>
      <c r="G6" s="293"/>
    </row>
    <row r="7" spans="1:8" s="291" customFormat="1" ht="18.75">
      <c r="A7" s="295"/>
      <c r="B7" s="296" t="s">
        <v>362</v>
      </c>
      <c r="C7" s="297" t="s">
        <v>363</v>
      </c>
      <c r="D7" s="298" t="s">
        <v>364</v>
      </c>
      <c r="E7" s="298" t="s">
        <v>365</v>
      </c>
      <c r="F7" s="298" t="s">
        <v>366</v>
      </c>
      <c r="G7" s="298" t="s">
        <v>454</v>
      </c>
    </row>
    <row r="8" spans="1:8" s="291" customFormat="1" ht="18.75">
      <c r="A8" s="295"/>
      <c r="B8" s="299" t="s">
        <v>483</v>
      </c>
      <c r="C8" s="299" t="s">
        <v>484</v>
      </c>
      <c r="D8" s="299" t="s">
        <v>484</v>
      </c>
      <c r="E8" s="299" t="s">
        <v>484</v>
      </c>
      <c r="F8" s="299" t="s">
        <v>484</v>
      </c>
      <c r="G8" s="299" t="s">
        <v>484</v>
      </c>
    </row>
    <row r="9" spans="1:8" s="291" customFormat="1" ht="18.75">
      <c r="A9" s="295"/>
      <c r="B9" s="297">
        <v>1</v>
      </c>
      <c r="C9" s="297">
        <v>2</v>
      </c>
      <c r="D9" s="297">
        <v>3</v>
      </c>
      <c r="E9" s="297">
        <v>4</v>
      </c>
      <c r="F9" s="297">
        <v>5</v>
      </c>
      <c r="G9" s="297">
        <v>6</v>
      </c>
    </row>
    <row r="10" spans="1:8" s="291" customFormat="1" ht="18.75">
      <c r="A10" s="300" t="s">
        <v>485</v>
      </c>
      <c r="B10" s="301"/>
      <c r="C10" s="301"/>
      <c r="D10" s="302"/>
      <c r="E10" s="302"/>
      <c r="F10" s="302"/>
      <c r="G10" s="302"/>
    </row>
    <row r="11" spans="1:8" s="291" customFormat="1" ht="18.75">
      <c r="A11" s="303"/>
      <c r="B11" s="303"/>
      <c r="C11" s="303"/>
      <c r="D11" s="304"/>
      <c r="E11" s="304"/>
      <c r="F11" s="304"/>
      <c r="G11" s="304"/>
    </row>
    <row r="12" spans="1:8" s="291" customFormat="1" ht="18.75">
      <c r="A12" s="305" t="s">
        <v>486</v>
      </c>
      <c r="B12" s="306">
        <f>'CMI iii'!F96</f>
        <v>681.45085333333327</v>
      </c>
      <c r="C12" s="306">
        <f>'CMI iii'!G96</f>
        <v>766.03359812483359</v>
      </c>
      <c r="D12" s="306">
        <f>'CMI iii'!H96</f>
        <v>857.61608822030803</v>
      </c>
      <c r="E12" s="306">
        <f>'CMI iii'!I96</f>
        <v>913.3427217693918</v>
      </c>
      <c r="F12" s="306">
        <f>'CMI iii'!J96</f>
        <v>975.09314134520059</v>
      </c>
      <c r="G12" s="306">
        <f>'CMI iii'!K96</f>
        <v>1028.8843078128159</v>
      </c>
      <c r="H12" s="307"/>
    </row>
    <row r="13" spans="1:8" s="291" customFormat="1" ht="18.75">
      <c r="A13" s="308"/>
      <c r="B13" s="309"/>
      <c r="C13" s="309"/>
      <c r="D13" s="309"/>
      <c r="E13" s="309"/>
      <c r="F13" s="309"/>
      <c r="G13" s="309"/>
      <c r="H13" s="307"/>
    </row>
    <row r="14" spans="1:8" s="291" customFormat="1" ht="18.75">
      <c r="A14" s="305" t="s">
        <v>487</v>
      </c>
      <c r="B14" s="306">
        <f>'CMI iii'!F30</f>
        <v>96.000585208499984</v>
      </c>
      <c r="C14" s="306">
        <f>'CMI iii'!G30</f>
        <v>154.79250990452508</v>
      </c>
      <c r="D14" s="306">
        <f>'CMI iii'!H30</f>
        <v>168.64836645091614</v>
      </c>
      <c r="E14" s="306">
        <f>'CMI iii'!I30</f>
        <v>168.62458042419175</v>
      </c>
      <c r="F14" s="306">
        <f>'CMI iii'!J30</f>
        <v>175.58383353238489</v>
      </c>
      <c r="G14" s="306">
        <f>'CMI iii'!K30</f>
        <v>176.78603278216664</v>
      </c>
      <c r="H14" s="307"/>
    </row>
    <row r="15" spans="1:8" s="291" customFormat="1" ht="18.75">
      <c r="A15" s="305" t="s">
        <v>488</v>
      </c>
      <c r="B15" s="309"/>
      <c r="C15" s="309"/>
      <c r="D15" s="309"/>
      <c r="E15" s="309"/>
      <c r="F15" s="309"/>
      <c r="G15" s="309"/>
      <c r="H15" s="307"/>
    </row>
    <row r="16" spans="1:8" s="291" customFormat="1" ht="18.75">
      <c r="A16" s="308"/>
      <c r="B16" s="309"/>
      <c r="C16" s="309"/>
      <c r="D16" s="309"/>
      <c r="E16" s="309"/>
      <c r="F16" s="309"/>
      <c r="G16" s="309"/>
      <c r="H16" s="307"/>
    </row>
    <row r="17" spans="1:8" s="291" customFormat="1" ht="18.75">
      <c r="A17" s="305" t="s">
        <v>489</v>
      </c>
      <c r="B17" s="306">
        <f t="shared" ref="B17:G17" si="0">SUM(B12-B14)</f>
        <v>585.45026812483331</v>
      </c>
      <c r="C17" s="306">
        <f t="shared" si="0"/>
        <v>611.24108822030848</v>
      </c>
      <c r="D17" s="306">
        <f t="shared" si="0"/>
        <v>688.96772176939191</v>
      </c>
      <c r="E17" s="306">
        <f t="shared" si="0"/>
        <v>744.71814134520002</v>
      </c>
      <c r="F17" s="306">
        <f t="shared" si="0"/>
        <v>799.50930781281568</v>
      </c>
      <c r="G17" s="306">
        <f t="shared" si="0"/>
        <v>852.09827503064923</v>
      </c>
      <c r="H17" s="310"/>
    </row>
    <row r="18" spans="1:8" s="291" customFormat="1" ht="18.75">
      <c r="A18" s="308"/>
      <c r="B18" s="309"/>
      <c r="C18" s="309"/>
      <c r="D18" s="309"/>
      <c r="E18" s="309"/>
      <c r="F18" s="309"/>
      <c r="G18" s="309"/>
      <c r="H18" s="310"/>
    </row>
    <row r="19" spans="1:8" s="291" customFormat="1" ht="18.75">
      <c r="A19" s="305" t="s">
        <v>490</v>
      </c>
      <c r="B19" s="306">
        <f t="shared" ref="B19:G19" si="1">SUM(B17/4)</f>
        <v>146.36256703120833</v>
      </c>
      <c r="C19" s="306">
        <f t="shared" si="1"/>
        <v>152.81027205507712</v>
      </c>
      <c r="D19" s="306">
        <f t="shared" si="1"/>
        <v>172.24193044234798</v>
      </c>
      <c r="E19" s="306">
        <f t="shared" si="1"/>
        <v>186.17953533630001</v>
      </c>
      <c r="F19" s="306">
        <f t="shared" si="1"/>
        <v>199.87732695320392</v>
      </c>
      <c r="G19" s="306">
        <f t="shared" si="1"/>
        <v>213.02456875766231</v>
      </c>
      <c r="H19" s="310"/>
    </row>
    <row r="20" spans="1:8" s="291" customFormat="1" ht="18.75">
      <c r="A20" s="305" t="s">
        <v>491</v>
      </c>
      <c r="B20" s="309"/>
      <c r="C20" s="309"/>
      <c r="D20" s="309"/>
      <c r="E20" s="309"/>
      <c r="F20" s="309"/>
      <c r="G20" s="309"/>
      <c r="H20" s="307"/>
    </row>
    <row r="21" spans="1:8" s="291" customFormat="1" ht="18.75">
      <c r="A21" s="308"/>
      <c r="B21" s="309"/>
      <c r="C21" s="309"/>
      <c r="D21" s="309"/>
      <c r="E21" s="309"/>
      <c r="F21" s="309"/>
      <c r="G21" s="309"/>
      <c r="H21" s="307"/>
    </row>
    <row r="22" spans="1:8" s="291" customFormat="1" ht="18.75">
      <c r="A22" s="305" t="s">
        <v>492</v>
      </c>
      <c r="B22" s="306">
        <f>('CMI iii'!F47+'CMI iii'!F59)-('CMI iii'!F102+'CMI iii'!F116+'CMI iii'!F120)</f>
        <v>235.45026812483326</v>
      </c>
      <c r="C22" s="306">
        <f>('CMI iii'!G47+'CMI iii'!G59)-('CMI iii'!G102+'CMI iii'!G116+'CMI iii'!G120)</f>
        <v>261.24108822030848</v>
      </c>
      <c r="D22" s="306">
        <f>('CMI iii'!H47+'CMI iii'!H59)-('CMI iii'!H102+'CMI iii'!H116+'CMI iii'!H120)</f>
        <v>338.96772176939203</v>
      </c>
      <c r="E22" s="306">
        <f>('CMI iii'!I47+'CMI iii'!I59)-('CMI iii'!I102+'CMI iii'!I116+'CMI iii'!I120)</f>
        <v>394.71814134520002</v>
      </c>
      <c r="F22" s="306">
        <f>('CMI iii'!J47+'CMI iii'!J59)-('CMI iii'!J102+'CMI iii'!J116+'CMI iii'!J120)</f>
        <v>449.50930781281556</v>
      </c>
      <c r="G22" s="306">
        <f>('CMI iii'!K47+'CMI iii'!K59)-('CMI iii'!K102+'CMI iii'!K116+'CMI iii'!K120)</f>
        <v>502.09827503064923</v>
      </c>
      <c r="H22" s="307"/>
    </row>
    <row r="23" spans="1:8" s="291" customFormat="1" ht="18.75">
      <c r="A23" s="308"/>
      <c r="B23" s="309"/>
      <c r="C23" s="309"/>
      <c r="D23" s="309"/>
      <c r="E23" s="309"/>
      <c r="F23" s="309"/>
      <c r="G23" s="309"/>
      <c r="H23" s="310"/>
    </row>
    <row r="24" spans="1:8" s="291" customFormat="1" ht="18.75">
      <c r="A24" s="305" t="s">
        <v>493</v>
      </c>
      <c r="B24" s="306">
        <f t="shared" ref="B24:G24" si="2">SUM(B17-B19)</f>
        <v>439.08770109362501</v>
      </c>
      <c r="C24" s="306">
        <f t="shared" si="2"/>
        <v>458.43081616523136</v>
      </c>
      <c r="D24" s="306">
        <f t="shared" si="2"/>
        <v>516.72579132704391</v>
      </c>
      <c r="E24" s="306">
        <f t="shared" si="2"/>
        <v>558.53860600890005</v>
      </c>
      <c r="F24" s="306">
        <f t="shared" si="2"/>
        <v>599.63198085961176</v>
      </c>
      <c r="G24" s="306">
        <f t="shared" si="2"/>
        <v>639.0737062729869</v>
      </c>
      <c r="H24" s="307"/>
    </row>
    <row r="25" spans="1:8" s="291" customFormat="1" ht="18.75">
      <c r="A25" s="308"/>
      <c r="B25" s="309"/>
      <c r="C25" s="309"/>
      <c r="D25" s="309"/>
      <c r="E25" s="309"/>
      <c r="F25" s="309"/>
      <c r="G25" s="309"/>
      <c r="H25" s="307"/>
    </row>
    <row r="26" spans="1:8" s="291" customFormat="1" ht="18.75">
      <c r="A26" s="305" t="s">
        <v>494</v>
      </c>
      <c r="B26" s="306">
        <f t="shared" ref="B26:G26" si="3">SUM(B17-B22)</f>
        <v>350.00000000000006</v>
      </c>
      <c r="C26" s="306">
        <f t="shared" si="3"/>
        <v>350</v>
      </c>
      <c r="D26" s="306">
        <f t="shared" si="3"/>
        <v>349.99999999999989</v>
      </c>
      <c r="E26" s="306">
        <f t="shared" si="3"/>
        <v>350</v>
      </c>
      <c r="F26" s="306">
        <f t="shared" si="3"/>
        <v>350.00000000000011</v>
      </c>
      <c r="G26" s="306">
        <f t="shared" si="3"/>
        <v>350</v>
      </c>
      <c r="H26" s="307"/>
    </row>
    <row r="27" spans="1:8" s="291" customFormat="1" ht="18.75">
      <c r="A27" s="308"/>
      <c r="B27" s="309"/>
      <c r="C27" s="309"/>
      <c r="D27" s="309"/>
      <c r="E27" s="309"/>
      <c r="F27" s="309"/>
      <c r="G27" s="309"/>
      <c r="H27" s="307"/>
    </row>
    <row r="28" spans="1:8" s="291" customFormat="1" ht="18.75">
      <c r="A28" s="305" t="s">
        <v>495</v>
      </c>
      <c r="B28" s="306">
        <f t="shared" ref="B28:G28" si="4">MIN(B26,B24)</f>
        <v>350.00000000000006</v>
      </c>
      <c r="C28" s="306">
        <f t="shared" si="4"/>
        <v>350</v>
      </c>
      <c r="D28" s="306">
        <f t="shared" si="4"/>
        <v>349.99999999999989</v>
      </c>
      <c r="E28" s="306">
        <f t="shared" si="4"/>
        <v>350</v>
      </c>
      <c r="F28" s="306">
        <f t="shared" si="4"/>
        <v>350.00000000000011</v>
      </c>
      <c r="G28" s="306">
        <f t="shared" si="4"/>
        <v>350</v>
      </c>
      <c r="H28" s="307"/>
    </row>
    <row r="29" spans="1:8" s="291" customFormat="1" ht="18.75">
      <c r="A29" s="305" t="s">
        <v>496</v>
      </c>
      <c r="B29" s="305"/>
      <c r="C29" s="305"/>
      <c r="D29" s="305"/>
      <c r="E29" s="305"/>
      <c r="F29" s="305"/>
      <c r="G29" s="305"/>
      <c r="H29" s="307"/>
    </row>
    <row r="30" spans="1:8" s="291" customFormat="1" ht="18.75">
      <c r="A30" s="305" t="s">
        <v>497</v>
      </c>
      <c r="B30" s="305"/>
      <c r="C30" s="305"/>
      <c r="D30" s="305"/>
      <c r="E30" s="305"/>
      <c r="F30" s="305"/>
      <c r="G30" s="305"/>
      <c r="H30" s="307"/>
    </row>
    <row r="31" spans="1:8" s="291" customFormat="1" ht="18.75">
      <c r="A31" s="305" t="s">
        <v>498</v>
      </c>
      <c r="B31" s="305"/>
      <c r="C31" s="305"/>
      <c r="D31" s="305"/>
      <c r="E31" s="305"/>
      <c r="F31" s="305"/>
      <c r="G31" s="305"/>
      <c r="H31" s="307"/>
    </row>
    <row r="32" spans="1:8" s="291" customFormat="1" ht="18.75">
      <c r="A32" s="301"/>
      <c r="B32" s="301"/>
      <c r="C32" s="301"/>
      <c r="D32" s="301"/>
      <c r="E32" s="301"/>
      <c r="F32" s="301"/>
      <c r="G32" s="301"/>
    </row>
    <row r="33" spans="1:10" s="291" customFormat="1" ht="18.75">
      <c r="A33" s="300" t="s">
        <v>499</v>
      </c>
      <c r="B33" s="301"/>
      <c r="C33" s="301"/>
      <c r="D33" s="301"/>
      <c r="E33" s="301"/>
      <c r="F33" s="301"/>
      <c r="G33" s="301"/>
    </row>
    <row r="34" spans="1:10" s="291" customFormat="1" ht="18.75">
      <c r="A34" s="303"/>
      <c r="B34" s="303"/>
      <c r="C34" s="303"/>
      <c r="D34" s="303"/>
      <c r="E34" s="303"/>
      <c r="F34" s="303"/>
      <c r="G34" s="303"/>
    </row>
    <row r="35" spans="1:10" s="291" customFormat="1" ht="18.75">
      <c r="A35" s="305" t="s">
        <v>486</v>
      </c>
      <c r="B35" s="306">
        <f t="shared" ref="B35:G35" si="5">B12</f>
        <v>681.45085333333327</v>
      </c>
      <c r="C35" s="306">
        <f t="shared" si="5"/>
        <v>766.03359812483359</v>
      </c>
      <c r="D35" s="306">
        <f t="shared" si="5"/>
        <v>857.61608822030803</v>
      </c>
      <c r="E35" s="306">
        <f t="shared" si="5"/>
        <v>913.3427217693918</v>
      </c>
      <c r="F35" s="306">
        <f t="shared" si="5"/>
        <v>975.09314134520059</v>
      </c>
      <c r="G35" s="306">
        <f t="shared" si="5"/>
        <v>1028.8843078128159</v>
      </c>
    </row>
    <row r="36" spans="1:10" s="291" customFormat="1" ht="18.75">
      <c r="A36" s="308"/>
      <c r="B36" s="309"/>
      <c r="C36" s="309"/>
      <c r="D36" s="309"/>
      <c r="E36" s="309"/>
      <c r="F36" s="309"/>
      <c r="G36" s="309"/>
    </row>
    <row r="37" spans="1:10" s="291" customFormat="1" ht="18.75">
      <c r="A37" s="305" t="s">
        <v>500</v>
      </c>
      <c r="B37" s="306">
        <f t="shared" ref="B37:G37" si="6">B14</f>
        <v>96.000585208499984</v>
      </c>
      <c r="C37" s="306">
        <f t="shared" si="6"/>
        <v>154.79250990452508</v>
      </c>
      <c r="D37" s="306">
        <f t="shared" si="6"/>
        <v>168.64836645091614</v>
      </c>
      <c r="E37" s="306">
        <f t="shared" si="6"/>
        <v>168.62458042419175</v>
      </c>
      <c r="F37" s="306">
        <f t="shared" si="6"/>
        <v>175.58383353238489</v>
      </c>
      <c r="G37" s="306">
        <f t="shared" si="6"/>
        <v>176.78603278216664</v>
      </c>
    </row>
    <row r="38" spans="1:10" s="291" customFormat="1" ht="18.75">
      <c r="A38" s="305" t="s">
        <v>501</v>
      </c>
      <c r="B38" s="309"/>
      <c r="C38" s="309"/>
      <c r="D38" s="309"/>
      <c r="E38" s="309"/>
      <c r="F38" s="309"/>
      <c r="G38" s="309"/>
    </row>
    <row r="39" spans="1:10" s="291" customFormat="1" ht="18.75">
      <c r="A39" s="308"/>
      <c r="B39" s="309"/>
      <c r="C39" s="309"/>
      <c r="D39" s="309"/>
      <c r="E39" s="309"/>
      <c r="F39" s="309"/>
      <c r="G39" s="309"/>
    </row>
    <row r="40" spans="1:10" s="291" customFormat="1" ht="18.75">
      <c r="A40" s="305" t="s">
        <v>489</v>
      </c>
      <c r="B40" s="306">
        <f t="shared" ref="B40:G40" si="7">SUM(B35-B37)</f>
        <v>585.45026812483331</v>
      </c>
      <c r="C40" s="306">
        <f t="shared" si="7"/>
        <v>611.24108822030848</v>
      </c>
      <c r="D40" s="306">
        <f t="shared" si="7"/>
        <v>688.96772176939191</v>
      </c>
      <c r="E40" s="306">
        <f t="shared" si="7"/>
        <v>744.71814134520002</v>
      </c>
      <c r="F40" s="306">
        <f t="shared" si="7"/>
        <v>799.50930781281568</v>
      </c>
      <c r="G40" s="306">
        <f t="shared" si="7"/>
        <v>852.09827503064923</v>
      </c>
    </row>
    <row r="41" spans="1:10" s="291" customFormat="1" ht="18.75">
      <c r="A41" s="308"/>
      <c r="B41" s="309"/>
      <c r="C41" s="309"/>
      <c r="D41" s="309"/>
      <c r="E41" s="309"/>
      <c r="F41" s="309"/>
      <c r="G41" s="309"/>
    </row>
    <row r="42" spans="1:10" s="291" customFormat="1" ht="18.75">
      <c r="A42" s="305" t="s">
        <v>502</v>
      </c>
      <c r="B42" s="306">
        <f t="shared" ref="B42:G42" si="8">SUM(B35/4)</f>
        <v>170.36271333333332</v>
      </c>
      <c r="C42" s="306">
        <f t="shared" si="8"/>
        <v>191.5083995312084</v>
      </c>
      <c r="D42" s="306">
        <f t="shared" si="8"/>
        <v>214.40402205507701</v>
      </c>
      <c r="E42" s="306">
        <f t="shared" si="8"/>
        <v>228.33568044234795</v>
      </c>
      <c r="F42" s="306">
        <f t="shared" si="8"/>
        <v>243.77328533630015</v>
      </c>
      <c r="G42" s="306">
        <f t="shared" si="8"/>
        <v>257.22107695320398</v>
      </c>
    </row>
    <row r="43" spans="1:10" s="291" customFormat="1" ht="18.75">
      <c r="A43" s="305" t="s">
        <v>503</v>
      </c>
      <c r="B43" s="309"/>
      <c r="C43" s="309"/>
      <c r="D43" s="309"/>
      <c r="E43" s="309"/>
      <c r="F43" s="309"/>
      <c r="G43" s="309"/>
    </row>
    <row r="44" spans="1:10" s="291" customFormat="1" ht="18.75">
      <c r="A44" s="305" t="s">
        <v>504</v>
      </c>
      <c r="B44" s="309"/>
      <c r="C44" s="309"/>
      <c r="D44" s="309"/>
      <c r="E44" s="309"/>
      <c r="F44" s="309"/>
      <c r="G44" s="309"/>
    </row>
    <row r="45" spans="1:10" s="291" customFormat="1" ht="18.75">
      <c r="A45" s="305" t="s">
        <v>492</v>
      </c>
      <c r="B45" s="306">
        <f>('CMI iii'!F47+'CMI iii'!F59)-('CMI iii'!F102+'CMI iii'!F116+'CMI iii'!F120)</f>
        <v>235.45026812483326</v>
      </c>
      <c r="C45" s="306">
        <f>('CMI iii'!G47+'CMI iii'!G59)-('CMI iii'!G102+'CMI iii'!G116+'CMI iii'!G120)</f>
        <v>261.24108822030848</v>
      </c>
      <c r="D45" s="306">
        <f>('CMI iii'!H47+'CMI iii'!H59)-('CMI iii'!H102+'CMI iii'!H116+'CMI iii'!H120)</f>
        <v>338.96772176939203</v>
      </c>
      <c r="E45" s="306">
        <f>('CMI iii'!I47+'CMI iii'!I59)-('CMI iii'!I102+'CMI iii'!I116+'CMI iii'!I120)</f>
        <v>394.71814134520002</v>
      </c>
      <c r="F45" s="306">
        <f>('CMI iii'!J47+'CMI iii'!J59)-('CMI iii'!J102+'CMI iii'!J116+'CMI iii'!J120)</f>
        <v>449.50930781281556</v>
      </c>
      <c r="G45" s="306">
        <f>('CMI iii'!K47+'CMI iii'!K59)-('CMI iii'!K102+'CMI iii'!K116+'CMI iii'!K120)</f>
        <v>502.09827503064923</v>
      </c>
      <c r="J45" s="311"/>
    </row>
    <row r="46" spans="1:10" s="291" customFormat="1" ht="18.75">
      <c r="A46" s="308"/>
      <c r="B46" s="309"/>
      <c r="C46" s="309"/>
      <c r="D46" s="309"/>
      <c r="E46" s="309"/>
      <c r="F46" s="309"/>
      <c r="G46" s="309"/>
    </row>
    <row r="47" spans="1:10" s="291" customFormat="1" ht="18.75">
      <c r="A47" s="305" t="s">
        <v>493</v>
      </c>
      <c r="B47" s="306">
        <f t="shared" ref="B47:G47" si="9">SUM(B40-B42)</f>
        <v>415.0875547915</v>
      </c>
      <c r="C47" s="306">
        <f t="shared" si="9"/>
        <v>419.73268868910009</v>
      </c>
      <c r="D47" s="306">
        <f t="shared" si="9"/>
        <v>474.56369971431491</v>
      </c>
      <c r="E47" s="306">
        <f t="shared" si="9"/>
        <v>516.38246090285202</v>
      </c>
      <c r="F47" s="306">
        <f t="shared" si="9"/>
        <v>555.73602247651547</v>
      </c>
      <c r="G47" s="306">
        <f t="shared" si="9"/>
        <v>594.8771980774452</v>
      </c>
    </row>
    <row r="48" spans="1:10" s="291" customFormat="1" ht="18.75">
      <c r="A48" s="308"/>
      <c r="B48" s="309"/>
      <c r="C48" s="309"/>
      <c r="D48" s="309"/>
      <c r="E48" s="309"/>
      <c r="F48" s="309"/>
      <c r="G48" s="309"/>
    </row>
    <row r="49" spans="1:8" s="291" customFormat="1" ht="18.75">
      <c r="A49" s="305" t="s">
        <v>494</v>
      </c>
      <c r="B49" s="306">
        <f t="shared" ref="B49:G49" si="10">SUM(B40-B45)</f>
        <v>350.00000000000006</v>
      </c>
      <c r="C49" s="306">
        <f t="shared" si="10"/>
        <v>350</v>
      </c>
      <c r="D49" s="306">
        <f t="shared" si="10"/>
        <v>349.99999999999989</v>
      </c>
      <c r="E49" s="306">
        <f t="shared" si="10"/>
        <v>350</v>
      </c>
      <c r="F49" s="306">
        <f t="shared" si="10"/>
        <v>350.00000000000011</v>
      </c>
      <c r="G49" s="306">
        <f t="shared" si="10"/>
        <v>350</v>
      </c>
    </row>
    <row r="50" spans="1:8" s="291" customFormat="1" ht="18.75">
      <c r="A50" s="308"/>
      <c r="B50" s="309"/>
      <c r="C50" s="309"/>
      <c r="D50" s="309"/>
      <c r="E50" s="309"/>
      <c r="F50" s="309"/>
      <c r="G50" s="309"/>
    </row>
    <row r="51" spans="1:8" s="291" customFormat="1" ht="18.75">
      <c r="A51" s="305" t="s">
        <v>495</v>
      </c>
      <c r="B51" s="306">
        <f t="shared" ref="B51:G51" si="11">MIN(B49,B47)</f>
        <v>350.00000000000006</v>
      </c>
      <c r="C51" s="306">
        <f t="shared" si="11"/>
        <v>350</v>
      </c>
      <c r="D51" s="306">
        <f t="shared" si="11"/>
        <v>349.99999999999989</v>
      </c>
      <c r="E51" s="306">
        <f t="shared" si="11"/>
        <v>350</v>
      </c>
      <c r="F51" s="306">
        <f t="shared" si="11"/>
        <v>350.00000000000011</v>
      </c>
      <c r="G51" s="306">
        <f t="shared" si="11"/>
        <v>350</v>
      </c>
      <c r="H51" s="293"/>
    </row>
    <row r="52" spans="1:8" s="291" customFormat="1" ht="18.75">
      <c r="A52" s="305" t="s">
        <v>496</v>
      </c>
      <c r="B52" s="309"/>
      <c r="C52" s="309"/>
      <c r="D52" s="309"/>
      <c r="E52" s="309"/>
      <c r="F52" s="309"/>
      <c r="G52" s="309"/>
    </row>
    <row r="53" spans="1:8" s="291" customFormat="1" ht="18.75">
      <c r="A53" s="305" t="s">
        <v>505</v>
      </c>
      <c r="B53" s="309"/>
      <c r="C53" s="309"/>
      <c r="D53" s="309"/>
      <c r="E53" s="309"/>
      <c r="F53" s="309"/>
      <c r="G53" s="309"/>
    </row>
    <row r="54" spans="1:8" s="291" customFormat="1" ht="18.75">
      <c r="A54" s="305" t="s">
        <v>498</v>
      </c>
      <c r="B54" s="305"/>
      <c r="C54" s="305"/>
      <c r="D54" s="305"/>
      <c r="E54" s="305"/>
      <c r="F54" s="305"/>
      <c r="G54" s="305"/>
    </row>
    <row r="55" spans="1:8" s="291" customFormat="1" ht="18.75">
      <c r="D55" s="312"/>
      <c r="E55" s="312"/>
      <c r="F55" s="312"/>
      <c r="G55" s="312"/>
    </row>
    <row r="57" spans="1:8" ht="18.75">
      <c r="A57" s="295"/>
      <c r="B57" s="296" t="s">
        <v>362</v>
      </c>
      <c r="C57" s="297" t="s">
        <v>363</v>
      </c>
      <c r="D57" s="298" t="s">
        <v>364</v>
      </c>
      <c r="E57" s="298" t="s">
        <v>365</v>
      </c>
      <c r="F57" s="298" t="s">
        <v>366</v>
      </c>
      <c r="G57" s="298" t="s">
        <v>454</v>
      </c>
    </row>
    <row r="58" spans="1:8" ht="18.75">
      <c r="A58" s="295"/>
      <c r="B58" s="299" t="s">
        <v>483</v>
      </c>
      <c r="C58" s="299" t="s">
        <v>484</v>
      </c>
      <c r="D58" s="299" t="s">
        <v>484</v>
      </c>
      <c r="E58" s="299" t="s">
        <v>484</v>
      </c>
      <c r="F58" s="299" t="s">
        <v>484</v>
      </c>
      <c r="G58" s="299" t="s">
        <v>484</v>
      </c>
    </row>
    <row r="59" spans="1:8" ht="18.75">
      <c r="A59" s="295"/>
      <c r="B59" s="297">
        <v>1</v>
      </c>
      <c r="C59" s="297">
        <v>2</v>
      </c>
      <c r="D59" s="297">
        <v>3</v>
      </c>
      <c r="E59" s="297">
        <v>4</v>
      </c>
      <c r="F59" s="297">
        <v>5</v>
      </c>
      <c r="G59" s="297">
        <v>6</v>
      </c>
    </row>
    <row r="60" spans="1:8" ht="18.75">
      <c r="A60" s="314" t="s">
        <v>506</v>
      </c>
      <c r="B60" s="315"/>
      <c r="C60" s="315"/>
      <c r="D60" s="315"/>
      <c r="E60" s="315"/>
      <c r="F60" s="315"/>
      <c r="G60" s="315"/>
    </row>
    <row r="61" spans="1:8" ht="18.75">
      <c r="A61" s="305" t="s">
        <v>507</v>
      </c>
      <c r="B61" s="306">
        <f>'[2]form ii'!G13</f>
        <v>1650</v>
      </c>
      <c r="C61" s="306">
        <f>'[2]form ii'!H13</f>
        <v>5335</v>
      </c>
      <c r="D61" s="306">
        <f>'[2]form ii'!I13</f>
        <v>6545</v>
      </c>
      <c r="E61" s="306">
        <f>'[2]form ii'!J13</f>
        <v>6600</v>
      </c>
      <c r="F61" s="306">
        <f>'[2]form ii'!K13</f>
        <v>6600</v>
      </c>
      <c r="G61" s="306">
        <f>'[2]form ii'!L13</f>
        <v>6600</v>
      </c>
    </row>
    <row r="62" spans="1:8" ht="18.75">
      <c r="A62" s="308"/>
      <c r="B62" s="309"/>
      <c r="C62" s="309"/>
      <c r="D62" s="309"/>
      <c r="E62" s="309"/>
      <c r="F62" s="309"/>
      <c r="G62" s="309"/>
    </row>
    <row r="63" spans="1:8" ht="18.75">
      <c r="A63" s="305" t="s">
        <v>508</v>
      </c>
      <c r="B63" s="306">
        <f t="shared" ref="B63:G63" si="12">B61*25%</f>
        <v>412.5</v>
      </c>
      <c r="C63" s="306">
        <f t="shared" si="12"/>
        <v>1333.75</v>
      </c>
      <c r="D63" s="306">
        <f t="shared" si="12"/>
        <v>1636.25</v>
      </c>
      <c r="E63" s="306">
        <f t="shared" si="12"/>
        <v>1650</v>
      </c>
      <c r="F63" s="306">
        <f t="shared" si="12"/>
        <v>1650</v>
      </c>
      <c r="G63" s="306">
        <f t="shared" si="12"/>
        <v>1650</v>
      </c>
    </row>
    <row r="64" spans="1:8" ht="18.75">
      <c r="A64" s="305"/>
      <c r="B64" s="309"/>
      <c r="C64" s="309"/>
      <c r="D64" s="309"/>
      <c r="E64" s="309"/>
      <c r="F64" s="309"/>
      <c r="G64" s="309"/>
    </row>
    <row r="65" spans="1:7" ht="18.75">
      <c r="A65" s="305" t="s">
        <v>509</v>
      </c>
      <c r="B65" s="306">
        <f t="shared" ref="B65:G65" si="13">B61*5%</f>
        <v>82.5</v>
      </c>
      <c r="C65" s="306">
        <f t="shared" si="13"/>
        <v>266.75</v>
      </c>
      <c r="D65" s="306">
        <f t="shared" si="13"/>
        <v>327.25</v>
      </c>
      <c r="E65" s="306">
        <f t="shared" si="13"/>
        <v>330</v>
      </c>
      <c r="F65" s="306">
        <f t="shared" si="13"/>
        <v>330</v>
      </c>
      <c r="G65" s="306">
        <f t="shared" si="13"/>
        <v>330</v>
      </c>
    </row>
    <row r="66" spans="1:7" ht="18.75">
      <c r="A66" s="308"/>
      <c r="B66" s="309"/>
      <c r="C66" s="309"/>
      <c r="D66" s="309"/>
      <c r="E66" s="309"/>
      <c r="F66" s="309"/>
      <c r="G66" s="309"/>
    </row>
    <row r="67" spans="1:7" ht="18.75">
      <c r="A67" s="305" t="s">
        <v>510</v>
      </c>
      <c r="B67" s="306">
        <f t="shared" ref="B67:G67" si="14">B63-B65</f>
        <v>330</v>
      </c>
      <c r="C67" s="306">
        <f t="shared" si="14"/>
        <v>1067</v>
      </c>
      <c r="D67" s="306">
        <f t="shared" si="14"/>
        <v>1309</v>
      </c>
      <c r="E67" s="306">
        <f t="shared" si="14"/>
        <v>1320</v>
      </c>
      <c r="F67" s="306">
        <f t="shared" si="14"/>
        <v>1320</v>
      </c>
      <c r="G67" s="306">
        <f t="shared" si="14"/>
        <v>1320</v>
      </c>
    </row>
    <row r="68" spans="1:7" ht="18.75">
      <c r="A68" s="316"/>
      <c r="B68" s="312"/>
      <c r="C68" s="312"/>
      <c r="D68" s="312"/>
      <c r="E68" s="312"/>
      <c r="F68" s="312"/>
      <c r="G68" s="312"/>
    </row>
    <row r="69" spans="1:7" ht="18.75">
      <c r="A69" s="291"/>
      <c r="B69" s="312"/>
      <c r="C69" s="312"/>
      <c r="D69" s="312"/>
      <c r="E69" s="312"/>
      <c r="F69" s="312"/>
      <c r="G69" s="312"/>
    </row>
  </sheetData>
  <mergeCells count="2">
    <mergeCell ref="A2:G2"/>
    <mergeCell ref="A3:G3"/>
  </mergeCells>
  <pageMargins left="0.7" right="0.7" top="0.75" bottom="0.75" header="0.3" footer="0.3"/>
  <pageSetup paperSize="9" scale="5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N89"/>
  <sheetViews>
    <sheetView view="pageBreakPreview" zoomScaleNormal="100" zoomScaleSheetLayoutView="100" workbookViewId="0">
      <selection activeCell="A3" sqref="A3:L3"/>
    </sheetView>
  </sheetViews>
  <sheetFormatPr defaultRowHeight="12.75"/>
  <cols>
    <col min="1" max="1" width="41" style="289" customWidth="1"/>
    <col min="2" max="2" width="0.140625" style="231" hidden="1" customWidth="1"/>
    <col min="3" max="4" width="12.5703125" style="231" hidden="1" customWidth="1"/>
    <col min="5" max="5" width="10.85546875" style="231" hidden="1" customWidth="1"/>
    <col min="6" max="6" width="12.7109375" style="231" hidden="1" customWidth="1"/>
    <col min="7" max="7" width="17.28515625" style="231" customWidth="1"/>
    <col min="8" max="8" width="15.5703125" style="231" customWidth="1"/>
    <col min="9" max="9" width="15.42578125" style="231" customWidth="1"/>
    <col min="10" max="12" width="12.7109375" style="231" customWidth="1"/>
    <col min="13" max="256" width="9.140625" style="231"/>
    <col min="257" max="257" width="41" style="231" customWidth="1"/>
    <col min="258" max="262" width="0" style="231" hidden="1" customWidth="1"/>
    <col min="263" max="263" width="17.28515625" style="231" customWidth="1"/>
    <col min="264" max="264" width="15.5703125" style="231" customWidth="1"/>
    <col min="265" max="265" width="15.42578125" style="231" customWidth="1"/>
    <col min="266" max="268" width="12.7109375" style="231" customWidth="1"/>
    <col min="269" max="512" width="9.140625" style="231"/>
    <col min="513" max="513" width="41" style="231" customWidth="1"/>
    <col min="514" max="518" width="0" style="231" hidden="1" customWidth="1"/>
    <col min="519" max="519" width="17.28515625" style="231" customWidth="1"/>
    <col min="520" max="520" width="15.5703125" style="231" customWidth="1"/>
    <col min="521" max="521" width="15.42578125" style="231" customWidth="1"/>
    <col min="522" max="524" width="12.7109375" style="231" customWidth="1"/>
    <col min="525" max="768" width="9.140625" style="231"/>
    <col min="769" max="769" width="41" style="231" customWidth="1"/>
    <col min="770" max="774" width="0" style="231" hidden="1" customWidth="1"/>
    <col min="775" max="775" width="17.28515625" style="231" customWidth="1"/>
    <col min="776" max="776" width="15.5703125" style="231" customWidth="1"/>
    <col min="777" max="777" width="15.42578125" style="231" customWidth="1"/>
    <col min="778" max="780" width="12.7109375" style="231" customWidth="1"/>
    <col min="781" max="1024" width="9.140625" style="231"/>
    <col min="1025" max="1025" width="41" style="231" customWidth="1"/>
    <col min="1026" max="1030" width="0" style="231" hidden="1" customWidth="1"/>
    <col min="1031" max="1031" width="17.28515625" style="231" customWidth="1"/>
    <col min="1032" max="1032" width="15.5703125" style="231" customWidth="1"/>
    <col min="1033" max="1033" width="15.42578125" style="231" customWidth="1"/>
    <col min="1034" max="1036" width="12.7109375" style="231" customWidth="1"/>
    <col min="1037" max="1280" width="9.140625" style="231"/>
    <col min="1281" max="1281" width="41" style="231" customWidth="1"/>
    <col min="1282" max="1286" width="0" style="231" hidden="1" customWidth="1"/>
    <col min="1287" max="1287" width="17.28515625" style="231" customWidth="1"/>
    <col min="1288" max="1288" width="15.5703125" style="231" customWidth="1"/>
    <col min="1289" max="1289" width="15.42578125" style="231" customWidth="1"/>
    <col min="1290" max="1292" width="12.7109375" style="231" customWidth="1"/>
    <col min="1293" max="1536" width="9.140625" style="231"/>
    <col min="1537" max="1537" width="41" style="231" customWidth="1"/>
    <col min="1538" max="1542" width="0" style="231" hidden="1" customWidth="1"/>
    <col min="1543" max="1543" width="17.28515625" style="231" customWidth="1"/>
    <col min="1544" max="1544" width="15.5703125" style="231" customWidth="1"/>
    <col min="1545" max="1545" width="15.42578125" style="231" customWidth="1"/>
    <col min="1546" max="1548" width="12.7109375" style="231" customWidth="1"/>
    <col min="1549" max="1792" width="9.140625" style="231"/>
    <col min="1793" max="1793" width="41" style="231" customWidth="1"/>
    <col min="1794" max="1798" width="0" style="231" hidden="1" customWidth="1"/>
    <col min="1799" max="1799" width="17.28515625" style="231" customWidth="1"/>
    <col min="1800" max="1800" width="15.5703125" style="231" customWidth="1"/>
    <col min="1801" max="1801" width="15.42578125" style="231" customWidth="1"/>
    <col min="1802" max="1804" width="12.7109375" style="231" customWidth="1"/>
    <col min="1805" max="2048" width="9.140625" style="231"/>
    <col min="2049" max="2049" width="41" style="231" customWidth="1"/>
    <col min="2050" max="2054" width="0" style="231" hidden="1" customWidth="1"/>
    <col min="2055" max="2055" width="17.28515625" style="231" customWidth="1"/>
    <col min="2056" max="2056" width="15.5703125" style="231" customWidth="1"/>
    <col min="2057" max="2057" width="15.42578125" style="231" customWidth="1"/>
    <col min="2058" max="2060" width="12.7109375" style="231" customWidth="1"/>
    <col min="2061" max="2304" width="9.140625" style="231"/>
    <col min="2305" max="2305" width="41" style="231" customWidth="1"/>
    <col min="2306" max="2310" width="0" style="231" hidden="1" customWidth="1"/>
    <col min="2311" max="2311" width="17.28515625" style="231" customWidth="1"/>
    <col min="2312" max="2312" width="15.5703125" style="231" customWidth="1"/>
    <col min="2313" max="2313" width="15.42578125" style="231" customWidth="1"/>
    <col min="2314" max="2316" width="12.7109375" style="231" customWidth="1"/>
    <col min="2317" max="2560" width="9.140625" style="231"/>
    <col min="2561" max="2561" width="41" style="231" customWidth="1"/>
    <col min="2562" max="2566" width="0" style="231" hidden="1" customWidth="1"/>
    <col min="2567" max="2567" width="17.28515625" style="231" customWidth="1"/>
    <col min="2568" max="2568" width="15.5703125" style="231" customWidth="1"/>
    <col min="2569" max="2569" width="15.42578125" style="231" customWidth="1"/>
    <col min="2570" max="2572" width="12.7109375" style="231" customWidth="1"/>
    <col min="2573" max="2816" width="9.140625" style="231"/>
    <col min="2817" max="2817" width="41" style="231" customWidth="1"/>
    <col min="2818" max="2822" width="0" style="231" hidden="1" customWidth="1"/>
    <col min="2823" max="2823" width="17.28515625" style="231" customWidth="1"/>
    <col min="2824" max="2824" width="15.5703125" style="231" customWidth="1"/>
    <col min="2825" max="2825" width="15.42578125" style="231" customWidth="1"/>
    <col min="2826" max="2828" width="12.7109375" style="231" customWidth="1"/>
    <col min="2829" max="3072" width="9.140625" style="231"/>
    <col min="3073" max="3073" width="41" style="231" customWidth="1"/>
    <col min="3074" max="3078" width="0" style="231" hidden="1" customWidth="1"/>
    <col min="3079" max="3079" width="17.28515625" style="231" customWidth="1"/>
    <col min="3080" max="3080" width="15.5703125" style="231" customWidth="1"/>
    <col min="3081" max="3081" width="15.42578125" style="231" customWidth="1"/>
    <col min="3082" max="3084" width="12.7109375" style="231" customWidth="1"/>
    <col min="3085" max="3328" width="9.140625" style="231"/>
    <col min="3329" max="3329" width="41" style="231" customWidth="1"/>
    <col min="3330" max="3334" width="0" style="231" hidden="1" customWidth="1"/>
    <col min="3335" max="3335" width="17.28515625" style="231" customWidth="1"/>
    <col min="3336" max="3336" width="15.5703125" style="231" customWidth="1"/>
    <col min="3337" max="3337" width="15.42578125" style="231" customWidth="1"/>
    <col min="3338" max="3340" width="12.7109375" style="231" customWidth="1"/>
    <col min="3341" max="3584" width="9.140625" style="231"/>
    <col min="3585" max="3585" width="41" style="231" customWidth="1"/>
    <col min="3586" max="3590" width="0" style="231" hidden="1" customWidth="1"/>
    <col min="3591" max="3591" width="17.28515625" style="231" customWidth="1"/>
    <col min="3592" max="3592" width="15.5703125" style="231" customWidth="1"/>
    <col min="3593" max="3593" width="15.42578125" style="231" customWidth="1"/>
    <col min="3594" max="3596" width="12.7109375" style="231" customWidth="1"/>
    <col min="3597" max="3840" width="9.140625" style="231"/>
    <col min="3841" max="3841" width="41" style="231" customWidth="1"/>
    <col min="3842" max="3846" width="0" style="231" hidden="1" customWidth="1"/>
    <col min="3847" max="3847" width="17.28515625" style="231" customWidth="1"/>
    <col min="3848" max="3848" width="15.5703125" style="231" customWidth="1"/>
    <col min="3849" max="3849" width="15.42578125" style="231" customWidth="1"/>
    <col min="3850" max="3852" width="12.7109375" style="231" customWidth="1"/>
    <col min="3853" max="4096" width="9.140625" style="231"/>
    <col min="4097" max="4097" width="41" style="231" customWidth="1"/>
    <col min="4098" max="4102" width="0" style="231" hidden="1" customWidth="1"/>
    <col min="4103" max="4103" width="17.28515625" style="231" customWidth="1"/>
    <col min="4104" max="4104" width="15.5703125" style="231" customWidth="1"/>
    <col min="4105" max="4105" width="15.42578125" style="231" customWidth="1"/>
    <col min="4106" max="4108" width="12.7109375" style="231" customWidth="1"/>
    <col min="4109" max="4352" width="9.140625" style="231"/>
    <col min="4353" max="4353" width="41" style="231" customWidth="1"/>
    <col min="4354" max="4358" width="0" style="231" hidden="1" customWidth="1"/>
    <col min="4359" max="4359" width="17.28515625" style="231" customWidth="1"/>
    <col min="4360" max="4360" width="15.5703125" style="231" customWidth="1"/>
    <col min="4361" max="4361" width="15.42578125" style="231" customWidth="1"/>
    <col min="4362" max="4364" width="12.7109375" style="231" customWidth="1"/>
    <col min="4365" max="4608" width="9.140625" style="231"/>
    <col min="4609" max="4609" width="41" style="231" customWidth="1"/>
    <col min="4610" max="4614" width="0" style="231" hidden="1" customWidth="1"/>
    <col min="4615" max="4615" width="17.28515625" style="231" customWidth="1"/>
    <col min="4616" max="4616" width="15.5703125" style="231" customWidth="1"/>
    <col min="4617" max="4617" width="15.42578125" style="231" customWidth="1"/>
    <col min="4618" max="4620" width="12.7109375" style="231" customWidth="1"/>
    <col min="4621" max="4864" width="9.140625" style="231"/>
    <col min="4865" max="4865" width="41" style="231" customWidth="1"/>
    <col min="4866" max="4870" width="0" style="231" hidden="1" customWidth="1"/>
    <col min="4871" max="4871" width="17.28515625" style="231" customWidth="1"/>
    <col min="4872" max="4872" width="15.5703125" style="231" customWidth="1"/>
    <col min="4873" max="4873" width="15.42578125" style="231" customWidth="1"/>
    <col min="4874" max="4876" width="12.7109375" style="231" customWidth="1"/>
    <col min="4877" max="5120" width="9.140625" style="231"/>
    <col min="5121" max="5121" width="41" style="231" customWidth="1"/>
    <col min="5122" max="5126" width="0" style="231" hidden="1" customWidth="1"/>
    <col min="5127" max="5127" width="17.28515625" style="231" customWidth="1"/>
    <col min="5128" max="5128" width="15.5703125" style="231" customWidth="1"/>
    <col min="5129" max="5129" width="15.42578125" style="231" customWidth="1"/>
    <col min="5130" max="5132" width="12.7109375" style="231" customWidth="1"/>
    <col min="5133" max="5376" width="9.140625" style="231"/>
    <col min="5377" max="5377" width="41" style="231" customWidth="1"/>
    <col min="5378" max="5382" width="0" style="231" hidden="1" customWidth="1"/>
    <col min="5383" max="5383" width="17.28515625" style="231" customWidth="1"/>
    <col min="5384" max="5384" width="15.5703125" style="231" customWidth="1"/>
    <col min="5385" max="5385" width="15.42578125" style="231" customWidth="1"/>
    <col min="5386" max="5388" width="12.7109375" style="231" customWidth="1"/>
    <col min="5389" max="5632" width="9.140625" style="231"/>
    <col min="5633" max="5633" width="41" style="231" customWidth="1"/>
    <col min="5634" max="5638" width="0" style="231" hidden="1" customWidth="1"/>
    <col min="5639" max="5639" width="17.28515625" style="231" customWidth="1"/>
    <col min="5640" max="5640" width="15.5703125" style="231" customWidth="1"/>
    <col min="5641" max="5641" width="15.42578125" style="231" customWidth="1"/>
    <col min="5642" max="5644" width="12.7109375" style="231" customWidth="1"/>
    <col min="5645" max="5888" width="9.140625" style="231"/>
    <col min="5889" max="5889" width="41" style="231" customWidth="1"/>
    <col min="5890" max="5894" width="0" style="231" hidden="1" customWidth="1"/>
    <col min="5895" max="5895" width="17.28515625" style="231" customWidth="1"/>
    <col min="5896" max="5896" width="15.5703125" style="231" customWidth="1"/>
    <col min="5897" max="5897" width="15.42578125" style="231" customWidth="1"/>
    <col min="5898" max="5900" width="12.7109375" style="231" customWidth="1"/>
    <col min="5901" max="6144" width="9.140625" style="231"/>
    <col min="6145" max="6145" width="41" style="231" customWidth="1"/>
    <col min="6146" max="6150" width="0" style="231" hidden="1" customWidth="1"/>
    <col min="6151" max="6151" width="17.28515625" style="231" customWidth="1"/>
    <col min="6152" max="6152" width="15.5703125" style="231" customWidth="1"/>
    <col min="6153" max="6153" width="15.42578125" style="231" customWidth="1"/>
    <col min="6154" max="6156" width="12.7109375" style="231" customWidth="1"/>
    <col min="6157" max="6400" width="9.140625" style="231"/>
    <col min="6401" max="6401" width="41" style="231" customWidth="1"/>
    <col min="6402" max="6406" width="0" style="231" hidden="1" customWidth="1"/>
    <col min="6407" max="6407" width="17.28515625" style="231" customWidth="1"/>
    <col min="6408" max="6408" width="15.5703125" style="231" customWidth="1"/>
    <col min="6409" max="6409" width="15.42578125" style="231" customWidth="1"/>
    <col min="6410" max="6412" width="12.7109375" style="231" customWidth="1"/>
    <col min="6413" max="6656" width="9.140625" style="231"/>
    <col min="6657" max="6657" width="41" style="231" customWidth="1"/>
    <col min="6658" max="6662" width="0" style="231" hidden="1" customWidth="1"/>
    <col min="6663" max="6663" width="17.28515625" style="231" customWidth="1"/>
    <col min="6664" max="6664" width="15.5703125" style="231" customWidth="1"/>
    <col min="6665" max="6665" width="15.42578125" style="231" customWidth="1"/>
    <col min="6666" max="6668" width="12.7109375" style="231" customWidth="1"/>
    <col min="6669" max="6912" width="9.140625" style="231"/>
    <col min="6913" max="6913" width="41" style="231" customWidth="1"/>
    <col min="6914" max="6918" width="0" style="231" hidden="1" customWidth="1"/>
    <col min="6919" max="6919" width="17.28515625" style="231" customWidth="1"/>
    <col min="6920" max="6920" width="15.5703125" style="231" customWidth="1"/>
    <col min="6921" max="6921" width="15.42578125" style="231" customWidth="1"/>
    <col min="6922" max="6924" width="12.7109375" style="231" customWidth="1"/>
    <col min="6925" max="7168" width="9.140625" style="231"/>
    <col min="7169" max="7169" width="41" style="231" customWidth="1"/>
    <col min="7170" max="7174" width="0" style="231" hidden="1" customWidth="1"/>
    <col min="7175" max="7175" width="17.28515625" style="231" customWidth="1"/>
    <col min="7176" max="7176" width="15.5703125" style="231" customWidth="1"/>
    <col min="7177" max="7177" width="15.42578125" style="231" customWidth="1"/>
    <col min="7178" max="7180" width="12.7109375" style="231" customWidth="1"/>
    <col min="7181" max="7424" width="9.140625" style="231"/>
    <col min="7425" max="7425" width="41" style="231" customWidth="1"/>
    <col min="7426" max="7430" width="0" style="231" hidden="1" customWidth="1"/>
    <col min="7431" max="7431" width="17.28515625" style="231" customWidth="1"/>
    <col min="7432" max="7432" width="15.5703125" style="231" customWidth="1"/>
    <col min="7433" max="7433" width="15.42578125" style="231" customWidth="1"/>
    <col min="7434" max="7436" width="12.7109375" style="231" customWidth="1"/>
    <col min="7437" max="7680" width="9.140625" style="231"/>
    <col min="7681" max="7681" width="41" style="231" customWidth="1"/>
    <col min="7682" max="7686" width="0" style="231" hidden="1" customWidth="1"/>
    <col min="7687" max="7687" width="17.28515625" style="231" customWidth="1"/>
    <col min="7688" max="7688" width="15.5703125" style="231" customWidth="1"/>
    <col min="7689" max="7689" width="15.42578125" style="231" customWidth="1"/>
    <col min="7690" max="7692" width="12.7109375" style="231" customWidth="1"/>
    <col min="7693" max="7936" width="9.140625" style="231"/>
    <col min="7937" max="7937" width="41" style="231" customWidth="1"/>
    <col min="7938" max="7942" width="0" style="231" hidden="1" customWidth="1"/>
    <col min="7943" max="7943" width="17.28515625" style="231" customWidth="1"/>
    <col min="7944" max="7944" width="15.5703125" style="231" customWidth="1"/>
    <col min="7945" max="7945" width="15.42578125" style="231" customWidth="1"/>
    <col min="7946" max="7948" width="12.7109375" style="231" customWidth="1"/>
    <col min="7949" max="8192" width="9.140625" style="231"/>
    <col min="8193" max="8193" width="41" style="231" customWidth="1"/>
    <col min="8194" max="8198" width="0" style="231" hidden="1" customWidth="1"/>
    <col min="8199" max="8199" width="17.28515625" style="231" customWidth="1"/>
    <col min="8200" max="8200" width="15.5703125" style="231" customWidth="1"/>
    <col min="8201" max="8201" width="15.42578125" style="231" customWidth="1"/>
    <col min="8202" max="8204" width="12.7109375" style="231" customWidth="1"/>
    <col min="8205" max="8448" width="9.140625" style="231"/>
    <col min="8449" max="8449" width="41" style="231" customWidth="1"/>
    <col min="8450" max="8454" width="0" style="231" hidden="1" customWidth="1"/>
    <col min="8455" max="8455" width="17.28515625" style="231" customWidth="1"/>
    <col min="8456" max="8456" width="15.5703125" style="231" customWidth="1"/>
    <col min="8457" max="8457" width="15.42578125" style="231" customWidth="1"/>
    <col min="8458" max="8460" width="12.7109375" style="231" customWidth="1"/>
    <col min="8461" max="8704" width="9.140625" style="231"/>
    <col min="8705" max="8705" width="41" style="231" customWidth="1"/>
    <col min="8706" max="8710" width="0" style="231" hidden="1" customWidth="1"/>
    <col min="8711" max="8711" width="17.28515625" style="231" customWidth="1"/>
    <col min="8712" max="8712" width="15.5703125" style="231" customWidth="1"/>
    <col min="8713" max="8713" width="15.42578125" style="231" customWidth="1"/>
    <col min="8714" max="8716" width="12.7109375" style="231" customWidth="1"/>
    <col min="8717" max="8960" width="9.140625" style="231"/>
    <col min="8961" max="8961" width="41" style="231" customWidth="1"/>
    <col min="8962" max="8966" width="0" style="231" hidden="1" customWidth="1"/>
    <col min="8967" max="8967" width="17.28515625" style="231" customWidth="1"/>
    <col min="8968" max="8968" width="15.5703125" style="231" customWidth="1"/>
    <col min="8969" max="8969" width="15.42578125" style="231" customWidth="1"/>
    <col min="8970" max="8972" width="12.7109375" style="231" customWidth="1"/>
    <col min="8973" max="9216" width="9.140625" style="231"/>
    <col min="9217" max="9217" width="41" style="231" customWidth="1"/>
    <col min="9218" max="9222" width="0" style="231" hidden="1" customWidth="1"/>
    <col min="9223" max="9223" width="17.28515625" style="231" customWidth="1"/>
    <col min="9224" max="9224" width="15.5703125" style="231" customWidth="1"/>
    <col min="9225" max="9225" width="15.42578125" style="231" customWidth="1"/>
    <col min="9226" max="9228" width="12.7109375" style="231" customWidth="1"/>
    <col min="9229" max="9472" width="9.140625" style="231"/>
    <col min="9473" max="9473" width="41" style="231" customWidth="1"/>
    <col min="9474" max="9478" width="0" style="231" hidden="1" customWidth="1"/>
    <col min="9479" max="9479" width="17.28515625" style="231" customWidth="1"/>
    <col min="9480" max="9480" width="15.5703125" style="231" customWidth="1"/>
    <col min="9481" max="9481" width="15.42578125" style="231" customWidth="1"/>
    <col min="9482" max="9484" width="12.7109375" style="231" customWidth="1"/>
    <col min="9485" max="9728" width="9.140625" style="231"/>
    <col min="9729" max="9729" width="41" style="231" customWidth="1"/>
    <col min="9730" max="9734" width="0" style="231" hidden="1" customWidth="1"/>
    <col min="9735" max="9735" width="17.28515625" style="231" customWidth="1"/>
    <col min="9736" max="9736" width="15.5703125" style="231" customWidth="1"/>
    <col min="9737" max="9737" width="15.42578125" style="231" customWidth="1"/>
    <col min="9738" max="9740" width="12.7109375" style="231" customWidth="1"/>
    <col min="9741" max="9984" width="9.140625" style="231"/>
    <col min="9985" max="9985" width="41" style="231" customWidth="1"/>
    <col min="9986" max="9990" width="0" style="231" hidden="1" customWidth="1"/>
    <col min="9991" max="9991" width="17.28515625" style="231" customWidth="1"/>
    <col min="9992" max="9992" width="15.5703125" style="231" customWidth="1"/>
    <col min="9993" max="9993" width="15.42578125" style="231" customWidth="1"/>
    <col min="9994" max="9996" width="12.7109375" style="231" customWidth="1"/>
    <col min="9997" max="10240" width="9.140625" style="231"/>
    <col min="10241" max="10241" width="41" style="231" customWidth="1"/>
    <col min="10242" max="10246" width="0" style="231" hidden="1" customWidth="1"/>
    <col min="10247" max="10247" width="17.28515625" style="231" customWidth="1"/>
    <col min="10248" max="10248" width="15.5703125" style="231" customWidth="1"/>
    <col min="10249" max="10249" width="15.42578125" style="231" customWidth="1"/>
    <col min="10250" max="10252" width="12.7109375" style="231" customWidth="1"/>
    <col min="10253" max="10496" width="9.140625" style="231"/>
    <col min="10497" max="10497" width="41" style="231" customWidth="1"/>
    <col min="10498" max="10502" width="0" style="231" hidden="1" customWidth="1"/>
    <col min="10503" max="10503" width="17.28515625" style="231" customWidth="1"/>
    <col min="10504" max="10504" width="15.5703125" style="231" customWidth="1"/>
    <col min="10505" max="10505" width="15.42578125" style="231" customWidth="1"/>
    <col min="10506" max="10508" width="12.7109375" style="231" customWidth="1"/>
    <col min="10509" max="10752" width="9.140625" style="231"/>
    <col min="10753" max="10753" width="41" style="231" customWidth="1"/>
    <col min="10754" max="10758" width="0" style="231" hidden="1" customWidth="1"/>
    <col min="10759" max="10759" width="17.28515625" style="231" customWidth="1"/>
    <col min="10760" max="10760" width="15.5703125" style="231" customWidth="1"/>
    <col min="10761" max="10761" width="15.42578125" style="231" customWidth="1"/>
    <col min="10762" max="10764" width="12.7109375" style="231" customWidth="1"/>
    <col min="10765" max="11008" width="9.140625" style="231"/>
    <col min="11009" max="11009" width="41" style="231" customWidth="1"/>
    <col min="11010" max="11014" width="0" style="231" hidden="1" customWidth="1"/>
    <col min="11015" max="11015" width="17.28515625" style="231" customWidth="1"/>
    <col min="11016" max="11016" width="15.5703125" style="231" customWidth="1"/>
    <col min="11017" max="11017" width="15.42578125" style="231" customWidth="1"/>
    <col min="11018" max="11020" width="12.7109375" style="231" customWidth="1"/>
    <col min="11021" max="11264" width="9.140625" style="231"/>
    <col min="11265" max="11265" width="41" style="231" customWidth="1"/>
    <col min="11266" max="11270" width="0" style="231" hidden="1" customWidth="1"/>
    <col min="11271" max="11271" width="17.28515625" style="231" customWidth="1"/>
    <col min="11272" max="11272" width="15.5703125" style="231" customWidth="1"/>
    <col min="11273" max="11273" width="15.42578125" style="231" customWidth="1"/>
    <col min="11274" max="11276" width="12.7109375" style="231" customWidth="1"/>
    <col min="11277" max="11520" width="9.140625" style="231"/>
    <col min="11521" max="11521" width="41" style="231" customWidth="1"/>
    <col min="11522" max="11526" width="0" style="231" hidden="1" customWidth="1"/>
    <col min="11527" max="11527" width="17.28515625" style="231" customWidth="1"/>
    <col min="11528" max="11528" width="15.5703125" style="231" customWidth="1"/>
    <col min="11529" max="11529" width="15.42578125" style="231" customWidth="1"/>
    <col min="11530" max="11532" width="12.7109375" style="231" customWidth="1"/>
    <col min="11533" max="11776" width="9.140625" style="231"/>
    <col min="11777" max="11777" width="41" style="231" customWidth="1"/>
    <col min="11778" max="11782" width="0" style="231" hidden="1" customWidth="1"/>
    <col min="11783" max="11783" width="17.28515625" style="231" customWidth="1"/>
    <col min="11784" max="11784" width="15.5703125" style="231" customWidth="1"/>
    <col min="11785" max="11785" width="15.42578125" style="231" customWidth="1"/>
    <col min="11786" max="11788" width="12.7109375" style="231" customWidth="1"/>
    <col min="11789" max="12032" width="9.140625" style="231"/>
    <col min="12033" max="12033" width="41" style="231" customWidth="1"/>
    <col min="12034" max="12038" width="0" style="231" hidden="1" customWidth="1"/>
    <col min="12039" max="12039" width="17.28515625" style="231" customWidth="1"/>
    <col min="12040" max="12040" width="15.5703125" style="231" customWidth="1"/>
    <col min="12041" max="12041" width="15.42578125" style="231" customWidth="1"/>
    <col min="12042" max="12044" width="12.7109375" style="231" customWidth="1"/>
    <col min="12045" max="12288" width="9.140625" style="231"/>
    <col min="12289" max="12289" width="41" style="231" customWidth="1"/>
    <col min="12290" max="12294" width="0" style="231" hidden="1" customWidth="1"/>
    <col min="12295" max="12295" width="17.28515625" style="231" customWidth="1"/>
    <col min="12296" max="12296" width="15.5703125" style="231" customWidth="1"/>
    <col min="12297" max="12297" width="15.42578125" style="231" customWidth="1"/>
    <col min="12298" max="12300" width="12.7109375" style="231" customWidth="1"/>
    <col min="12301" max="12544" width="9.140625" style="231"/>
    <col min="12545" max="12545" width="41" style="231" customWidth="1"/>
    <col min="12546" max="12550" width="0" style="231" hidden="1" customWidth="1"/>
    <col min="12551" max="12551" width="17.28515625" style="231" customWidth="1"/>
    <col min="12552" max="12552" width="15.5703125" style="231" customWidth="1"/>
    <col min="12553" max="12553" width="15.42578125" style="231" customWidth="1"/>
    <col min="12554" max="12556" width="12.7109375" style="231" customWidth="1"/>
    <col min="12557" max="12800" width="9.140625" style="231"/>
    <col min="12801" max="12801" width="41" style="231" customWidth="1"/>
    <col min="12802" max="12806" width="0" style="231" hidden="1" customWidth="1"/>
    <col min="12807" max="12807" width="17.28515625" style="231" customWidth="1"/>
    <col min="12808" max="12808" width="15.5703125" style="231" customWidth="1"/>
    <col min="12809" max="12809" width="15.42578125" style="231" customWidth="1"/>
    <col min="12810" max="12812" width="12.7109375" style="231" customWidth="1"/>
    <col min="12813" max="13056" width="9.140625" style="231"/>
    <col min="13057" max="13057" width="41" style="231" customWidth="1"/>
    <col min="13058" max="13062" width="0" style="231" hidden="1" customWidth="1"/>
    <col min="13063" max="13063" width="17.28515625" style="231" customWidth="1"/>
    <col min="13064" max="13064" width="15.5703125" style="231" customWidth="1"/>
    <col min="13065" max="13065" width="15.42578125" style="231" customWidth="1"/>
    <col min="13066" max="13068" width="12.7109375" style="231" customWidth="1"/>
    <col min="13069" max="13312" width="9.140625" style="231"/>
    <col min="13313" max="13313" width="41" style="231" customWidth="1"/>
    <col min="13314" max="13318" width="0" style="231" hidden="1" customWidth="1"/>
    <col min="13319" max="13319" width="17.28515625" style="231" customWidth="1"/>
    <col min="13320" max="13320" width="15.5703125" style="231" customWidth="1"/>
    <col min="13321" max="13321" width="15.42578125" style="231" customWidth="1"/>
    <col min="13322" max="13324" width="12.7109375" style="231" customWidth="1"/>
    <col min="13325" max="13568" width="9.140625" style="231"/>
    <col min="13569" max="13569" width="41" style="231" customWidth="1"/>
    <col min="13570" max="13574" width="0" style="231" hidden="1" customWidth="1"/>
    <col min="13575" max="13575" width="17.28515625" style="231" customWidth="1"/>
    <col min="13576" max="13576" width="15.5703125" style="231" customWidth="1"/>
    <col min="13577" max="13577" width="15.42578125" style="231" customWidth="1"/>
    <col min="13578" max="13580" width="12.7109375" style="231" customWidth="1"/>
    <col min="13581" max="13824" width="9.140625" style="231"/>
    <col min="13825" max="13825" width="41" style="231" customWidth="1"/>
    <col min="13826" max="13830" width="0" style="231" hidden="1" customWidth="1"/>
    <col min="13831" max="13831" width="17.28515625" style="231" customWidth="1"/>
    <col min="13832" max="13832" width="15.5703125" style="231" customWidth="1"/>
    <col min="13833" max="13833" width="15.42578125" style="231" customWidth="1"/>
    <col min="13834" max="13836" width="12.7109375" style="231" customWidth="1"/>
    <col min="13837" max="14080" width="9.140625" style="231"/>
    <col min="14081" max="14081" width="41" style="231" customWidth="1"/>
    <col min="14082" max="14086" width="0" style="231" hidden="1" customWidth="1"/>
    <col min="14087" max="14087" width="17.28515625" style="231" customWidth="1"/>
    <col min="14088" max="14088" width="15.5703125" style="231" customWidth="1"/>
    <col min="14089" max="14089" width="15.42578125" style="231" customWidth="1"/>
    <col min="14090" max="14092" width="12.7109375" style="231" customWidth="1"/>
    <col min="14093" max="14336" width="9.140625" style="231"/>
    <col min="14337" max="14337" width="41" style="231" customWidth="1"/>
    <col min="14338" max="14342" width="0" style="231" hidden="1" customWidth="1"/>
    <col min="14343" max="14343" width="17.28515625" style="231" customWidth="1"/>
    <col min="14344" max="14344" width="15.5703125" style="231" customWidth="1"/>
    <col min="14345" max="14345" width="15.42578125" style="231" customWidth="1"/>
    <col min="14346" max="14348" width="12.7109375" style="231" customWidth="1"/>
    <col min="14349" max="14592" width="9.140625" style="231"/>
    <col min="14593" max="14593" width="41" style="231" customWidth="1"/>
    <col min="14594" max="14598" width="0" style="231" hidden="1" customWidth="1"/>
    <col min="14599" max="14599" width="17.28515625" style="231" customWidth="1"/>
    <col min="14600" max="14600" width="15.5703125" style="231" customWidth="1"/>
    <col min="14601" max="14601" width="15.42578125" style="231" customWidth="1"/>
    <col min="14602" max="14604" width="12.7109375" style="231" customWidth="1"/>
    <col min="14605" max="14848" width="9.140625" style="231"/>
    <col min="14849" max="14849" width="41" style="231" customWidth="1"/>
    <col min="14850" max="14854" width="0" style="231" hidden="1" customWidth="1"/>
    <col min="14855" max="14855" width="17.28515625" style="231" customWidth="1"/>
    <col min="14856" max="14856" width="15.5703125" style="231" customWidth="1"/>
    <col min="14857" max="14857" width="15.42578125" style="231" customWidth="1"/>
    <col min="14858" max="14860" width="12.7109375" style="231" customWidth="1"/>
    <col min="14861" max="15104" width="9.140625" style="231"/>
    <col min="15105" max="15105" width="41" style="231" customWidth="1"/>
    <col min="15106" max="15110" width="0" style="231" hidden="1" customWidth="1"/>
    <col min="15111" max="15111" width="17.28515625" style="231" customWidth="1"/>
    <col min="15112" max="15112" width="15.5703125" style="231" customWidth="1"/>
    <col min="15113" max="15113" width="15.42578125" style="231" customWidth="1"/>
    <col min="15114" max="15116" width="12.7109375" style="231" customWidth="1"/>
    <col min="15117" max="15360" width="9.140625" style="231"/>
    <col min="15361" max="15361" width="41" style="231" customWidth="1"/>
    <col min="15362" max="15366" width="0" style="231" hidden="1" customWidth="1"/>
    <col min="15367" max="15367" width="17.28515625" style="231" customWidth="1"/>
    <col min="15368" max="15368" width="15.5703125" style="231" customWidth="1"/>
    <col min="15369" max="15369" width="15.42578125" style="231" customWidth="1"/>
    <col min="15370" max="15372" width="12.7109375" style="231" customWidth="1"/>
    <col min="15373" max="15616" width="9.140625" style="231"/>
    <col min="15617" max="15617" width="41" style="231" customWidth="1"/>
    <col min="15618" max="15622" width="0" style="231" hidden="1" customWidth="1"/>
    <col min="15623" max="15623" width="17.28515625" style="231" customWidth="1"/>
    <col min="15624" max="15624" width="15.5703125" style="231" customWidth="1"/>
    <col min="15625" max="15625" width="15.42578125" style="231" customWidth="1"/>
    <col min="15626" max="15628" width="12.7109375" style="231" customWidth="1"/>
    <col min="15629" max="15872" width="9.140625" style="231"/>
    <col min="15873" max="15873" width="41" style="231" customWidth="1"/>
    <col min="15874" max="15878" width="0" style="231" hidden="1" customWidth="1"/>
    <col min="15879" max="15879" width="17.28515625" style="231" customWidth="1"/>
    <col min="15880" max="15880" width="15.5703125" style="231" customWidth="1"/>
    <col min="15881" max="15881" width="15.42578125" style="231" customWidth="1"/>
    <col min="15882" max="15884" width="12.7109375" style="231" customWidth="1"/>
    <col min="15885" max="16128" width="9.140625" style="231"/>
    <col min="16129" max="16129" width="41" style="231" customWidth="1"/>
    <col min="16130" max="16134" width="0" style="231" hidden="1" customWidth="1"/>
    <col min="16135" max="16135" width="17.28515625" style="231" customWidth="1"/>
    <col min="16136" max="16136" width="15.5703125" style="231" customWidth="1"/>
    <col min="16137" max="16137" width="15.42578125" style="231" customWidth="1"/>
    <col min="16138" max="16140" width="12.7109375" style="231" customWidth="1"/>
    <col min="16141" max="16384" width="9.140625" style="231"/>
  </cols>
  <sheetData>
    <row r="2" spans="1:12" ht="15.75">
      <c r="A2" s="573" t="str">
        <f>'CMI iii'!B1</f>
        <v>……………………………. Pvt Ltd</v>
      </c>
      <c r="B2" s="573"/>
      <c r="C2" s="573"/>
      <c r="D2" s="573"/>
      <c r="E2" s="573"/>
      <c r="F2" s="573"/>
      <c r="G2" s="573"/>
      <c r="H2" s="573"/>
    </row>
    <row r="3" spans="1:12" ht="15">
      <c r="A3" s="574" t="s">
        <v>457</v>
      </c>
      <c r="B3" s="574"/>
      <c r="C3" s="574"/>
      <c r="D3" s="574"/>
      <c r="E3" s="574"/>
      <c r="F3" s="574"/>
      <c r="G3" s="574"/>
      <c r="H3" s="574"/>
      <c r="I3" s="574"/>
      <c r="J3" s="574"/>
      <c r="K3" s="574"/>
      <c r="L3" s="574"/>
    </row>
    <row r="4" spans="1:12" ht="15">
      <c r="A4" s="232"/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</row>
    <row r="5" spans="1:12">
      <c r="A5" s="233" t="s">
        <v>256</v>
      </c>
      <c r="B5" s="234"/>
      <c r="C5" s="235">
        <v>2012</v>
      </c>
      <c r="D5" s="235">
        <v>2012</v>
      </c>
      <c r="E5" s="235">
        <v>2013</v>
      </c>
      <c r="F5" s="235" t="s">
        <v>458</v>
      </c>
      <c r="G5" s="236" t="s">
        <v>362</v>
      </c>
      <c r="H5" s="236" t="s">
        <v>363</v>
      </c>
      <c r="I5" s="236" t="s">
        <v>364</v>
      </c>
      <c r="J5" s="236" t="s">
        <v>365</v>
      </c>
      <c r="K5" s="235" t="s">
        <v>366</v>
      </c>
      <c r="L5" s="236" t="s">
        <v>454</v>
      </c>
    </row>
    <row r="6" spans="1:12">
      <c r="A6" s="237"/>
      <c r="B6" s="238"/>
      <c r="C6" s="238"/>
      <c r="D6" s="238"/>
      <c r="E6" s="238"/>
      <c r="F6" s="239"/>
      <c r="G6" s="240"/>
      <c r="H6" s="237"/>
      <c r="I6" s="237"/>
      <c r="J6" s="237"/>
      <c r="K6" s="238"/>
      <c r="L6" s="237"/>
    </row>
    <row r="7" spans="1:12">
      <c r="A7" s="241" t="s">
        <v>257</v>
      </c>
      <c r="B7" s="242"/>
      <c r="C7" s="243"/>
      <c r="D7" s="243"/>
      <c r="E7" s="243"/>
      <c r="F7" s="243"/>
      <c r="G7" s="244"/>
      <c r="H7" s="244"/>
      <c r="I7" s="244"/>
      <c r="J7" s="244"/>
      <c r="K7" s="243"/>
      <c r="L7" s="244"/>
    </row>
    <row r="8" spans="1:12">
      <c r="A8" s="245" t="s">
        <v>258</v>
      </c>
      <c r="B8" s="243"/>
      <c r="C8" s="246" t="e">
        <f>'CMI iii'!#REF!</f>
        <v>#REF!</v>
      </c>
      <c r="D8" s="246">
        <f>'CMI iii'!C96</f>
        <v>957.9632223000001</v>
      </c>
      <c r="E8" s="246">
        <f>'CMI iii'!D96</f>
        <v>1.45733</v>
      </c>
      <c r="F8" s="246">
        <f>'CMI iii'!E96</f>
        <v>0.65376999999999996</v>
      </c>
      <c r="G8" s="247">
        <f>'CMI iii'!F96</f>
        <v>681.45085333333327</v>
      </c>
      <c r="H8" s="247">
        <f>'CMI iii'!G96</f>
        <v>766.03359812483359</v>
      </c>
      <c r="I8" s="247">
        <f>'CMI iii'!H96</f>
        <v>857.61608822030803</v>
      </c>
      <c r="J8" s="247">
        <f>'CMI iii'!I96</f>
        <v>913.3427217693918</v>
      </c>
      <c r="K8" s="247">
        <f>'CMI iii'!J96</f>
        <v>975.09314134520059</v>
      </c>
      <c r="L8" s="247">
        <f>'CMI iii'!K96</f>
        <v>1028.8843078128159</v>
      </c>
    </row>
    <row r="9" spans="1:12">
      <c r="A9" s="248" t="s">
        <v>259</v>
      </c>
      <c r="B9" s="243"/>
      <c r="C9" s="242" t="e">
        <f>'CMI iii'!#REF!</f>
        <v>#REF!</v>
      </c>
      <c r="D9" s="242">
        <f>'CMI iii'!C31</f>
        <v>663.62553509999998</v>
      </c>
      <c r="E9" s="242">
        <f>'CMI iii'!D31</f>
        <v>1.4999999999999999E-2</v>
      </c>
      <c r="F9" s="242">
        <f>'CMI iii'!E31</f>
        <v>1.4999999999999999E-2</v>
      </c>
      <c r="G9" s="249">
        <f>'CMI iii'!F31</f>
        <v>446.00058520849996</v>
      </c>
      <c r="H9" s="249">
        <f>'CMI iii'!G31</f>
        <v>504.7925099045251</v>
      </c>
      <c r="I9" s="249">
        <f>'CMI iii'!H31</f>
        <v>518.64836645091611</v>
      </c>
      <c r="J9" s="249">
        <f>'CMI iii'!I31</f>
        <v>518.62458042419178</v>
      </c>
      <c r="K9" s="249">
        <f>'CMI iii'!J31</f>
        <v>525.58383353238492</v>
      </c>
      <c r="L9" s="249">
        <f>'CMI iii'!K31</f>
        <v>526.78603278216667</v>
      </c>
    </row>
    <row r="10" spans="1:12">
      <c r="A10" s="248"/>
      <c r="B10" s="243"/>
      <c r="C10" s="243"/>
      <c r="D10" s="243"/>
      <c r="E10" s="243"/>
      <c r="F10" s="243"/>
      <c r="G10" s="244"/>
      <c r="H10" s="244"/>
      <c r="I10" s="244"/>
      <c r="J10" s="244"/>
      <c r="K10" s="244"/>
      <c r="L10" s="244"/>
    </row>
    <row r="11" spans="1:12">
      <c r="A11" s="248"/>
      <c r="B11" s="243"/>
      <c r="C11" s="242" t="e">
        <f t="shared" ref="C11:L11" si="0">C8/C9</f>
        <v>#REF!</v>
      </c>
      <c r="D11" s="250">
        <f t="shared" si="0"/>
        <v>1.443529779419424</v>
      </c>
      <c r="E11" s="250">
        <f t="shared" si="0"/>
        <v>97.155333333333331</v>
      </c>
      <c r="F11" s="250">
        <f t="shared" si="0"/>
        <v>43.584666666666664</v>
      </c>
      <c r="G11" s="251">
        <f t="shared" si="0"/>
        <v>1.5279147066920622</v>
      </c>
      <c r="H11" s="251">
        <f t="shared" si="0"/>
        <v>1.5175217204980296</v>
      </c>
      <c r="I11" s="251">
        <f t="shared" si="0"/>
        <v>1.65355979830599</v>
      </c>
      <c r="J11" s="251">
        <f t="shared" si="0"/>
        <v>1.761086451055508</v>
      </c>
      <c r="K11" s="251">
        <f t="shared" si="0"/>
        <v>1.8552571048308666</v>
      </c>
      <c r="L11" s="251">
        <f t="shared" si="0"/>
        <v>1.9531351322639829</v>
      </c>
    </row>
    <row r="12" spans="1:12">
      <c r="A12" s="248"/>
      <c r="B12" s="243"/>
      <c r="C12" s="243"/>
      <c r="D12" s="243"/>
      <c r="E12" s="243"/>
      <c r="F12" s="243"/>
      <c r="G12" s="244"/>
      <c r="H12" s="244"/>
      <c r="I12" s="244"/>
      <c r="J12" s="244"/>
      <c r="K12" s="244"/>
      <c r="L12" s="244"/>
    </row>
    <row r="13" spans="1:12">
      <c r="A13" s="245" t="s">
        <v>459</v>
      </c>
      <c r="B13" s="243"/>
      <c r="C13" s="246" t="e">
        <f>'CMI iii'!#REF!</f>
        <v>#REF!</v>
      </c>
      <c r="D13" s="246">
        <f>'CMI iii'!C49</f>
        <v>682.39553509999996</v>
      </c>
      <c r="E13" s="246">
        <f>'CMI iii'!D49</f>
        <v>57.015000000000001</v>
      </c>
      <c r="F13" s="246">
        <f>'CMI iii'!E49</f>
        <v>100.015</v>
      </c>
      <c r="G13" s="247">
        <f>'CMI iii'!F49</f>
        <v>946.00058520849996</v>
      </c>
      <c r="H13" s="247">
        <f>'CMI iii'!G49</f>
        <v>962.2925099045251</v>
      </c>
      <c r="I13" s="247">
        <f>'CMI iii'!H49</f>
        <v>971.14836645091611</v>
      </c>
      <c r="J13" s="247">
        <f>'CMI iii'!I49</f>
        <v>941.12458042419178</v>
      </c>
      <c r="K13" s="247">
        <f>'CMI iii'!J49</f>
        <v>918.08383353238492</v>
      </c>
      <c r="L13" s="247">
        <f>'CMI iii'!K49</f>
        <v>889.28603278216667</v>
      </c>
    </row>
    <row r="14" spans="1:12">
      <c r="A14" s="248" t="s">
        <v>261</v>
      </c>
      <c r="B14" s="243"/>
      <c r="C14" s="242" t="e">
        <f>'CMI iii'!#REF!</f>
        <v>#REF!</v>
      </c>
      <c r="D14" s="242" t="e">
        <f>'CMI iii'!C59</f>
        <v>#REF!</v>
      </c>
      <c r="E14" s="242">
        <f>'CMI iii'!D59</f>
        <v>0.64700000000000002</v>
      </c>
      <c r="F14" s="242">
        <f>'CMI iii'!E59</f>
        <v>-0.23649999999999993</v>
      </c>
      <c r="G14" s="249">
        <f>'CMI iii'!F59</f>
        <v>2.0010546248332979</v>
      </c>
      <c r="H14" s="249">
        <f>'CMI iii'!G59</f>
        <v>40.671359945308495</v>
      </c>
      <c r="I14" s="249">
        <f>'CMI iii'!H59</f>
        <v>98.027415665641996</v>
      </c>
      <c r="J14" s="249">
        <f>'CMI iii'!I59</f>
        <v>162.03901784401251</v>
      </c>
      <c r="K14" s="249">
        <f>'CMI iii'!J59</f>
        <v>228.19574590510621</v>
      </c>
      <c r="L14" s="249">
        <f>'CMI iii'!K59</f>
        <v>294.80464122056628</v>
      </c>
    </row>
    <row r="15" spans="1:12">
      <c r="A15" s="248"/>
      <c r="B15" s="243"/>
      <c r="C15" s="243"/>
      <c r="D15" s="243"/>
      <c r="E15" s="243"/>
      <c r="F15" s="243"/>
      <c r="G15" s="244"/>
      <c r="H15" s="244"/>
      <c r="I15" s="244"/>
      <c r="J15" s="244"/>
      <c r="K15" s="244"/>
      <c r="L15" s="244"/>
    </row>
    <row r="16" spans="1:12">
      <c r="A16" s="248"/>
      <c r="B16" s="243"/>
      <c r="C16" s="242" t="e">
        <f t="shared" ref="C16:I16" si="1">C13/C14</f>
        <v>#REF!</v>
      </c>
      <c r="D16" s="242" t="e">
        <f t="shared" si="1"/>
        <v>#REF!</v>
      </c>
      <c r="E16" s="242">
        <f t="shared" si="1"/>
        <v>88.122102009273576</v>
      </c>
      <c r="F16" s="242">
        <f t="shared" si="1"/>
        <v>-422.89640591966185</v>
      </c>
      <c r="G16" s="249">
        <f>G13/G14</f>
        <v>472.75100512926207</v>
      </c>
      <c r="H16" s="249">
        <f t="shared" si="1"/>
        <v>23.660199983441345</v>
      </c>
      <c r="I16" s="249">
        <f t="shared" si="1"/>
        <v>9.9069057350585403</v>
      </c>
      <c r="J16" s="249">
        <f>J13/J14</f>
        <v>5.8080121253892631</v>
      </c>
      <c r="K16" s="249">
        <f>K13/K14</f>
        <v>4.0232293984751335</v>
      </c>
      <c r="L16" s="249">
        <f>L13/L14</f>
        <v>3.0165265685787581</v>
      </c>
    </row>
    <row r="17" spans="1:12">
      <c r="A17" s="248"/>
      <c r="B17" s="243"/>
      <c r="C17" s="242"/>
      <c r="D17" s="242"/>
      <c r="E17" s="242"/>
      <c r="F17" s="242"/>
      <c r="G17" s="249"/>
      <c r="H17" s="249"/>
      <c r="I17" s="249"/>
      <c r="J17" s="249"/>
      <c r="K17" s="249"/>
      <c r="L17" s="249"/>
    </row>
    <row r="18" spans="1:12">
      <c r="A18" s="241" t="s">
        <v>262</v>
      </c>
      <c r="B18" s="243"/>
      <c r="C18" s="242"/>
      <c r="D18" s="242"/>
      <c r="E18" s="242"/>
      <c r="F18" s="242"/>
      <c r="G18" s="249"/>
      <c r="H18" s="249"/>
      <c r="I18" s="249"/>
      <c r="J18" s="249"/>
      <c r="K18" s="249"/>
      <c r="L18" s="249"/>
    </row>
    <row r="19" spans="1:12">
      <c r="A19" s="248"/>
      <c r="B19" s="243"/>
      <c r="C19" s="243"/>
      <c r="D19" s="243"/>
      <c r="E19" s="243"/>
      <c r="F19" s="243"/>
      <c r="G19" s="244"/>
      <c r="H19" s="244"/>
      <c r="I19" s="244"/>
      <c r="J19" s="244"/>
      <c r="K19" s="244"/>
      <c r="L19" s="244"/>
    </row>
    <row r="20" spans="1:12">
      <c r="A20" s="245" t="s">
        <v>263</v>
      </c>
      <c r="B20" s="243"/>
      <c r="C20" s="252" t="e">
        <f>'[2]form ii'!#REF!</f>
        <v>#REF!</v>
      </c>
      <c r="D20" s="252">
        <f>'[2]form ii'!D70</f>
        <v>384.97413510000007</v>
      </c>
      <c r="E20" s="252">
        <f>'[2]form ii'!E70</f>
        <v>-2.6499999999999999E-2</v>
      </c>
      <c r="F20" s="246">
        <f>'[2]form ii'!F70</f>
        <v>-0.88349999999999995</v>
      </c>
      <c r="G20" s="247">
        <f>'form ii'!G77</f>
        <v>2.2375546248332978</v>
      </c>
      <c r="H20" s="247">
        <f>'form ii'!H77</f>
        <v>38.670305320475194</v>
      </c>
      <c r="I20" s="247">
        <f>'form ii'!I77</f>
        <v>57.356055720333501</v>
      </c>
      <c r="J20" s="247">
        <f>'form ii'!J77</f>
        <v>64.011602178370524</v>
      </c>
      <c r="K20" s="247">
        <f>'form ii'!K77</f>
        <v>66.156728061093688</v>
      </c>
      <c r="L20" s="247">
        <f>'form ii'!L77</f>
        <v>66.608895315460046</v>
      </c>
    </row>
    <row r="21" spans="1:12">
      <c r="A21" s="248" t="s">
        <v>264</v>
      </c>
      <c r="B21" s="243"/>
      <c r="C21" s="253" t="e">
        <f>'[2]form ii'!#REF!</f>
        <v>#REF!</v>
      </c>
      <c r="D21" s="253">
        <f>'[2]form ii'!D17</f>
        <v>795.23295340000004</v>
      </c>
      <c r="E21" s="253">
        <f>'[2]form ii'!E17</f>
        <v>0</v>
      </c>
      <c r="F21" s="253">
        <f>'[2]form ii'!F17</f>
        <v>0</v>
      </c>
      <c r="G21" s="254">
        <f>'form ii'!G17</f>
        <v>1650</v>
      </c>
      <c r="H21" s="254">
        <f>'form ii'!H17</f>
        <v>5335</v>
      </c>
      <c r="I21" s="254">
        <f>'form ii'!I17</f>
        <v>6545</v>
      </c>
      <c r="J21" s="254">
        <f>'form ii'!J17</f>
        <v>6600</v>
      </c>
      <c r="K21" s="254">
        <f>'form ii'!K17</f>
        <v>6600</v>
      </c>
      <c r="L21" s="254">
        <f>'form ii'!L17</f>
        <v>6600</v>
      </c>
    </row>
    <row r="22" spans="1:12">
      <c r="A22" s="248"/>
      <c r="B22" s="243"/>
      <c r="C22" s="253"/>
      <c r="D22" s="253"/>
      <c r="E22" s="253"/>
      <c r="F22" s="253"/>
      <c r="G22" s="254"/>
      <c r="H22" s="254"/>
      <c r="I22" s="244"/>
      <c r="J22" s="244"/>
      <c r="K22" s="244"/>
      <c r="L22" s="244"/>
    </row>
    <row r="23" spans="1:12">
      <c r="A23" s="248" t="s">
        <v>265</v>
      </c>
      <c r="B23" s="243"/>
      <c r="C23" s="255" t="e">
        <f t="shared" ref="C23:I23" si="2">C20/C21%</f>
        <v>#REF!</v>
      </c>
      <c r="D23" s="255">
        <f t="shared" si="2"/>
        <v>48.410234190378063</v>
      </c>
      <c r="E23" s="255" t="e">
        <f t="shared" si="2"/>
        <v>#DIV/0!</v>
      </c>
      <c r="F23" s="255" t="e">
        <f t="shared" si="2"/>
        <v>#DIV/0!</v>
      </c>
      <c r="G23" s="256">
        <f>G20/G21%</f>
        <v>0.13560937120201805</v>
      </c>
      <c r="H23" s="256">
        <f t="shared" si="2"/>
        <v>0.72484171172399614</v>
      </c>
      <c r="I23" s="256">
        <f t="shared" si="2"/>
        <v>0.87633393002801374</v>
      </c>
      <c r="J23" s="256">
        <f>J20/J21%</f>
        <v>0.96987276027834124</v>
      </c>
      <c r="K23" s="256">
        <f>K20/K21%</f>
        <v>1.0023746675923286</v>
      </c>
      <c r="L23" s="256">
        <f>L20/L21%</f>
        <v>1.0092256865978795</v>
      </c>
    </row>
    <row r="24" spans="1:12">
      <c r="A24" s="248"/>
      <c r="B24" s="243"/>
      <c r="C24" s="255"/>
      <c r="D24" s="255"/>
      <c r="E24" s="255"/>
      <c r="F24" s="255"/>
      <c r="G24" s="256"/>
      <c r="H24" s="256"/>
      <c r="I24" s="256"/>
      <c r="J24" s="256"/>
      <c r="K24" s="256"/>
      <c r="L24" s="256"/>
    </row>
    <row r="25" spans="1:12" hidden="1">
      <c r="A25" s="248"/>
      <c r="B25" s="243"/>
      <c r="C25" s="255"/>
      <c r="D25" s="255"/>
      <c r="E25" s="255"/>
      <c r="F25" s="255"/>
      <c r="G25" s="256"/>
      <c r="H25" s="256"/>
      <c r="I25" s="256"/>
      <c r="J25" s="256"/>
      <c r="K25" s="256"/>
      <c r="L25" s="256"/>
    </row>
    <row r="26" spans="1:12">
      <c r="A26" s="248"/>
      <c r="B26" s="243"/>
      <c r="C26" s="243"/>
      <c r="D26" s="243"/>
      <c r="E26" s="243"/>
      <c r="F26" s="243"/>
      <c r="G26" s="244"/>
      <c r="H26" s="244"/>
      <c r="I26" s="244"/>
      <c r="J26" s="244"/>
      <c r="K26" s="244"/>
      <c r="L26" s="244"/>
    </row>
    <row r="27" spans="1:12">
      <c r="A27" s="245" t="s">
        <v>266</v>
      </c>
      <c r="B27" s="243"/>
      <c r="C27" s="257" t="e">
        <f>+'[2]form ii'!#REF!+'[2]form ii'!#REF!</f>
        <v>#REF!</v>
      </c>
      <c r="D27" s="257" t="e">
        <f>+'[2]form ii'!D46+'[2]form ii'!#REF!</f>
        <v>#REF!</v>
      </c>
      <c r="E27" s="257" t="e">
        <f>+'[2]form ii'!E46+'[2]form ii'!#REF!</f>
        <v>#REF!</v>
      </c>
      <c r="F27" s="257" t="e">
        <f>+'[2]form ii'!F46+'[2]form ii'!#REF!</f>
        <v>#REF!</v>
      </c>
      <c r="G27" s="258">
        <f>'form ii'!G46+'form ii'!G44</f>
        <v>66.999999999999943</v>
      </c>
      <c r="H27" s="258">
        <f>'form ii'!H46+'form ii'!H44</f>
        <v>135.00000000000028</v>
      </c>
      <c r="I27" s="258">
        <f>'form ii'!I46+'form ii'!I44</f>
        <v>154.99999999999966</v>
      </c>
      <c r="J27" s="258">
        <f>'form ii'!J46+'form ii'!J44</f>
        <v>157.99999999999977</v>
      </c>
      <c r="K27" s="258">
        <f>'form ii'!K46+'form ii'!K44</f>
        <v>155.00000000000043</v>
      </c>
      <c r="L27" s="258">
        <f>'form ii'!L46+'form ii'!L44</f>
        <v>150.00000000000028</v>
      </c>
    </row>
    <row r="28" spans="1:12">
      <c r="A28" s="248" t="s">
        <v>267</v>
      </c>
      <c r="B28" s="243"/>
      <c r="C28" s="253" t="e">
        <f>'[2]form ii'!#REF!</f>
        <v>#REF!</v>
      </c>
      <c r="D28" s="253">
        <f>'[2]form ii'!D48</f>
        <v>26.12</v>
      </c>
      <c r="E28" s="253">
        <f>'[2]form ii'!E48</f>
        <v>0</v>
      </c>
      <c r="F28" s="253">
        <f>'[2]form ii'!F48</f>
        <v>0</v>
      </c>
      <c r="G28" s="254">
        <f>'form ii'!G48</f>
        <v>29.166666666666668</v>
      </c>
      <c r="H28" s="254">
        <f>'form ii'!H48</f>
        <v>49.416669999999996</v>
      </c>
      <c r="I28" s="254">
        <f>'form ii'!I48</f>
        <v>46.625</v>
      </c>
      <c r="J28" s="254">
        <f>'form ii'!J48</f>
        <v>43.625</v>
      </c>
      <c r="K28" s="254">
        <f>'form ii'!K48</f>
        <v>40.625</v>
      </c>
      <c r="L28" s="254">
        <f>'form ii'!L48</f>
        <v>37.625</v>
      </c>
    </row>
    <row r="29" spans="1:12">
      <c r="A29" s="248"/>
      <c r="B29" s="243"/>
      <c r="C29" s="253"/>
      <c r="D29" s="253"/>
      <c r="E29" s="253"/>
      <c r="F29" s="253"/>
      <c r="G29" s="254"/>
      <c r="H29" s="254"/>
      <c r="I29" s="244"/>
      <c r="J29" s="244"/>
      <c r="K29" s="244"/>
      <c r="L29" s="244"/>
    </row>
    <row r="30" spans="1:12">
      <c r="A30" s="248" t="s">
        <v>268</v>
      </c>
      <c r="B30" s="243"/>
      <c r="C30" s="242" t="e">
        <f t="shared" ref="C30:L30" si="3">C27/C28</f>
        <v>#REF!</v>
      </c>
      <c r="D30" s="242" t="e">
        <f t="shared" si="3"/>
        <v>#REF!</v>
      </c>
      <c r="E30" s="242" t="e">
        <f t="shared" si="3"/>
        <v>#REF!</v>
      </c>
      <c r="F30" s="242" t="e">
        <f t="shared" si="3"/>
        <v>#REF!</v>
      </c>
      <c r="G30" s="259">
        <f t="shared" si="3"/>
        <v>2.2971428571428549</v>
      </c>
      <c r="H30" s="259">
        <f t="shared" si="3"/>
        <v>2.7318716538366568</v>
      </c>
      <c r="I30" s="259">
        <f t="shared" si="3"/>
        <v>3.3243967828418159</v>
      </c>
      <c r="J30" s="259">
        <f t="shared" si="3"/>
        <v>3.6217765042979893</v>
      </c>
      <c r="K30" s="259">
        <f t="shared" si="3"/>
        <v>3.8153846153846258</v>
      </c>
      <c r="L30" s="259">
        <f t="shared" si="3"/>
        <v>3.986710963455157</v>
      </c>
    </row>
    <row r="31" spans="1:12">
      <c r="A31" s="248"/>
      <c r="B31" s="243"/>
      <c r="C31" s="242"/>
      <c r="D31" s="242"/>
      <c r="E31" s="242"/>
      <c r="F31" s="242"/>
      <c r="G31" s="249"/>
      <c r="H31" s="249"/>
      <c r="I31" s="244"/>
      <c r="J31" s="244"/>
      <c r="K31" s="244"/>
      <c r="L31" s="244"/>
    </row>
    <row r="32" spans="1:12">
      <c r="A32" s="260" t="s">
        <v>460</v>
      </c>
      <c r="B32" s="243"/>
      <c r="C32" s="243"/>
      <c r="D32" s="243"/>
      <c r="E32" s="243"/>
      <c r="F32" s="243"/>
      <c r="G32" s="244"/>
      <c r="H32" s="244"/>
      <c r="I32" s="244"/>
      <c r="J32" s="244"/>
      <c r="K32" s="244"/>
      <c r="L32" s="244"/>
    </row>
    <row r="33" spans="1:14">
      <c r="A33" s="241"/>
      <c r="B33" s="243"/>
      <c r="C33" s="243"/>
      <c r="D33" s="243"/>
      <c r="E33" s="243"/>
      <c r="F33" s="243"/>
      <c r="G33" s="244"/>
      <c r="H33" s="244"/>
      <c r="I33" s="244"/>
      <c r="J33" s="244"/>
      <c r="K33" s="244"/>
      <c r="L33" s="244"/>
    </row>
    <row r="34" spans="1:14">
      <c r="A34" s="245" t="s">
        <v>266</v>
      </c>
      <c r="B34" s="243"/>
      <c r="C34" s="257" t="e">
        <f t="shared" ref="C34:I34" si="4">C27</f>
        <v>#REF!</v>
      </c>
      <c r="D34" s="257" t="e">
        <f t="shared" si="4"/>
        <v>#REF!</v>
      </c>
      <c r="E34" s="257" t="e">
        <f t="shared" si="4"/>
        <v>#REF!</v>
      </c>
      <c r="F34" s="257" t="e">
        <f>F27</f>
        <v>#REF!</v>
      </c>
      <c r="G34" s="258">
        <f t="shared" si="4"/>
        <v>66.999999999999943</v>
      </c>
      <c r="H34" s="258">
        <f t="shared" si="4"/>
        <v>135.00000000000028</v>
      </c>
      <c r="I34" s="258">
        <f t="shared" si="4"/>
        <v>154.99999999999966</v>
      </c>
      <c r="J34" s="258">
        <f>J27</f>
        <v>157.99999999999977</v>
      </c>
      <c r="K34" s="258">
        <f>K27</f>
        <v>155.00000000000043</v>
      </c>
      <c r="L34" s="258">
        <f>L27</f>
        <v>150.00000000000028</v>
      </c>
    </row>
    <row r="35" spans="1:14">
      <c r="A35" s="261" t="s">
        <v>461</v>
      </c>
      <c r="B35" s="243"/>
      <c r="C35" s="242" t="e">
        <f>'CMI iii'!#REF!-'CMI iii'!#REF!</f>
        <v>#REF!</v>
      </c>
      <c r="D35" s="242" t="e">
        <f>'CMI iii'!C122-'CMI iii'!C31</f>
        <v>#REF!</v>
      </c>
      <c r="E35" s="242">
        <f>'CMI iii'!D122-'CMI iii'!D31</f>
        <v>57.646999999999998</v>
      </c>
      <c r="F35" s="242">
        <f>'CMI iii'!E122-'CMI iii'!E31</f>
        <v>99.763499999999993</v>
      </c>
      <c r="G35" s="249">
        <f>'CMI iii'!F122-'CMI iii'!F31</f>
        <v>502.00105462483327</v>
      </c>
      <c r="H35" s="249">
        <f>'CMI iii'!G122-'CMI iii'!G31</f>
        <v>498.1713599453085</v>
      </c>
      <c r="I35" s="249">
        <f>'CMI iii'!H122-'CMI iii'!H31</f>
        <v>550.5274156656418</v>
      </c>
      <c r="J35" s="249">
        <f>'CMI iii'!I122-'CMI iii'!I31</f>
        <v>584.53901784401239</v>
      </c>
      <c r="K35" s="249">
        <f>'CMI iii'!J122-'CMI iii'!J31</f>
        <v>620.69574590510638</v>
      </c>
      <c r="L35" s="249">
        <f>'CMI iii'!K122-'CMI iii'!K31</f>
        <v>657.30464122056617</v>
      </c>
    </row>
    <row r="36" spans="1:14">
      <c r="A36" s="248"/>
      <c r="B36" s="243"/>
      <c r="C36" s="243"/>
      <c r="D36" s="243"/>
      <c r="E36" s="243"/>
      <c r="F36" s="243"/>
      <c r="G36" s="244"/>
      <c r="H36" s="244"/>
      <c r="I36" s="244"/>
      <c r="J36" s="244"/>
      <c r="K36" s="244"/>
      <c r="L36" s="244"/>
    </row>
    <row r="37" spans="1:14">
      <c r="A37" s="248" t="s">
        <v>265</v>
      </c>
      <c r="B37" s="243"/>
      <c r="C37" s="242" t="e">
        <f t="shared" ref="C37:H37" si="5">C34/C35%</f>
        <v>#REF!</v>
      </c>
      <c r="D37" s="242" t="e">
        <f t="shared" si="5"/>
        <v>#REF!</v>
      </c>
      <c r="E37" s="242" t="e">
        <f t="shared" si="5"/>
        <v>#REF!</v>
      </c>
      <c r="F37" s="242" t="e">
        <f>F34/F35%</f>
        <v>#REF!</v>
      </c>
      <c r="G37" s="249">
        <f>G34/G35%</f>
        <v>13.34658550669219</v>
      </c>
      <c r="H37" s="249">
        <f t="shared" si="5"/>
        <v>27.099109032446428</v>
      </c>
      <c r="I37" s="249">
        <f>I34/I35%</f>
        <v>28.154819467544485</v>
      </c>
      <c r="J37" s="249">
        <f>J34/J35%</f>
        <v>27.029846627306405</v>
      </c>
      <c r="K37" s="249">
        <f>K34/K35%</f>
        <v>24.971977176028084</v>
      </c>
      <c r="L37" s="249">
        <f>L34/L35%</f>
        <v>22.8204687131771</v>
      </c>
    </row>
    <row r="38" spans="1:14">
      <c r="A38" s="248"/>
      <c r="B38" s="243"/>
      <c r="C38" s="243"/>
      <c r="D38" s="243"/>
      <c r="E38" s="243"/>
      <c r="F38" s="243"/>
      <c r="G38" s="244"/>
      <c r="H38" s="244"/>
      <c r="I38" s="244"/>
      <c r="J38" s="244"/>
      <c r="K38" s="244"/>
      <c r="L38" s="244"/>
    </row>
    <row r="39" spans="1:14">
      <c r="A39" s="260" t="s">
        <v>462</v>
      </c>
      <c r="B39" s="243"/>
      <c r="C39" s="243"/>
      <c r="D39" s="243"/>
      <c r="E39" s="243"/>
      <c r="F39" s="243"/>
      <c r="G39" s="244"/>
      <c r="H39" s="244"/>
      <c r="I39" s="244"/>
      <c r="J39" s="244"/>
      <c r="K39" s="244"/>
      <c r="L39" s="244"/>
    </row>
    <row r="40" spans="1:14">
      <c r="A40" s="248"/>
      <c r="B40" s="243"/>
      <c r="C40" s="243"/>
      <c r="D40" s="243"/>
      <c r="E40" s="243"/>
      <c r="F40" s="243"/>
      <c r="G40" s="244"/>
      <c r="H40" s="244"/>
      <c r="I40" s="244"/>
      <c r="J40" s="244"/>
      <c r="K40" s="244"/>
      <c r="L40" s="244"/>
    </row>
    <row r="41" spans="1:14" ht="15">
      <c r="A41" s="245" t="s">
        <v>463</v>
      </c>
      <c r="B41" s="243"/>
      <c r="C41" s="246" t="e">
        <f>'CMI iii'!#REF!</f>
        <v>#REF!</v>
      </c>
      <c r="D41" s="246">
        <f>('CMI iii'!C78+'CMI iii'!C80)</f>
        <v>232.15430170000002</v>
      </c>
      <c r="E41" s="246">
        <f>('CMI iii'!D78+'CMI iii'!D80)</f>
        <v>0</v>
      </c>
      <c r="F41" s="262">
        <f>('CMI iii'!E79+'CMI iii'!E80)</f>
        <v>0</v>
      </c>
      <c r="G41" s="263">
        <f>('CMI iii'!F79+'CMI iii'!F78)</f>
        <v>475</v>
      </c>
      <c r="H41" s="263">
        <f>('CMI iii'!G79+'CMI iii'!G78)</f>
        <v>380</v>
      </c>
      <c r="I41" s="263">
        <f>('CMI iii'!H79+'CMI iii'!H78)</f>
        <v>475</v>
      </c>
      <c r="J41" s="263">
        <f>('CMI iii'!I79+'CMI iii'!I78)</f>
        <v>475</v>
      </c>
      <c r="K41" s="263">
        <f>('CMI iii'!J79+'CMI iii'!J78)</f>
        <v>475</v>
      </c>
      <c r="L41" s="263">
        <f>('CMI iii'!K79+'CMI iii'!K78)</f>
        <v>475</v>
      </c>
    </row>
    <row r="42" spans="1:14" ht="15">
      <c r="A42" s="261" t="s">
        <v>464</v>
      </c>
      <c r="B42" s="243"/>
      <c r="C42" s="253" t="e">
        <f>'[2]form ii'!#REF!-'[2]form ii'!#REF!</f>
        <v>#REF!</v>
      </c>
      <c r="D42" s="253" t="e">
        <f>'[2]form ii'!D42-'[2]form ii'!#REF!</f>
        <v>#REF!</v>
      </c>
      <c r="E42" s="253" t="e">
        <f>'[2]form ii'!E42-'[2]form ii'!#REF!</f>
        <v>#REF!</v>
      </c>
      <c r="F42" s="264" t="e">
        <f>'[2]form ii'!F42-'[2]form ii'!#REF!</f>
        <v>#REF!</v>
      </c>
      <c r="G42" s="265">
        <f>'form ii'!G42</f>
        <v>1500</v>
      </c>
      <c r="H42" s="265">
        <f>'form ii'!H42</f>
        <v>4850</v>
      </c>
      <c r="I42" s="265">
        <f>'form ii'!I42</f>
        <v>5950</v>
      </c>
      <c r="J42" s="265">
        <f>'form ii'!J42</f>
        <v>6000</v>
      </c>
      <c r="K42" s="265">
        <f>'form ii'!K42</f>
        <v>6000</v>
      </c>
      <c r="L42" s="265">
        <f>'form ii'!L42</f>
        <v>6000</v>
      </c>
    </row>
    <row r="43" spans="1:14" ht="15">
      <c r="A43" s="248"/>
      <c r="B43" s="243"/>
      <c r="C43" s="243"/>
      <c r="D43" s="243"/>
      <c r="E43" s="243"/>
      <c r="F43" s="264"/>
      <c r="G43" s="265"/>
      <c r="H43" s="244"/>
      <c r="I43" s="244"/>
      <c r="J43" s="244"/>
      <c r="K43" s="244"/>
      <c r="L43" s="244"/>
    </row>
    <row r="44" spans="1:14" ht="15">
      <c r="A44" s="261" t="s">
        <v>465</v>
      </c>
      <c r="B44" s="243"/>
      <c r="C44" s="266" t="e">
        <f t="shared" ref="C44:H44" si="6">(C41/C42)*365</f>
        <v>#REF!</v>
      </c>
      <c r="D44" s="266" t="e">
        <f t="shared" si="6"/>
        <v>#REF!</v>
      </c>
      <c r="E44" s="266" t="e">
        <f t="shared" si="6"/>
        <v>#REF!</v>
      </c>
      <c r="F44" s="267">
        <v>0</v>
      </c>
      <c r="G44" s="268">
        <f>(G41/G42)*212</f>
        <v>67.133333333333326</v>
      </c>
      <c r="H44" s="268">
        <f t="shared" si="6"/>
        <v>28.597938144329898</v>
      </c>
      <c r="I44" s="269">
        <f>(I41/I42)*365</f>
        <v>29.138655462184872</v>
      </c>
      <c r="J44" s="269">
        <f>(J41/J42)*365</f>
        <v>28.895833333333332</v>
      </c>
      <c r="K44" s="269">
        <f>(K41/K42)*365</f>
        <v>28.895833333333332</v>
      </c>
      <c r="L44" s="269">
        <f>(L41/L42)*365</f>
        <v>28.895833333333332</v>
      </c>
    </row>
    <row r="45" spans="1:14">
      <c r="A45" s="245"/>
      <c r="B45" s="270"/>
      <c r="C45" s="270"/>
      <c r="D45" s="270"/>
      <c r="E45" s="270"/>
      <c r="F45" s="270"/>
      <c r="G45" s="271"/>
      <c r="H45" s="271"/>
      <c r="I45" s="271"/>
      <c r="J45" s="271"/>
      <c r="K45" s="271"/>
      <c r="L45" s="271"/>
    </row>
    <row r="46" spans="1:14" ht="15.75">
      <c r="A46" s="575" t="str">
        <f>A2</f>
        <v>……………………………. Pvt Ltd</v>
      </c>
      <c r="B46" s="573"/>
      <c r="C46" s="573"/>
      <c r="D46" s="573"/>
      <c r="E46" s="573"/>
      <c r="F46" s="573"/>
      <c r="G46" s="573"/>
      <c r="H46" s="573"/>
      <c r="I46" s="243"/>
      <c r="J46" s="243"/>
      <c r="K46" s="243"/>
      <c r="L46" s="243"/>
    </row>
    <row r="47" spans="1:14" ht="15">
      <c r="A47" s="576" t="s">
        <v>466</v>
      </c>
      <c r="B47" s="576"/>
      <c r="C47" s="576"/>
      <c r="D47" s="576"/>
      <c r="E47" s="576"/>
      <c r="F47" s="576"/>
      <c r="G47" s="576"/>
      <c r="H47" s="576"/>
      <c r="I47" s="576"/>
      <c r="J47" s="576"/>
      <c r="K47" s="576"/>
      <c r="L47" s="576"/>
      <c r="N47" s="231">
        <f>25*8</f>
        <v>200</v>
      </c>
    </row>
    <row r="48" spans="1:14" ht="15">
      <c r="A48" s="272"/>
      <c r="B48" s="272"/>
      <c r="C48" s="272"/>
      <c r="D48" s="272"/>
      <c r="E48" s="272"/>
      <c r="F48" s="272"/>
      <c r="G48" s="272"/>
      <c r="H48" s="272"/>
      <c r="I48" s="272"/>
      <c r="J48" s="272"/>
      <c r="K48" s="272"/>
      <c r="L48" s="272"/>
    </row>
    <row r="49" spans="1:12">
      <c r="A49" s="233" t="s">
        <v>256</v>
      </c>
      <c r="B49" s="234"/>
      <c r="C49" s="235">
        <v>2012</v>
      </c>
      <c r="D49" s="235">
        <v>2012</v>
      </c>
      <c r="E49" s="235">
        <v>2013</v>
      </c>
      <c r="F49" s="236" t="s">
        <v>458</v>
      </c>
      <c r="G49" s="236" t="s">
        <v>362</v>
      </c>
      <c r="H49" s="236" t="s">
        <v>363</v>
      </c>
      <c r="I49" s="236" t="s">
        <v>364</v>
      </c>
      <c r="J49" s="236" t="s">
        <v>365</v>
      </c>
      <c r="K49" s="235" t="s">
        <v>366</v>
      </c>
      <c r="L49" s="236" t="s">
        <v>454</v>
      </c>
    </row>
    <row r="50" spans="1:12">
      <c r="A50" s="273" t="s">
        <v>467</v>
      </c>
      <c r="B50" s="274"/>
      <c r="C50" s="274"/>
      <c r="D50" s="274"/>
      <c r="E50" s="274"/>
      <c r="F50" s="275"/>
      <c r="G50" s="274"/>
      <c r="H50" s="275"/>
      <c r="I50" s="275"/>
      <c r="J50" s="275"/>
      <c r="K50" s="275"/>
      <c r="L50" s="275"/>
    </row>
    <row r="51" spans="1:12">
      <c r="A51" s="260"/>
      <c r="B51" s="243"/>
      <c r="C51" s="243"/>
      <c r="D51" s="243"/>
      <c r="E51" s="243"/>
      <c r="F51" s="244"/>
      <c r="G51" s="243"/>
      <c r="H51" s="244"/>
      <c r="I51" s="244"/>
      <c r="J51" s="244"/>
      <c r="K51" s="244"/>
      <c r="L51" s="244"/>
    </row>
    <row r="52" spans="1:12">
      <c r="A52" s="245" t="s">
        <v>468</v>
      </c>
      <c r="B52" s="243"/>
      <c r="C52" s="276" t="e">
        <f>'CMI iii'!#REF!</f>
        <v>#REF!</v>
      </c>
      <c r="D52" s="276">
        <f>'CMI iii'!C71</f>
        <v>596.02</v>
      </c>
      <c r="E52" s="276">
        <f>'CMI iii'!D71</f>
        <v>0</v>
      </c>
      <c r="F52" s="277">
        <f>'CMI iii'!E71</f>
        <v>0</v>
      </c>
      <c r="G52" s="276">
        <f>'CMI iii'!F71</f>
        <v>190</v>
      </c>
      <c r="H52" s="277">
        <f>'CMI iii'!G71</f>
        <v>370</v>
      </c>
      <c r="I52" s="277">
        <f>'CMI iii'!H71</f>
        <v>360</v>
      </c>
      <c r="J52" s="277">
        <f>'CMI iii'!I71</f>
        <v>420</v>
      </c>
      <c r="K52" s="277">
        <f>'CMI iii'!J71</f>
        <v>480</v>
      </c>
      <c r="L52" s="277">
        <f>'CMI iii'!K71</f>
        <v>540</v>
      </c>
    </row>
    <row r="53" spans="1:12">
      <c r="A53" s="248" t="s">
        <v>469</v>
      </c>
      <c r="B53" s="243"/>
      <c r="C53" s="278" t="e">
        <f>'[2]form ii'!#REF!</f>
        <v>#REF!</v>
      </c>
      <c r="D53" s="278">
        <f>'[2]form ii'!D17</f>
        <v>795.23295340000004</v>
      </c>
      <c r="E53" s="278">
        <f>'[2]form ii'!E17</f>
        <v>0</v>
      </c>
      <c r="F53" s="279">
        <f>'[2]form ii'!F17</f>
        <v>0</v>
      </c>
      <c r="G53" s="278">
        <f>'form ii'!G11</f>
        <v>1650</v>
      </c>
      <c r="H53" s="278">
        <f>'form ii'!H11</f>
        <v>5335</v>
      </c>
      <c r="I53" s="278">
        <f>'form ii'!I11</f>
        <v>6545</v>
      </c>
      <c r="J53" s="278">
        <f>'form ii'!J11</f>
        <v>6600</v>
      </c>
      <c r="K53" s="278">
        <f>'form ii'!K11</f>
        <v>6600</v>
      </c>
      <c r="L53" s="278">
        <f>'form ii'!L11</f>
        <v>6600</v>
      </c>
    </row>
    <row r="54" spans="1:12">
      <c r="A54" s="248"/>
      <c r="B54" s="243"/>
      <c r="C54" s="243"/>
      <c r="D54" s="243"/>
      <c r="E54" s="243"/>
      <c r="F54" s="244"/>
      <c r="G54" s="243"/>
      <c r="H54" s="244"/>
      <c r="I54" s="244"/>
      <c r="J54" s="244"/>
      <c r="K54" s="244"/>
      <c r="L54" s="244"/>
    </row>
    <row r="55" spans="1:12" ht="15">
      <c r="A55" s="248" t="s">
        <v>470</v>
      </c>
      <c r="B55" s="243"/>
      <c r="C55" s="253" t="e">
        <f>(C52/C53)*365</f>
        <v>#REF!</v>
      </c>
      <c r="D55" s="253">
        <f t="shared" ref="D55:I55" si="7">D52/D53*365</f>
        <v>273.56424186130812</v>
      </c>
      <c r="E55" s="253" t="e">
        <f t="shared" si="7"/>
        <v>#DIV/0!</v>
      </c>
      <c r="F55" s="265" t="e">
        <f>F52/F53*365</f>
        <v>#DIV/0!</v>
      </c>
      <c r="G55" s="280">
        <f>G52/G53*200</f>
        <v>23.030303030303031</v>
      </c>
      <c r="H55" s="254">
        <f>H52/H53*365</f>
        <v>25.313964386129335</v>
      </c>
      <c r="I55" s="254">
        <f t="shared" si="7"/>
        <v>20.076394194041253</v>
      </c>
      <c r="J55" s="254">
        <f>J52/J53*365</f>
        <v>23.227272727272727</v>
      </c>
      <c r="K55" s="254">
        <f>K52/K53*365</f>
        <v>26.545454545454543</v>
      </c>
      <c r="L55" s="254">
        <f>L52/L53*365</f>
        <v>29.863636363636363</v>
      </c>
    </row>
    <row r="56" spans="1:12">
      <c r="A56" s="248"/>
      <c r="B56" s="243"/>
      <c r="C56" s="243" t="s">
        <v>471</v>
      </c>
      <c r="D56" s="243"/>
      <c r="E56" s="243"/>
      <c r="F56" s="244"/>
      <c r="G56" s="243"/>
      <c r="H56" s="244"/>
      <c r="I56" s="244"/>
      <c r="J56" s="244"/>
      <c r="K56" s="244"/>
      <c r="L56" s="244"/>
    </row>
    <row r="57" spans="1:12">
      <c r="A57" s="260" t="s">
        <v>472</v>
      </c>
      <c r="B57" s="243"/>
      <c r="C57" s="243"/>
      <c r="D57" s="243"/>
      <c r="E57" s="243"/>
      <c r="F57" s="244"/>
      <c r="G57" s="243"/>
      <c r="H57" s="244"/>
      <c r="I57" s="244"/>
      <c r="J57" s="244"/>
      <c r="K57" s="244"/>
      <c r="L57" s="244"/>
    </row>
    <row r="58" spans="1:12">
      <c r="A58" s="260"/>
      <c r="B58" s="243"/>
      <c r="C58" s="243"/>
      <c r="D58" s="243"/>
      <c r="E58" s="243"/>
      <c r="F58" s="244"/>
      <c r="G58" s="243"/>
      <c r="H58" s="244"/>
      <c r="I58" s="244"/>
      <c r="J58" s="244"/>
      <c r="K58" s="244"/>
      <c r="L58" s="244"/>
    </row>
    <row r="59" spans="1:12">
      <c r="A59" s="245" t="s">
        <v>473</v>
      </c>
      <c r="B59" s="243"/>
      <c r="C59" s="276" t="e">
        <f>(('[2]form ii'!#REF!+'[2]form ii'!#REF!)-'[2]form ii'!#REF!)-('[2]form ii'!#REF!-'[2]form ii'!#REF!)</f>
        <v>#REF!</v>
      </c>
      <c r="D59" s="276">
        <f>('[2]form ii'!D15-'[2]form ii'!D42)</f>
        <v>416.80413510000005</v>
      </c>
      <c r="E59" s="276">
        <f>('[2]form ii'!E15-'[2]form ii'!E42)</f>
        <v>0</v>
      </c>
      <c r="F59" s="277">
        <f>('[2]form ii'!F15-'[2]form ii'!F42)</f>
        <v>0</v>
      </c>
      <c r="G59" s="276">
        <f>'form ii'!G17-'form ii'!G42</f>
        <v>150</v>
      </c>
      <c r="H59" s="276">
        <f>'form ii'!H17-'form ii'!H42</f>
        <v>485</v>
      </c>
      <c r="I59" s="276">
        <f>'form ii'!I17-'form ii'!I42</f>
        <v>595</v>
      </c>
      <c r="J59" s="276">
        <f>'form ii'!J17-'form ii'!J42</f>
        <v>600</v>
      </c>
      <c r="K59" s="276">
        <f>'form ii'!K17-'form ii'!K42</f>
        <v>600</v>
      </c>
      <c r="L59" s="276">
        <f>'form ii'!L17-'form ii'!L42</f>
        <v>600</v>
      </c>
    </row>
    <row r="60" spans="1:12">
      <c r="A60" s="248" t="s">
        <v>474</v>
      </c>
      <c r="B60" s="243"/>
      <c r="C60" s="278" t="e">
        <f>('[2]form ii'!#REF!-'[2]form ii'!#REF!)-('[2]form ii'!#REF!)</f>
        <v>#REF!</v>
      </c>
      <c r="D60" s="278">
        <f>'[2]form ii'!D17</f>
        <v>795.23295340000004</v>
      </c>
      <c r="E60" s="278">
        <f>'[2]form ii'!E17</f>
        <v>0</v>
      </c>
      <c r="F60" s="279">
        <f>'[2]form ii'!F17</f>
        <v>0</v>
      </c>
      <c r="G60" s="278">
        <f>G53</f>
        <v>1650</v>
      </c>
      <c r="H60" s="278">
        <f t="shared" ref="H60:L60" si="8">H53</f>
        <v>5335</v>
      </c>
      <c r="I60" s="278">
        <f t="shared" si="8"/>
        <v>6545</v>
      </c>
      <c r="J60" s="278">
        <f t="shared" si="8"/>
        <v>6600</v>
      </c>
      <c r="K60" s="278">
        <f t="shared" si="8"/>
        <v>6600</v>
      </c>
      <c r="L60" s="278">
        <f t="shared" si="8"/>
        <v>6600</v>
      </c>
    </row>
    <row r="61" spans="1:12">
      <c r="A61" s="248"/>
      <c r="B61" s="243"/>
      <c r="C61" s="243"/>
      <c r="D61" s="243"/>
      <c r="E61" s="243"/>
      <c r="F61" s="244"/>
      <c r="G61" s="243"/>
      <c r="H61" s="244"/>
      <c r="I61" s="244"/>
      <c r="J61" s="244"/>
      <c r="K61" s="244"/>
      <c r="L61" s="244"/>
    </row>
    <row r="62" spans="1:12" ht="15">
      <c r="A62" s="248" t="s">
        <v>265</v>
      </c>
      <c r="B62" s="243"/>
      <c r="C62" s="253" t="e">
        <f>C59/C60%</f>
        <v>#REF!</v>
      </c>
      <c r="D62" s="253">
        <f>D59/D60%</f>
        <v>52.412834920630949</v>
      </c>
      <c r="E62" s="253" t="e">
        <f>E59/E60%</f>
        <v>#DIV/0!</v>
      </c>
      <c r="F62" s="265">
        <v>0</v>
      </c>
      <c r="G62" s="281">
        <f t="shared" ref="G62:L62" si="9">G59/G60%</f>
        <v>9.0909090909090917</v>
      </c>
      <c r="H62" s="254">
        <f t="shared" si="9"/>
        <v>9.0909090909090899</v>
      </c>
      <c r="I62" s="254">
        <f t="shared" si="9"/>
        <v>9.0909090909090899</v>
      </c>
      <c r="J62" s="254">
        <f t="shared" si="9"/>
        <v>9.0909090909090917</v>
      </c>
      <c r="K62" s="254">
        <f t="shared" si="9"/>
        <v>9.0909090909090917</v>
      </c>
      <c r="L62" s="254">
        <f t="shared" si="9"/>
        <v>9.0909090909090917</v>
      </c>
    </row>
    <row r="63" spans="1:12" ht="12" customHeight="1">
      <c r="A63" s="248"/>
      <c r="B63" s="243"/>
      <c r="C63" s="253"/>
      <c r="D63" s="253"/>
      <c r="E63" s="253"/>
      <c r="F63" s="254"/>
      <c r="G63" s="253"/>
      <c r="H63" s="254"/>
      <c r="I63" s="254"/>
      <c r="J63" s="254"/>
      <c r="K63" s="254"/>
      <c r="L63" s="254"/>
    </row>
    <row r="64" spans="1:12" hidden="1">
      <c r="A64" s="248"/>
      <c r="B64" s="243"/>
      <c r="C64" s="253"/>
      <c r="D64" s="253"/>
      <c r="E64" s="253"/>
      <c r="F64" s="254"/>
      <c r="G64" s="253"/>
      <c r="H64" s="254"/>
      <c r="I64" s="254"/>
      <c r="J64" s="254"/>
      <c r="K64" s="254"/>
      <c r="L64" s="254"/>
    </row>
    <row r="65" spans="1:12" hidden="1">
      <c r="A65" s="248"/>
      <c r="B65" s="243"/>
      <c r="C65" s="253"/>
      <c r="D65" s="253"/>
      <c r="E65" s="253"/>
      <c r="F65" s="254"/>
      <c r="G65" s="253"/>
      <c r="H65" s="254"/>
      <c r="I65" s="254"/>
      <c r="J65" s="254"/>
      <c r="K65" s="254"/>
      <c r="L65" s="254"/>
    </row>
    <row r="66" spans="1:12">
      <c r="A66" s="260" t="s">
        <v>475</v>
      </c>
      <c r="B66" s="243"/>
      <c r="C66" s="253"/>
      <c r="D66" s="253">
        <f>D68/D69*1000</f>
        <v>1287.1870586418163</v>
      </c>
      <c r="E66" s="253" t="e">
        <f>E68/E69*1000</f>
        <v>#DIV/0!</v>
      </c>
      <c r="F66" s="254"/>
      <c r="G66" s="253"/>
      <c r="H66" s="254"/>
      <c r="I66" s="254"/>
      <c r="J66" s="254"/>
      <c r="K66" s="254"/>
      <c r="L66" s="254"/>
    </row>
    <row r="67" spans="1:12">
      <c r="A67" s="260"/>
      <c r="B67" s="243"/>
      <c r="C67" s="253"/>
      <c r="D67" s="253"/>
      <c r="E67" s="253"/>
      <c r="F67" s="254"/>
      <c r="G67" s="253"/>
      <c r="H67" s="254"/>
      <c r="I67" s="254"/>
      <c r="J67" s="254"/>
      <c r="K67" s="254"/>
      <c r="L67" s="254"/>
    </row>
    <row r="68" spans="1:12">
      <c r="A68" s="245" t="s">
        <v>476</v>
      </c>
      <c r="B68" s="243"/>
      <c r="C68" s="276" t="e">
        <f>'CMI iii'!#REF!</f>
        <v>#REF!</v>
      </c>
      <c r="D68" s="276">
        <f>'CMI iii'!C20</f>
        <v>500.02068479999997</v>
      </c>
      <c r="E68" s="276">
        <f>'CMI iii'!D20</f>
        <v>0</v>
      </c>
      <c r="F68" s="277">
        <f>'CMI iii'!E20</f>
        <v>0</v>
      </c>
      <c r="G68" s="276">
        <f>'CMI iii'!F20</f>
        <v>90</v>
      </c>
      <c r="H68" s="277">
        <f>'CMI iii'!G20</f>
        <v>130</v>
      </c>
      <c r="I68" s="277">
        <f>'CMI iii'!H20</f>
        <v>135</v>
      </c>
      <c r="J68" s="277">
        <f>'CMI iii'!I20</f>
        <v>130</v>
      </c>
      <c r="K68" s="277">
        <f>'CMI iii'!J20</f>
        <v>135</v>
      </c>
      <c r="L68" s="277">
        <f>'CMI iii'!K20</f>
        <v>135</v>
      </c>
    </row>
    <row r="69" spans="1:12">
      <c r="A69" s="248" t="s">
        <v>477</v>
      </c>
      <c r="B69" s="243"/>
      <c r="C69" s="278" t="e">
        <f>+C60</f>
        <v>#REF!</v>
      </c>
      <c r="D69" s="278">
        <f>'[2]form ii'!D21</f>
        <v>388.46</v>
      </c>
      <c r="E69" s="278">
        <f>'[2]form ii'!E21</f>
        <v>0</v>
      </c>
      <c r="F69" s="279">
        <f>'[2]form ii'!F21</f>
        <v>0</v>
      </c>
      <c r="G69" s="278">
        <f>'form ii'!G21</f>
        <v>1800</v>
      </c>
      <c r="H69" s="278">
        <f>'form ii'!H21</f>
        <v>4275</v>
      </c>
      <c r="I69" s="278">
        <f>'form ii'!I21</f>
        <v>5445</v>
      </c>
      <c r="J69" s="278">
        <f>'form ii'!J21</f>
        <v>5400</v>
      </c>
      <c r="K69" s="278">
        <f>'form ii'!K21</f>
        <v>5400</v>
      </c>
      <c r="L69" s="278">
        <f>'form ii'!L21</f>
        <v>5400</v>
      </c>
    </row>
    <row r="70" spans="1:12">
      <c r="A70" s="248"/>
      <c r="B70" s="243"/>
      <c r="C70" s="243"/>
      <c r="D70" s="243"/>
      <c r="E70" s="243"/>
      <c r="F70" s="244"/>
      <c r="G70" s="243"/>
      <c r="H70" s="244"/>
      <c r="I70" s="244"/>
      <c r="J70" s="244"/>
      <c r="K70" s="244"/>
      <c r="L70" s="244"/>
    </row>
    <row r="71" spans="1:12">
      <c r="A71" s="248" t="s">
        <v>470</v>
      </c>
      <c r="B71" s="243"/>
      <c r="C71" s="253" t="e">
        <f t="shared" ref="C71:I71" si="10">(C68/C69)*365</f>
        <v>#REF!</v>
      </c>
      <c r="D71" s="253">
        <f t="shared" si="10"/>
        <v>469.82327640426297</v>
      </c>
      <c r="E71" s="253" t="e">
        <f t="shared" si="10"/>
        <v>#DIV/0!</v>
      </c>
      <c r="F71" s="254"/>
      <c r="G71" s="281">
        <f>(G68/G69)*365</f>
        <v>18.25</v>
      </c>
      <c r="H71" s="254">
        <f>(H68/H69)*365</f>
        <v>11.099415204678362</v>
      </c>
      <c r="I71" s="254">
        <f t="shared" si="10"/>
        <v>9.0495867768595044</v>
      </c>
      <c r="J71" s="254">
        <f>(J68/J69)*365</f>
        <v>8.7870370370370363</v>
      </c>
      <c r="K71" s="254">
        <f>(K68/K69)*365</f>
        <v>9.125</v>
      </c>
      <c r="L71" s="254">
        <f>(L68/L69)*365</f>
        <v>9.125</v>
      </c>
    </row>
    <row r="72" spans="1:12">
      <c r="A72" s="248"/>
      <c r="B72" s="243"/>
      <c r="C72" s="243"/>
      <c r="D72" s="243"/>
      <c r="E72" s="243"/>
      <c r="F72" s="244"/>
      <c r="G72" s="243"/>
      <c r="H72" s="244"/>
      <c r="I72" s="244"/>
      <c r="J72" s="244"/>
      <c r="K72" s="244"/>
      <c r="L72" s="244"/>
    </row>
    <row r="73" spans="1:12" hidden="1">
      <c r="A73" s="260" t="s">
        <v>478</v>
      </c>
      <c r="B73" s="243"/>
      <c r="C73" s="243"/>
      <c r="D73" s="243"/>
      <c r="E73" s="243"/>
      <c r="F73" s="244"/>
      <c r="G73" s="243"/>
      <c r="H73" s="244"/>
      <c r="I73" s="244"/>
      <c r="J73" s="244"/>
      <c r="K73" s="244"/>
      <c r="L73" s="244"/>
    </row>
    <row r="74" spans="1:12" hidden="1">
      <c r="A74" s="248"/>
      <c r="B74" s="243"/>
      <c r="C74" s="243"/>
      <c r="D74" s="243"/>
      <c r="E74" s="243"/>
      <c r="F74" s="244"/>
      <c r="G74" s="243"/>
      <c r="H74" s="244"/>
      <c r="I74" s="244"/>
      <c r="J74" s="244"/>
      <c r="K74" s="244"/>
      <c r="L74" s="244"/>
    </row>
    <row r="75" spans="1:12" hidden="1">
      <c r="A75" s="282" t="s">
        <v>266</v>
      </c>
      <c r="B75" s="243"/>
      <c r="C75" s="243"/>
      <c r="D75" s="243"/>
      <c r="E75" s="276" t="e">
        <f>'[2]form ii'!E66+'[2]form ii'!E48+'[2]form ii'!#REF!</f>
        <v>#REF!</v>
      </c>
      <c r="F75" s="277" t="e">
        <f>'[2]form ii'!F66+'[2]form ii'!F48+'[2]form ii'!#REF!</f>
        <v>#REF!</v>
      </c>
      <c r="G75" s="276" t="e">
        <f>'[2]form ii'!G66+'[2]form ii'!G48+'[2]form ii'!#REF!</f>
        <v>#REF!</v>
      </c>
      <c r="H75" s="277" t="e">
        <f>'[2]form ii'!H66+'[2]form ii'!H48+'[2]form ii'!#REF!</f>
        <v>#REF!</v>
      </c>
      <c r="I75" s="277" t="e">
        <f>'[2]form ii'!G66+'[2]form ii'!G48+'[2]form ii'!#REF!</f>
        <v>#REF!</v>
      </c>
      <c r="J75" s="277" t="e">
        <f>'[2]form ii'!H66+'[2]form ii'!H48+'[2]form ii'!#REF!</f>
        <v>#REF!</v>
      </c>
      <c r="K75" s="277" t="e">
        <f>'[2]form ii'!I66+'[2]form ii'!I48+'[2]form ii'!#REF!</f>
        <v>#REF!</v>
      </c>
      <c r="L75" s="277" t="e">
        <f>'[2]form ii'!J66+'[2]form ii'!J48+'[2]form ii'!#REF!</f>
        <v>#REF!</v>
      </c>
    </row>
    <row r="76" spans="1:12" hidden="1">
      <c r="A76" s="261" t="s">
        <v>479</v>
      </c>
      <c r="B76" s="243"/>
      <c r="C76" s="243"/>
      <c r="D76" s="243"/>
      <c r="E76" s="278">
        <f>'[2]form ii'!E48</f>
        <v>0</v>
      </c>
      <c r="F76" s="279">
        <f>'[2]form ii'!F48+('CMI iii'!E40-'CMI iii'!C40)</f>
        <v>0</v>
      </c>
      <c r="G76" s="278">
        <f>'[2]form ii'!G48+('CMI iii'!F40-'CMI iii'!D40)</f>
        <v>29.166666666666668</v>
      </c>
      <c r="H76" s="279">
        <f>'[2]form ii'!H48+('CMI iii'!F40-'CMI iii'!J40)</f>
        <v>49.416669999999996</v>
      </c>
      <c r="I76" s="279" t="e">
        <f>'[2]form ii'!G48+('CMI iii'!B40-'CMI iii'!C40)</f>
        <v>#VALUE!</v>
      </c>
      <c r="J76" s="279">
        <f>'[2]form ii'!H48+('CMI iii'!C40-'CMI iii'!D40)</f>
        <v>49.416669999999996</v>
      </c>
      <c r="K76" s="279">
        <f>'[2]form ii'!I48+('CMI iii'!D40-'CMI iii'!E40)</f>
        <v>46.625</v>
      </c>
      <c r="L76" s="279">
        <f>'[2]form ii'!J48+('CMI iii'!E40-'CMI iii'!F40)</f>
        <v>43.625</v>
      </c>
    </row>
    <row r="77" spans="1:12" hidden="1">
      <c r="A77" s="248"/>
      <c r="B77" s="243"/>
      <c r="C77" s="243"/>
      <c r="D77" s="243"/>
      <c r="E77" s="243"/>
      <c r="F77" s="244"/>
      <c r="G77" s="243"/>
      <c r="H77" s="244"/>
      <c r="I77" s="244"/>
      <c r="J77" s="244"/>
      <c r="K77" s="244"/>
      <c r="L77" s="244"/>
    </row>
    <row r="78" spans="1:12" hidden="1">
      <c r="A78" s="248" t="s">
        <v>268</v>
      </c>
      <c r="B78" s="243"/>
      <c r="C78" s="243"/>
      <c r="D78" s="243"/>
      <c r="E78" s="242" t="e">
        <f t="shared" ref="E78:I78" si="11">E75/E76</f>
        <v>#REF!</v>
      </c>
      <c r="F78" s="249" t="e">
        <f>F75/F76</f>
        <v>#REF!</v>
      </c>
      <c r="G78" s="242" t="e">
        <f t="shared" si="11"/>
        <v>#REF!</v>
      </c>
      <c r="H78" s="249" t="e">
        <f t="shared" si="11"/>
        <v>#REF!</v>
      </c>
      <c r="I78" s="249" t="e">
        <f t="shared" si="11"/>
        <v>#REF!</v>
      </c>
      <c r="J78" s="249" t="e">
        <f>J75/J76</f>
        <v>#REF!</v>
      </c>
      <c r="K78" s="249" t="e">
        <f>K75/K76</f>
        <v>#REF!</v>
      </c>
      <c r="L78" s="249" t="e">
        <f>L75/L76</f>
        <v>#REF!</v>
      </c>
    </row>
    <row r="79" spans="1:12">
      <c r="A79" s="260" t="s">
        <v>478</v>
      </c>
      <c r="B79" s="243"/>
      <c r="C79" s="243"/>
      <c r="D79" s="243"/>
      <c r="E79" s="278"/>
      <c r="F79" s="244"/>
      <c r="G79" s="243"/>
      <c r="H79" s="244"/>
      <c r="I79" s="244"/>
      <c r="J79" s="244"/>
      <c r="K79" s="244"/>
      <c r="L79" s="244"/>
    </row>
    <row r="80" spans="1:12" ht="13.5" customHeight="1">
      <c r="A80" s="283"/>
      <c r="B80" s="284"/>
      <c r="C80" s="284"/>
      <c r="D80" s="284"/>
      <c r="E80" s="284"/>
      <c r="F80" s="283"/>
      <c r="G80" s="284"/>
      <c r="H80" s="283"/>
      <c r="I80" s="283"/>
      <c r="J80" s="283"/>
      <c r="K80" s="283"/>
      <c r="L80" s="283"/>
    </row>
    <row r="81" spans="1:12">
      <c r="A81" s="282" t="s">
        <v>266</v>
      </c>
      <c r="B81" s="243"/>
      <c r="C81" s="243"/>
      <c r="D81" s="276" t="e">
        <f>'[2]form ii'!D46+'[2]form ii'!#REF!</f>
        <v>#REF!</v>
      </c>
      <c r="E81" s="276" t="e">
        <f>'[2]form ii'!E46+'[2]form ii'!#REF!</f>
        <v>#REF!</v>
      </c>
      <c r="F81" s="277"/>
      <c r="G81" s="285">
        <f>G34</f>
        <v>66.999999999999943</v>
      </c>
      <c r="H81" s="285">
        <f t="shared" ref="H81:L81" si="12">H34</f>
        <v>135.00000000000028</v>
      </c>
      <c r="I81" s="285">
        <f t="shared" si="12"/>
        <v>154.99999999999966</v>
      </c>
      <c r="J81" s="285">
        <f t="shared" si="12"/>
        <v>157.99999999999977</v>
      </c>
      <c r="K81" s="285">
        <f t="shared" si="12"/>
        <v>155.00000000000043</v>
      </c>
      <c r="L81" s="285">
        <f t="shared" si="12"/>
        <v>150.00000000000028</v>
      </c>
    </row>
    <row r="82" spans="1:12">
      <c r="A82" s="261" t="s">
        <v>479</v>
      </c>
      <c r="B82" s="243"/>
      <c r="C82" s="243"/>
      <c r="D82" s="278">
        <f>-154.99+172.51+'[2]form ii'!D48</f>
        <v>43.639999999999986</v>
      </c>
      <c r="E82" s="278">
        <v>373</v>
      </c>
      <c r="F82" s="279"/>
      <c r="G82" s="286">
        <f>'form ii'!G48</f>
        <v>29.166666666666668</v>
      </c>
      <c r="H82" s="279">
        <f>('CMI iii'!F34-'CMI iii'!G34)+'form ii'!H48</f>
        <v>66.916669999999996</v>
      </c>
      <c r="I82" s="279">
        <f>('CMI iii'!G34-'CMI iii'!H34)+'form ii'!I48</f>
        <v>76.625</v>
      </c>
      <c r="J82" s="279">
        <f>('CMI iii'!H34-'CMI iii'!I34)+'form ii'!J48</f>
        <v>73.625</v>
      </c>
      <c r="K82" s="279">
        <f>('CMI iii'!I34-'CMI iii'!J34)+'form ii'!K48</f>
        <v>70.625</v>
      </c>
      <c r="L82" s="279">
        <f>('CMI iii'!J34-'CMI iii'!K34)+'form ii'!L48</f>
        <v>67.625</v>
      </c>
    </row>
    <row r="83" spans="1:12">
      <c r="A83" s="248"/>
      <c r="B83" s="243"/>
      <c r="C83" s="243"/>
      <c r="D83" s="243"/>
      <c r="E83" s="243"/>
      <c r="F83" s="279"/>
      <c r="G83" s="278"/>
      <c r="H83" s="279"/>
      <c r="I83" s="279"/>
      <c r="J83" s="279"/>
      <c r="K83" s="279"/>
      <c r="L83" s="279"/>
    </row>
    <row r="84" spans="1:12">
      <c r="A84" s="245" t="s">
        <v>268</v>
      </c>
      <c r="B84" s="270"/>
      <c r="C84" s="270"/>
      <c r="D84" s="246" t="e">
        <f>D81/D82</f>
        <v>#REF!</v>
      </c>
      <c r="E84" s="246" t="e">
        <f>E81/E82</f>
        <v>#REF!</v>
      </c>
      <c r="F84" s="247"/>
      <c r="G84" s="247">
        <f t="shared" ref="G84:I84" si="13">G81/G82</f>
        <v>2.2971428571428549</v>
      </c>
      <c r="H84" s="247">
        <f t="shared" si="13"/>
        <v>2.0174345196794805</v>
      </c>
      <c r="I84" s="277">
        <f t="shared" si="13"/>
        <v>2.0228384991843349</v>
      </c>
      <c r="J84" s="277">
        <f>J81/J82</f>
        <v>2.1460101867572123</v>
      </c>
      <c r="K84" s="277">
        <f>K81/K82</f>
        <v>2.1946902654867317</v>
      </c>
      <c r="L84" s="277">
        <f>L81/L82</f>
        <v>2.2181146025878045</v>
      </c>
    </row>
    <row r="85" spans="1:12">
      <c r="A85" s="287"/>
      <c r="B85" s="243"/>
      <c r="C85" s="243"/>
      <c r="D85" s="243"/>
      <c r="E85" s="243"/>
      <c r="F85" s="243"/>
      <c r="G85" s="243"/>
      <c r="H85" s="243"/>
      <c r="I85" s="274"/>
      <c r="J85" s="274"/>
      <c r="K85" s="274"/>
      <c r="L85" s="274"/>
    </row>
    <row r="86" spans="1:12">
      <c r="A86" s="288"/>
      <c r="B86" s="270"/>
      <c r="C86" s="270"/>
      <c r="D86" s="270"/>
      <c r="E86" s="270"/>
      <c r="F86" s="270"/>
      <c r="G86" s="270"/>
      <c r="H86" s="270"/>
      <c r="I86" s="270"/>
      <c r="J86" s="270"/>
      <c r="K86" s="270"/>
      <c r="L86" s="270"/>
    </row>
    <row r="89" spans="1:12">
      <c r="G89" s="290"/>
    </row>
  </sheetData>
  <mergeCells count="4">
    <mergeCell ref="A2:H2"/>
    <mergeCell ref="A3:L3"/>
    <mergeCell ref="A46:H46"/>
    <mergeCell ref="A47:L47"/>
  </mergeCells>
  <pageMargins left="0.56000000000000005" right="0.17" top="0.33" bottom="0.44" header="0.33" footer="0.5"/>
  <pageSetup scale="77" fitToHeight="2" orientation="portrait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5"/>
  <sheetViews>
    <sheetView view="pageBreakPreview" zoomScale="145" zoomScaleSheetLayoutView="145" workbookViewId="0">
      <selection sqref="A1:XFD1048576"/>
    </sheetView>
  </sheetViews>
  <sheetFormatPr defaultRowHeight="15"/>
  <cols>
    <col min="1" max="2" width="9.140625" style="58"/>
    <col min="3" max="3" width="20.42578125" style="58" customWidth="1"/>
    <col min="4" max="4" width="9.42578125" style="58" customWidth="1"/>
    <col min="5" max="16384" width="9.140625" style="58"/>
  </cols>
  <sheetData>
    <row r="3" spans="1:12">
      <c r="A3" s="58" t="s">
        <v>80</v>
      </c>
      <c r="B3" s="59" t="s">
        <v>81</v>
      </c>
      <c r="C3" s="59"/>
    </row>
    <row r="5" spans="1:12">
      <c r="B5" s="58" t="s">
        <v>90</v>
      </c>
      <c r="D5" s="58" t="s">
        <v>83</v>
      </c>
      <c r="E5" s="58" t="s">
        <v>84</v>
      </c>
      <c r="F5" s="58" t="s">
        <v>85</v>
      </c>
      <c r="G5" s="58" t="s">
        <v>75</v>
      </c>
      <c r="H5" s="58" t="s">
        <v>76</v>
      </c>
      <c r="I5" s="58" t="s">
        <v>77</v>
      </c>
    </row>
    <row r="7" spans="1:12">
      <c r="B7" s="58">
        <v>1</v>
      </c>
      <c r="C7" s="58" t="s">
        <v>82</v>
      </c>
      <c r="D7" s="58">
        <v>10</v>
      </c>
      <c r="E7" s="60">
        <v>0.81</v>
      </c>
      <c r="F7" s="60">
        <f>E7*110%</f>
        <v>0.89100000000000013</v>
      </c>
      <c r="G7" s="60">
        <f t="shared" ref="G7:I7" si="0">F7*110%</f>
        <v>0.98010000000000019</v>
      </c>
      <c r="H7" s="60">
        <f t="shared" si="0"/>
        <v>1.0781100000000003</v>
      </c>
      <c r="I7" s="60">
        <f t="shared" si="0"/>
        <v>1.1859210000000004</v>
      </c>
      <c r="K7" s="61">
        <f>E7*365/10</f>
        <v>29.565000000000005</v>
      </c>
      <c r="L7" s="58">
        <f>24.15*10/360</f>
        <v>0.67083333333333328</v>
      </c>
    </row>
    <row r="8" spans="1:12">
      <c r="B8" s="58">
        <v>2</v>
      </c>
      <c r="C8" s="58" t="s">
        <v>86</v>
      </c>
      <c r="D8" s="58">
        <v>7</v>
      </c>
      <c r="E8" s="60">
        <v>20.72</v>
      </c>
      <c r="F8" s="60">
        <f t="shared" ref="F8:I9" si="1">E8*110%</f>
        <v>22.792000000000002</v>
      </c>
      <c r="G8" s="60">
        <f t="shared" si="1"/>
        <v>25.071200000000005</v>
      </c>
      <c r="H8" s="60">
        <f t="shared" si="1"/>
        <v>27.578320000000009</v>
      </c>
      <c r="I8" s="60">
        <f t="shared" si="1"/>
        <v>30.336152000000013</v>
      </c>
    </row>
    <row r="9" spans="1:12">
      <c r="B9" s="58">
        <v>3</v>
      </c>
      <c r="C9" s="58" t="s">
        <v>87</v>
      </c>
      <c r="D9" s="58">
        <v>15</v>
      </c>
      <c r="E9" s="60">
        <v>9.2100000000000009</v>
      </c>
      <c r="F9" s="60">
        <f t="shared" si="1"/>
        <v>10.131000000000002</v>
      </c>
      <c r="G9" s="60">
        <f t="shared" si="1"/>
        <v>11.144100000000003</v>
      </c>
      <c r="H9" s="60">
        <f t="shared" si="1"/>
        <v>12.258510000000005</v>
      </c>
      <c r="I9" s="60">
        <f t="shared" si="1"/>
        <v>13.484361000000007</v>
      </c>
    </row>
    <row r="10" spans="1:12">
      <c r="E10" s="60"/>
      <c r="F10" s="60"/>
      <c r="G10" s="60"/>
      <c r="H10" s="60"/>
      <c r="I10" s="60"/>
    </row>
    <row r="11" spans="1:12">
      <c r="C11" s="58" t="s">
        <v>58</v>
      </c>
      <c r="E11" s="60">
        <f>SUM(E7:E10)</f>
        <v>30.74</v>
      </c>
      <c r="F11" s="60">
        <f t="shared" ref="F11:I11" si="2">SUM(F7:F10)</f>
        <v>33.814000000000007</v>
      </c>
      <c r="G11" s="60">
        <f t="shared" si="2"/>
        <v>37.195400000000006</v>
      </c>
      <c r="H11" s="60">
        <f t="shared" si="2"/>
        <v>40.914940000000016</v>
      </c>
      <c r="I11" s="60">
        <f t="shared" si="2"/>
        <v>45.00643400000002</v>
      </c>
    </row>
    <row r="12" spans="1:12">
      <c r="C12" s="58" t="s">
        <v>88</v>
      </c>
      <c r="E12" s="60"/>
      <c r="F12" s="60"/>
      <c r="G12" s="60"/>
      <c r="H12" s="60"/>
      <c r="I12" s="60"/>
    </row>
    <row r="13" spans="1:12">
      <c r="B13" s="58">
        <v>4</v>
      </c>
      <c r="C13" s="58" t="s">
        <v>89</v>
      </c>
      <c r="D13" s="58">
        <v>5</v>
      </c>
      <c r="E13" s="60">
        <v>0.4</v>
      </c>
      <c r="F13" s="60">
        <f>E13*110%</f>
        <v>0.44000000000000006</v>
      </c>
      <c r="G13" s="60">
        <f>F13*110%</f>
        <v>0.4840000000000001</v>
      </c>
      <c r="H13" s="60">
        <f>G13*110%</f>
        <v>0.5324000000000001</v>
      </c>
      <c r="I13" s="60">
        <f>H13*110%</f>
        <v>0.58564000000000016</v>
      </c>
    </row>
    <row r="14" spans="1:12">
      <c r="E14" s="60"/>
      <c r="F14" s="60"/>
      <c r="G14" s="60"/>
      <c r="H14" s="60"/>
      <c r="I14" s="60"/>
    </row>
    <row r="15" spans="1:12">
      <c r="E15" s="60">
        <f>E11-E13</f>
        <v>30.34</v>
      </c>
      <c r="F15" s="60">
        <f>F11-F13</f>
        <v>33.374000000000009</v>
      </c>
      <c r="G15" s="60">
        <f>G11-G13</f>
        <v>36.711400000000005</v>
      </c>
      <c r="H15" s="60">
        <f>H11-H13</f>
        <v>40.382540000000013</v>
      </c>
      <c r="I15" s="60">
        <f>I11-I13</f>
        <v>44.420794000000022</v>
      </c>
    </row>
  </sheetData>
  <pageMargins left="0.7" right="0.7" top="0.75" bottom="0.75" header="0.3" footer="0.3"/>
  <pageSetup scale="96" orientation="portrait" horizontalDpi="4294967293" r:id="rId1"/>
  <colBreaks count="1" manualBreakCount="1">
    <brk id="9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J10" sqref="J10"/>
    </sheetView>
  </sheetViews>
  <sheetFormatPr defaultRowHeight="15"/>
  <cols>
    <col min="3" max="3" width="24.85546875" customWidth="1"/>
  </cols>
  <sheetData>
    <row r="1" spans="1:8">
      <c r="A1" s="58"/>
      <c r="B1" s="58"/>
      <c r="C1" s="58"/>
      <c r="D1" s="58"/>
      <c r="E1" s="58"/>
      <c r="F1" s="58"/>
      <c r="G1" s="58"/>
      <c r="H1" s="58"/>
    </row>
    <row r="2" spans="1:8">
      <c r="A2" s="58" t="s">
        <v>92</v>
      </c>
      <c r="B2" s="59" t="s">
        <v>93</v>
      </c>
      <c r="C2" s="59"/>
      <c r="D2" s="59"/>
      <c r="E2" s="59"/>
      <c r="F2" s="59"/>
      <c r="G2" s="58"/>
      <c r="H2" s="58"/>
    </row>
    <row r="3" spans="1:8">
      <c r="A3" s="58"/>
      <c r="B3" s="58" t="s">
        <v>94</v>
      </c>
      <c r="C3" s="58"/>
      <c r="D3" s="58"/>
      <c r="E3" s="58"/>
      <c r="F3" s="58"/>
      <c r="G3" s="58"/>
      <c r="H3" s="58"/>
    </row>
    <row r="4" spans="1:8">
      <c r="A4" s="58"/>
      <c r="B4" s="58"/>
      <c r="C4" s="58"/>
      <c r="D4" s="58"/>
      <c r="E4" s="58"/>
      <c r="F4" s="58"/>
      <c r="G4" s="58"/>
      <c r="H4" s="58"/>
    </row>
    <row r="5" spans="1:8">
      <c r="A5" s="58"/>
      <c r="B5" s="58" t="s">
        <v>40</v>
      </c>
      <c r="C5" s="59" t="s">
        <v>95</v>
      </c>
      <c r="D5" s="58"/>
      <c r="E5" s="58"/>
      <c r="F5" s="58"/>
      <c r="G5" s="58"/>
      <c r="H5" s="58"/>
    </row>
    <row r="6" spans="1:8">
      <c r="A6" s="58"/>
      <c r="B6" s="58"/>
      <c r="C6" s="58"/>
      <c r="D6" s="58"/>
      <c r="E6" s="58"/>
      <c r="F6" s="58"/>
      <c r="G6" s="58"/>
      <c r="H6" s="58"/>
    </row>
    <row r="7" spans="1:8">
      <c r="A7" s="58"/>
      <c r="B7" s="58"/>
      <c r="C7" s="58" t="s">
        <v>96</v>
      </c>
      <c r="D7" s="58"/>
      <c r="E7" s="58">
        <v>60</v>
      </c>
      <c r="F7" s="58" t="s">
        <v>97</v>
      </c>
      <c r="G7" s="58"/>
      <c r="H7" s="58"/>
    </row>
    <row r="8" spans="1:8">
      <c r="A8" s="58"/>
      <c r="B8" s="58"/>
      <c r="C8" s="58" t="s">
        <v>98</v>
      </c>
      <c r="D8" s="58"/>
      <c r="E8" s="58" t="s">
        <v>99</v>
      </c>
      <c r="F8" s="58"/>
      <c r="G8" s="58"/>
      <c r="H8" s="58"/>
    </row>
    <row r="9" spans="1:8">
      <c r="A9" s="58"/>
      <c r="B9" s="58"/>
      <c r="C9" s="58"/>
      <c r="D9" s="58"/>
      <c r="E9" s="58" t="s">
        <v>100</v>
      </c>
      <c r="F9" s="58"/>
      <c r="G9" s="58"/>
      <c r="H9" s="58"/>
    </row>
    <row r="10" spans="1:8">
      <c r="A10" s="58"/>
      <c r="B10" s="58"/>
      <c r="C10" s="58"/>
      <c r="D10" s="58"/>
      <c r="E10" s="58"/>
      <c r="F10" s="58"/>
      <c r="G10" s="58"/>
      <c r="H10" s="58"/>
    </row>
    <row r="11" spans="1:8">
      <c r="A11" s="58"/>
      <c r="B11" s="58"/>
      <c r="C11" s="58"/>
      <c r="D11" s="58"/>
      <c r="E11" s="58">
        <f>60*8*300*0.75</f>
        <v>108000</v>
      </c>
      <c r="F11" s="58" t="s">
        <v>101</v>
      </c>
      <c r="G11" s="58"/>
      <c r="H11" s="58"/>
    </row>
    <row r="12" spans="1:8">
      <c r="A12" s="58"/>
      <c r="B12" s="58"/>
      <c r="C12" s="58"/>
      <c r="D12" s="58"/>
      <c r="E12" s="58"/>
      <c r="F12" s="58"/>
      <c r="G12" s="58"/>
      <c r="H12" s="58"/>
    </row>
    <row r="13" spans="1:8">
      <c r="A13" s="58"/>
      <c r="B13" s="58"/>
      <c r="C13" s="58" t="s">
        <v>102</v>
      </c>
      <c r="D13" s="58"/>
      <c r="E13" s="58">
        <v>5.5</v>
      </c>
      <c r="F13" s="58" t="s">
        <v>101</v>
      </c>
      <c r="G13" s="58"/>
      <c r="H13" s="58"/>
    </row>
    <row r="14" spans="1:8">
      <c r="A14" s="58"/>
      <c r="B14" s="58"/>
      <c r="C14" s="58" t="s">
        <v>103</v>
      </c>
      <c r="D14" s="58"/>
      <c r="E14" s="94">
        <f>(E11*E13)/100000</f>
        <v>5.94</v>
      </c>
      <c r="F14" s="58" t="s">
        <v>52</v>
      </c>
      <c r="G14" s="58"/>
      <c r="H14" s="58"/>
    </row>
    <row r="15" spans="1:8">
      <c r="A15" s="58"/>
      <c r="B15" s="58"/>
      <c r="C15" s="58"/>
      <c r="D15" s="58"/>
      <c r="E15" s="58"/>
      <c r="F15" s="58"/>
      <c r="G15" s="58"/>
      <c r="H15" s="58"/>
    </row>
    <row r="16" spans="1:8">
      <c r="A16" s="58"/>
      <c r="B16" s="58" t="s">
        <v>41</v>
      </c>
      <c r="C16" s="59" t="s">
        <v>104</v>
      </c>
      <c r="D16" s="58"/>
      <c r="E16" s="58"/>
      <c r="F16" s="58"/>
      <c r="G16" s="58"/>
      <c r="H16" s="58"/>
    </row>
    <row r="17" spans="1:8">
      <c r="A17" s="58"/>
      <c r="B17" s="58"/>
      <c r="C17" s="58"/>
      <c r="D17" s="58"/>
      <c r="E17" s="58"/>
      <c r="F17" s="58"/>
      <c r="G17" s="58"/>
      <c r="H17" s="58"/>
    </row>
    <row r="18" spans="1:8">
      <c r="A18" s="58"/>
      <c r="B18" s="58"/>
      <c r="C18" s="58" t="s">
        <v>104</v>
      </c>
      <c r="D18" s="58"/>
      <c r="E18" s="58">
        <v>1500</v>
      </c>
      <c r="F18" s="58" t="s">
        <v>105</v>
      </c>
      <c r="G18" s="58"/>
      <c r="H18" s="58"/>
    </row>
    <row r="19" spans="1:8">
      <c r="A19" s="58"/>
      <c r="B19" s="58"/>
      <c r="C19" s="58" t="s">
        <v>106</v>
      </c>
      <c r="D19" s="58"/>
      <c r="E19" s="58" t="s">
        <v>107</v>
      </c>
      <c r="F19" s="58"/>
      <c r="G19" s="58"/>
      <c r="H19" s="58"/>
    </row>
    <row r="20" spans="1:8">
      <c r="A20" s="58"/>
      <c r="B20" s="58"/>
      <c r="C20" s="58" t="s">
        <v>108</v>
      </c>
      <c r="D20" s="58"/>
      <c r="E20" s="94">
        <f>(E18*15)/100000</f>
        <v>0.22500000000000001</v>
      </c>
      <c r="F20" s="58" t="s">
        <v>57</v>
      </c>
      <c r="G20" s="58"/>
      <c r="H20" s="58"/>
    </row>
    <row r="21" spans="1:8">
      <c r="A21" s="58"/>
      <c r="B21" s="58"/>
      <c r="C21" s="58"/>
      <c r="D21" s="58"/>
      <c r="E21" s="58"/>
      <c r="F21" s="58"/>
      <c r="G21" s="58"/>
      <c r="H21" s="58"/>
    </row>
    <row r="22" spans="1:8">
      <c r="A22" s="58"/>
      <c r="B22" s="58"/>
      <c r="C22" s="58"/>
      <c r="D22" s="58"/>
      <c r="E22" s="58"/>
      <c r="F22" s="58"/>
      <c r="G22" s="58"/>
      <c r="H22" s="58"/>
    </row>
    <row r="23" spans="1:8">
      <c r="A23" s="58"/>
      <c r="B23" s="58" t="s">
        <v>43</v>
      </c>
      <c r="C23" s="59" t="s">
        <v>109</v>
      </c>
      <c r="D23" s="58"/>
      <c r="E23" s="58"/>
      <c r="F23" s="58"/>
      <c r="G23" s="58"/>
      <c r="H23" s="58"/>
    </row>
    <row r="24" spans="1:8">
      <c r="A24" s="58"/>
      <c r="B24" s="58"/>
      <c r="C24" s="58"/>
      <c r="D24" s="58"/>
      <c r="E24" s="58"/>
      <c r="F24" s="58"/>
      <c r="G24" s="58"/>
      <c r="H24" s="58"/>
    </row>
    <row r="25" spans="1:8">
      <c r="A25" s="58"/>
      <c r="B25" s="58"/>
      <c r="C25" s="58" t="s">
        <v>110</v>
      </c>
      <c r="D25" s="58"/>
      <c r="E25" s="58">
        <v>3</v>
      </c>
      <c r="F25" s="58" t="s">
        <v>105</v>
      </c>
      <c r="G25" s="58"/>
      <c r="H25" s="58"/>
    </row>
    <row r="26" spans="1:8">
      <c r="A26" s="58"/>
      <c r="B26" s="58"/>
      <c r="C26" s="58" t="s">
        <v>106</v>
      </c>
      <c r="D26" s="58"/>
      <c r="E26" s="58" t="s">
        <v>111</v>
      </c>
      <c r="F26" s="58"/>
      <c r="G26" s="58"/>
      <c r="H26" s="58"/>
    </row>
    <row r="27" spans="1:8">
      <c r="A27" s="58"/>
      <c r="B27" s="58"/>
      <c r="C27" s="58" t="s">
        <v>112</v>
      </c>
      <c r="D27" s="58"/>
      <c r="E27" s="94">
        <f>(E25*55000)/100000</f>
        <v>1.65</v>
      </c>
      <c r="F27" s="58" t="s">
        <v>57</v>
      </c>
      <c r="G27" s="58"/>
      <c r="H27" s="58"/>
    </row>
    <row r="28" spans="1:8">
      <c r="A28" s="58"/>
      <c r="B28" s="58"/>
      <c r="C28" s="58"/>
      <c r="D28" s="58"/>
      <c r="E28" s="58"/>
      <c r="F28" s="58"/>
      <c r="G28" s="58"/>
      <c r="H28" s="58"/>
    </row>
    <row r="29" spans="1:8">
      <c r="A29" s="58"/>
      <c r="B29" s="58"/>
      <c r="C29" s="58" t="s">
        <v>113</v>
      </c>
      <c r="D29" s="58"/>
      <c r="E29" s="94">
        <f>E27+E20+E14</f>
        <v>7.8150000000000004</v>
      </c>
      <c r="F29" s="94" t="s">
        <v>52</v>
      </c>
      <c r="G29" s="58"/>
      <c r="H29" s="58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view="pageBreakPreview" zoomScale="115" zoomScaleSheetLayoutView="115" workbookViewId="0">
      <selection sqref="A1:XFD1048576"/>
    </sheetView>
  </sheetViews>
  <sheetFormatPr defaultRowHeight="15"/>
  <cols>
    <col min="1" max="1" width="4.5703125" style="58" customWidth="1"/>
    <col min="2" max="2" width="33.85546875" style="58" customWidth="1"/>
    <col min="3" max="3" width="13" style="58" customWidth="1"/>
    <col min="4" max="4" width="11.5703125" style="58" customWidth="1"/>
    <col min="5" max="5" width="13.85546875" style="58" customWidth="1"/>
    <col min="6" max="6" width="12.5703125" style="58" customWidth="1"/>
    <col min="7" max="7" width="12.140625" style="58" customWidth="1"/>
    <col min="8" max="16384" width="9.140625" style="58"/>
  </cols>
  <sheetData>
    <row r="1" spans="1:10">
      <c r="B1" s="578" t="s">
        <v>252</v>
      </c>
      <c r="C1" s="578"/>
      <c r="D1" s="578"/>
      <c r="E1" s="578"/>
      <c r="F1" s="578"/>
      <c r="G1" s="578"/>
      <c r="H1" s="162"/>
      <c r="I1" s="162"/>
      <c r="J1" s="162"/>
    </row>
    <row r="2" spans="1:10">
      <c r="B2" s="578" t="s">
        <v>253</v>
      </c>
      <c r="C2" s="578"/>
      <c r="D2" s="578"/>
      <c r="E2" s="578"/>
      <c r="F2" s="578"/>
      <c r="G2" s="578"/>
      <c r="H2" s="537"/>
      <c r="I2" s="537"/>
      <c r="J2" s="537"/>
    </row>
    <row r="3" spans="1:10">
      <c r="B3" s="578" t="s">
        <v>343</v>
      </c>
      <c r="C3" s="578"/>
      <c r="D3" s="578"/>
      <c r="E3" s="578"/>
      <c r="F3" s="578"/>
      <c r="G3" s="578"/>
      <c r="H3" s="537"/>
      <c r="I3" s="537"/>
      <c r="J3" s="537"/>
    </row>
    <row r="6" spans="1:10">
      <c r="A6" s="58" t="s">
        <v>80</v>
      </c>
      <c r="B6" s="59" t="s">
        <v>193</v>
      </c>
    </row>
    <row r="8" spans="1:10">
      <c r="B8" s="152" t="s">
        <v>194</v>
      </c>
      <c r="C8" s="152" t="s">
        <v>157</v>
      </c>
      <c r="D8" s="152" t="s">
        <v>158</v>
      </c>
      <c r="E8" s="152" t="s">
        <v>159</v>
      </c>
      <c r="F8" s="152" t="s">
        <v>160</v>
      </c>
      <c r="G8" s="152" t="s">
        <v>161</v>
      </c>
    </row>
    <row r="10" spans="1:10">
      <c r="B10" s="59" t="s">
        <v>199</v>
      </c>
    </row>
    <row r="11" spans="1:10">
      <c r="B11" s="58" t="s">
        <v>195</v>
      </c>
      <c r="C11" s="58">
        <v>18000</v>
      </c>
      <c r="D11" s="58">
        <v>18000</v>
      </c>
      <c r="E11" s="58">
        <v>18000</v>
      </c>
      <c r="F11" s="58">
        <v>18000</v>
      </c>
      <c r="G11" s="58">
        <v>18000</v>
      </c>
    </row>
    <row r="13" spans="1:10">
      <c r="B13" s="58" t="s">
        <v>196</v>
      </c>
      <c r="C13" s="58">
        <v>5000</v>
      </c>
      <c r="D13" s="58">
        <v>5000</v>
      </c>
      <c r="E13" s="58">
        <v>5000</v>
      </c>
      <c r="F13" s="58">
        <v>5000</v>
      </c>
      <c r="G13" s="58">
        <v>5000</v>
      </c>
    </row>
    <row r="15" spans="1:10">
      <c r="B15" s="58" t="s">
        <v>197</v>
      </c>
      <c r="C15" s="58">
        <v>800</v>
      </c>
      <c r="D15" s="58">
        <v>800</v>
      </c>
      <c r="E15" s="58">
        <v>800</v>
      </c>
      <c r="F15" s="58">
        <v>800</v>
      </c>
      <c r="G15" s="58">
        <v>800</v>
      </c>
    </row>
    <row r="17" spans="1:10">
      <c r="B17" s="58" t="s">
        <v>198</v>
      </c>
      <c r="C17" s="58">
        <v>5000</v>
      </c>
      <c r="D17" s="58">
        <v>5000</v>
      </c>
      <c r="E17" s="58">
        <v>5000</v>
      </c>
      <c r="F17" s="58">
        <v>5000</v>
      </c>
      <c r="G17" s="58">
        <v>5000</v>
      </c>
    </row>
    <row r="19" spans="1:10">
      <c r="B19" s="58" t="s">
        <v>276</v>
      </c>
      <c r="C19" s="58">
        <v>1000</v>
      </c>
      <c r="D19" s="58">
        <v>1000</v>
      </c>
      <c r="E19" s="58">
        <v>1000</v>
      </c>
      <c r="F19" s="58">
        <v>1000</v>
      </c>
      <c r="G19" s="58">
        <v>1000</v>
      </c>
    </row>
    <row r="21" spans="1:10">
      <c r="B21" s="59" t="s">
        <v>200</v>
      </c>
    </row>
    <row r="23" spans="1:10">
      <c r="B23" s="58" t="s">
        <v>156</v>
      </c>
      <c r="C23" s="58">
        <v>24000</v>
      </c>
      <c r="D23" s="58">
        <v>30000</v>
      </c>
      <c r="E23" s="58">
        <v>36000</v>
      </c>
      <c r="F23" s="58">
        <f>E23+6000</f>
        <v>42000</v>
      </c>
      <c r="G23" s="58">
        <f t="shared" ref="G23:G26" si="0">F23+6000</f>
        <v>48000</v>
      </c>
      <c r="I23" s="58">
        <f>15/12</f>
        <v>1.25</v>
      </c>
      <c r="J23" s="58">
        <f>12*5</f>
        <v>60</v>
      </c>
    </row>
    <row r="24" spans="1:10">
      <c r="B24" s="58" t="s">
        <v>186</v>
      </c>
      <c r="C24" s="58">
        <v>36000</v>
      </c>
      <c r="D24" s="58">
        <f>C24+6000</f>
        <v>42000</v>
      </c>
      <c r="E24" s="58">
        <f t="shared" ref="E24:F24" si="1">D24+6000</f>
        <v>48000</v>
      </c>
      <c r="F24" s="58">
        <f t="shared" si="1"/>
        <v>54000</v>
      </c>
      <c r="G24" s="58">
        <f t="shared" si="0"/>
        <v>60000</v>
      </c>
    </row>
    <row r="25" spans="1:10">
      <c r="B25" s="58" t="s">
        <v>201</v>
      </c>
      <c r="C25" s="58">
        <v>48000</v>
      </c>
      <c r="D25" s="58">
        <f>C25+6000</f>
        <v>54000</v>
      </c>
      <c r="E25" s="58">
        <f t="shared" ref="E25:F25" si="2">D25+6000</f>
        <v>60000</v>
      </c>
      <c r="F25" s="58">
        <f t="shared" si="2"/>
        <v>66000</v>
      </c>
      <c r="G25" s="58">
        <f t="shared" si="0"/>
        <v>72000</v>
      </c>
    </row>
    <row r="26" spans="1:10">
      <c r="B26" s="58" t="s">
        <v>202</v>
      </c>
      <c r="C26" s="58">
        <v>60000</v>
      </c>
      <c r="D26" s="58">
        <f>C26+6000</f>
        <v>66000</v>
      </c>
      <c r="E26" s="58">
        <f t="shared" ref="E26:F26" si="3">D26+6000</f>
        <v>72000</v>
      </c>
      <c r="F26" s="58">
        <f t="shared" si="3"/>
        <v>78000</v>
      </c>
      <c r="G26" s="58">
        <f t="shared" si="0"/>
        <v>84000</v>
      </c>
    </row>
    <row r="28" spans="1:10" ht="36" customHeight="1">
      <c r="A28" s="577" t="s">
        <v>269</v>
      </c>
      <c r="B28" s="577"/>
      <c r="C28" s="577"/>
      <c r="D28" s="577"/>
      <c r="E28" s="577"/>
      <c r="F28" s="577"/>
      <c r="G28" s="577"/>
    </row>
  </sheetData>
  <mergeCells count="6">
    <mergeCell ref="A28:G28"/>
    <mergeCell ref="B1:G1"/>
    <mergeCell ref="B2:G2"/>
    <mergeCell ref="H2:J2"/>
    <mergeCell ref="B3:G3"/>
    <mergeCell ref="H3:J3"/>
  </mergeCells>
  <pageMargins left="0.37" right="0.24" top="0.75" bottom="0.75" header="0.3" footer="0.3"/>
  <pageSetup scale="90" orientation="portrait" horizont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7"/>
  <sheetViews>
    <sheetView view="pageBreakPreview" zoomScale="145" zoomScaleSheetLayoutView="145" workbookViewId="0">
      <selection sqref="A1:XFD1048576"/>
    </sheetView>
  </sheetViews>
  <sheetFormatPr defaultRowHeight="15"/>
  <cols>
    <col min="1" max="1" width="4.85546875" style="58" customWidth="1"/>
    <col min="2" max="2" width="10.7109375" style="58" customWidth="1"/>
    <col min="3" max="3" width="17.85546875" style="58" customWidth="1"/>
    <col min="4" max="4" width="7.5703125" style="58" customWidth="1"/>
    <col min="5" max="5" width="9.140625" style="58" customWidth="1"/>
    <col min="6" max="6" width="8.5703125" style="58" customWidth="1"/>
    <col min="7" max="7" width="7.42578125" style="58" customWidth="1"/>
    <col min="8" max="8" width="7.85546875" style="58" customWidth="1"/>
    <col min="9" max="9" width="6.85546875" style="58" customWidth="1"/>
    <col min="10" max="16384" width="9.140625" style="58"/>
  </cols>
  <sheetData>
    <row r="1" spans="1:10">
      <c r="B1" s="578" t="s">
        <v>252</v>
      </c>
      <c r="C1" s="578"/>
      <c r="D1" s="578"/>
      <c r="E1" s="578"/>
      <c r="F1" s="578"/>
      <c r="G1" s="578"/>
      <c r="H1" s="578"/>
      <c r="I1" s="578"/>
      <c r="J1" s="578"/>
    </row>
    <row r="2" spans="1:10">
      <c r="B2" s="578" t="s">
        <v>253</v>
      </c>
      <c r="C2" s="578"/>
      <c r="D2" s="578"/>
      <c r="E2" s="578"/>
      <c r="F2" s="578"/>
      <c r="G2" s="578"/>
      <c r="H2" s="578"/>
      <c r="I2" s="578"/>
      <c r="J2" s="578"/>
    </row>
    <row r="3" spans="1:10">
      <c r="B3" s="578" t="s">
        <v>343</v>
      </c>
      <c r="C3" s="578"/>
      <c r="D3" s="578"/>
      <c r="E3" s="578"/>
      <c r="F3" s="578"/>
      <c r="G3" s="578"/>
      <c r="H3" s="578"/>
      <c r="I3" s="578"/>
      <c r="J3" s="578"/>
    </row>
    <row r="5" spans="1:10">
      <c r="A5" s="58" t="s">
        <v>91</v>
      </c>
      <c r="B5" s="58" t="s">
        <v>315</v>
      </c>
    </row>
    <row r="6" spans="1:10">
      <c r="B6" s="58" t="s">
        <v>154</v>
      </c>
    </row>
    <row r="8" spans="1:10">
      <c r="B8" s="58" t="s">
        <v>155</v>
      </c>
    </row>
    <row r="10" spans="1:10">
      <c r="B10" s="58" t="s">
        <v>156</v>
      </c>
      <c r="D10" s="130" t="s">
        <v>164</v>
      </c>
      <c r="E10" s="130" t="s">
        <v>157</v>
      </c>
      <c r="F10" s="130" t="s">
        <v>158</v>
      </c>
      <c r="G10" s="130" t="s">
        <v>159</v>
      </c>
      <c r="H10" s="130" t="s">
        <v>160</v>
      </c>
      <c r="I10" s="130" t="s">
        <v>161</v>
      </c>
    </row>
    <row r="12" spans="1:10">
      <c r="B12" s="58" t="s">
        <v>162</v>
      </c>
      <c r="C12" s="58" t="s">
        <v>163</v>
      </c>
      <c r="D12" s="58">
        <v>6</v>
      </c>
      <c r="E12" s="157">
        <v>240</v>
      </c>
      <c r="F12" s="157">
        <v>240</v>
      </c>
      <c r="G12" s="157">
        <v>240</v>
      </c>
      <c r="H12" s="157">
        <v>240</v>
      </c>
      <c r="I12" s="157">
        <v>240</v>
      </c>
    </row>
    <row r="13" spans="1:10">
      <c r="C13" s="58" t="s">
        <v>165</v>
      </c>
      <c r="E13" s="157">
        <v>0</v>
      </c>
      <c r="F13" s="157">
        <v>0</v>
      </c>
      <c r="G13" s="157">
        <v>0</v>
      </c>
      <c r="H13" s="157">
        <v>0</v>
      </c>
      <c r="I13" s="157">
        <v>0</v>
      </c>
    </row>
    <row r="14" spans="1:10">
      <c r="C14" s="58" t="s">
        <v>58</v>
      </c>
      <c r="E14" s="157">
        <f>E12</f>
        <v>240</v>
      </c>
      <c r="F14" s="157">
        <f t="shared" ref="F14:I14" si="0">F12</f>
        <v>240</v>
      </c>
      <c r="G14" s="157">
        <f t="shared" si="0"/>
        <v>240</v>
      </c>
      <c r="H14" s="157">
        <f t="shared" si="0"/>
        <v>240</v>
      </c>
      <c r="I14" s="157">
        <f t="shared" si="0"/>
        <v>240</v>
      </c>
    </row>
    <row r="15" spans="1:10">
      <c r="E15" s="157"/>
      <c r="F15" s="157"/>
      <c r="G15" s="157"/>
      <c r="H15" s="157"/>
      <c r="I15" s="157"/>
    </row>
    <row r="16" spans="1:10">
      <c r="B16" s="58" t="s">
        <v>166</v>
      </c>
      <c r="C16" s="58" t="s">
        <v>163</v>
      </c>
      <c r="D16" s="58">
        <v>6</v>
      </c>
      <c r="E16" s="157">
        <v>240</v>
      </c>
      <c r="F16" s="157">
        <v>0</v>
      </c>
      <c r="G16" s="157">
        <v>0</v>
      </c>
      <c r="H16" s="157">
        <v>0</v>
      </c>
      <c r="I16" s="157">
        <v>0</v>
      </c>
    </row>
    <row r="17" spans="2:9">
      <c r="C17" s="58" t="s">
        <v>165</v>
      </c>
      <c r="E17" s="157"/>
      <c r="F17" s="157">
        <f>E14</f>
        <v>240</v>
      </c>
      <c r="G17" s="157">
        <f>F14</f>
        <v>240</v>
      </c>
      <c r="H17" s="157">
        <f>G14</f>
        <v>240</v>
      </c>
      <c r="I17" s="157">
        <f>H14</f>
        <v>240</v>
      </c>
    </row>
    <row r="18" spans="2:9">
      <c r="C18" s="58" t="s">
        <v>58</v>
      </c>
      <c r="E18" s="157">
        <f>E16+E17</f>
        <v>240</v>
      </c>
      <c r="F18" s="157">
        <f>F16+F17</f>
        <v>240</v>
      </c>
      <c r="G18" s="157">
        <f t="shared" ref="G18:I18" si="1">G16+G17</f>
        <v>240</v>
      </c>
      <c r="H18" s="157">
        <f t="shared" si="1"/>
        <v>240</v>
      </c>
      <c r="I18" s="157">
        <f t="shared" si="1"/>
        <v>240</v>
      </c>
    </row>
    <row r="19" spans="2:9">
      <c r="E19" s="157"/>
      <c r="F19" s="157"/>
      <c r="G19" s="157"/>
      <c r="H19" s="157"/>
      <c r="I19" s="157"/>
    </row>
    <row r="20" spans="2:9">
      <c r="B20" s="58" t="s">
        <v>167</v>
      </c>
      <c r="C20" s="58" t="s">
        <v>163</v>
      </c>
      <c r="D20" s="58">
        <v>6</v>
      </c>
      <c r="E20" s="157">
        <v>240</v>
      </c>
      <c r="F20" s="157">
        <v>0</v>
      </c>
      <c r="G20" s="157">
        <v>0</v>
      </c>
      <c r="H20" s="157">
        <v>0</v>
      </c>
      <c r="I20" s="157">
        <v>0</v>
      </c>
    </row>
    <row r="21" spans="2:9">
      <c r="C21" s="58" t="s">
        <v>165</v>
      </c>
      <c r="E21" s="157"/>
      <c r="F21" s="157">
        <f>E18</f>
        <v>240</v>
      </c>
      <c r="G21" s="157">
        <f>F18</f>
        <v>240</v>
      </c>
      <c r="H21" s="157">
        <f>G18</f>
        <v>240</v>
      </c>
      <c r="I21" s="157">
        <f>H18</f>
        <v>240</v>
      </c>
    </row>
    <row r="22" spans="2:9">
      <c r="C22" s="58" t="s">
        <v>58</v>
      </c>
      <c r="E22" s="157">
        <f>E20+E21</f>
        <v>240</v>
      </c>
      <c r="F22" s="157">
        <f>F20+F21</f>
        <v>240</v>
      </c>
      <c r="G22" s="157">
        <f t="shared" ref="G22:I22" si="2">G20+G21</f>
        <v>240</v>
      </c>
      <c r="H22" s="157">
        <f t="shared" si="2"/>
        <v>240</v>
      </c>
      <c r="I22" s="157">
        <f t="shared" si="2"/>
        <v>240</v>
      </c>
    </row>
    <row r="23" spans="2:9">
      <c r="E23" s="157"/>
      <c r="F23" s="157"/>
      <c r="G23" s="157"/>
      <c r="H23" s="157"/>
      <c r="I23" s="157"/>
    </row>
    <row r="24" spans="2:9">
      <c r="B24" s="58" t="s">
        <v>168</v>
      </c>
      <c r="C24" s="58" t="s">
        <v>163</v>
      </c>
      <c r="D24" s="58">
        <v>6</v>
      </c>
      <c r="E24" s="157">
        <v>240</v>
      </c>
      <c r="F24" s="157">
        <v>0</v>
      </c>
      <c r="G24" s="157">
        <v>0</v>
      </c>
      <c r="H24" s="157">
        <v>0</v>
      </c>
      <c r="I24" s="157">
        <v>0</v>
      </c>
    </row>
    <row r="25" spans="2:9">
      <c r="C25" s="58" t="s">
        <v>165</v>
      </c>
      <c r="E25" s="157"/>
      <c r="F25" s="157">
        <f>E22</f>
        <v>240</v>
      </c>
      <c r="G25" s="157">
        <f>F22</f>
        <v>240</v>
      </c>
      <c r="H25" s="157">
        <f>G22</f>
        <v>240</v>
      </c>
      <c r="I25" s="157">
        <f>H22</f>
        <v>240</v>
      </c>
    </row>
    <row r="26" spans="2:9">
      <c r="C26" s="58" t="s">
        <v>58</v>
      </c>
      <c r="E26" s="157">
        <f>E24+E25</f>
        <v>240</v>
      </c>
      <c r="F26" s="157">
        <f t="shared" ref="F26:I26" si="3">F24+F25</f>
        <v>240</v>
      </c>
      <c r="G26" s="157">
        <f t="shared" si="3"/>
        <v>240</v>
      </c>
      <c r="H26" s="157">
        <f t="shared" si="3"/>
        <v>240</v>
      </c>
      <c r="I26" s="157">
        <f t="shared" si="3"/>
        <v>240</v>
      </c>
    </row>
    <row r="27" spans="2:9">
      <c r="E27" s="157"/>
      <c r="F27" s="157"/>
      <c r="G27" s="157"/>
      <c r="H27" s="157"/>
      <c r="I27" s="157"/>
    </row>
    <row r="28" spans="2:9">
      <c r="B28" s="58" t="s">
        <v>169</v>
      </c>
      <c r="C28" s="58" t="s">
        <v>163</v>
      </c>
      <c r="D28" s="58">
        <v>6</v>
      </c>
      <c r="E28" s="157">
        <v>160</v>
      </c>
      <c r="F28" s="157"/>
      <c r="G28" s="157">
        <v>0</v>
      </c>
      <c r="H28" s="157">
        <v>0</v>
      </c>
      <c r="I28" s="157">
        <v>0</v>
      </c>
    </row>
    <row r="29" spans="2:9">
      <c r="C29" s="58" t="s">
        <v>165</v>
      </c>
      <c r="E29" s="157"/>
      <c r="F29" s="157">
        <f>E26</f>
        <v>240</v>
      </c>
      <c r="G29" s="157">
        <f>F26</f>
        <v>240</v>
      </c>
      <c r="H29" s="157">
        <f>G26</f>
        <v>240</v>
      </c>
      <c r="I29" s="157">
        <f t="shared" ref="I29" si="4">H26</f>
        <v>240</v>
      </c>
    </row>
    <row r="30" spans="2:9">
      <c r="C30" s="58" t="s">
        <v>58</v>
      </c>
      <c r="E30" s="157">
        <f>E28+E29</f>
        <v>160</v>
      </c>
      <c r="F30" s="157">
        <f>F28+F29</f>
        <v>240</v>
      </c>
      <c r="G30" s="157">
        <f t="shared" ref="G30:I30" si="5">G28+G29</f>
        <v>240</v>
      </c>
      <c r="H30" s="157">
        <f t="shared" si="5"/>
        <v>240</v>
      </c>
      <c r="I30" s="157">
        <f t="shared" si="5"/>
        <v>240</v>
      </c>
    </row>
    <row r="31" spans="2:9">
      <c r="E31" s="157"/>
      <c r="F31" s="157"/>
      <c r="G31" s="157"/>
      <c r="H31" s="157"/>
      <c r="I31" s="157"/>
    </row>
    <row r="32" spans="2:9">
      <c r="B32" s="58" t="s">
        <v>170</v>
      </c>
      <c r="C32" s="58" t="s">
        <v>163</v>
      </c>
      <c r="D32" s="58">
        <v>6</v>
      </c>
      <c r="E32" s="157">
        <v>160</v>
      </c>
      <c r="F32" s="157"/>
      <c r="G32" s="157">
        <v>0</v>
      </c>
      <c r="H32" s="157">
        <v>0</v>
      </c>
      <c r="I32" s="157">
        <v>0</v>
      </c>
    </row>
    <row r="33" spans="2:9">
      <c r="C33" s="58" t="s">
        <v>165</v>
      </c>
      <c r="E33" s="157"/>
      <c r="F33" s="157">
        <f>E30</f>
        <v>160</v>
      </c>
      <c r="G33" s="157">
        <f>F30</f>
        <v>240</v>
      </c>
      <c r="H33" s="157">
        <f>G30</f>
        <v>240</v>
      </c>
      <c r="I33" s="157">
        <f t="shared" ref="I33" si="6">H30</f>
        <v>240</v>
      </c>
    </row>
    <row r="34" spans="2:9">
      <c r="C34" s="58" t="s">
        <v>58</v>
      </c>
      <c r="E34" s="157">
        <f>E32+E33</f>
        <v>160</v>
      </c>
      <c r="F34" s="157">
        <f t="shared" ref="F34:I34" si="7">F32+F33</f>
        <v>160</v>
      </c>
      <c r="G34" s="157">
        <f t="shared" si="7"/>
        <v>240</v>
      </c>
      <c r="H34" s="157">
        <f t="shared" si="7"/>
        <v>240</v>
      </c>
      <c r="I34" s="157">
        <f t="shared" si="7"/>
        <v>240</v>
      </c>
    </row>
    <row r="35" spans="2:9">
      <c r="E35" s="157"/>
      <c r="F35" s="157"/>
      <c r="G35" s="157"/>
      <c r="H35" s="157"/>
      <c r="I35" s="157"/>
    </row>
    <row r="36" spans="2:9">
      <c r="B36" s="58" t="s">
        <v>171</v>
      </c>
      <c r="C36" s="58" t="s">
        <v>163</v>
      </c>
      <c r="D36" s="58">
        <v>6</v>
      </c>
      <c r="E36" s="157">
        <v>160</v>
      </c>
      <c r="F36" s="157"/>
      <c r="G36" s="157">
        <v>0</v>
      </c>
      <c r="H36" s="157">
        <v>0</v>
      </c>
      <c r="I36" s="157">
        <v>0</v>
      </c>
    </row>
    <row r="37" spans="2:9">
      <c r="C37" s="58" t="s">
        <v>165</v>
      </c>
      <c r="E37" s="157"/>
      <c r="F37" s="157">
        <f>E34</f>
        <v>160</v>
      </c>
      <c r="G37" s="157">
        <f t="shared" ref="G37:I37" si="8">F34</f>
        <v>160</v>
      </c>
      <c r="H37" s="157">
        <f t="shared" si="8"/>
        <v>240</v>
      </c>
      <c r="I37" s="157">
        <f t="shared" si="8"/>
        <v>240</v>
      </c>
    </row>
    <row r="38" spans="2:9">
      <c r="C38" s="58" t="s">
        <v>58</v>
      </c>
      <c r="E38" s="157">
        <f>E37+E36</f>
        <v>160</v>
      </c>
      <c r="F38" s="157">
        <f t="shared" ref="F38:I38" si="9">F37+F36</f>
        <v>160</v>
      </c>
      <c r="G38" s="157">
        <f t="shared" si="9"/>
        <v>160</v>
      </c>
      <c r="H38" s="157">
        <f t="shared" si="9"/>
        <v>240</v>
      </c>
      <c r="I38" s="157">
        <f t="shared" si="9"/>
        <v>240</v>
      </c>
    </row>
    <row r="39" spans="2:9">
      <c r="E39" s="157"/>
      <c r="F39" s="157"/>
      <c r="G39" s="157"/>
      <c r="H39" s="157"/>
      <c r="I39" s="157"/>
    </row>
    <row r="40" spans="2:9">
      <c r="B40" s="58" t="s">
        <v>172</v>
      </c>
      <c r="C40" s="58" t="s">
        <v>163</v>
      </c>
      <c r="D40" s="58">
        <v>6</v>
      </c>
      <c r="E40" s="157">
        <v>120</v>
      </c>
      <c r="F40" s="157"/>
      <c r="G40" s="157">
        <v>0</v>
      </c>
      <c r="H40" s="157">
        <v>0</v>
      </c>
      <c r="I40" s="157">
        <v>0</v>
      </c>
    </row>
    <row r="41" spans="2:9">
      <c r="C41" s="58" t="s">
        <v>165</v>
      </c>
      <c r="E41" s="157"/>
      <c r="F41" s="157">
        <f>E38</f>
        <v>160</v>
      </c>
      <c r="G41" s="157">
        <f t="shared" ref="G41:I41" si="10">F38</f>
        <v>160</v>
      </c>
      <c r="H41" s="157">
        <f t="shared" si="10"/>
        <v>160</v>
      </c>
      <c r="I41" s="157">
        <f t="shared" si="10"/>
        <v>240</v>
      </c>
    </row>
    <row r="42" spans="2:9">
      <c r="C42" s="58" t="s">
        <v>58</v>
      </c>
      <c r="E42" s="157">
        <f>E40+E41</f>
        <v>120</v>
      </c>
      <c r="F42" s="157">
        <f t="shared" ref="F42:I42" si="11">F40+F41</f>
        <v>160</v>
      </c>
      <c r="G42" s="157">
        <f t="shared" si="11"/>
        <v>160</v>
      </c>
      <c r="H42" s="157">
        <f t="shared" si="11"/>
        <v>160</v>
      </c>
      <c r="I42" s="157">
        <f t="shared" si="11"/>
        <v>240</v>
      </c>
    </row>
    <row r="43" spans="2:9">
      <c r="E43" s="157"/>
      <c r="F43" s="157"/>
      <c r="G43" s="157"/>
      <c r="H43" s="157"/>
      <c r="I43" s="157"/>
    </row>
    <row r="44" spans="2:9">
      <c r="B44" s="58" t="s">
        <v>173</v>
      </c>
      <c r="C44" s="58" t="s">
        <v>163</v>
      </c>
      <c r="D44" s="58">
        <v>6</v>
      </c>
      <c r="E44" s="157">
        <v>80</v>
      </c>
      <c r="F44" s="157"/>
      <c r="G44" s="157"/>
      <c r="H44" s="157">
        <v>0</v>
      </c>
      <c r="I44" s="157">
        <v>0</v>
      </c>
    </row>
    <row r="45" spans="2:9">
      <c r="C45" s="58" t="s">
        <v>165</v>
      </c>
      <c r="E45" s="157"/>
      <c r="F45" s="157">
        <f>E42</f>
        <v>120</v>
      </c>
      <c r="G45" s="157">
        <f t="shared" ref="G45:I45" si="12">F42</f>
        <v>160</v>
      </c>
      <c r="H45" s="157">
        <f t="shared" si="12"/>
        <v>160</v>
      </c>
      <c r="I45" s="157">
        <f t="shared" si="12"/>
        <v>160</v>
      </c>
    </row>
    <row r="46" spans="2:9">
      <c r="C46" s="58" t="s">
        <v>58</v>
      </c>
      <c r="E46" s="157">
        <f>E44+E45</f>
        <v>80</v>
      </c>
      <c r="F46" s="157">
        <f t="shared" ref="F46:I46" si="13">F44+F45</f>
        <v>120</v>
      </c>
      <c r="G46" s="157">
        <f t="shared" si="13"/>
        <v>160</v>
      </c>
      <c r="H46" s="157">
        <f t="shared" si="13"/>
        <v>160</v>
      </c>
      <c r="I46" s="157">
        <f t="shared" si="13"/>
        <v>160</v>
      </c>
    </row>
    <row r="47" spans="2:9">
      <c r="E47" s="157"/>
      <c r="F47" s="157"/>
      <c r="G47" s="157"/>
      <c r="H47" s="157"/>
      <c r="I47" s="157"/>
    </row>
    <row r="48" spans="2:9">
      <c r="B48" s="58" t="s">
        <v>174</v>
      </c>
      <c r="C48" s="58" t="s">
        <v>163</v>
      </c>
      <c r="D48" s="58">
        <v>6</v>
      </c>
      <c r="E48" s="157">
        <v>80</v>
      </c>
      <c r="F48" s="157"/>
      <c r="G48" s="157">
        <v>0</v>
      </c>
      <c r="H48" s="157">
        <v>0</v>
      </c>
      <c r="I48" s="157">
        <v>0</v>
      </c>
    </row>
    <row r="49" spans="1:9">
      <c r="C49" s="58" t="s">
        <v>165</v>
      </c>
      <c r="E49" s="157"/>
      <c r="F49" s="157">
        <f>E46</f>
        <v>80</v>
      </c>
      <c r="G49" s="157">
        <f t="shared" ref="G49:I49" si="14">F46</f>
        <v>120</v>
      </c>
      <c r="H49" s="157">
        <f t="shared" si="14"/>
        <v>160</v>
      </c>
      <c r="I49" s="157">
        <f t="shared" si="14"/>
        <v>160</v>
      </c>
    </row>
    <row r="50" spans="1:9">
      <c r="C50" s="58" t="s">
        <v>58</v>
      </c>
      <c r="E50" s="157">
        <f>E48+E49</f>
        <v>80</v>
      </c>
      <c r="F50" s="157">
        <f>F48+F49</f>
        <v>80</v>
      </c>
      <c r="G50" s="157">
        <f t="shared" ref="G50" si="15">G48+G49</f>
        <v>120</v>
      </c>
      <c r="H50" s="157">
        <f t="shared" ref="H50" si="16">H48+H49</f>
        <v>160</v>
      </c>
      <c r="I50" s="157">
        <f t="shared" ref="I50" si="17">I48+I49</f>
        <v>160</v>
      </c>
    </row>
    <row r="51" spans="1:9" ht="30.75" customHeight="1">
      <c r="A51" s="577" t="s">
        <v>269</v>
      </c>
      <c r="B51" s="577"/>
      <c r="C51" s="577"/>
      <c r="D51" s="577"/>
      <c r="E51" s="577"/>
      <c r="F51" s="577"/>
      <c r="G51" s="577"/>
      <c r="H51" s="577"/>
      <c r="I51" s="577"/>
    </row>
    <row r="52" spans="1:9">
      <c r="B52" s="58" t="s">
        <v>175</v>
      </c>
      <c r="C52" s="58" t="s">
        <v>163</v>
      </c>
      <c r="D52" s="58">
        <v>5</v>
      </c>
      <c r="E52" s="157">
        <v>0</v>
      </c>
      <c r="F52" s="157"/>
      <c r="G52" s="157">
        <v>0</v>
      </c>
      <c r="H52" s="157">
        <v>0</v>
      </c>
      <c r="I52" s="157">
        <v>0</v>
      </c>
    </row>
    <row r="53" spans="1:9">
      <c r="C53" s="58" t="s">
        <v>165</v>
      </c>
      <c r="E53" s="157"/>
      <c r="F53" s="157">
        <f>E50</f>
        <v>80</v>
      </c>
      <c r="G53" s="157">
        <f t="shared" ref="G53:I53" si="18">F50</f>
        <v>80</v>
      </c>
      <c r="H53" s="157">
        <f t="shared" si="18"/>
        <v>120</v>
      </c>
      <c r="I53" s="157">
        <f t="shared" si="18"/>
        <v>160</v>
      </c>
    </row>
    <row r="54" spans="1:9">
      <c r="C54" s="58" t="s">
        <v>58</v>
      </c>
      <c r="E54" s="157">
        <f>E52+E53</f>
        <v>0</v>
      </c>
      <c r="F54" s="157">
        <f>F52+F53</f>
        <v>80</v>
      </c>
      <c r="G54" s="157">
        <f t="shared" ref="G54" si="19">G52+G53</f>
        <v>80</v>
      </c>
      <c r="H54" s="157">
        <f t="shared" ref="H54" si="20">H52+H53</f>
        <v>120</v>
      </c>
      <c r="I54" s="157">
        <f t="shared" ref="I54" si="21">I52+I53</f>
        <v>160</v>
      </c>
    </row>
    <row r="55" spans="1:9">
      <c r="E55" s="157"/>
      <c r="F55" s="157"/>
      <c r="G55" s="157"/>
      <c r="H55" s="157"/>
      <c r="I55" s="157"/>
    </row>
    <row r="56" spans="1:9">
      <c r="B56" s="58" t="s">
        <v>176</v>
      </c>
      <c r="C56" s="58" t="s">
        <v>163</v>
      </c>
      <c r="D56" s="58">
        <v>3</v>
      </c>
      <c r="E56" s="157"/>
      <c r="F56" s="157">
        <v>0</v>
      </c>
      <c r="G56" s="157">
        <v>0</v>
      </c>
      <c r="H56" s="157">
        <v>0</v>
      </c>
      <c r="I56" s="157">
        <v>0</v>
      </c>
    </row>
    <row r="57" spans="1:9">
      <c r="C57" s="58" t="s">
        <v>165</v>
      </c>
      <c r="E57" s="157"/>
      <c r="F57" s="157">
        <f>E54</f>
        <v>0</v>
      </c>
      <c r="G57" s="157">
        <f t="shared" ref="G57:I57" si="22">F54</f>
        <v>80</v>
      </c>
      <c r="H57" s="157">
        <f t="shared" si="22"/>
        <v>80</v>
      </c>
      <c r="I57" s="157">
        <f t="shared" si="22"/>
        <v>120</v>
      </c>
    </row>
    <row r="58" spans="1:9">
      <c r="C58" s="58" t="s">
        <v>58</v>
      </c>
      <c r="E58" s="157">
        <f>E56+E57</f>
        <v>0</v>
      </c>
      <c r="F58" s="157">
        <f>F56+F57</f>
        <v>0</v>
      </c>
      <c r="G58" s="157">
        <f t="shared" ref="G58" si="23">G56+G57</f>
        <v>80</v>
      </c>
      <c r="H58" s="157">
        <f t="shared" ref="H58" si="24">H56+H57</f>
        <v>80</v>
      </c>
      <c r="I58" s="157">
        <f t="shared" ref="I58" si="25">I56+I57</f>
        <v>120</v>
      </c>
    </row>
    <row r="59" spans="1:9">
      <c r="E59" s="157"/>
      <c r="F59" s="157"/>
      <c r="G59" s="157"/>
      <c r="H59" s="157"/>
      <c r="I59" s="157"/>
    </row>
    <row r="60" spans="1:9">
      <c r="B60" s="58" t="s">
        <v>315</v>
      </c>
      <c r="E60" s="157"/>
      <c r="F60" s="157"/>
      <c r="G60" s="157"/>
      <c r="H60" s="157"/>
      <c r="I60" s="157"/>
    </row>
    <row r="61" spans="1:9">
      <c r="B61" s="58" t="s">
        <v>314</v>
      </c>
      <c r="E61" s="157"/>
      <c r="F61" s="157"/>
      <c r="G61" s="157"/>
      <c r="H61" s="157"/>
      <c r="I61" s="157"/>
    </row>
    <row r="62" spans="1:9">
      <c r="E62" s="157"/>
      <c r="F62" s="157"/>
      <c r="G62" s="157"/>
      <c r="H62" s="157"/>
      <c r="I62" s="157"/>
    </row>
    <row r="63" spans="1:9">
      <c r="B63" s="58" t="s">
        <v>177</v>
      </c>
      <c r="C63" s="58" t="s">
        <v>163</v>
      </c>
      <c r="D63" s="58">
        <v>2</v>
      </c>
      <c r="E63" s="157"/>
      <c r="F63" s="157">
        <v>0</v>
      </c>
      <c r="G63" s="157"/>
      <c r="H63" s="157">
        <v>0</v>
      </c>
      <c r="I63" s="157">
        <v>0</v>
      </c>
    </row>
    <row r="64" spans="1:9">
      <c r="C64" s="58" t="s">
        <v>165</v>
      </c>
      <c r="E64" s="157"/>
      <c r="F64" s="157">
        <f>E58</f>
        <v>0</v>
      </c>
      <c r="G64" s="157">
        <f t="shared" ref="G64:I64" si="26">F58</f>
        <v>0</v>
      </c>
      <c r="H64" s="157">
        <f t="shared" si="26"/>
        <v>80</v>
      </c>
      <c r="I64" s="157">
        <f t="shared" si="26"/>
        <v>80</v>
      </c>
    </row>
    <row r="65" spans="1:9">
      <c r="C65" s="58" t="s">
        <v>58</v>
      </c>
      <c r="E65" s="157">
        <f>E63+E64</f>
        <v>0</v>
      </c>
      <c r="F65" s="157">
        <f>F63+F64</f>
        <v>0</v>
      </c>
      <c r="G65" s="157">
        <f t="shared" ref="G65" si="27">G63+G64</f>
        <v>0</v>
      </c>
      <c r="H65" s="157">
        <f t="shared" ref="H65" si="28">H63+H64</f>
        <v>80</v>
      </c>
      <c r="I65" s="157">
        <f t="shared" ref="I65" si="29">I63+I64</f>
        <v>80</v>
      </c>
    </row>
    <row r="66" spans="1:9">
      <c r="E66" s="157"/>
      <c r="F66" s="157"/>
      <c r="G66" s="157"/>
      <c r="H66" s="157"/>
      <c r="I66" s="157"/>
    </row>
    <row r="67" spans="1:9">
      <c r="B67" s="58" t="s">
        <v>178</v>
      </c>
      <c r="C67" s="58" t="s">
        <v>163</v>
      </c>
      <c r="D67" s="58">
        <v>3</v>
      </c>
      <c r="E67" s="157"/>
      <c r="F67" s="157">
        <v>0</v>
      </c>
      <c r="G67" s="157">
        <v>0</v>
      </c>
      <c r="H67" s="157">
        <v>20</v>
      </c>
      <c r="I67" s="157">
        <v>0</v>
      </c>
    </row>
    <row r="68" spans="1:9">
      <c r="C68" s="58" t="s">
        <v>165</v>
      </c>
      <c r="E68" s="157"/>
      <c r="F68" s="157">
        <f>E65</f>
        <v>0</v>
      </c>
      <c r="G68" s="157">
        <f t="shared" ref="G68:I68" si="30">F65</f>
        <v>0</v>
      </c>
      <c r="H68" s="157">
        <f t="shared" si="30"/>
        <v>0</v>
      </c>
      <c r="I68" s="157">
        <f t="shared" si="30"/>
        <v>80</v>
      </c>
    </row>
    <row r="69" spans="1:9">
      <c r="C69" s="58" t="s">
        <v>58</v>
      </c>
      <c r="E69" s="157">
        <f>E67+E68</f>
        <v>0</v>
      </c>
      <c r="F69" s="157">
        <f>F67+F68</f>
        <v>0</v>
      </c>
      <c r="G69" s="157">
        <f t="shared" ref="G69" si="31">G67+G68</f>
        <v>0</v>
      </c>
      <c r="H69" s="157">
        <f t="shared" ref="H69" si="32">H67+H68</f>
        <v>20</v>
      </c>
      <c r="I69" s="157">
        <f t="shared" ref="I69" si="33">I67+I68</f>
        <v>80</v>
      </c>
    </row>
    <row r="70" spans="1:9">
      <c r="E70" s="157"/>
      <c r="F70" s="157"/>
      <c r="G70" s="157"/>
      <c r="H70" s="157"/>
      <c r="I70" s="157"/>
    </row>
    <row r="71" spans="1:9">
      <c r="B71" s="58" t="s">
        <v>179</v>
      </c>
      <c r="C71" s="58" t="s">
        <v>163</v>
      </c>
      <c r="D71" s="58">
        <v>3</v>
      </c>
      <c r="E71" s="157"/>
      <c r="F71" s="157">
        <v>0</v>
      </c>
      <c r="G71" s="157">
        <v>0</v>
      </c>
      <c r="H71" s="157">
        <v>0</v>
      </c>
      <c r="I71" s="157">
        <v>0</v>
      </c>
    </row>
    <row r="72" spans="1:9">
      <c r="C72" s="58" t="s">
        <v>165</v>
      </c>
      <c r="E72" s="157"/>
      <c r="F72" s="157">
        <f>E69</f>
        <v>0</v>
      </c>
      <c r="G72" s="157">
        <f t="shared" ref="G72:I72" si="34">F69</f>
        <v>0</v>
      </c>
      <c r="H72" s="157">
        <f t="shared" si="34"/>
        <v>0</v>
      </c>
      <c r="I72" s="157">
        <f t="shared" si="34"/>
        <v>20</v>
      </c>
    </row>
    <row r="73" spans="1:9">
      <c r="C73" s="58" t="s">
        <v>58</v>
      </c>
      <c r="E73" s="157">
        <f>E71+E72</f>
        <v>0</v>
      </c>
      <c r="F73" s="157">
        <f>F71+F72</f>
        <v>0</v>
      </c>
      <c r="G73" s="157">
        <f t="shared" ref="G73" si="35">G71+G72</f>
        <v>0</v>
      </c>
      <c r="H73" s="157">
        <f t="shared" ref="H73" si="36">H71+H72</f>
        <v>0</v>
      </c>
      <c r="I73" s="157">
        <f t="shared" ref="I73" si="37">I71+I72</f>
        <v>20</v>
      </c>
    </row>
    <row r="76" spans="1:9">
      <c r="C76" s="94" t="s">
        <v>180</v>
      </c>
      <c r="D76" s="94"/>
      <c r="E76" s="158">
        <f>E12+E16+E20+E24+E28+E32+E36+E40+E44+E48+E52+E56+E63+E67+E71</f>
        <v>1720</v>
      </c>
      <c r="F76" s="158">
        <f>F12+F16+F20+F24+F28+F32+F36+F40+F44+F48+F52+F56+F63+F67+F71</f>
        <v>240</v>
      </c>
      <c r="G76" s="158">
        <f>G12+G16+G20+G24+G28+G32+G36+G40+G44+G48+G52+G56+G63+G67+G71</f>
        <v>240</v>
      </c>
      <c r="H76" s="158">
        <f>H12+H16+H20+H24+H28+H32+H36+H40+H44+H48+H52+H56+H63+H67+H71</f>
        <v>260</v>
      </c>
      <c r="I76" s="158">
        <f>I12+I16+I20+I24+I28+I32+I36+I40+I44+I48+I52+I56+I63+I67+I71</f>
        <v>240</v>
      </c>
    </row>
    <row r="77" spans="1:9">
      <c r="C77" s="94" t="s">
        <v>181</v>
      </c>
      <c r="D77" s="94"/>
      <c r="E77" s="94"/>
      <c r="F77" s="158">
        <f>E76</f>
        <v>1720</v>
      </c>
      <c r="G77" s="158">
        <f>F78</f>
        <v>1960</v>
      </c>
      <c r="H77" s="158">
        <f t="shared" ref="H77:I77" si="38">G78</f>
        <v>2200</v>
      </c>
      <c r="I77" s="158">
        <f t="shared" si="38"/>
        <v>2460</v>
      </c>
    </row>
    <row r="78" spans="1:9">
      <c r="C78" s="94" t="s">
        <v>182</v>
      </c>
      <c r="D78" s="94"/>
      <c r="E78" s="158">
        <f>E76+E77</f>
        <v>1720</v>
      </c>
      <c r="F78" s="158">
        <f>SUM(F76:F77)</f>
        <v>1960</v>
      </c>
      <c r="G78" s="158">
        <f t="shared" ref="G78:I78" si="39">SUM(G76:G77)</f>
        <v>2200</v>
      </c>
      <c r="H78" s="158">
        <f t="shared" si="39"/>
        <v>2460</v>
      </c>
      <c r="I78" s="158">
        <f t="shared" si="39"/>
        <v>2700</v>
      </c>
    </row>
    <row r="80" spans="1:9" ht="30.75" customHeight="1">
      <c r="A80" s="579" t="s">
        <v>269</v>
      </c>
      <c r="B80" s="579"/>
      <c r="C80" s="579"/>
      <c r="D80" s="579"/>
      <c r="E80" s="579"/>
      <c r="F80" s="579"/>
      <c r="G80" s="579"/>
      <c r="H80" s="579"/>
      <c r="I80" s="579"/>
    </row>
    <row r="81" spans="3:9" ht="31.5" customHeight="1">
      <c r="C81" s="94" t="s">
        <v>183</v>
      </c>
    </row>
    <row r="83" spans="3:9">
      <c r="C83" s="159" t="s">
        <v>156</v>
      </c>
      <c r="E83" s="160">
        <f>E12+E16+E20</f>
        <v>720</v>
      </c>
      <c r="F83" s="160">
        <f t="shared" ref="F83:I83" si="40">F12+F16+F20</f>
        <v>240</v>
      </c>
      <c r="G83" s="160">
        <f t="shared" si="40"/>
        <v>240</v>
      </c>
      <c r="H83" s="160">
        <f t="shared" si="40"/>
        <v>240</v>
      </c>
      <c r="I83" s="160">
        <f t="shared" si="40"/>
        <v>240</v>
      </c>
    </row>
    <row r="84" spans="3:9">
      <c r="C84" s="58" t="s">
        <v>184</v>
      </c>
      <c r="E84" s="160">
        <v>0</v>
      </c>
      <c r="F84" s="160">
        <v>0</v>
      </c>
      <c r="G84" s="160">
        <v>0</v>
      </c>
      <c r="H84" s="160">
        <v>0</v>
      </c>
      <c r="I84" s="160"/>
    </row>
    <row r="86" spans="3:9">
      <c r="C86" s="58" t="s">
        <v>185</v>
      </c>
      <c r="E86" s="160">
        <f>E83-E84</f>
        <v>720</v>
      </c>
      <c r="F86" s="160">
        <f t="shared" ref="F86:I86" si="41">F83-F84</f>
        <v>240</v>
      </c>
      <c r="G86" s="160">
        <f t="shared" si="41"/>
        <v>240</v>
      </c>
      <c r="H86" s="160">
        <f t="shared" si="41"/>
        <v>240</v>
      </c>
      <c r="I86" s="160">
        <f t="shared" si="41"/>
        <v>240</v>
      </c>
    </row>
    <row r="88" spans="3:9">
      <c r="C88" s="159" t="s">
        <v>186</v>
      </c>
      <c r="E88" s="160">
        <f>E24+E28+E32+E36+E40</f>
        <v>840</v>
      </c>
      <c r="F88" s="160">
        <f t="shared" ref="F88:I88" si="42">F24+F28+F32+F36+F40</f>
        <v>0</v>
      </c>
      <c r="G88" s="160">
        <f t="shared" si="42"/>
        <v>0</v>
      </c>
      <c r="H88" s="160">
        <f t="shared" si="42"/>
        <v>0</v>
      </c>
      <c r="I88" s="160">
        <f t="shared" si="42"/>
        <v>0</v>
      </c>
    </row>
    <row r="89" spans="3:9">
      <c r="C89" s="58" t="s">
        <v>184</v>
      </c>
      <c r="E89" s="160">
        <v>0</v>
      </c>
      <c r="F89" s="160">
        <v>0</v>
      </c>
      <c r="G89" s="160">
        <v>0</v>
      </c>
      <c r="H89" s="160">
        <v>0</v>
      </c>
      <c r="I89" s="160">
        <v>0</v>
      </c>
    </row>
    <row r="91" spans="3:9">
      <c r="C91" s="58" t="s">
        <v>185</v>
      </c>
      <c r="E91" s="160">
        <f>E88-E89</f>
        <v>840</v>
      </c>
      <c r="F91" s="160">
        <f t="shared" ref="F91:I91" si="43">F88-F89</f>
        <v>0</v>
      </c>
      <c r="G91" s="160">
        <f t="shared" si="43"/>
        <v>0</v>
      </c>
      <c r="H91" s="160">
        <f t="shared" si="43"/>
        <v>0</v>
      </c>
      <c r="I91" s="160">
        <f t="shared" si="43"/>
        <v>0</v>
      </c>
    </row>
    <row r="93" spans="3:9">
      <c r="C93" s="159" t="s">
        <v>187</v>
      </c>
      <c r="E93" s="160">
        <f>E44+E48+E52+E56+E63</f>
        <v>160</v>
      </c>
      <c r="F93" s="160">
        <f>F44+F48+F52+F56+F63</f>
        <v>0</v>
      </c>
      <c r="G93" s="160">
        <f>G44+G48+G52+G56+G63</f>
        <v>0</v>
      </c>
      <c r="H93" s="160">
        <f>H44+H48+H52+H56+H63</f>
        <v>0</v>
      </c>
      <c r="I93" s="160">
        <f>I44+I48+I52+I56+I63</f>
        <v>0</v>
      </c>
    </row>
    <row r="94" spans="3:9">
      <c r="C94" s="58" t="s">
        <v>184</v>
      </c>
      <c r="E94" s="160">
        <v>0</v>
      </c>
      <c r="F94" s="160">
        <v>0</v>
      </c>
      <c r="G94" s="160">
        <v>0</v>
      </c>
      <c r="H94" s="160">
        <v>0</v>
      </c>
      <c r="I94" s="160">
        <v>0</v>
      </c>
    </row>
    <row r="96" spans="3:9">
      <c r="C96" s="58" t="s">
        <v>185</v>
      </c>
      <c r="E96" s="160">
        <f>E93-E94</f>
        <v>160</v>
      </c>
      <c r="F96" s="160">
        <f t="shared" ref="F96:I96" si="44">F93-F94</f>
        <v>0</v>
      </c>
      <c r="G96" s="160">
        <f t="shared" si="44"/>
        <v>0</v>
      </c>
      <c r="H96" s="160">
        <f t="shared" si="44"/>
        <v>0</v>
      </c>
      <c r="I96" s="160">
        <f t="shared" si="44"/>
        <v>0</v>
      </c>
    </row>
    <row r="98" spans="3:9">
      <c r="C98" s="159" t="s">
        <v>188</v>
      </c>
      <c r="E98" s="160">
        <f>E67+E71</f>
        <v>0</v>
      </c>
      <c r="F98" s="160">
        <f t="shared" ref="F98:I98" si="45">F67+F71</f>
        <v>0</v>
      </c>
      <c r="G98" s="160">
        <f t="shared" si="45"/>
        <v>0</v>
      </c>
      <c r="H98" s="160">
        <f t="shared" si="45"/>
        <v>20</v>
      </c>
      <c r="I98" s="160">
        <f t="shared" si="45"/>
        <v>0</v>
      </c>
    </row>
    <row r="99" spans="3:9">
      <c r="C99" s="58" t="s">
        <v>184</v>
      </c>
      <c r="E99" s="160">
        <f>E98*10%</f>
        <v>0</v>
      </c>
      <c r="F99" s="160">
        <f t="shared" ref="F99" si="46">F98*10%</f>
        <v>0</v>
      </c>
      <c r="G99" s="160">
        <f t="shared" ref="G99" si="47">G98*10%</f>
        <v>0</v>
      </c>
      <c r="H99" s="160"/>
      <c r="I99" s="160">
        <f t="shared" ref="I99" si="48">I98*10%</f>
        <v>0</v>
      </c>
    </row>
    <row r="101" spans="3:9">
      <c r="C101" s="58" t="s">
        <v>185</v>
      </c>
      <c r="E101" s="160">
        <f>E98-E99</f>
        <v>0</v>
      </c>
      <c r="F101" s="160">
        <f t="shared" ref="F101:I101" si="49">F98-F99</f>
        <v>0</v>
      </c>
      <c r="G101" s="160">
        <f t="shared" si="49"/>
        <v>0</v>
      </c>
      <c r="H101" s="160">
        <f t="shared" si="49"/>
        <v>20</v>
      </c>
      <c r="I101" s="160">
        <f t="shared" si="49"/>
        <v>0</v>
      </c>
    </row>
    <row r="103" spans="3:9">
      <c r="C103" s="94" t="s">
        <v>189</v>
      </c>
      <c r="E103" s="158">
        <f>E86+E91+E96+E101</f>
        <v>1720</v>
      </c>
      <c r="F103" s="158">
        <f t="shared" ref="F103:I103" si="50">F86+F91+F96+F101</f>
        <v>240</v>
      </c>
      <c r="G103" s="158">
        <f t="shared" si="50"/>
        <v>240</v>
      </c>
      <c r="H103" s="158">
        <f t="shared" si="50"/>
        <v>260</v>
      </c>
      <c r="I103" s="158">
        <f t="shared" si="50"/>
        <v>240</v>
      </c>
    </row>
    <row r="105" spans="3:9">
      <c r="C105" s="59" t="s">
        <v>190</v>
      </c>
    </row>
    <row r="107" spans="3:9">
      <c r="C107" s="59" t="s">
        <v>156</v>
      </c>
      <c r="E107" s="160">
        <f>E13+E17+E21</f>
        <v>0</v>
      </c>
      <c r="F107" s="160">
        <f t="shared" ref="F107:I107" si="51">F13+F17+F21</f>
        <v>480</v>
      </c>
      <c r="G107" s="160">
        <f t="shared" si="51"/>
        <v>480</v>
      </c>
      <c r="H107" s="160">
        <f t="shared" si="51"/>
        <v>480</v>
      </c>
      <c r="I107" s="160">
        <f t="shared" si="51"/>
        <v>480</v>
      </c>
    </row>
    <row r="108" spans="3:9">
      <c r="C108" s="58" t="s">
        <v>184</v>
      </c>
      <c r="E108" s="160">
        <f>E107*10%</f>
        <v>0</v>
      </c>
      <c r="F108" s="160">
        <v>0</v>
      </c>
      <c r="G108" s="160">
        <v>0</v>
      </c>
      <c r="H108" s="160">
        <v>0</v>
      </c>
      <c r="I108" s="160">
        <v>0</v>
      </c>
    </row>
    <row r="110" spans="3:9">
      <c r="C110" s="58" t="s">
        <v>185</v>
      </c>
      <c r="E110" s="160">
        <f>E107-E108</f>
        <v>0</v>
      </c>
      <c r="F110" s="160">
        <f t="shared" ref="F110:I110" si="52">F107-F108</f>
        <v>480</v>
      </c>
      <c r="G110" s="160">
        <f t="shared" si="52"/>
        <v>480</v>
      </c>
      <c r="H110" s="160">
        <f t="shared" si="52"/>
        <v>480</v>
      </c>
      <c r="I110" s="160">
        <f t="shared" si="52"/>
        <v>480</v>
      </c>
    </row>
    <row r="112" spans="3:9">
      <c r="C112" s="59" t="s">
        <v>186</v>
      </c>
      <c r="E112" s="160">
        <f>E25+E29+E33+E37+E41</f>
        <v>0</v>
      </c>
      <c r="F112" s="160">
        <f t="shared" ref="F112:I112" si="53">F25+F29+F33+F37+F41</f>
        <v>960</v>
      </c>
      <c r="G112" s="160">
        <f t="shared" si="53"/>
        <v>1040</v>
      </c>
      <c r="H112" s="160">
        <f t="shared" si="53"/>
        <v>1120</v>
      </c>
      <c r="I112" s="160">
        <f t="shared" si="53"/>
        <v>1200</v>
      </c>
    </row>
    <row r="113" spans="3:9">
      <c r="C113" s="58" t="s">
        <v>184</v>
      </c>
      <c r="E113" s="160">
        <f>E112*10%</f>
        <v>0</v>
      </c>
      <c r="F113" s="160">
        <v>0</v>
      </c>
      <c r="G113" s="160">
        <v>0</v>
      </c>
      <c r="H113" s="160">
        <v>0</v>
      </c>
      <c r="I113" s="160">
        <v>0</v>
      </c>
    </row>
    <row r="115" spans="3:9">
      <c r="C115" s="58" t="s">
        <v>185</v>
      </c>
      <c r="E115" s="160">
        <f>E112-E113</f>
        <v>0</v>
      </c>
      <c r="F115" s="160">
        <f t="shared" ref="F115:I115" si="54">F112-F113</f>
        <v>960</v>
      </c>
      <c r="G115" s="160">
        <f t="shared" si="54"/>
        <v>1040</v>
      </c>
      <c r="H115" s="160">
        <f t="shared" si="54"/>
        <v>1120</v>
      </c>
      <c r="I115" s="160">
        <f t="shared" si="54"/>
        <v>1200</v>
      </c>
    </row>
    <row r="117" spans="3:9">
      <c r="C117" s="59" t="s">
        <v>187</v>
      </c>
      <c r="E117" s="160">
        <f>E45+E49+E53+E57+E64</f>
        <v>0</v>
      </c>
      <c r="F117" s="160">
        <f>F45+F49+F53+F57+F64</f>
        <v>280</v>
      </c>
      <c r="G117" s="160">
        <f>G45+G49+G53+G57+G64</f>
        <v>440</v>
      </c>
      <c r="H117" s="160">
        <f>H45+H49+H53+H57+H64</f>
        <v>600</v>
      </c>
      <c r="I117" s="160">
        <f>I45+I49+I53+I57+I64</f>
        <v>680</v>
      </c>
    </row>
    <row r="118" spans="3:9">
      <c r="C118" s="58" t="s">
        <v>184</v>
      </c>
      <c r="E118" s="160">
        <f>E117*10%</f>
        <v>0</v>
      </c>
      <c r="F118" s="160">
        <v>0</v>
      </c>
      <c r="G118" s="160">
        <v>0</v>
      </c>
      <c r="H118" s="160">
        <v>0</v>
      </c>
      <c r="I118" s="160">
        <v>0</v>
      </c>
    </row>
    <row r="120" spans="3:9">
      <c r="C120" s="58" t="s">
        <v>185</v>
      </c>
      <c r="E120" s="160">
        <f>E117-E118</f>
        <v>0</v>
      </c>
      <c r="F120" s="160">
        <f t="shared" ref="F120:I120" si="55">F117-F118</f>
        <v>280</v>
      </c>
      <c r="G120" s="160">
        <f t="shared" si="55"/>
        <v>440</v>
      </c>
      <c r="H120" s="160">
        <f t="shared" si="55"/>
        <v>600</v>
      </c>
      <c r="I120" s="160">
        <f t="shared" si="55"/>
        <v>680</v>
      </c>
    </row>
    <row r="122" spans="3:9">
      <c r="C122" s="59" t="s">
        <v>188</v>
      </c>
      <c r="E122" s="160">
        <f>E68+E72</f>
        <v>0</v>
      </c>
      <c r="F122" s="160">
        <f t="shared" ref="F122:I122" si="56">F68+F72</f>
        <v>0</v>
      </c>
      <c r="G122" s="160">
        <f t="shared" si="56"/>
        <v>0</v>
      </c>
      <c r="H122" s="160">
        <f t="shared" si="56"/>
        <v>0</v>
      </c>
      <c r="I122" s="160">
        <f t="shared" si="56"/>
        <v>100</v>
      </c>
    </row>
    <row r="123" spans="3:9">
      <c r="C123" s="58" t="s">
        <v>184</v>
      </c>
      <c r="E123" s="160">
        <v>0</v>
      </c>
      <c r="F123" s="160">
        <v>0</v>
      </c>
      <c r="G123" s="160">
        <v>0</v>
      </c>
      <c r="H123" s="160">
        <v>0</v>
      </c>
      <c r="I123" s="160">
        <v>0</v>
      </c>
    </row>
    <row r="125" spans="3:9">
      <c r="C125" s="58" t="s">
        <v>185</v>
      </c>
      <c r="E125" s="160">
        <f>E122-E123</f>
        <v>0</v>
      </c>
      <c r="F125" s="160">
        <f t="shared" ref="F125:I125" si="57">F122-F123</f>
        <v>0</v>
      </c>
      <c r="G125" s="160">
        <f t="shared" si="57"/>
        <v>0</v>
      </c>
      <c r="H125" s="160">
        <f t="shared" si="57"/>
        <v>0</v>
      </c>
      <c r="I125" s="160">
        <f t="shared" si="57"/>
        <v>100</v>
      </c>
    </row>
    <row r="127" spans="3:9">
      <c r="C127" s="94" t="s">
        <v>191</v>
      </c>
      <c r="E127" s="158">
        <f>E110+E115+E120+E125</f>
        <v>0</v>
      </c>
      <c r="F127" s="158">
        <f>F110+F115+F120+F125</f>
        <v>1720</v>
      </c>
      <c r="G127" s="158">
        <f>G110+G115+G120+G125</f>
        <v>1960</v>
      </c>
      <c r="H127" s="158">
        <f>H110+H115+H120+H125</f>
        <v>2200</v>
      </c>
      <c r="I127" s="158">
        <f>I110+I115+I120+I125</f>
        <v>2460</v>
      </c>
    </row>
    <row r="130" spans="3:9">
      <c r="C130" s="59" t="s">
        <v>192</v>
      </c>
    </row>
    <row r="132" spans="3:9">
      <c r="C132" s="161" t="s">
        <v>156</v>
      </c>
      <c r="E132" s="160">
        <f>E86+E110</f>
        <v>720</v>
      </c>
      <c r="F132" s="160">
        <f t="shared" ref="F132:I132" si="58">F86+F110</f>
        <v>720</v>
      </c>
      <c r="G132" s="160">
        <f t="shared" si="58"/>
        <v>720</v>
      </c>
      <c r="H132" s="160">
        <f t="shared" si="58"/>
        <v>720</v>
      </c>
      <c r="I132" s="160">
        <f t="shared" si="58"/>
        <v>720</v>
      </c>
    </row>
    <row r="133" spans="3:9">
      <c r="C133" s="161" t="s">
        <v>186</v>
      </c>
      <c r="E133" s="160">
        <f>E91+E115</f>
        <v>840</v>
      </c>
      <c r="F133" s="160">
        <f t="shared" ref="F133:I133" si="59">F91+F115</f>
        <v>960</v>
      </c>
      <c r="G133" s="160">
        <f t="shared" si="59"/>
        <v>1040</v>
      </c>
      <c r="H133" s="160">
        <f t="shared" si="59"/>
        <v>1120</v>
      </c>
      <c r="I133" s="160">
        <f t="shared" si="59"/>
        <v>1200</v>
      </c>
    </row>
    <row r="134" spans="3:9">
      <c r="C134" s="161" t="s">
        <v>187</v>
      </c>
      <c r="E134" s="160">
        <f>E120+E96</f>
        <v>160</v>
      </c>
      <c r="F134" s="160">
        <f t="shared" ref="F134:I134" si="60">F120+F96</f>
        <v>280</v>
      </c>
      <c r="G134" s="160">
        <f t="shared" si="60"/>
        <v>440</v>
      </c>
      <c r="H134" s="160">
        <f t="shared" si="60"/>
        <v>600</v>
      </c>
      <c r="I134" s="160">
        <f t="shared" si="60"/>
        <v>680</v>
      </c>
    </row>
    <row r="135" spans="3:9">
      <c r="C135" s="161" t="s">
        <v>188</v>
      </c>
      <c r="E135" s="160">
        <f>E125+E101</f>
        <v>0</v>
      </c>
      <c r="F135" s="160">
        <f t="shared" ref="F135:I135" si="61">F125+F101</f>
        <v>0</v>
      </c>
      <c r="G135" s="160">
        <f t="shared" si="61"/>
        <v>0</v>
      </c>
      <c r="H135" s="160">
        <f t="shared" si="61"/>
        <v>20</v>
      </c>
      <c r="I135" s="160">
        <f t="shared" si="61"/>
        <v>100</v>
      </c>
    </row>
    <row r="137" spans="3:9">
      <c r="D137" s="94" t="s">
        <v>58</v>
      </c>
      <c r="E137" s="158">
        <f>SUM(E132:E136)</f>
        <v>1720</v>
      </c>
      <c r="F137" s="158">
        <f t="shared" ref="F137:I137" si="62">SUM(F132:F136)</f>
        <v>1960</v>
      </c>
      <c r="G137" s="158">
        <f t="shared" si="62"/>
        <v>2200</v>
      </c>
      <c r="H137" s="158">
        <f t="shared" si="62"/>
        <v>2460</v>
      </c>
      <c r="I137" s="158">
        <f t="shared" si="62"/>
        <v>2700</v>
      </c>
    </row>
  </sheetData>
  <mergeCells count="5">
    <mergeCell ref="B1:J1"/>
    <mergeCell ref="B2:J2"/>
    <mergeCell ref="B3:J3"/>
    <mergeCell ref="A51:I51"/>
    <mergeCell ref="A80:I80"/>
  </mergeCells>
  <pageMargins left="0.7" right="0.7" top="0.75" bottom="0.75" header="0.3" footer="0.3"/>
  <pageSetup scale="90" orientation="portrait" horizontalDpi="4294967293" r:id="rId1"/>
  <rowBreaks count="1" manualBreakCount="1">
    <brk id="5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view="pageBreakPreview" topLeftCell="A2" zoomScale="115" zoomScaleSheetLayoutView="115" workbookViewId="0">
      <selection activeCell="A2" sqref="A1:XFD1048576"/>
    </sheetView>
  </sheetViews>
  <sheetFormatPr defaultRowHeight="15"/>
  <cols>
    <col min="1" max="2" width="9.140625" style="58"/>
    <col min="3" max="3" width="19.42578125" style="58" customWidth="1"/>
    <col min="4" max="5" width="9.140625" style="58"/>
    <col min="6" max="6" width="10" style="58" bestFit="1" customWidth="1"/>
    <col min="7" max="16384" width="9.140625" style="58"/>
  </cols>
  <sheetData>
    <row r="1" spans="1:9">
      <c r="A1" s="537" t="s">
        <v>252</v>
      </c>
      <c r="B1" s="537"/>
      <c r="C1" s="537"/>
      <c r="D1" s="537"/>
      <c r="E1" s="537"/>
      <c r="F1" s="537"/>
      <c r="G1" s="537"/>
      <c r="H1" s="537"/>
      <c r="I1" s="537"/>
    </row>
    <row r="2" spans="1:9">
      <c r="A2" s="537" t="s">
        <v>253</v>
      </c>
      <c r="B2" s="537"/>
      <c r="C2" s="537"/>
      <c r="D2" s="537"/>
      <c r="E2" s="537"/>
      <c r="F2" s="537"/>
      <c r="G2" s="537"/>
      <c r="H2" s="537"/>
      <c r="I2" s="537"/>
    </row>
    <row r="3" spans="1:9">
      <c r="A3" s="537" t="s">
        <v>254</v>
      </c>
      <c r="B3" s="537"/>
      <c r="C3" s="537"/>
      <c r="D3" s="537"/>
      <c r="E3" s="537"/>
      <c r="F3" s="537"/>
      <c r="G3" s="537"/>
      <c r="H3" s="537"/>
      <c r="I3" s="537"/>
    </row>
    <row r="4" spans="1:9">
      <c r="A4" s="129"/>
      <c r="B4" s="129"/>
      <c r="C4" s="129"/>
      <c r="D4" s="129"/>
      <c r="E4" s="129"/>
      <c r="F4" s="129"/>
      <c r="G4" s="129"/>
      <c r="H4" s="129"/>
      <c r="I4" s="129"/>
    </row>
    <row r="5" spans="1:9" s="94" customFormat="1">
      <c r="A5" s="94" t="s">
        <v>38</v>
      </c>
    </row>
    <row r="6" spans="1:9" s="94" customFormat="1">
      <c r="A6" s="94" t="s">
        <v>39</v>
      </c>
    </row>
    <row r="9" spans="1:9">
      <c r="A9" s="58" t="s">
        <v>40</v>
      </c>
      <c r="B9" s="94" t="s">
        <v>45</v>
      </c>
    </row>
    <row r="10" spans="1:9">
      <c r="B10" s="58" t="s">
        <v>40</v>
      </c>
      <c r="C10" s="58" t="s">
        <v>46</v>
      </c>
      <c r="E10" s="58">
        <v>16500</v>
      </c>
      <c r="F10" s="58" t="s">
        <v>49</v>
      </c>
    </row>
    <row r="12" spans="1:9">
      <c r="B12" s="58" t="s">
        <v>41</v>
      </c>
      <c r="C12" s="58" t="s">
        <v>47</v>
      </c>
      <c r="E12" s="58" t="s">
        <v>275</v>
      </c>
    </row>
    <row r="14" spans="1:9">
      <c r="B14" s="58" t="s">
        <v>43</v>
      </c>
      <c r="C14" s="94" t="s">
        <v>48</v>
      </c>
    </row>
    <row r="15" spans="1:9">
      <c r="C15" s="58" t="s">
        <v>50</v>
      </c>
      <c r="E15" s="58" t="s">
        <v>245</v>
      </c>
    </row>
    <row r="17" spans="2:12">
      <c r="B17" s="58" t="s">
        <v>44</v>
      </c>
      <c r="C17" s="58" t="s">
        <v>51</v>
      </c>
      <c r="E17" s="130" t="s">
        <v>55</v>
      </c>
      <c r="F17" s="58">
        <f>ROUND((20660*16500)/100000,0)</f>
        <v>3409</v>
      </c>
      <c r="G17" s="58" t="s">
        <v>52</v>
      </c>
      <c r="L17" s="58">
        <f>F17*30%</f>
        <v>1022.6999999999999</v>
      </c>
    </row>
    <row r="18" spans="2:12">
      <c r="C18" s="58" t="s">
        <v>53</v>
      </c>
      <c r="D18" s="131">
        <v>0.1</v>
      </c>
      <c r="E18" s="130" t="s">
        <v>55</v>
      </c>
      <c r="F18" s="58">
        <f>F17*D18</f>
        <v>340.90000000000003</v>
      </c>
      <c r="G18" s="58" t="s">
        <v>52</v>
      </c>
      <c r="L18" s="58" t="e">
        <f>building!#REF!</f>
        <v>#REF!</v>
      </c>
    </row>
    <row r="19" spans="2:12">
      <c r="C19" s="58" t="s">
        <v>54</v>
      </c>
      <c r="D19" s="131">
        <v>0.05</v>
      </c>
      <c r="E19" s="130" t="s">
        <v>55</v>
      </c>
      <c r="F19" s="58">
        <f>F17*D19</f>
        <v>170.45000000000002</v>
      </c>
      <c r="G19" s="58" t="s">
        <v>52</v>
      </c>
      <c r="L19" s="58" t="e">
        <f>SUM(L17:L18)</f>
        <v>#REF!</v>
      </c>
    </row>
    <row r="20" spans="2:12">
      <c r="E20" s="130"/>
    </row>
    <row r="21" spans="2:12">
      <c r="E21" s="130" t="s">
        <v>55</v>
      </c>
      <c r="F21" s="94">
        <f>SUM(F17:F20)</f>
        <v>3920.35</v>
      </c>
      <c r="G21" s="58" t="s">
        <v>52</v>
      </c>
    </row>
  </sheetData>
  <mergeCells count="3">
    <mergeCell ref="A1:I1"/>
    <mergeCell ref="A2:I2"/>
    <mergeCell ref="A3:I3"/>
  </mergeCells>
  <pageMargins left="0.7" right="0.7" top="0.75" bottom="0.75" header="0.3" footer="0.3"/>
  <pageSetup scale="96" orientation="portrait" horizont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view="pageBreakPreview" topLeftCell="A13" zoomScale="115" zoomScaleSheetLayoutView="115" workbookViewId="0">
      <selection activeCell="C11" sqref="C11"/>
    </sheetView>
  </sheetViews>
  <sheetFormatPr defaultRowHeight="15"/>
  <cols>
    <col min="2" max="2" width="40" customWidth="1"/>
    <col min="3" max="3" width="13" customWidth="1"/>
    <col min="4" max="4" width="15.42578125" customWidth="1"/>
    <col min="5" max="5" width="13.7109375" customWidth="1"/>
    <col min="6" max="6" width="13.5703125" customWidth="1"/>
    <col min="7" max="7" width="14.7109375" customWidth="1"/>
  </cols>
  <sheetData>
    <row r="1" spans="1:9">
      <c r="A1" s="541" t="s">
        <v>252</v>
      </c>
      <c r="B1" s="541"/>
      <c r="C1" s="541"/>
      <c r="D1" s="541"/>
      <c r="E1" s="541"/>
      <c r="F1" s="541"/>
      <c r="G1" s="541"/>
      <c r="H1" s="95"/>
      <c r="I1" s="95"/>
    </row>
    <row r="2" spans="1:9">
      <c r="A2" s="541" t="s">
        <v>253</v>
      </c>
      <c r="B2" s="541"/>
      <c r="C2" s="541"/>
      <c r="D2" s="541"/>
      <c r="E2" s="541"/>
      <c r="F2" s="541"/>
      <c r="G2" s="541"/>
      <c r="H2" s="536"/>
      <c r="I2" s="536"/>
    </row>
    <row r="3" spans="1:9">
      <c r="A3" s="541" t="s">
        <v>343</v>
      </c>
      <c r="B3" s="541"/>
      <c r="C3" s="541"/>
      <c r="D3" s="541"/>
      <c r="E3" s="541"/>
      <c r="F3" s="541"/>
      <c r="G3" s="541"/>
      <c r="H3" s="536"/>
      <c r="I3" s="536"/>
    </row>
    <row r="6" spans="1:9">
      <c r="A6" t="s">
        <v>121</v>
      </c>
      <c r="B6" s="17" t="s">
        <v>203</v>
      </c>
      <c r="C6" s="17"/>
      <c r="D6" s="17"/>
      <c r="E6" s="17"/>
      <c r="F6" s="17"/>
      <c r="G6" s="17"/>
    </row>
    <row r="7" spans="1:9">
      <c r="G7" s="114" t="s">
        <v>63</v>
      </c>
    </row>
    <row r="8" spans="1:9">
      <c r="B8" t="s">
        <v>194</v>
      </c>
      <c r="C8" s="137" t="s">
        <v>114</v>
      </c>
      <c r="D8" s="137" t="s">
        <v>118</v>
      </c>
      <c r="E8" s="137" t="s">
        <v>117</v>
      </c>
      <c r="F8" s="137" t="s">
        <v>116</v>
      </c>
      <c r="G8" s="138" t="s">
        <v>115</v>
      </c>
    </row>
    <row r="9" spans="1:9">
      <c r="B9" s="17"/>
    </row>
    <row r="10" spans="1:9">
      <c r="B10" s="17" t="s">
        <v>346</v>
      </c>
      <c r="C10">
        <v>200</v>
      </c>
      <c r="D10">
        <f>C10*110%</f>
        <v>220.00000000000003</v>
      </c>
      <c r="E10">
        <f t="shared" ref="E10:G10" si="0">D10*110%</f>
        <v>242.00000000000006</v>
      </c>
      <c r="F10">
        <f t="shared" si="0"/>
        <v>266.2000000000001</v>
      </c>
      <c r="G10">
        <f t="shared" si="0"/>
        <v>292.82000000000016</v>
      </c>
    </row>
    <row r="11" spans="1:9">
      <c r="B11" s="17"/>
    </row>
    <row r="14" spans="1:9">
      <c r="B14" s="37" t="s">
        <v>204</v>
      </c>
      <c r="C14" s="62">
        <f>SUM(C10:C13)</f>
        <v>200</v>
      </c>
      <c r="D14" s="62">
        <f t="shared" ref="D14:G14" si="1">SUM(D10:D13)</f>
        <v>220.00000000000003</v>
      </c>
      <c r="E14" s="62">
        <f t="shared" si="1"/>
        <v>242.00000000000006</v>
      </c>
      <c r="F14" s="62">
        <f t="shared" si="1"/>
        <v>266.2000000000001</v>
      </c>
      <c r="G14" s="62">
        <f t="shared" si="1"/>
        <v>292.82000000000016</v>
      </c>
    </row>
    <row r="16" spans="1:9">
      <c r="B16" t="s">
        <v>205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</row>
    <row r="18" spans="2:7" ht="15.75" thickBot="1">
      <c r="B18" s="23" t="s">
        <v>206</v>
      </c>
      <c r="C18" s="30">
        <f>C14+C16</f>
        <v>200</v>
      </c>
      <c r="D18" s="30">
        <f t="shared" ref="D18:G18" si="2">D14+D16</f>
        <v>220.00000000000003</v>
      </c>
      <c r="E18" s="30">
        <f t="shared" si="2"/>
        <v>242.00000000000006</v>
      </c>
      <c r="F18" s="30">
        <f t="shared" si="2"/>
        <v>266.2000000000001</v>
      </c>
      <c r="G18" s="30">
        <f t="shared" si="2"/>
        <v>292.82000000000016</v>
      </c>
    </row>
    <row r="19" spans="2:7" ht="15.75" thickTop="1">
      <c r="C19" s="26"/>
      <c r="D19" s="26"/>
      <c r="E19" s="26"/>
      <c r="F19" s="26"/>
      <c r="G19" s="26"/>
    </row>
    <row r="20" spans="2:7">
      <c r="C20" s="26"/>
      <c r="D20" s="26"/>
      <c r="E20" s="26"/>
      <c r="F20" s="26"/>
      <c r="G20" s="26"/>
    </row>
    <row r="21" spans="2:7">
      <c r="B21" s="17" t="s">
        <v>123</v>
      </c>
      <c r="C21" s="26"/>
      <c r="D21" s="26"/>
      <c r="E21" s="26"/>
      <c r="F21" s="26"/>
      <c r="G21" s="26"/>
    </row>
    <row r="22" spans="2:7">
      <c r="C22" s="26"/>
      <c r="D22" s="26"/>
      <c r="E22" s="26"/>
      <c r="F22" s="26"/>
      <c r="G22" s="26"/>
    </row>
    <row r="23" spans="2:7">
      <c r="B23" t="s">
        <v>127</v>
      </c>
      <c r="C23" s="26" t="e">
        <f>#REF!</f>
        <v>#REF!</v>
      </c>
      <c r="D23" s="26" t="e">
        <f>#REF!</f>
        <v>#REF!</v>
      </c>
      <c r="E23" s="26" t="e">
        <f>#REF!</f>
        <v>#REF!</v>
      </c>
      <c r="F23" s="26" t="e">
        <f>#REF!</f>
        <v>#REF!</v>
      </c>
      <c r="G23" s="26" t="e">
        <f>#REF!</f>
        <v>#REF!</v>
      </c>
    </row>
    <row r="24" spans="2:7">
      <c r="B24" t="s">
        <v>124</v>
      </c>
      <c r="C24" s="26" t="e">
        <f>#REF!</f>
        <v>#REF!</v>
      </c>
      <c r="D24" s="26" t="e">
        <f>#REF!</f>
        <v>#REF!</v>
      </c>
      <c r="E24" s="26" t="e">
        <f>#REF!</f>
        <v>#REF!</v>
      </c>
      <c r="F24" s="26" t="e">
        <f>#REF!</f>
        <v>#REF!</v>
      </c>
      <c r="G24" s="26" t="e">
        <f>#REF!</f>
        <v>#REF!</v>
      </c>
    </row>
    <row r="25" spans="2:7">
      <c r="B25" t="s">
        <v>125</v>
      </c>
      <c r="C25" s="26" t="e">
        <f>#REF!</f>
        <v>#REF!</v>
      </c>
      <c r="D25" s="26" t="e">
        <f>#REF!</f>
        <v>#REF!</v>
      </c>
      <c r="E25" s="26" t="e">
        <f>#REF!</f>
        <v>#REF!</v>
      </c>
      <c r="F25" s="26" t="e">
        <f>#REF!</f>
        <v>#REF!</v>
      </c>
      <c r="G25" s="26" t="e">
        <f>#REF!</f>
        <v>#REF!</v>
      </c>
    </row>
    <row r="26" spans="2:7">
      <c r="B26" t="s">
        <v>126</v>
      </c>
      <c r="C26" s="26" t="e">
        <f>'term loan'!#REF!</f>
        <v>#REF!</v>
      </c>
      <c r="D26" s="26" t="e">
        <f>'term loan'!#REF!</f>
        <v>#REF!</v>
      </c>
      <c r="E26" s="26" t="e">
        <f>'term loan'!#REF!</f>
        <v>#REF!</v>
      </c>
      <c r="F26" s="26" t="e">
        <f>'term loan'!#REF!</f>
        <v>#REF!</v>
      </c>
      <c r="G26" s="28" t="e">
        <f>'term loan'!#REF!</f>
        <v>#REF!</v>
      </c>
    </row>
    <row r="27" spans="2:7">
      <c r="B27" t="s">
        <v>246</v>
      </c>
      <c r="C27" s="26" t="e">
        <f>#REF!</f>
        <v>#REF!</v>
      </c>
      <c r="D27" s="26" t="e">
        <f>#REF!</f>
        <v>#REF!</v>
      </c>
      <c r="E27" s="26" t="e">
        <f>#REF!</f>
        <v>#REF!</v>
      </c>
      <c r="F27" s="26" t="e">
        <f>#REF!</f>
        <v>#REF!</v>
      </c>
      <c r="G27" s="26" t="e">
        <f>#REF!</f>
        <v>#REF!</v>
      </c>
    </row>
    <row r="28" spans="2:7">
      <c r="B28" t="s">
        <v>128</v>
      </c>
      <c r="C28" s="26">
        <f>power!E29</f>
        <v>7.8150000000000004</v>
      </c>
      <c r="D28" s="26">
        <f>C28*110%</f>
        <v>8.5965000000000007</v>
      </c>
      <c r="E28" s="26">
        <f t="shared" ref="E28:G28" si="3">D28*110%</f>
        <v>9.4561500000000009</v>
      </c>
      <c r="F28" s="26">
        <f t="shared" si="3"/>
        <v>10.401765000000001</v>
      </c>
      <c r="G28" s="26">
        <f t="shared" si="3"/>
        <v>11.441941500000002</v>
      </c>
    </row>
    <row r="29" spans="2:7">
      <c r="B29" t="s">
        <v>130</v>
      </c>
      <c r="C29" s="26">
        <v>0.5</v>
      </c>
      <c r="D29" s="26">
        <f>C29*110%</f>
        <v>0.55000000000000004</v>
      </c>
      <c r="E29" s="26">
        <f t="shared" ref="E29:G29" si="4">D29*110%</f>
        <v>0.60500000000000009</v>
      </c>
      <c r="F29" s="26">
        <f t="shared" si="4"/>
        <v>0.6655000000000002</v>
      </c>
      <c r="G29" s="26">
        <f t="shared" si="4"/>
        <v>0.73205000000000031</v>
      </c>
    </row>
    <row r="30" spans="2:7">
      <c r="B30" t="s">
        <v>131</v>
      </c>
      <c r="C30" s="26">
        <v>2</v>
      </c>
      <c r="D30" s="26">
        <f>C30*110%</f>
        <v>2.2000000000000002</v>
      </c>
      <c r="E30" s="26">
        <f t="shared" ref="E30:G30" si="5">D30*110%</f>
        <v>2.4200000000000004</v>
      </c>
      <c r="F30" s="26">
        <f t="shared" si="5"/>
        <v>2.6620000000000008</v>
      </c>
      <c r="G30" s="26">
        <f t="shared" si="5"/>
        <v>2.9282000000000012</v>
      </c>
    </row>
    <row r="31" spans="2:7">
      <c r="B31" t="s">
        <v>132</v>
      </c>
      <c r="C31" s="26">
        <v>0.3</v>
      </c>
      <c r="D31" s="26">
        <f>C31*105%</f>
        <v>0.315</v>
      </c>
      <c r="E31" s="26">
        <f t="shared" ref="E31:G31" si="6">D31*105%</f>
        <v>0.33075000000000004</v>
      </c>
      <c r="F31" s="26">
        <f t="shared" si="6"/>
        <v>0.34728750000000008</v>
      </c>
      <c r="G31" s="26">
        <f t="shared" si="6"/>
        <v>0.36465187500000013</v>
      </c>
    </row>
    <row r="33" spans="1:7">
      <c r="B33" t="s">
        <v>133</v>
      </c>
      <c r="C33" s="36" t="e">
        <f>SUM(C23:C32)</f>
        <v>#REF!</v>
      </c>
      <c r="D33" s="36" t="e">
        <f>SUM(D23:D32)</f>
        <v>#REF!</v>
      </c>
      <c r="E33" s="36" t="e">
        <f>SUM(E23:E32)</f>
        <v>#REF!</v>
      </c>
      <c r="F33" s="36" t="e">
        <f>SUM(F23:F32)</f>
        <v>#REF!</v>
      </c>
      <c r="G33" s="36" t="e">
        <f>SUM(G23:G32)</f>
        <v>#REF!</v>
      </c>
    </row>
    <row r="35" spans="1:7">
      <c r="B35" s="20" t="s">
        <v>134</v>
      </c>
      <c r="C35" s="28" t="e">
        <f>C18-C33</f>
        <v>#REF!</v>
      </c>
      <c r="D35" s="28" t="e">
        <f>D18-D33</f>
        <v>#REF!</v>
      </c>
      <c r="E35" s="28" t="e">
        <f>E18-E33</f>
        <v>#REF!</v>
      </c>
      <c r="F35" s="28" t="e">
        <f>F18-F33</f>
        <v>#REF!</v>
      </c>
      <c r="G35" s="28" t="e">
        <f>G18-G33</f>
        <v>#REF!</v>
      </c>
    </row>
    <row r="37" spans="1:7">
      <c r="B37" t="s">
        <v>119</v>
      </c>
      <c r="C37" s="26">
        <f>dep.!H34</f>
        <v>29.620514775</v>
      </c>
      <c r="D37" s="26">
        <f>dep.!I34</f>
        <v>25.370577828750001</v>
      </c>
      <c r="E37" s="26">
        <f>dep.!J34</f>
        <v>21.738817397437501</v>
      </c>
      <c r="F37" s="26">
        <f>dep.!K34</f>
        <v>18.634438406521873</v>
      </c>
      <c r="G37" s="26">
        <f>dep.!L34</f>
        <v>15.980071902373593</v>
      </c>
    </row>
    <row r="39" spans="1:7">
      <c r="B39" s="20" t="s">
        <v>135</v>
      </c>
      <c r="C39" s="28" t="e">
        <f>C35-C37</f>
        <v>#REF!</v>
      </c>
      <c r="D39" s="28" t="e">
        <f>D35-D37</f>
        <v>#REF!</v>
      </c>
      <c r="E39" s="28" t="e">
        <f>E35-E37</f>
        <v>#REF!</v>
      </c>
      <c r="F39" s="28" t="e">
        <f>F35-F37</f>
        <v>#REF!</v>
      </c>
      <c r="G39" s="28" t="e">
        <f>G35-G37</f>
        <v>#REF!</v>
      </c>
    </row>
    <row r="41" spans="1:7">
      <c r="A41" s="538" t="s">
        <v>269</v>
      </c>
      <c r="B41" s="538"/>
      <c r="C41" s="538"/>
      <c r="D41" s="538"/>
      <c r="E41" s="538"/>
      <c r="F41" s="538"/>
      <c r="G41" s="538"/>
    </row>
  </sheetData>
  <mergeCells count="6">
    <mergeCell ref="A41:G41"/>
    <mergeCell ref="A1:G1"/>
    <mergeCell ref="A2:G2"/>
    <mergeCell ref="H2:I2"/>
    <mergeCell ref="A3:G3"/>
    <mergeCell ref="H3:I3"/>
  </mergeCells>
  <pageMargins left="0.34" right="0.27" top="0.75" bottom="0.75" header="0.3" footer="0.3"/>
  <pageSetup scale="80" orientation="portrait" horizontalDpi="4294967293" r:id="rId1"/>
  <colBreaks count="1" manualBreakCount="1">
    <brk id="7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view="pageBreakPreview" zoomScaleSheetLayoutView="100" workbookViewId="0">
      <selection activeCell="B4" sqref="B4"/>
    </sheetView>
  </sheetViews>
  <sheetFormatPr defaultRowHeight="15"/>
  <cols>
    <col min="1" max="1" width="3.42578125" customWidth="1"/>
    <col min="5" max="5" width="13.42578125" customWidth="1"/>
    <col min="6" max="6" width="18.140625" customWidth="1"/>
    <col min="7" max="7" width="14" customWidth="1"/>
    <col min="8" max="8" width="13.7109375" customWidth="1"/>
    <col min="9" max="9" width="14" customWidth="1"/>
    <col min="10" max="10" width="14.28515625" customWidth="1"/>
    <col min="11" max="11" width="15.42578125" customWidth="1"/>
    <col min="13" max="13" width="9.5703125" bestFit="1" customWidth="1"/>
  </cols>
  <sheetData>
    <row r="1" spans="1:14">
      <c r="B1" s="541" t="s">
        <v>252</v>
      </c>
      <c r="C1" s="541"/>
      <c r="D1" s="541"/>
      <c r="E1" s="541"/>
      <c r="F1" s="541"/>
      <c r="G1" s="541"/>
      <c r="H1" s="541"/>
      <c r="I1" s="541"/>
      <c r="J1" s="541"/>
      <c r="K1" s="541"/>
    </row>
    <row r="2" spans="1:14">
      <c r="B2" s="541" t="s">
        <v>253</v>
      </c>
      <c r="C2" s="541"/>
      <c r="D2" s="541"/>
      <c r="E2" s="541"/>
      <c r="F2" s="541"/>
      <c r="G2" s="541"/>
      <c r="H2" s="541"/>
      <c r="I2" s="541"/>
      <c r="J2" s="541"/>
      <c r="K2" s="541"/>
    </row>
    <row r="3" spans="1:14">
      <c r="B3" s="541" t="s">
        <v>343</v>
      </c>
      <c r="C3" s="541"/>
      <c r="D3" s="541"/>
      <c r="E3" s="541"/>
      <c r="F3" s="541"/>
      <c r="G3" s="541"/>
      <c r="H3" s="541"/>
      <c r="I3" s="541"/>
      <c r="J3" s="541"/>
      <c r="K3" s="541"/>
    </row>
    <row r="5" spans="1:14">
      <c r="A5" t="s">
        <v>120</v>
      </c>
      <c r="B5" s="604" t="s">
        <v>141</v>
      </c>
      <c r="C5" s="604"/>
      <c r="D5" s="604"/>
      <c r="E5" s="604"/>
      <c r="F5" s="604"/>
      <c r="G5" s="604"/>
    </row>
    <row r="6" spans="1:14">
      <c r="B6" s="16"/>
      <c r="C6" s="16"/>
      <c r="D6" s="16"/>
      <c r="E6" s="16"/>
      <c r="F6" s="16"/>
      <c r="G6" s="16"/>
      <c r="K6" s="114" t="s">
        <v>63</v>
      </c>
    </row>
    <row r="7" spans="1:14">
      <c r="B7" s="605" t="s">
        <v>142</v>
      </c>
      <c r="C7" s="606"/>
      <c r="D7" s="606"/>
      <c r="E7" s="607"/>
      <c r="F7" s="146" t="s">
        <v>136</v>
      </c>
      <c r="G7" s="147" t="s">
        <v>137</v>
      </c>
      <c r="H7" s="148" t="s">
        <v>74</v>
      </c>
      <c r="I7" s="147" t="s">
        <v>138</v>
      </c>
      <c r="J7" s="148" t="s">
        <v>139</v>
      </c>
      <c r="K7" s="147" t="s">
        <v>140</v>
      </c>
    </row>
    <row r="8" spans="1:14">
      <c r="B8" s="41"/>
      <c r="C8" s="42"/>
      <c r="D8" s="42"/>
      <c r="E8" s="43"/>
      <c r="F8" s="123"/>
      <c r="G8" s="40"/>
      <c r="H8" s="142"/>
      <c r="I8" s="40"/>
      <c r="J8" s="142"/>
      <c r="K8" s="40"/>
    </row>
    <row r="9" spans="1:14">
      <c r="B9" s="601" t="s">
        <v>207</v>
      </c>
      <c r="C9" s="602"/>
      <c r="D9" s="602"/>
      <c r="E9" s="603"/>
      <c r="F9" s="123"/>
      <c r="G9" s="9"/>
      <c r="H9" s="124"/>
      <c r="I9" s="9"/>
      <c r="J9" s="124"/>
      <c r="K9" s="9"/>
      <c r="L9">
        <f>39.48*12</f>
        <v>473.76</v>
      </c>
    </row>
    <row r="10" spans="1:14">
      <c r="B10" s="608" t="s">
        <v>64</v>
      </c>
      <c r="C10" s="609"/>
      <c r="D10" s="609"/>
      <c r="E10" s="610"/>
      <c r="F10" s="139">
        <f>'term loan'!F5/100000</f>
        <v>150</v>
      </c>
      <c r="G10" s="52">
        <f>'term loan'!F30/100000</f>
        <v>132.5</v>
      </c>
      <c r="H10" s="63">
        <f>'term loan'!F43/100000</f>
        <v>102.5</v>
      </c>
      <c r="I10" s="52">
        <f>'term loan'!F56/100000</f>
        <v>72.5</v>
      </c>
      <c r="J10" s="63">
        <f>'term loan'!F71/100000</f>
        <v>42.5</v>
      </c>
      <c r="K10" s="40" t="e">
        <f>'term loan'!#REF!/100000</f>
        <v>#REF!</v>
      </c>
      <c r="L10">
        <f>L9/2</f>
        <v>236.88</v>
      </c>
      <c r="M10" s="28"/>
      <c r="N10">
        <f>77.57*2</f>
        <v>155.13999999999999</v>
      </c>
    </row>
    <row r="11" spans="1:14">
      <c r="B11" s="55" t="s">
        <v>249</v>
      </c>
      <c r="C11" s="56"/>
      <c r="D11" s="56"/>
      <c r="E11" s="57"/>
      <c r="F11" s="139" t="e">
        <f>Sheet2!E32/100000</f>
        <v>#REF!</v>
      </c>
      <c r="G11" s="52" t="e">
        <f>Sheet2!E34/100000</f>
        <v>#REF!</v>
      </c>
      <c r="H11" s="63" t="e">
        <f>Sheet2!E36/100000</f>
        <v>#REF!</v>
      </c>
      <c r="I11" s="52" t="e">
        <f>Sheet2!E38/100000</f>
        <v>#REF!</v>
      </c>
      <c r="J11" s="63" t="e">
        <f>Sheet2!E40/100000</f>
        <v>#REF!</v>
      </c>
      <c r="K11" s="52" t="e">
        <f>Sheet2!E42/100000</f>
        <v>#REF!</v>
      </c>
    </row>
    <row r="12" spans="1:14">
      <c r="B12" s="608" t="s">
        <v>145</v>
      </c>
      <c r="C12" s="609"/>
      <c r="D12" s="609"/>
      <c r="E12" s="610"/>
      <c r="F12" s="139">
        <v>450</v>
      </c>
      <c r="G12" s="52">
        <v>450</v>
      </c>
      <c r="H12" s="63">
        <v>500</v>
      </c>
      <c r="I12" s="52">
        <v>400</v>
      </c>
      <c r="J12" s="63">
        <v>100</v>
      </c>
      <c r="K12" s="52">
        <v>0</v>
      </c>
    </row>
    <row r="13" spans="1:14">
      <c r="B13" s="608" t="s">
        <v>208</v>
      </c>
      <c r="C13" s="609"/>
      <c r="D13" s="609"/>
      <c r="E13" s="610"/>
      <c r="F13" s="26">
        <v>0</v>
      </c>
      <c r="G13" s="52">
        <f>('fee structure'!C17*'student detail'!E103)/100000</f>
        <v>86</v>
      </c>
      <c r="H13" s="63">
        <f>('fee structure'!D17*'student detail'!F103)/100000+G13</f>
        <v>98</v>
      </c>
      <c r="I13" s="52">
        <f>('fee structure'!E17*'student detail'!G103)/100000+H13</f>
        <v>110</v>
      </c>
      <c r="J13" s="63">
        <f>('fee structure'!F17*'student detail'!H103)/100000+I13</f>
        <v>123</v>
      </c>
      <c r="K13" s="52">
        <f>('fee structure'!G17*'student detail'!I103)/100000+J13</f>
        <v>135</v>
      </c>
      <c r="L13" s="136">
        <f>('fee structure'!H17*'student detail'!J137)/100000</f>
        <v>0</v>
      </c>
      <c r="M13">
        <f>936*5000</f>
        <v>4680000</v>
      </c>
    </row>
    <row r="14" spans="1:14">
      <c r="B14" s="44"/>
      <c r="C14" s="38"/>
      <c r="D14" s="38"/>
      <c r="E14" s="45"/>
      <c r="F14" s="26"/>
      <c r="G14" s="52"/>
      <c r="H14" s="63"/>
      <c r="I14" s="52"/>
      <c r="J14" s="63"/>
      <c r="K14" s="52"/>
      <c r="L14" s="63"/>
    </row>
    <row r="15" spans="1:14">
      <c r="B15" s="64" t="s">
        <v>209</v>
      </c>
      <c r="C15" s="38"/>
      <c r="D15" s="38"/>
      <c r="E15" s="45"/>
      <c r="F15" s="26"/>
      <c r="G15" s="52"/>
      <c r="H15" s="63"/>
      <c r="I15" s="52"/>
      <c r="J15" s="63"/>
      <c r="K15" s="52"/>
      <c r="L15" s="63"/>
    </row>
    <row r="16" spans="1:14">
      <c r="B16" s="44" t="s">
        <v>210</v>
      </c>
      <c r="C16" s="38"/>
      <c r="D16" s="38"/>
      <c r="E16" s="45"/>
      <c r="F16" s="26"/>
      <c r="G16" s="52" t="e">
        <f>ROUND(Sheet12!C23/12,0)</f>
        <v>#REF!</v>
      </c>
      <c r="H16" s="63" t="e">
        <f>ROUND(Sheet12!D23/12,0)</f>
        <v>#REF!</v>
      </c>
      <c r="I16" s="52" t="e">
        <f>ROUND(Sheet12!E23/12,0)</f>
        <v>#REF!</v>
      </c>
      <c r="J16" s="63">
        <v>80</v>
      </c>
      <c r="K16" s="52" t="e">
        <f>ROUND(Sheet12!G23/12,0)</f>
        <v>#REF!</v>
      </c>
      <c r="L16" s="63"/>
    </row>
    <row r="17" spans="2:16">
      <c r="B17" s="44" t="s">
        <v>211</v>
      </c>
      <c r="C17" s="38"/>
      <c r="D17" s="38"/>
      <c r="E17" s="45"/>
      <c r="F17" s="26"/>
      <c r="G17" s="52"/>
      <c r="H17" s="63"/>
      <c r="I17" s="52"/>
      <c r="J17" s="63"/>
      <c r="K17" s="52"/>
      <c r="L17" s="63"/>
    </row>
    <row r="18" spans="2:16">
      <c r="B18" s="44"/>
      <c r="C18" s="38"/>
      <c r="D18" s="38"/>
      <c r="E18" s="45"/>
      <c r="F18" s="26"/>
      <c r="G18" s="52"/>
      <c r="H18" s="63"/>
      <c r="I18" s="52"/>
      <c r="J18" s="63"/>
      <c r="K18" s="52"/>
      <c r="L18" s="63"/>
    </row>
    <row r="19" spans="2:16">
      <c r="B19" s="64" t="s">
        <v>212</v>
      </c>
      <c r="C19" s="38"/>
      <c r="D19" s="38"/>
      <c r="E19" s="45"/>
      <c r="F19" s="26" t="e">
        <f t="shared" ref="F19:K19" si="0">SUM(F10:F18)</f>
        <v>#REF!</v>
      </c>
      <c r="G19" s="52" t="e">
        <f t="shared" si="0"/>
        <v>#REF!</v>
      </c>
      <c r="H19" s="26" t="e">
        <f t="shared" si="0"/>
        <v>#REF!</v>
      </c>
      <c r="I19" s="52" t="e">
        <f t="shared" si="0"/>
        <v>#REF!</v>
      </c>
      <c r="J19" s="26" t="e">
        <f t="shared" si="0"/>
        <v>#REF!</v>
      </c>
      <c r="K19" s="52" t="e">
        <f t="shared" si="0"/>
        <v>#REF!</v>
      </c>
      <c r="L19" s="63"/>
    </row>
    <row r="20" spans="2:16">
      <c r="B20" s="44"/>
      <c r="C20" s="38"/>
      <c r="D20" s="38"/>
      <c r="E20" s="45"/>
      <c r="F20" s="26"/>
      <c r="G20" s="52"/>
      <c r="H20" s="63"/>
      <c r="I20" s="52"/>
      <c r="J20" s="63"/>
      <c r="K20" s="52"/>
      <c r="L20" s="63"/>
    </row>
    <row r="21" spans="2:16">
      <c r="B21" s="601" t="s">
        <v>213</v>
      </c>
      <c r="C21" s="602"/>
      <c r="D21" s="602"/>
      <c r="E21" s="603"/>
      <c r="F21" s="139"/>
      <c r="G21" s="52"/>
      <c r="H21" s="63"/>
      <c r="I21" s="52"/>
      <c r="J21" s="63"/>
      <c r="K21" s="52"/>
    </row>
    <row r="22" spans="2:16">
      <c r="B22" s="595" t="s">
        <v>143</v>
      </c>
      <c r="C22" s="596"/>
      <c r="D22" s="596"/>
      <c r="E22" s="597"/>
      <c r="F22" s="139">
        <v>1500</v>
      </c>
      <c r="G22" s="52">
        <v>1600</v>
      </c>
      <c r="H22" s="63">
        <v>1600</v>
      </c>
      <c r="I22" s="52">
        <v>1600</v>
      </c>
      <c r="J22" s="63">
        <v>1600</v>
      </c>
      <c r="K22" s="52">
        <v>1600</v>
      </c>
      <c r="P22">
        <f>46.14+92.89</f>
        <v>139.03</v>
      </c>
    </row>
    <row r="23" spans="2:16">
      <c r="B23" s="595" t="s">
        <v>144</v>
      </c>
      <c r="C23" s="596"/>
      <c r="D23" s="596"/>
      <c r="E23" s="597"/>
      <c r="F23" s="139">
        <v>0</v>
      </c>
      <c r="G23" s="52" t="e">
        <f>Sheet12!C39</f>
        <v>#REF!</v>
      </c>
      <c r="H23" s="63" t="e">
        <f>Sheet12!D39+G23</f>
        <v>#REF!</v>
      </c>
      <c r="I23" s="52" t="e">
        <f>Sheet12!E39+H23</f>
        <v>#REF!</v>
      </c>
      <c r="J23" s="63" t="e">
        <f>Sheet12!F39+I23</f>
        <v>#REF!</v>
      </c>
      <c r="K23" s="52" t="e">
        <f>Sheet12!G39+J23</f>
        <v>#REF!</v>
      </c>
    </row>
    <row r="24" spans="2:16">
      <c r="B24" s="119" t="s">
        <v>277</v>
      </c>
      <c r="C24" s="120"/>
      <c r="D24" s="120"/>
      <c r="E24" s="121"/>
      <c r="F24" s="63">
        <v>0</v>
      </c>
      <c r="G24" s="52">
        <f>('fee structure'!C19*'student detail'!E103)/100000</f>
        <v>17.2</v>
      </c>
      <c r="H24" s="63">
        <f>('fee structure'!D19*'student detail'!F103)/100000+G24</f>
        <v>19.599999999999998</v>
      </c>
      <c r="I24" s="52">
        <f>('fee structure'!E19*'student detail'!G103)/100000+H24</f>
        <v>21.999999999999996</v>
      </c>
      <c r="J24" s="63">
        <f>('fee structure'!F19*'student detail'!H103)/100000+I24</f>
        <v>24.599999999999998</v>
      </c>
      <c r="K24" s="52">
        <f>('fee structure'!G19*'student detail'!I103)/100000+J24</f>
        <v>26.999999999999996</v>
      </c>
    </row>
    <row r="25" spans="2:16">
      <c r="B25" s="595"/>
      <c r="C25" s="596"/>
      <c r="D25" s="596"/>
      <c r="E25" s="597"/>
      <c r="F25" s="139"/>
      <c r="G25" s="52"/>
      <c r="H25" s="63"/>
      <c r="I25" s="52"/>
      <c r="J25" s="63"/>
      <c r="K25" s="52"/>
    </row>
    <row r="26" spans="2:16">
      <c r="B26" s="598" t="s">
        <v>146</v>
      </c>
      <c r="C26" s="599"/>
      <c r="D26" s="599"/>
      <c r="E26" s="600"/>
      <c r="F26" s="140" t="e">
        <f>F19+F22</f>
        <v>#REF!</v>
      </c>
      <c r="G26" s="53" t="e">
        <f>G19+G22+G23+G24</f>
        <v>#REF!</v>
      </c>
      <c r="H26" s="31" t="e">
        <f t="shared" ref="H26:K26" si="1">H19+H22+H23+H24</f>
        <v>#REF!</v>
      </c>
      <c r="I26" s="53" t="e">
        <f t="shared" si="1"/>
        <v>#REF!</v>
      </c>
      <c r="J26" s="31" t="e">
        <f t="shared" si="1"/>
        <v>#REF!</v>
      </c>
      <c r="K26" s="53" t="e">
        <f t="shared" si="1"/>
        <v>#REF!</v>
      </c>
    </row>
    <row r="27" spans="2:16">
      <c r="B27" s="583"/>
      <c r="C27" s="584"/>
      <c r="D27" s="584"/>
      <c r="E27" s="585"/>
      <c r="F27" s="141"/>
      <c r="G27" s="54"/>
      <c r="H27" s="143"/>
      <c r="I27" s="54"/>
      <c r="J27" s="143"/>
      <c r="K27" s="54"/>
    </row>
    <row r="28" spans="2:16">
      <c r="B28" s="586" t="s">
        <v>214</v>
      </c>
      <c r="C28" s="587"/>
      <c r="D28" s="587"/>
      <c r="E28" s="588"/>
      <c r="F28" s="139"/>
      <c r="G28" s="52"/>
      <c r="H28" s="63"/>
      <c r="I28" s="52"/>
      <c r="J28" s="63"/>
      <c r="K28" s="52"/>
    </row>
    <row r="29" spans="2:16">
      <c r="B29" s="589" t="s">
        <v>147</v>
      </c>
      <c r="C29" s="590"/>
      <c r="D29" s="590"/>
      <c r="E29" s="591"/>
      <c r="F29" s="139"/>
      <c r="G29" s="52"/>
      <c r="H29" s="63"/>
      <c r="I29" s="52"/>
      <c r="J29" s="63"/>
      <c r="K29" s="52"/>
    </row>
    <row r="30" spans="2:16">
      <c r="B30" s="592" t="s">
        <v>148</v>
      </c>
      <c r="C30" s="593"/>
      <c r="D30" s="593"/>
      <c r="E30" s="594"/>
      <c r="F30" s="139">
        <f>dep.!G32</f>
        <v>301.14598000000001</v>
      </c>
      <c r="G30" s="52">
        <f>dep.!H32</f>
        <v>266.55078650000002</v>
      </c>
      <c r="H30" s="63">
        <f>dep.!I32</f>
        <v>236.93027172500001</v>
      </c>
      <c r="I30" s="52">
        <f>dep.!J32</f>
        <v>211.55969389625</v>
      </c>
      <c r="J30" s="63">
        <f>dep.!K32</f>
        <v>189.82087649881251</v>
      </c>
      <c r="K30" s="52">
        <f>dep.!L32</f>
        <v>171.18643809229064</v>
      </c>
      <c r="M30">
        <f>1.45*9%</f>
        <v>0.1305</v>
      </c>
    </row>
    <row r="31" spans="2:16">
      <c r="B31" s="580" t="s">
        <v>119</v>
      </c>
      <c r="C31" s="581"/>
      <c r="D31" s="581"/>
      <c r="E31" s="582"/>
      <c r="F31" s="139">
        <f>dep.!G34</f>
        <v>34.595193500000001</v>
      </c>
      <c r="G31" s="52">
        <f>dep.!H34</f>
        <v>29.620514775</v>
      </c>
      <c r="H31" s="63">
        <f>dep.!I34</f>
        <v>25.370577828750001</v>
      </c>
      <c r="I31" s="52">
        <f>dep.!J34</f>
        <v>21.738817397437501</v>
      </c>
      <c r="J31" s="63">
        <f>dep.!K34</f>
        <v>18.634438406521873</v>
      </c>
      <c r="K31" s="52">
        <f>dep.!L34</f>
        <v>15.980071902373593</v>
      </c>
    </row>
    <row r="32" spans="2:16">
      <c r="B32" s="613" t="s">
        <v>149</v>
      </c>
      <c r="C32" s="614"/>
      <c r="D32" s="614"/>
      <c r="E32" s="615"/>
      <c r="F32" s="139">
        <f t="shared" ref="F32:K32" si="2">F30-F31</f>
        <v>266.55078650000002</v>
      </c>
      <c r="G32" s="52">
        <f t="shared" si="2"/>
        <v>236.93027172500001</v>
      </c>
      <c r="H32" s="63">
        <f t="shared" si="2"/>
        <v>211.55969389625</v>
      </c>
      <c r="I32" s="52">
        <f t="shared" si="2"/>
        <v>189.82087649881248</v>
      </c>
      <c r="J32" s="63">
        <f t="shared" si="2"/>
        <v>171.18643809229064</v>
      </c>
      <c r="K32" s="52">
        <f t="shared" si="2"/>
        <v>155.20636618991705</v>
      </c>
      <c r="M32" s="112">
        <f>4957*30%</f>
        <v>1487.1</v>
      </c>
    </row>
    <row r="33" spans="1:12">
      <c r="B33" s="46"/>
      <c r="C33" s="47"/>
      <c r="D33" s="47"/>
      <c r="E33" s="48"/>
      <c r="F33" s="139"/>
      <c r="G33" s="52"/>
      <c r="H33" s="63"/>
      <c r="I33" s="52"/>
      <c r="J33" s="63"/>
      <c r="K33" s="52"/>
    </row>
    <row r="34" spans="1:12">
      <c r="B34" s="616" t="s">
        <v>215</v>
      </c>
      <c r="C34" s="617"/>
      <c r="D34" s="617"/>
      <c r="E34" s="618"/>
      <c r="F34" s="139"/>
      <c r="G34" s="52"/>
      <c r="H34" s="63"/>
      <c r="I34" s="52"/>
      <c r="J34" s="63"/>
      <c r="K34" s="52"/>
    </row>
    <row r="35" spans="1:12">
      <c r="B35" s="619" t="s">
        <v>151</v>
      </c>
      <c r="C35" s="620"/>
      <c r="D35" s="620"/>
      <c r="E35" s="621"/>
      <c r="F35" s="26" t="e">
        <f>'cash flow'!C37</f>
        <v>#REF!</v>
      </c>
      <c r="G35" s="52" t="e">
        <f>'cash flow'!D37</f>
        <v>#REF!</v>
      </c>
      <c r="H35" s="26" t="e">
        <f>'cash flow'!E37</f>
        <v>#REF!</v>
      </c>
      <c r="I35" s="52" t="e">
        <f>'cash flow'!F37</f>
        <v>#REF!</v>
      </c>
      <c r="J35" s="26" t="e">
        <f>'cash flow'!G37</f>
        <v>#REF!</v>
      </c>
      <c r="K35" s="52" t="e">
        <f>'cash flow'!H37</f>
        <v>#REF!</v>
      </c>
      <c r="L35" s="136">
        <f>ROUND(Sheet12!H14*25%,0)</f>
        <v>0</v>
      </c>
    </row>
    <row r="36" spans="1:12">
      <c r="B36" s="619" t="s">
        <v>152</v>
      </c>
      <c r="C36" s="620"/>
      <c r="D36" s="620"/>
      <c r="E36" s="621"/>
      <c r="F36" s="139">
        <v>0</v>
      </c>
      <c r="G36" s="52">
        <v>10</v>
      </c>
      <c r="H36" s="63">
        <v>8</v>
      </c>
      <c r="I36" s="52">
        <v>9</v>
      </c>
      <c r="J36" s="63">
        <v>10</v>
      </c>
      <c r="K36" s="52">
        <v>12</v>
      </c>
    </row>
    <row r="37" spans="1:12">
      <c r="B37" s="619" t="s">
        <v>150</v>
      </c>
      <c r="C37" s="620"/>
      <c r="D37" s="620"/>
      <c r="E37" s="621"/>
      <c r="F37" s="139">
        <v>25</v>
      </c>
      <c r="G37" s="52">
        <v>20</v>
      </c>
      <c r="H37" s="63">
        <v>15</v>
      </c>
      <c r="I37" s="52">
        <v>10</v>
      </c>
      <c r="J37" s="63">
        <v>5</v>
      </c>
      <c r="K37" s="52">
        <v>0</v>
      </c>
    </row>
    <row r="38" spans="1:12">
      <c r="B38" s="49"/>
      <c r="C38" s="50"/>
      <c r="D38" s="50"/>
      <c r="E38" s="51"/>
      <c r="F38" s="139"/>
      <c r="G38" s="52"/>
      <c r="H38" s="63"/>
      <c r="I38" s="52"/>
      <c r="J38" s="63"/>
      <c r="K38" s="52"/>
    </row>
    <row r="39" spans="1:12">
      <c r="B39" s="622" t="s">
        <v>153</v>
      </c>
      <c r="C39" s="622"/>
      <c r="D39" s="622"/>
      <c r="E39" s="622"/>
      <c r="F39" s="144" t="e">
        <f>F37+F36+F35+F32</f>
        <v>#REF!</v>
      </c>
      <c r="G39" s="145" t="e">
        <f>G32+G35+G36+G37</f>
        <v>#REF!</v>
      </c>
      <c r="H39" s="34" t="e">
        <f>H32+H35+H36+H37</f>
        <v>#REF!</v>
      </c>
      <c r="I39" s="145" t="e">
        <f>I32+I35+I36+I37</f>
        <v>#REF!</v>
      </c>
      <c r="J39" s="34" t="e">
        <f>J32+J35+J36+J37</f>
        <v>#REF!</v>
      </c>
      <c r="K39" s="145" t="e">
        <f>K32+K35+K36+K37</f>
        <v>#REF!</v>
      </c>
    </row>
    <row r="40" spans="1:12">
      <c r="B40" s="611"/>
      <c r="C40" s="611"/>
      <c r="D40" s="611"/>
      <c r="E40" s="611"/>
      <c r="F40" s="28" t="e">
        <f>F39-F26</f>
        <v>#REF!</v>
      </c>
      <c r="G40" s="28" t="e">
        <f t="shared" ref="G40:K40" si="3">G39-G26</f>
        <v>#REF!</v>
      </c>
      <c r="H40" s="28" t="e">
        <f t="shared" si="3"/>
        <v>#REF!</v>
      </c>
      <c r="I40" s="28" t="e">
        <f t="shared" si="3"/>
        <v>#REF!</v>
      </c>
      <c r="J40" s="28" t="e">
        <f>J39-J26</f>
        <v>#REF!</v>
      </c>
      <c r="K40" s="28" t="e">
        <f t="shared" si="3"/>
        <v>#REF!</v>
      </c>
    </row>
    <row r="41" spans="1:12">
      <c r="B41" s="611"/>
      <c r="C41" s="611"/>
      <c r="D41" s="611"/>
      <c r="E41" s="611"/>
    </row>
    <row r="42" spans="1:12">
      <c r="B42" s="611"/>
      <c r="C42" s="611"/>
      <c r="D42" s="611"/>
      <c r="E42" s="611"/>
    </row>
    <row r="43" spans="1:12">
      <c r="B43" s="611"/>
      <c r="C43" s="611"/>
      <c r="D43" s="611"/>
      <c r="E43" s="611"/>
    </row>
    <row r="44" spans="1:12">
      <c r="A44" s="612" t="s">
        <v>269</v>
      </c>
      <c r="B44" s="612"/>
      <c r="C44" s="612"/>
      <c r="D44" s="612"/>
      <c r="E44" s="612"/>
      <c r="F44" s="612"/>
      <c r="G44" s="612"/>
      <c r="H44" s="612"/>
      <c r="I44" s="612"/>
      <c r="J44" s="612"/>
      <c r="K44" s="612"/>
    </row>
    <row r="45" spans="1:12">
      <c r="B45" s="611"/>
      <c r="C45" s="611"/>
      <c r="D45" s="611"/>
      <c r="E45" s="611"/>
    </row>
    <row r="46" spans="1:12">
      <c r="B46" s="611"/>
      <c r="C46" s="611"/>
      <c r="D46" s="611"/>
      <c r="E46" s="611"/>
    </row>
    <row r="47" spans="1:12">
      <c r="B47" s="611"/>
      <c r="C47" s="611"/>
      <c r="D47" s="611"/>
      <c r="E47" s="611"/>
    </row>
    <row r="48" spans="1:12">
      <c r="B48" s="611"/>
      <c r="C48" s="611"/>
      <c r="D48" s="611"/>
      <c r="E48" s="611"/>
    </row>
    <row r="49" spans="2:5">
      <c r="B49" s="611"/>
      <c r="C49" s="611"/>
      <c r="D49" s="611"/>
      <c r="E49" s="611"/>
    </row>
  </sheetData>
  <mergeCells count="35">
    <mergeCell ref="B41:E41"/>
    <mergeCell ref="B32:E32"/>
    <mergeCell ref="B34:E34"/>
    <mergeCell ref="B37:E37"/>
    <mergeCell ref="B35:E35"/>
    <mergeCell ref="B36:E36"/>
    <mergeCell ref="B39:E39"/>
    <mergeCell ref="B40:E40"/>
    <mergeCell ref="B48:E48"/>
    <mergeCell ref="B49:E49"/>
    <mergeCell ref="B42:E42"/>
    <mergeCell ref="B43:E43"/>
    <mergeCell ref="B45:E45"/>
    <mergeCell ref="B46:E46"/>
    <mergeCell ref="B47:E47"/>
    <mergeCell ref="A44:K44"/>
    <mergeCell ref="B25:E25"/>
    <mergeCell ref="B26:E26"/>
    <mergeCell ref="B1:K1"/>
    <mergeCell ref="B2:K2"/>
    <mergeCell ref="B3:K3"/>
    <mergeCell ref="B9:E9"/>
    <mergeCell ref="B5:G5"/>
    <mergeCell ref="B21:E21"/>
    <mergeCell ref="B7:E7"/>
    <mergeCell ref="B22:E22"/>
    <mergeCell ref="B10:E10"/>
    <mergeCell ref="B12:E12"/>
    <mergeCell ref="B13:E13"/>
    <mergeCell ref="B23:E23"/>
    <mergeCell ref="B31:E31"/>
    <mergeCell ref="B27:E27"/>
    <mergeCell ref="B28:E28"/>
    <mergeCell ref="B29:E29"/>
    <mergeCell ref="B30:E30"/>
  </mergeCells>
  <pageMargins left="0.42" right="0.28999999999999998" top="0.75" bottom="0.75" header="0.3" footer="0.3"/>
  <pageSetup scale="70" orientation="portrait" horizontalDpi="429496729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view="pageBreakPreview" zoomScale="130" zoomScaleSheetLayoutView="130" workbookViewId="0">
      <selection activeCell="B25" sqref="B25"/>
    </sheetView>
  </sheetViews>
  <sheetFormatPr defaultRowHeight="15"/>
  <cols>
    <col min="1" max="1" width="4" customWidth="1"/>
    <col min="2" max="2" width="37" customWidth="1"/>
    <col min="3" max="3" width="11.85546875" customWidth="1"/>
    <col min="4" max="4" width="11.5703125" customWidth="1"/>
    <col min="5" max="5" width="11.42578125" customWidth="1"/>
    <col min="6" max="7" width="11" customWidth="1"/>
  </cols>
  <sheetData>
    <row r="1" spans="1:11">
      <c r="B1" s="541" t="s">
        <v>252</v>
      </c>
      <c r="C1" s="541"/>
      <c r="D1" s="541"/>
      <c r="E1" s="541"/>
      <c r="F1" s="541"/>
      <c r="G1" s="541"/>
      <c r="H1" s="95"/>
      <c r="I1" s="95"/>
      <c r="J1" s="95"/>
      <c r="K1" s="95"/>
    </row>
    <row r="2" spans="1:11">
      <c r="B2" s="541" t="s">
        <v>253</v>
      </c>
      <c r="C2" s="541"/>
      <c r="D2" s="541"/>
      <c r="E2" s="541"/>
      <c r="F2" s="541"/>
      <c r="G2" s="541"/>
      <c r="H2" s="536"/>
      <c r="I2" s="536"/>
      <c r="J2" s="536"/>
      <c r="K2" s="536"/>
    </row>
    <row r="3" spans="1:11">
      <c r="B3" s="541" t="s">
        <v>343</v>
      </c>
      <c r="C3" s="541"/>
      <c r="D3" s="541"/>
      <c r="E3" s="541"/>
      <c r="F3" s="541"/>
      <c r="G3" s="541"/>
      <c r="H3" s="536"/>
      <c r="I3" s="536"/>
      <c r="J3" s="536"/>
      <c r="K3" s="536"/>
    </row>
    <row r="5" spans="1:11">
      <c r="A5" t="s">
        <v>317</v>
      </c>
      <c r="B5" s="17" t="s">
        <v>301</v>
      </c>
    </row>
    <row r="7" spans="1:11">
      <c r="B7" s="14" t="s">
        <v>194</v>
      </c>
      <c r="C7" s="149" t="s">
        <v>137</v>
      </c>
      <c r="D7" s="149" t="s">
        <v>74</v>
      </c>
      <c r="E7" s="149" t="s">
        <v>138</v>
      </c>
      <c r="F7" s="149" t="s">
        <v>139</v>
      </c>
      <c r="G7" s="149" t="s">
        <v>140</v>
      </c>
    </row>
    <row r="8" spans="1:11">
      <c r="B8" t="str">
        <f>'cash flow'!B10</f>
        <v>Surplus / deficit</v>
      </c>
      <c r="C8" s="28" t="e">
        <f>Sheet12!C39</f>
        <v>#REF!</v>
      </c>
      <c r="D8" s="28" t="e">
        <f>Sheet12!D39</f>
        <v>#REF!</v>
      </c>
      <c r="E8" s="28" t="e">
        <f>Sheet12!E39</f>
        <v>#REF!</v>
      </c>
      <c r="F8" s="28" t="e">
        <f>Sheet12!F39</f>
        <v>#REF!</v>
      </c>
      <c r="G8" s="28" t="e">
        <f>Sheet12!G39</f>
        <v>#REF!</v>
      </c>
    </row>
    <row r="9" spans="1:11">
      <c r="B9" t="s">
        <v>302</v>
      </c>
    </row>
    <row r="10" spans="1:11">
      <c r="B10" t="s">
        <v>119</v>
      </c>
      <c r="C10" s="28">
        <f>Sheet12!C37</f>
        <v>29.620514775</v>
      </c>
      <c r="D10" s="28">
        <f>Sheet12!D37</f>
        <v>25.370577828750001</v>
      </c>
      <c r="E10" s="28">
        <f>Sheet12!E37</f>
        <v>21.738817397437501</v>
      </c>
      <c r="F10" s="28">
        <f>Sheet12!F37</f>
        <v>18.634438406521873</v>
      </c>
      <c r="G10" s="28">
        <f>Sheet12!G37</f>
        <v>15.980071902373593</v>
      </c>
    </row>
    <row r="12" spans="1:11">
      <c r="B12" t="s">
        <v>303</v>
      </c>
      <c r="C12" s="28" t="e">
        <f>SUM(C8:C10)</f>
        <v>#REF!</v>
      </c>
      <c r="D12" s="28" t="e">
        <f t="shared" ref="D12:G12" si="0">SUM(D8:D10)</f>
        <v>#REF!</v>
      </c>
      <c r="E12" s="28" t="e">
        <f t="shared" si="0"/>
        <v>#REF!</v>
      </c>
      <c r="F12" s="28" t="e">
        <f t="shared" si="0"/>
        <v>#REF!</v>
      </c>
      <c r="G12" s="28" t="e">
        <f t="shared" si="0"/>
        <v>#REF!</v>
      </c>
    </row>
    <row r="13" spans="1:11">
      <c r="B13" t="s">
        <v>304</v>
      </c>
      <c r="C13" s="28">
        <f>C10</f>
        <v>29.620514775</v>
      </c>
      <c r="D13" s="28">
        <f t="shared" ref="D13:G13" si="1">D10</f>
        <v>25.370577828750001</v>
      </c>
      <c r="E13" s="28">
        <f t="shared" si="1"/>
        <v>21.738817397437501</v>
      </c>
      <c r="F13" s="28">
        <f t="shared" si="1"/>
        <v>18.634438406521873</v>
      </c>
      <c r="G13" s="28">
        <f t="shared" si="1"/>
        <v>15.980071902373593</v>
      </c>
    </row>
    <row r="15" spans="1:11">
      <c r="B15" s="14" t="s">
        <v>305</v>
      </c>
      <c r="C15" s="33" t="e">
        <f>C12-C13</f>
        <v>#REF!</v>
      </c>
      <c r="D15" s="33" t="e">
        <f t="shared" ref="D15:G15" si="2">D12-D13</f>
        <v>#REF!</v>
      </c>
      <c r="E15" s="33" t="e">
        <f t="shared" si="2"/>
        <v>#REF!</v>
      </c>
      <c r="F15" s="33" t="e">
        <f t="shared" si="2"/>
        <v>#REF!</v>
      </c>
      <c r="G15" s="33" t="e">
        <f t="shared" si="2"/>
        <v>#REF!</v>
      </c>
    </row>
    <row r="16" spans="1:11">
      <c r="B16" t="s">
        <v>88</v>
      </c>
    </row>
    <row r="17" spans="1:7">
      <c r="B17" t="s">
        <v>308</v>
      </c>
      <c r="C17" s="28" t="e">
        <f>C15*15%</f>
        <v>#REF!</v>
      </c>
      <c r="D17" s="28" t="e">
        <f t="shared" ref="D17:G17" si="3">D15*15%</f>
        <v>#REF!</v>
      </c>
      <c r="E17" s="28" t="e">
        <f t="shared" si="3"/>
        <v>#REF!</v>
      </c>
      <c r="F17" s="28" t="e">
        <f t="shared" si="3"/>
        <v>#REF!</v>
      </c>
      <c r="G17" s="28" t="e">
        <f t="shared" si="3"/>
        <v>#REF!</v>
      </c>
    </row>
    <row r="19" spans="1:7">
      <c r="B19" t="s">
        <v>306</v>
      </c>
      <c r="C19" s="28" t="e">
        <f>C15-C17</f>
        <v>#REF!</v>
      </c>
      <c r="D19" s="28" t="e">
        <f>D15-D17</f>
        <v>#REF!</v>
      </c>
      <c r="E19" s="28" t="e">
        <f t="shared" ref="E19:G19" si="4">E15-E17</f>
        <v>#REF!</v>
      </c>
      <c r="F19" s="28" t="e">
        <f t="shared" si="4"/>
        <v>#REF!</v>
      </c>
      <c r="G19" s="28" t="e">
        <f t="shared" si="4"/>
        <v>#REF!</v>
      </c>
    </row>
    <row r="20" spans="1:7">
      <c r="B20" t="s">
        <v>310</v>
      </c>
    </row>
    <row r="21" spans="1:7">
      <c r="B21" t="s">
        <v>249</v>
      </c>
      <c r="C21" s="28" t="e">
        <f>Sheet2!B33/100000</f>
        <v>#REF!</v>
      </c>
      <c r="D21" s="28" t="e">
        <f>C21</f>
        <v>#REF!</v>
      </c>
      <c r="E21" s="28" t="e">
        <f t="shared" ref="E21:G21" si="5">D21</f>
        <v>#REF!</v>
      </c>
      <c r="F21" s="28" t="e">
        <f t="shared" si="5"/>
        <v>#REF!</v>
      </c>
      <c r="G21" s="28" t="e">
        <f t="shared" si="5"/>
        <v>#REF!</v>
      </c>
    </row>
    <row r="22" spans="1:7">
      <c r="B22" t="s">
        <v>307</v>
      </c>
      <c r="C22" s="28">
        <f>'term loan'!E19/100000</f>
        <v>0</v>
      </c>
      <c r="D22" s="28">
        <f>C22</f>
        <v>0</v>
      </c>
      <c r="E22" s="28">
        <f t="shared" ref="E22:G22" si="6">D22</f>
        <v>0</v>
      </c>
      <c r="F22" s="28">
        <f t="shared" si="6"/>
        <v>0</v>
      </c>
      <c r="G22" s="28">
        <f t="shared" si="6"/>
        <v>0</v>
      </c>
    </row>
    <row r="23" spans="1:7">
      <c r="B23" t="s">
        <v>309</v>
      </c>
      <c r="C23" s="28">
        <v>0</v>
      </c>
      <c r="D23" s="28">
        <v>0</v>
      </c>
      <c r="E23" s="28" t="e">
        <f>E19-E21-E22</f>
        <v>#REF!</v>
      </c>
      <c r="F23" s="28" t="e">
        <f t="shared" ref="F23:G23" si="7">F19-F21-F22</f>
        <v>#REF!</v>
      </c>
      <c r="G23" s="28" t="e">
        <f t="shared" si="7"/>
        <v>#REF!</v>
      </c>
    </row>
    <row r="25" spans="1:7">
      <c r="B25" s="14" t="s">
        <v>58</v>
      </c>
      <c r="C25" s="33" t="e">
        <f>SUM(C21:C24)</f>
        <v>#REF!</v>
      </c>
      <c r="D25" s="33" t="e">
        <f t="shared" ref="D25" si="8">SUM(D21:D24)</f>
        <v>#REF!</v>
      </c>
      <c r="E25" s="33" t="e">
        <f>SUM(E21:E24)</f>
        <v>#REF!</v>
      </c>
      <c r="F25" s="33" t="e">
        <f>SUM(F21:F24)</f>
        <v>#REF!</v>
      </c>
      <c r="G25" s="33" t="e">
        <f>SUM(G21:G24)</f>
        <v>#REF!</v>
      </c>
    </row>
    <row r="27" spans="1:7" ht="29.25" customHeight="1">
      <c r="A27" s="539" t="s">
        <v>269</v>
      </c>
      <c r="B27" s="539"/>
      <c r="C27" s="539"/>
      <c r="D27" s="539"/>
      <c r="E27" s="539"/>
      <c r="F27" s="539"/>
      <c r="G27" s="539"/>
    </row>
  </sheetData>
  <mergeCells count="6">
    <mergeCell ref="A27:G27"/>
    <mergeCell ref="B1:G1"/>
    <mergeCell ref="B2:G2"/>
    <mergeCell ref="H2:K2"/>
    <mergeCell ref="B3:G3"/>
    <mergeCell ref="H3:K3"/>
  </mergeCells>
  <pageMargins left="0.44" right="0.24" top="0.75" bottom="0.75" header="0.3" footer="0.3"/>
  <pageSetup scale="95" orientation="portrait" horizontalDpi="4294967293" r:id="rId1"/>
  <colBreaks count="1" manualBreakCount="1">
    <brk id="7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view="pageBreakPreview" zoomScale="115" zoomScaleSheetLayoutView="115" workbookViewId="0">
      <selection activeCell="C9" sqref="C9"/>
    </sheetView>
  </sheetViews>
  <sheetFormatPr defaultRowHeight="15"/>
  <cols>
    <col min="1" max="1" width="5.28515625" customWidth="1"/>
    <col min="2" max="2" width="27" customWidth="1"/>
    <col min="3" max="3" width="14.85546875" customWidth="1"/>
    <col min="4" max="4" width="11.85546875" customWidth="1"/>
    <col min="5" max="5" width="11.5703125" customWidth="1"/>
    <col min="6" max="6" width="11.7109375" customWidth="1"/>
    <col min="7" max="7" width="10" customWidth="1"/>
    <col min="8" max="8" width="11" customWidth="1"/>
  </cols>
  <sheetData>
    <row r="1" spans="1:13">
      <c r="B1" s="541" t="s">
        <v>252</v>
      </c>
      <c r="C1" s="541"/>
      <c r="D1" s="541"/>
      <c r="E1" s="541"/>
      <c r="F1" s="541"/>
      <c r="G1" s="541"/>
      <c r="H1" s="541"/>
      <c r="I1" s="95"/>
      <c r="J1" s="95"/>
      <c r="K1" s="95"/>
      <c r="L1" s="95"/>
    </row>
    <row r="2" spans="1:13">
      <c r="B2" s="541" t="s">
        <v>253</v>
      </c>
      <c r="C2" s="541"/>
      <c r="D2" s="541"/>
      <c r="E2" s="541"/>
      <c r="F2" s="541"/>
      <c r="G2" s="541"/>
      <c r="H2" s="541"/>
      <c r="I2" s="113"/>
      <c r="J2" s="113"/>
      <c r="K2" s="113"/>
      <c r="L2" s="113"/>
    </row>
    <row r="3" spans="1:13">
      <c r="B3" s="541" t="s">
        <v>343</v>
      </c>
      <c r="C3" s="541"/>
      <c r="D3" s="541"/>
      <c r="E3" s="541"/>
      <c r="F3" s="541"/>
      <c r="G3" s="541"/>
      <c r="H3" s="541"/>
      <c r="I3" s="95"/>
      <c r="J3" s="95"/>
      <c r="K3" s="95"/>
      <c r="L3" s="95"/>
      <c r="M3" s="95"/>
    </row>
    <row r="5" spans="1:13">
      <c r="A5" t="s">
        <v>122</v>
      </c>
    </row>
    <row r="6" spans="1:13">
      <c r="B6" s="17" t="s">
        <v>298</v>
      </c>
    </row>
    <row r="7" spans="1:13">
      <c r="H7" s="114" t="s">
        <v>63</v>
      </c>
    </row>
    <row r="8" spans="1:13">
      <c r="B8" s="115" t="s">
        <v>280</v>
      </c>
      <c r="C8" s="116" t="s">
        <v>136</v>
      </c>
      <c r="D8" s="116" t="s">
        <v>137</v>
      </c>
      <c r="E8" s="116" t="s">
        <v>74</v>
      </c>
      <c r="F8" s="116" t="s">
        <v>138</v>
      </c>
      <c r="G8" s="116" t="s">
        <v>139</v>
      </c>
      <c r="H8" s="116" t="s">
        <v>140</v>
      </c>
    </row>
    <row r="10" spans="1:13">
      <c r="B10" t="s">
        <v>281</v>
      </c>
      <c r="C10" s="26">
        <v>0</v>
      </c>
      <c r="D10" s="26" t="e">
        <f>Sheet12!C39</f>
        <v>#REF!</v>
      </c>
      <c r="E10" s="26" t="e">
        <f>Sheet12!D39</f>
        <v>#REF!</v>
      </c>
      <c r="F10" s="26" t="e">
        <f>Sheet12!E39</f>
        <v>#REF!</v>
      </c>
      <c r="G10" s="26" t="e">
        <f>Sheet12!F39</f>
        <v>#REF!</v>
      </c>
      <c r="H10" s="26" t="e">
        <f>Sheet12!G39</f>
        <v>#REF!</v>
      </c>
    </row>
    <row r="11" spans="1:13">
      <c r="B11" t="s">
        <v>282</v>
      </c>
      <c r="C11" s="26">
        <f>bs!F22</f>
        <v>1500</v>
      </c>
      <c r="D11" s="26">
        <f>bs!G22-bs!F22</f>
        <v>100</v>
      </c>
      <c r="E11" s="26">
        <f>bs!H22-bs!G22</f>
        <v>0</v>
      </c>
      <c r="F11" s="26">
        <f>bs!I22-bs!H22</f>
        <v>0</v>
      </c>
      <c r="G11" s="26">
        <f>bs!J22-bs!I22</f>
        <v>0</v>
      </c>
      <c r="H11" s="26">
        <f>bs!K22-bs!J22</f>
        <v>0</v>
      </c>
    </row>
    <row r="12" spans="1:13">
      <c r="B12" t="s">
        <v>129</v>
      </c>
      <c r="C12" s="26">
        <v>0</v>
      </c>
      <c r="D12" s="26" t="e">
        <f>Sheet12!#REF!</f>
        <v>#REF!</v>
      </c>
      <c r="E12" s="26" t="e">
        <f>Sheet12!#REF!</f>
        <v>#REF!</v>
      </c>
      <c r="F12" s="26" t="e">
        <f>Sheet12!#REF!</f>
        <v>#REF!</v>
      </c>
      <c r="G12" s="26" t="e">
        <f>Sheet12!#REF!</f>
        <v>#REF!</v>
      </c>
      <c r="H12" s="26" t="e">
        <f>Sheet12!#REF!</f>
        <v>#REF!</v>
      </c>
    </row>
    <row r="13" spans="1:13">
      <c r="B13" t="s">
        <v>283</v>
      </c>
      <c r="C13" s="26">
        <v>0</v>
      </c>
      <c r="D13" s="26">
        <f>Sheet12!C37</f>
        <v>29.620514775</v>
      </c>
      <c r="E13" s="26">
        <f>Sheet12!D37</f>
        <v>25.370577828750001</v>
      </c>
      <c r="F13" s="26">
        <f>Sheet12!E37</f>
        <v>21.738817397437501</v>
      </c>
      <c r="G13" s="26">
        <f>Sheet12!F37</f>
        <v>18.634438406521873</v>
      </c>
      <c r="H13" s="26">
        <f>Sheet12!G37</f>
        <v>15.980071902373593</v>
      </c>
    </row>
    <row r="14" spans="1:13">
      <c r="B14" t="s">
        <v>284</v>
      </c>
      <c r="C14" s="26">
        <f>bs!F10</f>
        <v>150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</row>
    <row r="15" spans="1:13">
      <c r="B15" t="s">
        <v>296</v>
      </c>
      <c r="C15" s="26" t="e">
        <f>bs!F11</f>
        <v>#REF!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</row>
    <row r="16" spans="1:13">
      <c r="B16" t="s">
        <v>285</v>
      </c>
      <c r="C16" s="26">
        <f>bs!F12</f>
        <v>450</v>
      </c>
      <c r="D16" s="26">
        <f>bs!G12-bs!F12</f>
        <v>0</v>
      </c>
      <c r="E16" s="26">
        <f>bs!H12-bs!G12</f>
        <v>50</v>
      </c>
      <c r="F16" s="26">
        <f>bs!I12-bs!H12</f>
        <v>-100</v>
      </c>
      <c r="G16" s="26">
        <f>bs!J12-bs!I12</f>
        <v>-300</v>
      </c>
      <c r="H16" s="26">
        <f>bs!K12-bs!J12</f>
        <v>-100</v>
      </c>
    </row>
    <row r="17" spans="2:10">
      <c r="B17" t="s">
        <v>286</v>
      </c>
      <c r="C17" s="26">
        <v>0</v>
      </c>
      <c r="D17" s="26" t="e">
        <f>bs!G16-bs!F16</f>
        <v>#REF!</v>
      </c>
      <c r="E17" s="26" t="e">
        <f>bs!H16-bs!G16</f>
        <v>#REF!</v>
      </c>
      <c r="F17" s="26" t="e">
        <f>bs!I16-bs!H16</f>
        <v>#REF!</v>
      </c>
      <c r="G17" s="26" t="e">
        <f>bs!J16-bs!I16</f>
        <v>#REF!</v>
      </c>
      <c r="H17" s="26" t="e">
        <f>bs!K16-bs!J16</f>
        <v>#REF!</v>
      </c>
    </row>
    <row r="18" spans="2:10">
      <c r="B18" t="s">
        <v>297</v>
      </c>
      <c r="C18" s="26"/>
      <c r="D18" s="26">
        <f>bs!G24-bs!F24</f>
        <v>17.2</v>
      </c>
      <c r="E18" s="26">
        <f>bs!H24-bs!G24</f>
        <v>2.3999999999999986</v>
      </c>
      <c r="F18" s="26">
        <f>bs!I24-bs!H24</f>
        <v>2.3999999999999986</v>
      </c>
      <c r="G18" s="26">
        <f>bs!J24-bs!I24</f>
        <v>2.6000000000000014</v>
      </c>
      <c r="H18" s="26">
        <f>bs!K24-bs!J24</f>
        <v>2.3999999999999986</v>
      </c>
    </row>
    <row r="19" spans="2:10">
      <c r="B19" t="s">
        <v>287</v>
      </c>
      <c r="C19" s="26">
        <v>0</v>
      </c>
      <c r="D19" s="26">
        <f>bs!G13-bs!F13</f>
        <v>86</v>
      </c>
      <c r="E19" s="26">
        <f>bs!H13-bs!G13</f>
        <v>12</v>
      </c>
      <c r="F19" s="26">
        <f>bs!I13-bs!H13</f>
        <v>12</v>
      </c>
      <c r="G19" s="26">
        <f>bs!J13-bs!I13</f>
        <v>13</v>
      </c>
      <c r="H19" s="26">
        <f>bs!K13-bs!J13</f>
        <v>12</v>
      </c>
    </row>
    <row r="20" spans="2:10">
      <c r="C20" s="26"/>
      <c r="D20" s="26"/>
      <c r="E20" s="26"/>
      <c r="F20" s="26"/>
      <c r="G20" s="26"/>
      <c r="H20" s="26"/>
    </row>
    <row r="21" spans="2:10">
      <c r="C21" s="34" t="e">
        <f t="shared" ref="C21:H21" si="0">SUM(C10:C19)</f>
        <v>#REF!</v>
      </c>
      <c r="D21" s="34" t="e">
        <f t="shared" si="0"/>
        <v>#REF!</v>
      </c>
      <c r="E21" s="34" t="e">
        <f t="shared" si="0"/>
        <v>#REF!</v>
      </c>
      <c r="F21" s="34" t="e">
        <f t="shared" si="0"/>
        <v>#REF!</v>
      </c>
      <c r="G21" s="34" t="e">
        <f t="shared" si="0"/>
        <v>#REF!</v>
      </c>
      <c r="H21" s="34" t="e">
        <f t="shared" si="0"/>
        <v>#REF!</v>
      </c>
    </row>
    <row r="22" spans="2:10">
      <c r="C22" s="26"/>
      <c r="D22" s="26"/>
      <c r="E22" s="26"/>
      <c r="F22" s="26"/>
      <c r="G22" s="26"/>
      <c r="H22" s="26"/>
    </row>
    <row r="23" spans="2:10">
      <c r="B23" s="17" t="s">
        <v>288</v>
      </c>
      <c r="C23" s="26"/>
      <c r="D23" s="26"/>
      <c r="E23" s="26"/>
      <c r="F23" s="26"/>
      <c r="G23" s="26"/>
      <c r="H23" s="26"/>
    </row>
    <row r="24" spans="2:10">
      <c r="C24" s="26"/>
      <c r="D24" s="26"/>
      <c r="E24" s="26"/>
      <c r="F24" s="26"/>
      <c r="G24" s="26"/>
      <c r="H24" s="26"/>
    </row>
    <row r="25" spans="2:10">
      <c r="B25" t="s">
        <v>129</v>
      </c>
      <c r="C25" s="26">
        <f>bs!F37</f>
        <v>25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</row>
    <row r="26" spans="2:10">
      <c r="B26" t="s">
        <v>289</v>
      </c>
      <c r="C26" s="26">
        <f>bs!F30</f>
        <v>301.14598000000001</v>
      </c>
      <c r="D26" s="26">
        <v>0</v>
      </c>
      <c r="E26" s="26">
        <v>0</v>
      </c>
      <c r="F26" s="26" t="e">
        <f>-dep.!#REF!</f>
        <v>#REF!</v>
      </c>
      <c r="H26" s="26">
        <v>0</v>
      </c>
    </row>
    <row r="27" spans="2:10">
      <c r="B27" t="s">
        <v>290</v>
      </c>
      <c r="C27" s="26">
        <v>0</v>
      </c>
      <c r="D27" s="26">
        <f>bs!F36-bs!G36</f>
        <v>-10</v>
      </c>
      <c r="E27" s="26">
        <f>bs!G36-bs!H36</f>
        <v>2</v>
      </c>
      <c r="F27" s="26">
        <f>bs!H36-bs!I36</f>
        <v>-1</v>
      </c>
      <c r="G27" s="26">
        <f>bs!I36-bs!J36</f>
        <v>-1</v>
      </c>
      <c r="H27" s="26">
        <f>bs!J36-bs!K36</f>
        <v>-2</v>
      </c>
    </row>
    <row r="28" spans="2:10">
      <c r="B28" t="s">
        <v>291</v>
      </c>
      <c r="C28" s="26">
        <v>0</v>
      </c>
      <c r="D28" s="26">
        <f>bs!G10-bs!F10</f>
        <v>-17.5</v>
      </c>
      <c r="E28" s="26">
        <f>bs!H10-bs!G10</f>
        <v>-30</v>
      </c>
      <c r="F28" s="26">
        <f>bs!I10-bs!H10</f>
        <v>-30</v>
      </c>
      <c r="G28" s="26">
        <f>bs!J10-bs!I10</f>
        <v>-30</v>
      </c>
      <c r="H28" s="26" t="e">
        <f>bs!K10-bs!J10</f>
        <v>#REF!</v>
      </c>
    </row>
    <row r="29" spans="2:10">
      <c r="B29" t="s">
        <v>292</v>
      </c>
      <c r="C29" s="26">
        <v>0</v>
      </c>
      <c r="D29" s="26" t="e">
        <f>bs!G11-bs!F11</f>
        <v>#REF!</v>
      </c>
      <c r="E29" s="26" t="e">
        <f>bs!H11-bs!G11</f>
        <v>#REF!</v>
      </c>
      <c r="F29" s="26" t="e">
        <f>bs!I11-bs!H11</f>
        <v>#REF!</v>
      </c>
      <c r="G29" s="26" t="e">
        <f>bs!J11-bs!I11</f>
        <v>#REF!</v>
      </c>
      <c r="H29" s="26" t="e">
        <f>bs!K11-bs!J11</f>
        <v>#REF!</v>
      </c>
      <c r="J29" s="28"/>
    </row>
    <row r="30" spans="2:10">
      <c r="C30" s="26"/>
      <c r="D30" s="26"/>
      <c r="E30" s="26"/>
      <c r="F30" s="26"/>
      <c r="G30" s="26"/>
      <c r="H30" s="26"/>
      <c r="J30" s="28"/>
    </row>
    <row r="31" spans="2:10">
      <c r="C31" s="34">
        <f>SUM(C25:C29)</f>
        <v>326.14598000000001</v>
      </c>
      <c r="D31" s="34" t="e">
        <f>SUM(D25:D29)</f>
        <v>#REF!</v>
      </c>
      <c r="E31" s="34" t="e">
        <f t="shared" ref="E31:H31" si="1">SUM(E25:E29)</f>
        <v>#REF!</v>
      </c>
      <c r="F31" s="34" t="e">
        <f t="shared" si="1"/>
        <v>#REF!</v>
      </c>
      <c r="G31" s="34" t="e">
        <f t="shared" si="1"/>
        <v>#REF!</v>
      </c>
      <c r="H31" s="34" t="e">
        <f t="shared" si="1"/>
        <v>#REF!</v>
      </c>
    </row>
    <row r="32" spans="2:10">
      <c r="C32" s="26"/>
      <c r="D32" s="26"/>
      <c r="E32" s="26"/>
      <c r="F32" s="26"/>
      <c r="G32" s="26"/>
      <c r="H32" s="26"/>
    </row>
    <row r="33" spans="2:8">
      <c r="B33" s="114" t="s">
        <v>293</v>
      </c>
      <c r="C33" s="26" t="e">
        <f>C21-C31</f>
        <v>#REF!</v>
      </c>
      <c r="D33" s="26" t="e">
        <f>D21+D31</f>
        <v>#REF!</v>
      </c>
      <c r="E33" s="26" t="e">
        <f t="shared" ref="E33:H33" si="2">E21+E31</f>
        <v>#REF!</v>
      </c>
      <c r="F33" s="26" t="e">
        <f t="shared" si="2"/>
        <v>#REF!</v>
      </c>
      <c r="G33" s="26" t="e">
        <f t="shared" si="2"/>
        <v>#REF!</v>
      </c>
      <c r="H33" s="26" t="e">
        <f t="shared" si="2"/>
        <v>#REF!</v>
      </c>
    </row>
    <row r="34" spans="2:8">
      <c r="C34" s="26"/>
      <c r="D34" s="26"/>
      <c r="E34" s="26"/>
      <c r="F34" s="26"/>
      <c r="G34" s="26"/>
      <c r="H34" s="26"/>
    </row>
    <row r="35" spans="2:8">
      <c r="B35" t="s">
        <v>294</v>
      </c>
      <c r="C35" s="26">
        <v>0</v>
      </c>
      <c r="D35" s="26" t="e">
        <f>C37</f>
        <v>#REF!</v>
      </c>
      <c r="E35" s="26" t="e">
        <f t="shared" ref="E35:H35" si="3">D37</f>
        <v>#REF!</v>
      </c>
      <c r="F35" s="26" t="e">
        <f t="shared" si="3"/>
        <v>#REF!</v>
      </c>
      <c r="G35" s="26" t="e">
        <f t="shared" si="3"/>
        <v>#REF!</v>
      </c>
      <c r="H35" s="26" t="e">
        <f t="shared" si="3"/>
        <v>#REF!</v>
      </c>
    </row>
    <row r="36" spans="2:8">
      <c r="C36" s="26"/>
      <c r="D36" s="26"/>
      <c r="E36" s="26"/>
      <c r="F36" s="26"/>
      <c r="G36" s="26"/>
      <c r="H36" s="26"/>
    </row>
    <row r="37" spans="2:8">
      <c r="B37" t="s">
        <v>295</v>
      </c>
      <c r="C37" s="29" t="e">
        <f>C33+C35</f>
        <v>#REF!</v>
      </c>
      <c r="D37" s="29" t="e">
        <f>D33+D35</f>
        <v>#REF!</v>
      </c>
      <c r="E37" s="29" t="e">
        <f t="shared" ref="E37:H37" si="4">E33+E35</f>
        <v>#REF!</v>
      </c>
      <c r="F37" s="29" t="e">
        <f>F33+F35</f>
        <v>#REF!</v>
      </c>
      <c r="G37" s="29" t="e">
        <f>G33+G35</f>
        <v>#REF!</v>
      </c>
      <c r="H37" s="29" t="e">
        <f t="shared" si="4"/>
        <v>#REF!</v>
      </c>
    </row>
  </sheetData>
  <mergeCells count="3">
    <mergeCell ref="B1:H1"/>
    <mergeCell ref="B2:H2"/>
    <mergeCell ref="B3:H3"/>
  </mergeCells>
  <pageMargins left="0.7" right="0.7" top="0.75" bottom="0.75" header="0.3" footer="0.3"/>
  <pageSetup scale="87" orientation="portrait" horizontalDpi="429496729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view="pageBreakPreview" topLeftCell="A31" zoomScale="130" zoomScaleSheetLayoutView="130" workbookViewId="0">
      <selection activeCell="D6" sqref="D6"/>
    </sheetView>
  </sheetViews>
  <sheetFormatPr defaultRowHeight="15"/>
  <cols>
    <col min="1" max="1" width="4" style="96" customWidth="1"/>
    <col min="2" max="2" width="32.7109375" style="103" customWidth="1"/>
    <col min="3" max="3" width="12.42578125" style="96" customWidth="1"/>
    <col min="4" max="4" width="18.140625" style="96" customWidth="1"/>
    <col min="5" max="5" width="11.5703125" style="96" customWidth="1"/>
    <col min="6" max="16384" width="9.140625" style="96"/>
  </cols>
  <sheetData>
    <row r="1" spans="2:10" customFormat="1">
      <c r="B1" s="541" t="s">
        <v>252</v>
      </c>
      <c r="C1" s="541"/>
      <c r="D1" s="541"/>
      <c r="E1" s="541"/>
      <c r="F1" s="541"/>
      <c r="G1" s="541"/>
      <c r="H1" s="541"/>
      <c r="I1" s="95"/>
      <c r="J1" s="95"/>
    </row>
    <row r="2" spans="2:10" customFormat="1">
      <c r="B2" s="541" t="s">
        <v>253</v>
      </c>
      <c r="C2" s="541"/>
      <c r="D2" s="541"/>
      <c r="E2" s="541"/>
      <c r="F2" s="541"/>
      <c r="G2" s="541"/>
      <c r="H2" s="541"/>
      <c r="I2" s="536"/>
      <c r="J2" s="536"/>
    </row>
    <row r="3" spans="2:10" customFormat="1">
      <c r="B3" s="541" t="s">
        <v>343</v>
      </c>
      <c r="C3" s="541"/>
      <c r="D3" s="541"/>
      <c r="E3" s="541"/>
      <c r="F3" s="541"/>
      <c r="G3" s="541"/>
      <c r="H3" s="541"/>
      <c r="I3" s="536"/>
      <c r="J3" s="536"/>
    </row>
    <row r="4" spans="2:10" customFormat="1">
      <c r="B4" s="19"/>
      <c r="C4" s="19"/>
      <c r="D4" s="19"/>
      <c r="E4" s="19"/>
      <c r="F4" s="19"/>
      <c r="G4" s="19"/>
      <c r="H4" s="19"/>
      <c r="I4" s="19"/>
      <c r="J4" s="19"/>
    </row>
    <row r="5" spans="2:10" ht="18">
      <c r="B5" s="624" t="s">
        <v>255</v>
      </c>
      <c r="C5" s="624"/>
      <c r="D5" s="624"/>
      <c r="E5" s="624"/>
      <c r="F5" s="624"/>
      <c r="G5" s="624"/>
      <c r="H5" s="624"/>
    </row>
    <row r="6" spans="2:10">
      <c r="H6" s="114" t="s">
        <v>63</v>
      </c>
    </row>
    <row r="7" spans="2:10">
      <c r="B7" s="97" t="s">
        <v>256</v>
      </c>
      <c r="C7" s="98"/>
      <c r="D7" s="99" t="s">
        <v>270</v>
      </c>
      <c r="E7" s="99" t="s">
        <v>271</v>
      </c>
      <c r="F7" s="99" t="s">
        <v>272</v>
      </c>
      <c r="G7" s="99" t="s">
        <v>273</v>
      </c>
      <c r="H7" s="99" t="s">
        <v>274</v>
      </c>
    </row>
    <row r="8" spans="2:10">
      <c r="B8" s="97" t="s">
        <v>257</v>
      </c>
      <c r="C8" s="100"/>
    </row>
    <row r="9" spans="2:10">
      <c r="B9" s="101" t="s">
        <v>258</v>
      </c>
      <c r="D9" s="102" t="e">
        <f>bs!G35+bs!G36</f>
        <v>#REF!</v>
      </c>
      <c r="E9" s="102" t="e">
        <f>bs!H35+bs!H36</f>
        <v>#REF!</v>
      </c>
      <c r="F9" s="102" t="e">
        <f>bs!I35+bs!I36</f>
        <v>#REF!</v>
      </c>
      <c r="G9" s="102" t="e">
        <f>bs!J35+bs!J36</f>
        <v>#REF!</v>
      </c>
      <c r="H9" s="102" t="e">
        <f>bs!K35+bs!K36</f>
        <v>#REF!</v>
      </c>
    </row>
    <row r="10" spans="2:10">
      <c r="B10" s="103" t="s">
        <v>259</v>
      </c>
      <c r="D10" s="100" t="e">
        <f>bs!G16</f>
        <v>#REF!</v>
      </c>
      <c r="E10" s="100" t="e">
        <f>bs!H16</f>
        <v>#REF!</v>
      </c>
      <c r="F10" s="100" t="e">
        <f>bs!I16</f>
        <v>#REF!</v>
      </c>
      <c r="G10" s="100">
        <f>bs!J16</f>
        <v>80</v>
      </c>
      <c r="H10" s="100" t="e">
        <f>bs!K16</f>
        <v>#REF!</v>
      </c>
    </row>
    <row r="12" spans="2:10">
      <c r="D12" s="100" t="e">
        <f t="shared" ref="D12:H12" si="0">D9/D10</f>
        <v>#REF!</v>
      </c>
      <c r="E12" s="100" t="e">
        <f t="shared" si="0"/>
        <v>#REF!</v>
      </c>
      <c r="F12" s="100" t="e">
        <f t="shared" si="0"/>
        <v>#REF!</v>
      </c>
      <c r="G12" s="100" t="e">
        <f t="shared" si="0"/>
        <v>#REF!</v>
      </c>
      <c r="H12" s="100" t="e">
        <f t="shared" si="0"/>
        <v>#REF!</v>
      </c>
    </row>
    <row r="14" spans="2:10">
      <c r="B14" s="101" t="s">
        <v>260</v>
      </c>
      <c r="D14" s="102" t="e">
        <f>bs!G19-bs!G12-bs!G16</f>
        <v>#REF!</v>
      </c>
      <c r="E14" s="102" t="e">
        <f>bs!H19-bs!H12-bs!H16</f>
        <v>#REF!</v>
      </c>
      <c r="F14" s="102" t="e">
        <f>bs!I19-bs!I12-bs!I16</f>
        <v>#REF!</v>
      </c>
      <c r="G14" s="102" t="e">
        <f>bs!J19-bs!J12-bs!J16</f>
        <v>#REF!</v>
      </c>
      <c r="H14" s="102" t="e">
        <f>bs!K19-bs!K12-bs!K16</f>
        <v>#REF!</v>
      </c>
    </row>
    <row r="15" spans="2:10">
      <c r="B15" s="103" t="s">
        <v>261</v>
      </c>
      <c r="D15" s="100" t="e">
        <f>bs!G22+bs!G23</f>
        <v>#REF!</v>
      </c>
      <c r="E15" s="100" t="e">
        <f>bs!H22+bs!H23</f>
        <v>#REF!</v>
      </c>
      <c r="F15" s="100" t="e">
        <f>bs!I22+bs!I23</f>
        <v>#REF!</v>
      </c>
      <c r="G15" s="100" t="e">
        <f>bs!J22+bs!J23</f>
        <v>#REF!</v>
      </c>
      <c r="H15" s="100" t="e">
        <f>bs!K22+bs!K23</f>
        <v>#REF!</v>
      </c>
    </row>
    <row r="16" spans="2:10">
      <c r="B16" s="104"/>
    </row>
    <row r="17" spans="2:8">
      <c r="D17" s="100" t="e">
        <f t="shared" ref="D17:H17" si="1">D14/D15</f>
        <v>#REF!</v>
      </c>
      <c r="E17" s="100" t="e">
        <f t="shared" si="1"/>
        <v>#REF!</v>
      </c>
      <c r="F17" s="100" t="e">
        <f>F14/F15</f>
        <v>#REF!</v>
      </c>
      <c r="G17" s="100" t="e">
        <f t="shared" si="1"/>
        <v>#REF!</v>
      </c>
      <c r="H17" s="100" t="e">
        <f t="shared" si="1"/>
        <v>#REF!</v>
      </c>
    </row>
    <row r="18" spans="2:8">
      <c r="D18" s="100"/>
      <c r="E18" s="100"/>
      <c r="F18" s="100"/>
      <c r="G18" s="100"/>
      <c r="H18" s="100"/>
    </row>
    <row r="19" spans="2:8">
      <c r="B19" s="97" t="s">
        <v>262</v>
      </c>
    </row>
    <row r="20" spans="2:8">
      <c r="B20" s="101" t="s">
        <v>263</v>
      </c>
      <c r="D20" s="105" t="e">
        <f>Sheet12!C39</f>
        <v>#REF!</v>
      </c>
      <c r="E20" s="105" t="e">
        <f>Sheet12!D39</f>
        <v>#REF!</v>
      </c>
      <c r="F20" s="105" t="e">
        <f>Sheet12!E39</f>
        <v>#REF!</v>
      </c>
      <c r="G20" s="105" t="e">
        <f>Sheet12!F39</f>
        <v>#REF!</v>
      </c>
      <c r="H20" s="105" t="e">
        <f>Sheet12!G39</f>
        <v>#REF!</v>
      </c>
    </row>
    <row r="21" spans="2:8">
      <c r="B21" s="103" t="s">
        <v>264</v>
      </c>
      <c r="D21" s="106">
        <f>Sheet12!C18</f>
        <v>200</v>
      </c>
      <c r="E21" s="106">
        <f>Sheet12!D18</f>
        <v>220.00000000000003</v>
      </c>
      <c r="F21" s="106">
        <f>Sheet12!E18</f>
        <v>242.00000000000006</v>
      </c>
      <c r="G21" s="106">
        <f>Sheet12!F18</f>
        <v>266.2000000000001</v>
      </c>
      <c r="H21" s="106">
        <f>Sheet12!G18</f>
        <v>292.82000000000016</v>
      </c>
    </row>
    <row r="22" spans="2:8">
      <c r="D22" s="106"/>
      <c r="E22" s="106"/>
      <c r="F22" s="106"/>
      <c r="G22" s="106"/>
    </row>
    <row r="23" spans="2:8">
      <c r="B23" s="103" t="s">
        <v>265</v>
      </c>
      <c r="D23" s="107" t="e">
        <f>D20/D21%</f>
        <v>#REF!</v>
      </c>
      <c r="E23" s="107" t="e">
        <f>E20/E21%</f>
        <v>#REF!</v>
      </c>
      <c r="F23" s="107" t="e">
        <f t="shared" ref="F23:G23" si="2">F20/F21%</f>
        <v>#REF!</v>
      </c>
      <c r="G23" s="107" t="e">
        <f t="shared" si="2"/>
        <v>#REF!</v>
      </c>
      <c r="H23" s="107" t="e">
        <f>H20/H21%</f>
        <v>#REF!</v>
      </c>
    </row>
    <row r="25" spans="2:8">
      <c r="B25" s="101" t="s">
        <v>266</v>
      </c>
      <c r="D25" s="108" t="e">
        <f>dscr!C15</f>
        <v>#REF!</v>
      </c>
      <c r="E25" s="108" t="e">
        <f>dscr!D15</f>
        <v>#REF!</v>
      </c>
      <c r="F25" s="108" t="e">
        <f>dscr!E15</f>
        <v>#REF!</v>
      </c>
      <c r="G25" s="108" t="e">
        <f>dscr!F15</f>
        <v>#REF!</v>
      </c>
      <c r="H25" s="108" t="e">
        <f>dscr!G15</f>
        <v>#REF!</v>
      </c>
    </row>
    <row r="26" spans="2:8">
      <c r="B26" s="103" t="s">
        <v>267</v>
      </c>
      <c r="D26" s="106" t="e">
        <f>dscr!C17</f>
        <v>#REF!</v>
      </c>
      <c r="E26" s="106" t="e">
        <f>dscr!D17</f>
        <v>#REF!</v>
      </c>
      <c r="F26" s="106" t="e">
        <f>dscr!E17</f>
        <v>#REF!</v>
      </c>
      <c r="G26" s="106" t="e">
        <f>dscr!F17</f>
        <v>#REF!</v>
      </c>
      <c r="H26" s="106" t="e">
        <f>dscr!G17</f>
        <v>#REF!</v>
      </c>
    </row>
    <row r="27" spans="2:8">
      <c r="D27" s="106"/>
      <c r="E27" s="106"/>
      <c r="F27" s="106"/>
      <c r="G27" s="106"/>
    </row>
    <row r="28" spans="2:8">
      <c r="B28" s="103" t="s">
        <v>268</v>
      </c>
      <c r="D28" s="100" t="e">
        <f t="shared" ref="D28:H28" si="3">D25/D26</f>
        <v>#REF!</v>
      </c>
      <c r="E28" s="100" t="e">
        <f t="shared" si="3"/>
        <v>#REF!</v>
      </c>
      <c r="F28" s="100" t="e">
        <f t="shared" si="3"/>
        <v>#REF!</v>
      </c>
      <c r="G28" s="100" t="e">
        <f>G25/G26</f>
        <v>#REF!</v>
      </c>
      <c r="H28" s="100" t="e">
        <f t="shared" si="3"/>
        <v>#REF!</v>
      </c>
    </row>
    <row r="29" spans="2:8">
      <c r="D29" s="100"/>
      <c r="E29" s="100"/>
      <c r="F29" s="100"/>
      <c r="G29" s="100"/>
    </row>
    <row r="30" spans="2:8">
      <c r="B30" s="109" t="s">
        <v>278</v>
      </c>
    </row>
    <row r="31" spans="2:8">
      <c r="B31" s="101" t="s">
        <v>266</v>
      </c>
      <c r="D31" s="108" t="e">
        <f>D25</f>
        <v>#REF!</v>
      </c>
      <c r="E31" s="108" t="e">
        <f t="shared" ref="E31:H31" si="4">E25</f>
        <v>#REF!</v>
      </c>
      <c r="F31" s="108" t="e">
        <f t="shared" si="4"/>
        <v>#REF!</v>
      </c>
      <c r="G31" s="108" t="e">
        <f>G25</f>
        <v>#REF!</v>
      </c>
      <c r="H31" s="108" t="e">
        <f t="shared" si="4"/>
        <v>#REF!</v>
      </c>
    </row>
    <row r="32" spans="2:8">
      <c r="B32" s="110" t="s">
        <v>279</v>
      </c>
      <c r="D32" s="100" t="e">
        <f>bs!G39</f>
        <v>#REF!</v>
      </c>
      <c r="E32" s="100" t="e">
        <f>bs!H39</f>
        <v>#REF!</v>
      </c>
      <c r="F32" s="100" t="e">
        <f>bs!I39</f>
        <v>#REF!</v>
      </c>
      <c r="G32" s="100" t="e">
        <f>bs!J39</f>
        <v>#REF!</v>
      </c>
      <c r="H32" s="100" t="e">
        <f>bs!K39</f>
        <v>#REF!</v>
      </c>
    </row>
    <row r="34" spans="1:8">
      <c r="B34" s="103" t="s">
        <v>265</v>
      </c>
      <c r="D34" s="100" t="e">
        <f t="shared" ref="D34:H34" si="5">D31/D32%</f>
        <v>#REF!</v>
      </c>
      <c r="E34" s="100" t="e">
        <f t="shared" si="5"/>
        <v>#REF!</v>
      </c>
      <c r="F34" s="100" t="e">
        <f t="shared" si="5"/>
        <v>#REF!</v>
      </c>
      <c r="G34" s="100" t="e">
        <f t="shared" si="5"/>
        <v>#REF!</v>
      </c>
      <c r="H34" s="100" t="e">
        <f t="shared" si="5"/>
        <v>#REF!</v>
      </c>
    </row>
    <row r="36" spans="1:8">
      <c r="E36" s="111"/>
    </row>
    <row r="37" spans="1:8">
      <c r="A37" s="623" t="s">
        <v>269</v>
      </c>
      <c r="B37" s="623"/>
      <c r="C37" s="623"/>
      <c r="D37" s="623"/>
      <c r="E37" s="623"/>
      <c r="F37" s="623"/>
      <c r="G37" s="623"/>
      <c r="H37" s="623"/>
    </row>
    <row r="38" spans="1:8">
      <c r="A38" s="151"/>
      <c r="B38" s="151"/>
      <c r="C38" s="151"/>
      <c r="D38" s="151"/>
      <c r="E38" s="151"/>
      <c r="F38" s="151"/>
      <c r="G38" s="151"/>
      <c r="H38" s="151"/>
    </row>
    <row r="39" spans="1:8">
      <c r="F39" s="111"/>
      <c r="G39" s="111"/>
      <c r="H39" s="111"/>
    </row>
    <row r="40" spans="1:8">
      <c r="H40" s="111"/>
    </row>
  </sheetData>
  <mergeCells count="7">
    <mergeCell ref="A37:H37"/>
    <mergeCell ref="B5:H5"/>
    <mergeCell ref="B1:H1"/>
    <mergeCell ref="B2:H2"/>
    <mergeCell ref="I2:J2"/>
    <mergeCell ref="B3:H3"/>
    <mergeCell ref="I3:J3"/>
  </mergeCells>
  <pageMargins left="0.7" right="0.7" top="0.75" bottom="0.75" header="0.3" footer="0.3"/>
  <pageSetup scale="83" orientation="portrait" horizont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view="pageBreakPreview" topLeftCell="A22" zoomScale="115" zoomScaleSheetLayoutView="115" workbookViewId="0">
      <selection activeCell="A27" sqref="A27:G27"/>
    </sheetView>
  </sheetViews>
  <sheetFormatPr defaultRowHeight="15"/>
  <cols>
    <col min="1" max="1" width="4.5703125" customWidth="1"/>
    <col min="2" max="2" width="29.5703125" customWidth="1"/>
    <col min="3" max="3" width="11.140625" customWidth="1"/>
    <col min="4" max="4" width="11.5703125" customWidth="1"/>
    <col min="5" max="5" width="12.140625" customWidth="1"/>
    <col min="6" max="6" width="12.42578125" customWidth="1"/>
    <col min="7" max="7" width="10.85546875" customWidth="1"/>
  </cols>
  <sheetData>
    <row r="1" spans="1:10">
      <c r="B1" s="541" t="s">
        <v>252</v>
      </c>
      <c r="C1" s="541"/>
      <c r="D1" s="541"/>
      <c r="E1" s="541"/>
      <c r="F1" s="541"/>
      <c r="G1" s="541"/>
      <c r="H1" s="95"/>
      <c r="I1" s="95"/>
      <c r="J1" s="95"/>
    </row>
    <row r="2" spans="1:10">
      <c r="B2" s="541" t="s">
        <v>253</v>
      </c>
      <c r="C2" s="541"/>
      <c r="D2" s="541"/>
      <c r="E2" s="541"/>
      <c r="F2" s="541"/>
      <c r="G2" s="541"/>
      <c r="H2" s="536"/>
      <c r="I2" s="536"/>
      <c r="J2" s="536"/>
    </row>
    <row r="3" spans="1:10">
      <c r="B3" s="541" t="s">
        <v>343</v>
      </c>
      <c r="C3" s="541"/>
      <c r="D3" s="541"/>
      <c r="E3" s="541"/>
      <c r="F3" s="541"/>
      <c r="G3" s="541"/>
      <c r="H3" s="536"/>
      <c r="I3" s="536"/>
      <c r="J3" s="536"/>
    </row>
    <row r="5" spans="1:10">
      <c r="A5" t="s">
        <v>316</v>
      </c>
      <c r="B5" s="17" t="s">
        <v>342</v>
      </c>
    </row>
    <row r="6" spans="1:10">
      <c r="G6" s="114" t="s">
        <v>63</v>
      </c>
    </row>
    <row r="7" spans="1:10">
      <c r="B7" t="s">
        <v>194</v>
      </c>
      <c r="C7" s="39" t="s">
        <v>137</v>
      </c>
      <c r="D7" s="39" t="s">
        <v>74</v>
      </c>
      <c r="E7" s="39" t="s">
        <v>138</v>
      </c>
      <c r="F7" s="39" t="s">
        <v>139</v>
      </c>
      <c r="G7" s="39" t="s">
        <v>140</v>
      </c>
    </row>
    <row r="9" spans="1:10">
      <c r="B9" t="s">
        <v>216</v>
      </c>
      <c r="C9" s="28" t="e">
        <f>Sheet12!C35</f>
        <v>#REF!</v>
      </c>
      <c r="D9" s="28" t="e">
        <f>Sheet12!D35</f>
        <v>#REF!</v>
      </c>
      <c r="E9" s="28" t="e">
        <f>Sheet12!E35</f>
        <v>#REF!</v>
      </c>
      <c r="F9" s="28" t="e">
        <f>Sheet12!F35</f>
        <v>#REF!</v>
      </c>
      <c r="G9" s="28" t="e">
        <f>Sheet12!G35</f>
        <v>#REF!</v>
      </c>
    </row>
    <row r="10" spans="1:10">
      <c r="B10" t="s">
        <v>217</v>
      </c>
      <c r="C10" s="28">
        <f>Sheet12!C37</f>
        <v>29.620514775</v>
      </c>
      <c r="D10" s="28">
        <f>Sheet12!D37</f>
        <v>25.370577828750001</v>
      </c>
      <c r="E10" s="28">
        <f>Sheet12!E37</f>
        <v>21.738817397437501</v>
      </c>
      <c r="F10" s="28">
        <f>Sheet12!F37</f>
        <v>18.634438406521873</v>
      </c>
      <c r="G10" s="28">
        <f>Sheet12!G37</f>
        <v>15.980071902373593</v>
      </c>
    </row>
    <row r="11" spans="1:10">
      <c r="B11" t="s">
        <v>247</v>
      </c>
    </row>
    <row r="12" spans="1:10">
      <c r="B12" t="s">
        <v>248</v>
      </c>
      <c r="C12" s="28" t="e">
        <f>Sheet12!C26</f>
        <v>#REF!</v>
      </c>
      <c r="D12" s="28" t="e">
        <f>Sheet12!C26</f>
        <v>#REF!</v>
      </c>
      <c r="E12" s="28" t="e">
        <f>Sheet12!D26</f>
        <v>#REF!</v>
      </c>
      <c r="F12" s="28" t="e">
        <f>Sheet12!E26</f>
        <v>#REF!</v>
      </c>
      <c r="G12" s="28" t="e">
        <f>Sheet12!F26</f>
        <v>#REF!</v>
      </c>
    </row>
    <row r="13" spans="1:10">
      <c r="B13" t="s">
        <v>249</v>
      </c>
      <c r="C13" s="28" t="e">
        <f>Sheet12!#REF!</f>
        <v>#REF!</v>
      </c>
      <c r="D13" s="28" t="e">
        <f>Sheet12!#REF!</f>
        <v>#REF!</v>
      </c>
      <c r="E13" s="28" t="e">
        <f>Sheet12!#REF!</f>
        <v>#REF!</v>
      </c>
      <c r="F13" s="28" t="e">
        <f>Sheet12!#REF!</f>
        <v>#REF!</v>
      </c>
      <c r="G13" s="28" t="e">
        <f>Sheet12!#REF!</f>
        <v>#REF!</v>
      </c>
    </row>
    <row r="15" spans="1:10">
      <c r="B15" t="s">
        <v>218</v>
      </c>
      <c r="C15" s="32" t="e">
        <f>SUM(C9:C14)</f>
        <v>#REF!</v>
      </c>
      <c r="D15" s="32" t="e">
        <f t="shared" ref="D15:G15" si="0">SUM(D9:D14)</f>
        <v>#REF!</v>
      </c>
      <c r="E15" s="32" t="e">
        <f t="shared" si="0"/>
        <v>#REF!</v>
      </c>
      <c r="F15" s="32" t="e">
        <f t="shared" si="0"/>
        <v>#REF!</v>
      </c>
      <c r="G15" s="32" t="e">
        <f t="shared" si="0"/>
        <v>#REF!</v>
      </c>
    </row>
    <row r="17" spans="1:7">
      <c r="B17" t="s">
        <v>219</v>
      </c>
      <c r="C17" s="28" t="e">
        <f>C12+C13</f>
        <v>#REF!</v>
      </c>
      <c r="D17" s="28" t="e">
        <f t="shared" ref="D17:G17" si="1">D12+D13</f>
        <v>#REF!</v>
      </c>
      <c r="E17" s="28" t="e">
        <f t="shared" si="1"/>
        <v>#REF!</v>
      </c>
      <c r="F17" s="28" t="e">
        <f t="shared" si="1"/>
        <v>#REF!</v>
      </c>
      <c r="G17" s="28" t="e">
        <f t="shared" si="1"/>
        <v>#REF!</v>
      </c>
    </row>
    <row r="18" spans="1:7">
      <c r="C18" s="28"/>
      <c r="D18" s="28"/>
      <c r="E18" s="28"/>
      <c r="F18" s="28"/>
      <c r="G18" s="28"/>
    </row>
    <row r="19" spans="1:7">
      <c r="B19" t="s">
        <v>220</v>
      </c>
      <c r="C19" s="28" t="e">
        <f>(Sheet2!B33+'term loan'!E19)/100000</f>
        <v>#REF!</v>
      </c>
      <c r="D19" s="28" t="e">
        <f>C19</f>
        <v>#REF!</v>
      </c>
      <c r="E19" s="28" t="e">
        <f>D19</f>
        <v>#REF!</v>
      </c>
      <c r="F19" s="28" t="e">
        <f>E19</f>
        <v>#REF!</v>
      </c>
      <c r="G19" s="28" t="e">
        <f>F19</f>
        <v>#REF!</v>
      </c>
    </row>
    <row r="21" spans="1:7">
      <c r="B21" t="s">
        <v>221</v>
      </c>
      <c r="C21" s="32" t="e">
        <f>C17+C19</f>
        <v>#REF!</v>
      </c>
      <c r="D21" s="32" t="e">
        <f t="shared" ref="D21:G21" si="2">D17+D19</f>
        <v>#REF!</v>
      </c>
      <c r="E21" s="32" t="e">
        <f t="shared" si="2"/>
        <v>#REF!</v>
      </c>
      <c r="F21" s="32" t="e">
        <f t="shared" si="2"/>
        <v>#REF!</v>
      </c>
      <c r="G21" s="32" t="e">
        <f t="shared" si="2"/>
        <v>#REF!</v>
      </c>
    </row>
    <row r="23" spans="1:7">
      <c r="B23" s="37" t="s">
        <v>222</v>
      </c>
      <c r="C23" s="65" t="e">
        <f>C15/C21</f>
        <v>#REF!</v>
      </c>
      <c r="D23" s="65" t="e">
        <f t="shared" ref="D23:G23" si="3">D15/D21</f>
        <v>#REF!</v>
      </c>
      <c r="E23" s="65" t="e">
        <f t="shared" si="3"/>
        <v>#REF!</v>
      </c>
      <c r="F23" s="65" t="e">
        <f t="shared" si="3"/>
        <v>#REF!</v>
      </c>
      <c r="G23" s="65" t="e">
        <f t="shared" si="3"/>
        <v>#REF!</v>
      </c>
    </row>
    <row r="25" spans="1:7">
      <c r="B25" t="s">
        <v>223</v>
      </c>
      <c r="C25" s="65" t="e">
        <f>(C23+D23+E23+F23+G23)/5</f>
        <v>#REF!</v>
      </c>
    </row>
    <row r="27" spans="1:7" ht="33.75" customHeight="1">
      <c r="A27" s="539" t="s">
        <v>269</v>
      </c>
      <c r="B27" s="539"/>
      <c r="C27" s="539"/>
      <c r="D27" s="539"/>
      <c r="E27" s="539"/>
      <c r="F27" s="539"/>
      <c r="G27" s="539"/>
    </row>
  </sheetData>
  <mergeCells count="6">
    <mergeCell ref="A27:G27"/>
    <mergeCell ref="B1:G1"/>
    <mergeCell ref="B2:G2"/>
    <mergeCell ref="H2:J2"/>
    <mergeCell ref="B3:G3"/>
    <mergeCell ref="H3:J3"/>
  </mergeCells>
  <pageMargins left="0.7" right="0.7" top="0.75" bottom="0.75" header="0.3" footer="0.3"/>
  <pageSetup scale="97" orientation="portrait" horizontalDpi="4294967293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view="pageBreakPreview" zoomScale="115" zoomScaleSheetLayoutView="115" workbookViewId="0">
      <selection activeCell="D9" sqref="D9"/>
    </sheetView>
  </sheetViews>
  <sheetFormatPr defaultColWidth="9.140625" defaultRowHeight="14.25"/>
  <cols>
    <col min="1" max="1" width="13" style="66" customWidth="1"/>
    <col min="2" max="2" width="23.28515625" style="66" customWidth="1"/>
    <col min="3" max="3" width="24.5703125" style="66" customWidth="1"/>
    <col min="4" max="4" width="24.7109375" style="66" customWidth="1"/>
    <col min="5" max="5" width="25" style="66" customWidth="1"/>
    <col min="6" max="6" width="19.140625" style="66" customWidth="1"/>
    <col min="7" max="7" width="14.7109375" style="66" bestFit="1" customWidth="1"/>
    <col min="8" max="8" width="16" style="66" bestFit="1" customWidth="1"/>
    <col min="9" max="9" width="12.85546875" style="66" bestFit="1" customWidth="1"/>
    <col min="10" max="10" width="14.7109375" style="66" bestFit="1" customWidth="1"/>
    <col min="11" max="11" width="15.5703125" style="66" bestFit="1" customWidth="1"/>
    <col min="12" max="12" width="9.140625" style="66"/>
    <col min="13" max="13" width="12.85546875" style="66" bestFit="1" customWidth="1"/>
    <col min="14" max="16384" width="9.140625" style="66"/>
  </cols>
  <sheetData>
    <row r="1" spans="1:9" customFormat="1" ht="15">
      <c r="A1" s="541" t="s">
        <v>252</v>
      </c>
      <c r="B1" s="541"/>
      <c r="C1" s="541"/>
      <c r="D1" s="541"/>
      <c r="E1" s="541"/>
      <c r="F1" s="95"/>
      <c r="G1" s="95"/>
      <c r="H1" s="95"/>
      <c r="I1" s="95"/>
    </row>
    <row r="2" spans="1:9" customFormat="1" ht="15">
      <c r="A2" s="541" t="s">
        <v>253</v>
      </c>
      <c r="B2" s="541"/>
      <c r="C2" s="541"/>
      <c r="D2" s="541"/>
      <c r="E2" s="541"/>
      <c r="F2" s="536"/>
      <c r="G2" s="536"/>
      <c r="H2" s="536"/>
      <c r="I2" s="536"/>
    </row>
    <row r="3" spans="1:9" customFormat="1" ht="15">
      <c r="A3" s="541" t="s">
        <v>343</v>
      </c>
      <c r="B3" s="541"/>
      <c r="C3" s="541"/>
      <c r="D3" s="541"/>
      <c r="E3" s="541"/>
      <c r="F3" s="536"/>
      <c r="G3" s="536"/>
      <c r="H3" s="536"/>
      <c r="I3" s="536"/>
    </row>
    <row r="4" spans="1:9" s="93" customFormat="1"/>
    <row r="6" spans="1:9">
      <c r="A6" s="67" t="s">
        <v>224</v>
      </c>
      <c r="B6" s="67"/>
      <c r="C6" s="67"/>
      <c r="D6" s="67"/>
      <c r="E6" s="67"/>
      <c r="F6" s="68"/>
    </row>
    <row r="8" spans="1:9">
      <c r="A8" s="629" t="s">
        <v>225</v>
      </c>
      <c r="B8" s="629"/>
      <c r="C8" s="629"/>
      <c r="D8" s="629"/>
      <c r="E8" s="629"/>
    </row>
    <row r="11" spans="1:9">
      <c r="A11" s="630" t="s">
        <v>239</v>
      </c>
      <c r="B11" s="630"/>
      <c r="C11" s="630"/>
      <c r="D11" s="630"/>
    </row>
    <row r="12" spans="1:9">
      <c r="A12" s="630" t="s">
        <v>243</v>
      </c>
      <c r="B12" s="630"/>
      <c r="C12" s="630"/>
      <c r="D12" s="630"/>
      <c r="E12" s="630"/>
    </row>
    <row r="13" spans="1:9">
      <c r="A13" s="630" t="s">
        <v>226</v>
      </c>
      <c r="B13" s="630"/>
      <c r="C13" s="630"/>
      <c r="D13" s="630"/>
      <c r="E13" s="69">
        <v>0.11</v>
      </c>
    </row>
    <row r="14" spans="1:9">
      <c r="A14" s="630" t="s">
        <v>227</v>
      </c>
      <c r="B14" s="630"/>
      <c r="C14" s="630"/>
      <c r="D14" s="630"/>
      <c r="E14" s="69">
        <v>0.14000000000000001</v>
      </c>
    </row>
    <row r="15" spans="1:9">
      <c r="A15" s="625" t="s">
        <v>244</v>
      </c>
      <c r="B15" s="625"/>
      <c r="C15" s="625"/>
      <c r="D15" s="625"/>
      <c r="E15" s="625"/>
    </row>
    <row r="16" spans="1:9">
      <c r="A16" s="625"/>
      <c r="B16" s="625"/>
      <c r="C16" s="625"/>
      <c r="D16" s="625"/>
      <c r="E16" s="625"/>
    </row>
    <row r="18" spans="1:15" ht="15">
      <c r="A18" s="70" t="s">
        <v>228</v>
      </c>
      <c r="B18" s="626" t="s">
        <v>142</v>
      </c>
      <c r="C18" s="627"/>
      <c r="D18" s="628"/>
      <c r="E18" s="71" t="s">
        <v>229</v>
      </c>
    </row>
    <row r="19" spans="1:15">
      <c r="A19" s="72"/>
      <c r="B19" s="73" t="s">
        <v>230</v>
      </c>
      <c r="C19" s="74"/>
      <c r="D19" s="74"/>
      <c r="E19" s="75" t="e">
        <f>'mean of finance'!#REF!*100000</f>
        <v>#REF!</v>
      </c>
    </row>
    <row r="20" spans="1:15">
      <c r="A20" s="77" t="s">
        <v>231</v>
      </c>
      <c r="B20" s="78" t="s">
        <v>240</v>
      </c>
      <c r="C20" s="78"/>
      <c r="D20" s="78"/>
      <c r="E20" s="79" t="e">
        <f>E19*30%</f>
        <v>#REF!</v>
      </c>
    </row>
    <row r="21" spans="1:15">
      <c r="A21" s="78"/>
      <c r="B21" s="633" t="s">
        <v>232</v>
      </c>
      <c r="C21" s="634"/>
      <c r="D21" s="635"/>
      <c r="E21" s="79">
        <v>0</v>
      </c>
    </row>
    <row r="22" spans="1:15">
      <c r="A22" s="78"/>
      <c r="B22" s="633" t="s">
        <v>241</v>
      </c>
      <c r="C22" s="634"/>
      <c r="D22" s="635"/>
      <c r="E22" s="79">
        <v>0</v>
      </c>
    </row>
    <row r="23" spans="1:15">
      <c r="A23" s="78"/>
      <c r="B23" s="633" t="s">
        <v>233</v>
      </c>
      <c r="C23" s="634"/>
      <c r="D23" s="635"/>
      <c r="E23" s="75" t="e">
        <f>E20+E21+E22</f>
        <v>#REF!</v>
      </c>
      <c r="F23" s="80"/>
    </row>
    <row r="24" spans="1:15">
      <c r="A24" s="78"/>
      <c r="B24" s="633"/>
      <c r="C24" s="634"/>
      <c r="D24" s="635"/>
      <c r="E24" s="75"/>
    </row>
    <row r="25" spans="1:15" ht="16.5" customHeight="1">
      <c r="A25" s="78"/>
      <c r="B25" s="636" t="s">
        <v>242</v>
      </c>
      <c r="C25" s="637"/>
      <c r="D25" s="638"/>
      <c r="E25" s="75" t="e">
        <f>E19-E23</f>
        <v>#REF!</v>
      </c>
    </row>
    <row r="26" spans="1:15">
      <c r="A26" s="78"/>
      <c r="B26" s="633"/>
      <c r="C26" s="634"/>
      <c r="D26" s="635"/>
      <c r="E26" s="78"/>
      <c r="G26" s="80"/>
    </row>
    <row r="27" spans="1:15">
      <c r="A27" s="81"/>
      <c r="B27" s="81"/>
      <c r="C27" s="81"/>
      <c r="D27" s="81"/>
      <c r="E27" s="81"/>
      <c r="F27" s="81"/>
      <c r="G27" s="80"/>
    </row>
    <row r="28" spans="1:15" ht="15" customHeight="1">
      <c r="A28" s="82" t="s">
        <v>234</v>
      </c>
      <c r="B28" s="82"/>
      <c r="C28" s="82"/>
      <c r="D28" s="82"/>
      <c r="E28" s="82"/>
      <c r="F28" s="82"/>
      <c r="G28" s="80"/>
    </row>
    <row r="29" spans="1:15">
      <c r="A29" s="631"/>
      <c r="B29" s="630"/>
      <c r="C29" s="630"/>
      <c r="D29" s="630"/>
      <c r="E29" s="630"/>
      <c r="F29" s="630"/>
      <c r="J29" s="83"/>
    </row>
    <row r="30" spans="1:15" ht="30" customHeight="1">
      <c r="A30" s="84" t="s">
        <v>235</v>
      </c>
      <c r="B30" s="84" t="s">
        <v>236</v>
      </c>
      <c r="C30" s="84" t="s">
        <v>237</v>
      </c>
      <c r="D30" s="85" t="s">
        <v>238</v>
      </c>
      <c r="E30" s="85" t="s">
        <v>250</v>
      </c>
      <c r="G30" s="89"/>
      <c r="H30" s="76"/>
      <c r="I30" s="76"/>
      <c r="J30" s="632"/>
      <c r="K30" s="632"/>
      <c r="L30" s="76"/>
      <c r="M30" s="76"/>
      <c r="N30" s="76"/>
      <c r="O30" s="76"/>
    </row>
    <row r="31" spans="1:15">
      <c r="A31" s="86">
        <v>1</v>
      </c>
      <c r="B31" s="79">
        <v>0</v>
      </c>
      <c r="C31" s="87" t="e">
        <f>ROUNDUP(($B$47*11%)*183/366,0)</f>
        <v>#REF!</v>
      </c>
      <c r="D31" s="87" t="e">
        <f>SUM(B31:C31)</f>
        <v>#REF!</v>
      </c>
      <c r="E31" s="87" t="e">
        <f>$B$47+C31-D31</f>
        <v>#REF!</v>
      </c>
      <c r="G31" s="89"/>
      <c r="H31" s="76"/>
      <c r="I31" s="76"/>
      <c r="J31" s="90"/>
      <c r="K31" s="91"/>
      <c r="L31" s="76"/>
      <c r="M31" s="89"/>
      <c r="N31" s="76"/>
      <c r="O31" s="76"/>
    </row>
    <row r="32" spans="1:15">
      <c r="A32" s="86">
        <v>2</v>
      </c>
      <c r="B32" s="79">
        <v>0</v>
      </c>
      <c r="C32" s="87" t="e">
        <f>ROUNDUP(($B$47*11%)*183/366,0)</f>
        <v>#REF!</v>
      </c>
      <c r="D32" s="87" t="e">
        <f>SUM(B32:C32)</f>
        <v>#REF!</v>
      </c>
      <c r="E32" s="87" t="e">
        <f t="shared" ref="E32" si="0">$B$47+C32-D32</f>
        <v>#REF!</v>
      </c>
      <c r="F32" s="66" t="e">
        <f>(C31+C32)/100000</f>
        <v>#REF!</v>
      </c>
      <c r="G32" s="89"/>
      <c r="H32" s="89"/>
      <c r="I32" s="89"/>
      <c r="J32" s="92"/>
      <c r="K32" s="91"/>
      <c r="L32" s="76"/>
      <c r="M32" s="89"/>
      <c r="N32" s="76"/>
      <c r="O32" s="76"/>
    </row>
    <row r="33" spans="1:15">
      <c r="A33" s="86">
        <v>3</v>
      </c>
      <c r="B33" s="79" t="e">
        <f>ROUND($E$25/14,0)</f>
        <v>#REF!</v>
      </c>
      <c r="C33" s="87" t="e">
        <f>ROUNDUP(($B$47*11%)*183/366,0)</f>
        <v>#REF!</v>
      </c>
      <c r="D33" s="87" t="e">
        <f>SUM(B33:C33)</f>
        <v>#REF!</v>
      </c>
      <c r="E33" s="87" t="e">
        <f>$B$47+C33-D33</f>
        <v>#REF!</v>
      </c>
      <c r="G33" s="89"/>
      <c r="H33" s="89"/>
      <c r="I33" s="89"/>
      <c r="J33" s="76"/>
      <c r="K33" s="76"/>
      <c r="L33" s="76"/>
      <c r="M33" s="89"/>
      <c r="N33" s="76"/>
      <c r="O33" s="76"/>
    </row>
    <row r="34" spans="1:15">
      <c r="A34" s="86">
        <v>4</v>
      </c>
      <c r="B34" s="79" t="e">
        <f t="shared" ref="B34:B46" si="1">ROUND($E$25/14,0)</f>
        <v>#REF!</v>
      </c>
      <c r="C34" s="87" t="e">
        <f>ROUNDUP(($B$47-SUM($B$31:B33))*11%*(182.5/365),0)</f>
        <v>#REF!</v>
      </c>
      <c r="D34" s="87" t="e">
        <f t="shared" ref="D34:D46" si="2">SUM(B34:C34)</f>
        <v>#REF!</v>
      </c>
      <c r="E34" s="87" t="e">
        <f>E33-D34+C34</f>
        <v>#REF!</v>
      </c>
      <c r="G34" s="76"/>
      <c r="H34" s="89"/>
      <c r="I34" s="89"/>
      <c r="J34" s="76"/>
      <c r="K34" s="76"/>
      <c r="L34" s="76"/>
      <c r="M34" s="76"/>
      <c r="N34" s="76"/>
      <c r="O34" s="76"/>
    </row>
    <row r="35" spans="1:15">
      <c r="A35" s="86">
        <v>5</v>
      </c>
      <c r="B35" s="79" t="e">
        <f t="shared" si="1"/>
        <v>#REF!</v>
      </c>
      <c r="C35" s="87" t="e">
        <f>ROUNDUP(($B$47-SUM($B$31:B34))*11%*(182.5/365),0)</f>
        <v>#REF!</v>
      </c>
      <c r="D35" s="87" t="e">
        <f t="shared" si="2"/>
        <v>#REF!</v>
      </c>
      <c r="E35" s="87" t="e">
        <f t="shared" ref="E35:E46" si="3">E34-D35+C35</f>
        <v>#REF!</v>
      </c>
      <c r="G35" s="89"/>
      <c r="H35" s="76"/>
      <c r="I35" s="76"/>
      <c r="J35" s="76"/>
      <c r="K35" s="76"/>
      <c r="L35" s="76"/>
      <c r="M35" s="76"/>
      <c r="N35" s="76"/>
      <c r="O35" s="76"/>
    </row>
    <row r="36" spans="1:15">
      <c r="A36" s="86">
        <v>6</v>
      </c>
      <c r="B36" s="79" t="e">
        <f t="shared" si="1"/>
        <v>#REF!</v>
      </c>
      <c r="C36" s="87" t="e">
        <f>ROUNDUP(($B$47-SUM($B$31:B35))*11%*(182.5/365),0)</f>
        <v>#REF!</v>
      </c>
      <c r="D36" s="87" t="e">
        <f t="shared" si="2"/>
        <v>#REF!</v>
      </c>
      <c r="E36" s="87" t="e">
        <f t="shared" si="3"/>
        <v>#REF!</v>
      </c>
      <c r="G36" s="89"/>
      <c r="H36" s="76"/>
      <c r="I36" s="89"/>
      <c r="J36" s="76"/>
      <c r="K36" s="76"/>
      <c r="L36" s="76"/>
      <c r="M36" s="76"/>
      <c r="N36" s="76"/>
      <c r="O36" s="76"/>
    </row>
    <row r="37" spans="1:15">
      <c r="A37" s="86">
        <v>7</v>
      </c>
      <c r="B37" s="79" t="e">
        <f t="shared" si="1"/>
        <v>#REF!</v>
      </c>
      <c r="C37" s="87" t="e">
        <f>ROUNDUP(($B$47-SUM($B$31:B36))*11%*(182.5/365),0)</f>
        <v>#REF!</v>
      </c>
      <c r="D37" s="87" t="e">
        <f t="shared" si="2"/>
        <v>#REF!</v>
      </c>
      <c r="E37" s="87" t="e">
        <f t="shared" si="3"/>
        <v>#REF!</v>
      </c>
      <c r="G37" s="89"/>
      <c r="H37" s="76"/>
      <c r="I37" s="89"/>
      <c r="J37" s="76"/>
      <c r="K37" s="76"/>
      <c r="L37" s="76"/>
      <c r="M37" s="76"/>
      <c r="N37" s="76"/>
      <c r="O37" s="76"/>
    </row>
    <row r="38" spans="1:15">
      <c r="A38" s="86">
        <v>8</v>
      </c>
      <c r="B38" s="79" t="e">
        <f t="shared" si="1"/>
        <v>#REF!</v>
      </c>
      <c r="C38" s="87" t="e">
        <f>ROUNDUP(($B$47-SUM($B$31:B37))*11%*(182.5/365),0)</f>
        <v>#REF!</v>
      </c>
      <c r="D38" s="87" t="e">
        <f t="shared" si="2"/>
        <v>#REF!</v>
      </c>
      <c r="E38" s="87" t="e">
        <f t="shared" si="3"/>
        <v>#REF!</v>
      </c>
      <c r="G38" s="90"/>
      <c r="H38" s="76"/>
      <c r="I38" s="89"/>
      <c r="J38" s="76"/>
      <c r="K38" s="76"/>
      <c r="L38" s="76"/>
      <c r="M38" s="76"/>
      <c r="N38" s="76"/>
      <c r="O38" s="76"/>
    </row>
    <row r="39" spans="1:15">
      <c r="A39" s="86">
        <v>9</v>
      </c>
      <c r="B39" s="79" t="e">
        <f t="shared" si="1"/>
        <v>#REF!</v>
      </c>
      <c r="C39" s="87" t="e">
        <f>ROUNDUP(($B$47-SUM($B$31:B38))*11%*(182.5/365),0)</f>
        <v>#REF!</v>
      </c>
      <c r="D39" s="87" t="e">
        <f t="shared" si="2"/>
        <v>#REF!</v>
      </c>
      <c r="E39" s="87" t="e">
        <f>E38-D39+C39</f>
        <v>#REF!</v>
      </c>
      <c r="G39" s="89"/>
      <c r="H39" s="76"/>
      <c r="I39" s="76"/>
      <c r="J39" s="76"/>
      <c r="K39" s="76"/>
      <c r="L39" s="76"/>
      <c r="M39" s="76"/>
      <c r="N39" s="76"/>
      <c r="O39" s="76"/>
    </row>
    <row r="40" spans="1:15">
      <c r="A40" s="86">
        <v>10</v>
      </c>
      <c r="B40" s="79" t="e">
        <f t="shared" si="1"/>
        <v>#REF!</v>
      </c>
      <c r="C40" s="87" t="e">
        <f>ROUNDUP(($B$47-SUM($B$31:B39))*11%*(182.5/365),0)</f>
        <v>#REF!</v>
      </c>
      <c r="D40" s="87" t="e">
        <f t="shared" si="2"/>
        <v>#REF!</v>
      </c>
      <c r="E40" s="87" t="e">
        <f>E39-D40+C40</f>
        <v>#REF!</v>
      </c>
      <c r="G40" s="76"/>
      <c r="H40" s="76"/>
      <c r="I40" s="76"/>
      <c r="J40" s="76"/>
      <c r="K40" s="76"/>
      <c r="L40" s="76"/>
      <c r="M40" s="76"/>
      <c r="N40" s="76"/>
      <c r="O40" s="76"/>
    </row>
    <row r="41" spans="1:15">
      <c r="A41" s="86">
        <v>11</v>
      </c>
      <c r="B41" s="79" t="e">
        <f t="shared" si="1"/>
        <v>#REF!</v>
      </c>
      <c r="C41" s="87" t="e">
        <f>ROUNDUP(($B$47-SUM($B$31:B40))*11%*(182.5/365),0)</f>
        <v>#REF!</v>
      </c>
      <c r="D41" s="87" t="e">
        <f t="shared" si="2"/>
        <v>#REF!</v>
      </c>
      <c r="E41" s="87" t="e">
        <f t="shared" si="3"/>
        <v>#REF!</v>
      </c>
      <c r="G41" s="76"/>
      <c r="H41" s="89"/>
      <c r="I41" s="76"/>
      <c r="J41" s="76"/>
      <c r="K41" s="76"/>
      <c r="L41" s="76"/>
      <c r="M41" s="76"/>
      <c r="N41" s="76"/>
      <c r="O41" s="76"/>
    </row>
    <row r="42" spans="1:15">
      <c r="A42" s="86">
        <v>12</v>
      </c>
      <c r="B42" s="79" t="e">
        <f t="shared" si="1"/>
        <v>#REF!</v>
      </c>
      <c r="C42" s="87" t="e">
        <f>ROUNDUP(($B$47-SUM($B$31:B41))*11%*(182.5/365),0)</f>
        <v>#REF!</v>
      </c>
      <c r="D42" s="87" t="e">
        <f t="shared" si="2"/>
        <v>#REF!</v>
      </c>
      <c r="E42" s="87" t="e">
        <f t="shared" si="3"/>
        <v>#REF!</v>
      </c>
      <c r="G42" s="76"/>
      <c r="H42" s="89"/>
      <c r="I42" s="76"/>
      <c r="J42" s="76"/>
      <c r="K42" s="76"/>
      <c r="L42" s="76"/>
      <c r="M42" s="76"/>
      <c r="N42" s="76"/>
      <c r="O42" s="76"/>
    </row>
    <row r="43" spans="1:15">
      <c r="A43" s="86">
        <v>13</v>
      </c>
      <c r="B43" s="79" t="e">
        <f t="shared" si="1"/>
        <v>#REF!</v>
      </c>
      <c r="C43" s="87" t="e">
        <f>ROUNDUP(($B$47-SUM($B$31:B42))*11%*(182.5/365),0)</f>
        <v>#REF!</v>
      </c>
      <c r="D43" s="87" t="e">
        <f t="shared" si="2"/>
        <v>#REF!</v>
      </c>
      <c r="E43" s="87" t="e">
        <f t="shared" si="3"/>
        <v>#REF!</v>
      </c>
      <c r="G43" s="76"/>
      <c r="H43" s="89"/>
      <c r="I43" s="76"/>
      <c r="J43" s="76"/>
      <c r="K43" s="76"/>
      <c r="L43" s="76"/>
      <c r="M43" s="76"/>
      <c r="N43" s="76"/>
      <c r="O43" s="76"/>
    </row>
    <row r="44" spans="1:15">
      <c r="A44" s="86">
        <v>14</v>
      </c>
      <c r="B44" s="79" t="e">
        <f t="shared" si="1"/>
        <v>#REF!</v>
      </c>
      <c r="C44" s="87" t="e">
        <f>ROUNDUP(($B$47-SUM($B$31:B43))*11%*(182.5/365),0)</f>
        <v>#REF!</v>
      </c>
      <c r="D44" s="87" t="e">
        <f t="shared" si="2"/>
        <v>#REF!</v>
      </c>
      <c r="E44" s="87" t="e">
        <f t="shared" si="3"/>
        <v>#REF!</v>
      </c>
      <c r="G44" s="76"/>
      <c r="H44" s="89"/>
      <c r="I44" s="76"/>
      <c r="J44" s="76"/>
      <c r="K44" s="76"/>
      <c r="L44" s="76"/>
      <c r="M44" s="76"/>
      <c r="N44" s="76"/>
      <c r="O44" s="76"/>
    </row>
    <row r="45" spans="1:15">
      <c r="A45" s="86">
        <v>15</v>
      </c>
      <c r="B45" s="79" t="e">
        <f t="shared" si="1"/>
        <v>#REF!</v>
      </c>
      <c r="C45" s="87" t="e">
        <f>ROUNDUP(($B$47-SUM($B$31:B44))*11%*(182.5/365),0)</f>
        <v>#REF!</v>
      </c>
      <c r="D45" s="87" t="e">
        <f t="shared" si="2"/>
        <v>#REF!</v>
      </c>
      <c r="E45" s="87" t="e">
        <f t="shared" si="3"/>
        <v>#REF!</v>
      </c>
      <c r="G45" s="76"/>
      <c r="H45" s="89"/>
      <c r="I45" s="76"/>
      <c r="J45" s="76"/>
      <c r="K45" s="76"/>
      <c r="L45" s="76"/>
      <c r="M45" s="76"/>
      <c r="N45" s="76"/>
      <c r="O45" s="76"/>
    </row>
    <row r="46" spans="1:15">
      <c r="A46" s="86">
        <v>16</v>
      </c>
      <c r="B46" s="79" t="e">
        <f t="shared" si="1"/>
        <v>#REF!</v>
      </c>
      <c r="C46" s="87" t="e">
        <f>ROUNDUP(($B$47-SUM($B$31:B45))*11%*(182.5/365),0)</f>
        <v>#REF!</v>
      </c>
      <c r="D46" s="87" t="e">
        <f t="shared" si="2"/>
        <v>#REF!</v>
      </c>
      <c r="E46" s="87" t="e">
        <f t="shared" si="3"/>
        <v>#REF!</v>
      </c>
      <c r="G46" s="76"/>
      <c r="H46" s="76"/>
      <c r="I46" s="76"/>
      <c r="J46" s="76"/>
      <c r="K46" s="76"/>
      <c r="L46" s="76"/>
      <c r="M46" s="76"/>
      <c r="N46" s="76"/>
      <c r="O46" s="76"/>
    </row>
    <row r="47" spans="1:15">
      <c r="A47" s="77"/>
      <c r="B47" s="88" t="e">
        <f>SUM(B31:B46)</f>
        <v>#REF!</v>
      </c>
      <c r="C47" s="88" t="e">
        <f>SUM(C31:C46)</f>
        <v>#REF!</v>
      </c>
      <c r="D47" s="88" t="e">
        <f>SUM(D31:D46)</f>
        <v>#REF!</v>
      </c>
      <c r="E47" s="88"/>
      <c r="G47" s="76"/>
      <c r="H47" s="76"/>
      <c r="I47" s="76"/>
      <c r="J47" s="76"/>
      <c r="K47" s="76"/>
      <c r="L47" s="76"/>
      <c r="M47" s="76"/>
      <c r="N47" s="76"/>
      <c r="O47" s="76"/>
    </row>
    <row r="48" spans="1:15">
      <c r="F48" s="80"/>
      <c r="G48" s="76"/>
      <c r="H48" s="76"/>
      <c r="I48" s="76"/>
      <c r="J48" s="76"/>
      <c r="K48" s="76"/>
      <c r="L48" s="76"/>
      <c r="M48" s="76"/>
      <c r="N48" s="76"/>
      <c r="O48" s="76"/>
    </row>
    <row r="49" spans="1:15" ht="32.25" customHeight="1">
      <c r="A49" s="625" t="s">
        <v>269</v>
      </c>
      <c r="B49" s="625"/>
      <c r="C49" s="625"/>
      <c r="D49" s="625"/>
      <c r="E49" s="625"/>
      <c r="F49" s="80"/>
      <c r="G49" s="76"/>
      <c r="H49" s="76"/>
      <c r="I49" s="76"/>
      <c r="J49" s="76"/>
      <c r="K49" s="76"/>
      <c r="L49" s="76"/>
      <c r="M49" s="76"/>
      <c r="N49" s="76"/>
      <c r="O49" s="76"/>
    </row>
    <row r="50" spans="1:15">
      <c r="F50" s="80"/>
      <c r="G50" s="76"/>
      <c r="H50" s="76"/>
      <c r="I50" s="76"/>
      <c r="J50" s="76"/>
      <c r="K50" s="76"/>
      <c r="L50" s="76"/>
      <c r="M50" s="76"/>
      <c r="N50" s="76"/>
      <c r="O50" s="76"/>
    </row>
    <row r="51" spans="1:15">
      <c r="F51" s="80"/>
      <c r="G51" s="76"/>
      <c r="H51" s="76"/>
      <c r="I51" s="76"/>
      <c r="J51" s="76"/>
      <c r="K51" s="76"/>
      <c r="L51" s="76"/>
      <c r="M51" s="76"/>
      <c r="N51" s="76"/>
      <c r="O51" s="76"/>
    </row>
    <row r="52" spans="1:15">
      <c r="G52" s="76"/>
      <c r="H52" s="76"/>
      <c r="I52" s="76"/>
      <c r="J52" s="76"/>
      <c r="K52" s="76"/>
      <c r="L52" s="76"/>
      <c r="M52" s="76"/>
      <c r="N52" s="76"/>
      <c r="O52" s="76"/>
    </row>
    <row r="53" spans="1:15">
      <c r="G53" s="76"/>
      <c r="H53" s="76"/>
      <c r="I53" s="76"/>
      <c r="J53" s="76"/>
      <c r="K53" s="76"/>
      <c r="L53" s="76"/>
      <c r="M53" s="76"/>
      <c r="N53" s="76"/>
      <c r="O53" s="76"/>
    </row>
    <row r="54" spans="1:15">
      <c r="G54" s="76"/>
      <c r="H54" s="76"/>
      <c r="I54" s="76"/>
      <c r="J54" s="76"/>
      <c r="K54" s="76"/>
      <c r="L54" s="76"/>
      <c r="M54" s="76"/>
      <c r="N54" s="76"/>
      <c r="O54" s="76"/>
    </row>
    <row r="55" spans="1:15">
      <c r="G55" s="76"/>
      <c r="H55" s="76"/>
      <c r="I55" s="76"/>
      <c r="J55" s="76"/>
      <c r="K55" s="76"/>
      <c r="L55" s="76"/>
      <c r="M55" s="76"/>
      <c r="N55" s="76"/>
      <c r="O55" s="76"/>
    </row>
    <row r="56" spans="1:15">
      <c r="G56" s="76"/>
      <c r="H56" s="76"/>
      <c r="I56" s="76"/>
      <c r="J56" s="76"/>
      <c r="K56" s="76"/>
      <c r="L56" s="76"/>
      <c r="M56" s="76"/>
      <c r="N56" s="76"/>
      <c r="O56" s="76"/>
    </row>
    <row r="57" spans="1:15">
      <c r="G57" s="76"/>
      <c r="H57" s="76"/>
      <c r="I57" s="76"/>
      <c r="J57" s="76"/>
      <c r="K57" s="76"/>
      <c r="L57" s="76"/>
      <c r="M57" s="76"/>
      <c r="N57" s="76"/>
      <c r="O57" s="76"/>
    </row>
    <row r="58" spans="1:15">
      <c r="G58" s="76"/>
      <c r="H58" s="76"/>
      <c r="I58" s="76"/>
      <c r="J58" s="76"/>
      <c r="K58" s="76"/>
      <c r="L58" s="76"/>
      <c r="M58" s="76"/>
      <c r="N58" s="76"/>
      <c r="O58" s="76"/>
    </row>
    <row r="59" spans="1:15">
      <c r="G59" s="76"/>
      <c r="H59" s="76"/>
      <c r="I59" s="76"/>
      <c r="J59" s="76"/>
      <c r="K59" s="76"/>
      <c r="L59" s="76"/>
      <c r="M59" s="76"/>
      <c r="N59" s="76"/>
      <c r="O59" s="76"/>
    </row>
    <row r="60" spans="1:15">
      <c r="G60" s="76"/>
      <c r="H60" s="76"/>
      <c r="I60" s="76"/>
      <c r="J60" s="76"/>
      <c r="K60" s="76"/>
      <c r="L60" s="76"/>
      <c r="M60" s="76"/>
      <c r="N60" s="76"/>
      <c r="O60" s="76"/>
    </row>
    <row r="61" spans="1:15">
      <c r="G61" s="76"/>
      <c r="H61" s="76"/>
      <c r="I61" s="76"/>
      <c r="J61" s="76"/>
      <c r="K61" s="76"/>
      <c r="L61" s="76"/>
      <c r="M61" s="76"/>
      <c r="N61" s="76"/>
      <c r="O61" s="76"/>
    </row>
    <row r="62" spans="1:15">
      <c r="G62" s="76"/>
      <c r="H62" s="76"/>
      <c r="I62" s="76"/>
      <c r="J62" s="76"/>
      <c r="K62" s="76"/>
      <c r="L62" s="76"/>
      <c r="M62" s="76"/>
      <c r="N62" s="76"/>
      <c r="O62" s="76"/>
    </row>
    <row r="63" spans="1:15">
      <c r="G63" s="76"/>
      <c r="H63" s="76"/>
      <c r="I63" s="76"/>
      <c r="J63" s="76"/>
      <c r="K63" s="76"/>
      <c r="L63" s="76"/>
      <c r="M63" s="76"/>
      <c r="N63" s="76"/>
      <c r="O63" s="76"/>
    </row>
    <row r="64" spans="1:15">
      <c r="G64" s="76"/>
      <c r="H64" s="76"/>
      <c r="I64" s="76"/>
      <c r="J64" s="76"/>
      <c r="K64" s="76"/>
      <c r="L64" s="76"/>
      <c r="M64" s="76"/>
      <c r="N64" s="76"/>
      <c r="O64" s="76"/>
    </row>
    <row r="65" spans="7:15">
      <c r="G65" s="76"/>
      <c r="H65" s="76"/>
      <c r="I65" s="76"/>
      <c r="J65" s="76"/>
      <c r="K65" s="76"/>
      <c r="L65" s="76"/>
      <c r="M65" s="76"/>
      <c r="N65" s="76"/>
      <c r="O65" s="76"/>
    </row>
  </sheetData>
  <mergeCells count="21">
    <mergeCell ref="A1:E1"/>
    <mergeCell ref="A2:E2"/>
    <mergeCell ref="F2:I2"/>
    <mergeCell ref="A3:E3"/>
    <mergeCell ref="F3:I3"/>
    <mergeCell ref="J30:K30"/>
    <mergeCell ref="B21:D21"/>
    <mergeCell ref="B22:D22"/>
    <mergeCell ref="B23:D23"/>
    <mergeCell ref="B24:D24"/>
    <mergeCell ref="B25:D25"/>
    <mergeCell ref="B26:D26"/>
    <mergeCell ref="A49:E49"/>
    <mergeCell ref="B18:D18"/>
    <mergeCell ref="A8:E8"/>
    <mergeCell ref="A11:D11"/>
    <mergeCell ref="A12:E12"/>
    <mergeCell ref="A13:D13"/>
    <mergeCell ref="A14:D14"/>
    <mergeCell ref="A15:E16"/>
    <mergeCell ref="A29:F29"/>
  </mergeCells>
  <pageMargins left="0.7" right="0.7" top="0.75" bottom="0.75" header="0.3" footer="0.3"/>
  <pageSetup scale="81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view="pageBreakPreview" topLeftCell="A51" zoomScaleSheetLayoutView="100" workbookViewId="0">
      <selection activeCell="F69" sqref="F69"/>
    </sheetView>
  </sheetViews>
  <sheetFormatPr defaultRowHeight="15"/>
  <cols>
    <col min="1" max="1" width="4.7109375" customWidth="1"/>
    <col min="2" max="2" width="32.7109375" customWidth="1"/>
    <col min="3" max="3" width="40.5703125" customWidth="1"/>
    <col min="4" max="4" width="8.28515625" customWidth="1"/>
    <col min="5" max="5" width="7.28515625" customWidth="1"/>
    <col min="6" max="6" width="13.5703125" customWidth="1"/>
  </cols>
  <sheetData>
    <row r="1" spans="1:9">
      <c r="A1" s="541" t="s">
        <v>252</v>
      </c>
      <c r="B1" s="541"/>
      <c r="C1" s="541"/>
      <c r="D1" s="541"/>
      <c r="E1" s="541"/>
      <c r="F1" s="541"/>
      <c r="G1" s="541"/>
      <c r="H1" s="95"/>
      <c r="I1" s="95"/>
    </row>
    <row r="2" spans="1:9">
      <c r="A2" s="541" t="s">
        <v>253</v>
      </c>
      <c r="B2" s="541"/>
      <c r="C2" s="541"/>
      <c r="D2" s="541"/>
      <c r="E2" s="541"/>
      <c r="F2" s="541"/>
      <c r="G2" s="541"/>
      <c r="H2" s="536"/>
      <c r="I2" s="536"/>
    </row>
    <row r="3" spans="1:9">
      <c r="A3" s="541" t="s">
        <v>343</v>
      </c>
      <c r="B3" s="541"/>
      <c r="C3" s="541"/>
      <c r="D3" s="541"/>
      <c r="E3" s="541"/>
      <c r="F3" s="541"/>
      <c r="G3" s="541"/>
      <c r="H3" s="536"/>
      <c r="I3" s="536"/>
    </row>
    <row r="4" spans="1:9">
      <c r="B4" s="536"/>
      <c r="C4" s="536"/>
      <c r="D4" s="536"/>
      <c r="E4" s="536"/>
      <c r="F4" s="536"/>
      <c r="G4" s="536"/>
      <c r="H4" s="536"/>
    </row>
    <row r="6" spans="1:9">
      <c r="A6" t="s">
        <v>40</v>
      </c>
      <c r="B6" s="122" t="s">
        <v>318</v>
      </c>
      <c r="C6" s="122"/>
      <c r="D6" s="122"/>
      <c r="E6" s="122"/>
      <c r="F6" s="29">
        <v>16500</v>
      </c>
      <c r="G6" s="122" t="s">
        <v>319</v>
      </c>
    </row>
    <row r="7" spans="1:9">
      <c r="B7" s="122" t="s">
        <v>320</v>
      </c>
      <c r="C7" s="122"/>
      <c r="D7" s="122"/>
      <c r="E7" s="122"/>
      <c r="F7" s="122">
        <v>1.5</v>
      </c>
      <c r="G7" s="122"/>
    </row>
    <row r="8" spans="1:9">
      <c r="B8" s="122" t="s">
        <v>321</v>
      </c>
      <c r="C8" s="122"/>
      <c r="D8" s="122"/>
      <c r="E8" s="122"/>
      <c r="F8" s="29">
        <f>F6*F7</f>
        <v>24750</v>
      </c>
      <c r="G8" s="122" t="s">
        <v>319</v>
      </c>
    </row>
    <row r="9" spans="1:9">
      <c r="B9" s="122" t="s">
        <v>322</v>
      </c>
      <c r="C9" s="122"/>
      <c r="D9" s="122"/>
      <c r="E9" s="122"/>
      <c r="F9" s="126">
        <v>0.4</v>
      </c>
      <c r="G9" s="122"/>
    </row>
    <row r="10" spans="1:9">
      <c r="B10" s="122" t="s">
        <v>323</v>
      </c>
      <c r="C10" s="122"/>
      <c r="D10" s="122"/>
      <c r="E10" s="122"/>
      <c r="F10" s="29">
        <f>F8*F9</f>
        <v>9900</v>
      </c>
      <c r="G10" s="122" t="s">
        <v>319</v>
      </c>
    </row>
    <row r="11" spans="1:9">
      <c r="F11" s="1"/>
    </row>
    <row r="12" spans="1:9">
      <c r="F12" s="1"/>
    </row>
    <row r="13" spans="1:9">
      <c r="B13" s="17" t="s">
        <v>335</v>
      </c>
      <c r="F13" s="1"/>
    </row>
    <row r="14" spans="1:9">
      <c r="F14" s="1"/>
    </row>
    <row r="15" spans="1:9">
      <c r="B15" t="s">
        <v>324</v>
      </c>
      <c r="C15" s="539" t="s">
        <v>325</v>
      </c>
      <c r="D15" s="539"/>
      <c r="E15" s="539"/>
      <c r="F15" s="27">
        <v>3000</v>
      </c>
      <c r="G15" t="s">
        <v>319</v>
      </c>
    </row>
    <row r="16" spans="1:9">
      <c r="C16" s="539"/>
      <c r="D16" s="539"/>
      <c r="E16" s="539"/>
      <c r="F16" s="27"/>
    </row>
    <row r="17" spans="2:7">
      <c r="B17" t="s">
        <v>326</v>
      </c>
      <c r="C17" t="s">
        <v>327</v>
      </c>
      <c r="F17" s="27">
        <v>3000</v>
      </c>
      <c r="G17" t="s">
        <v>319</v>
      </c>
    </row>
    <row r="18" spans="2:7">
      <c r="F18" s="27"/>
    </row>
    <row r="19" spans="2:7">
      <c r="B19" t="s">
        <v>328</v>
      </c>
      <c r="C19" t="s">
        <v>329</v>
      </c>
      <c r="F19" s="27">
        <v>3000</v>
      </c>
      <c r="G19" t="s">
        <v>319</v>
      </c>
    </row>
    <row r="20" spans="2:7">
      <c r="F20" s="27"/>
    </row>
    <row r="21" spans="2:7">
      <c r="D21" s="122" t="s">
        <v>330</v>
      </c>
      <c r="E21" s="122"/>
      <c r="F21" s="65">
        <v>9000</v>
      </c>
      <c r="G21" s="122" t="s">
        <v>319</v>
      </c>
    </row>
    <row r="22" spans="2:7">
      <c r="F22" s="27"/>
    </row>
    <row r="23" spans="2:7">
      <c r="B23" t="s">
        <v>331</v>
      </c>
      <c r="C23" t="s">
        <v>332</v>
      </c>
      <c r="F23" s="27">
        <v>3000</v>
      </c>
      <c r="G23" s="25" t="s">
        <v>319</v>
      </c>
    </row>
    <row r="24" spans="2:7">
      <c r="F24" s="27"/>
    </row>
    <row r="25" spans="2:7">
      <c r="D25" s="122" t="s">
        <v>333</v>
      </c>
      <c r="E25" s="122"/>
      <c r="F25" s="65">
        <f>F21+F23</f>
        <v>12000</v>
      </c>
      <c r="G25" s="122" t="s">
        <v>319</v>
      </c>
    </row>
    <row r="26" spans="2:7">
      <c r="F26" s="27"/>
    </row>
    <row r="27" spans="2:7">
      <c r="B27" s="17" t="s">
        <v>334</v>
      </c>
      <c r="F27" s="1"/>
    </row>
    <row r="28" spans="2:7">
      <c r="F28" s="1"/>
    </row>
    <row r="29" spans="2:7">
      <c r="B29" t="s">
        <v>324</v>
      </c>
      <c r="C29" s="125" t="s">
        <v>336</v>
      </c>
      <c r="D29" s="125"/>
      <c r="E29" s="125"/>
      <c r="F29" s="27">
        <v>4000</v>
      </c>
      <c r="G29" t="s">
        <v>319</v>
      </c>
    </row>
    <row r="30" spans="2:7">
      <c r="C30" s="125"/>
      <c r="D30" s="125"/>
      <c r="E30" s="125"/>
      <c r="F30" s="27"/>
    </row>
    <row r="31" spans="2:7">
      <c r="B31" t="s">
        <v>326</v>
      </c>
      <c r="C31" s="125" t="s">
        <v>336</v>
      </c>
      <c r="D31" s="125"/>
      <c r="E31" s="125"/>
      <c r="F31" s="27">
        <v>4000</v>
      </c>
      <c r="G31" t="s">
        <v>319</v>
      </c>
    </row>
    <row r="32" spans="2:7">
      <c r="C32" s="125"/>
      <c r="D32" s="125"/>
      <c r="E32" s="125"/>
      <c r="F32" s="27"/>
    </row>
    <row r="33" spans="1:9">
      <c r="B33" t="s">
        <v>328</v>
      </c>
      <c r="C33" s="125" t="s">
        <v>336</v>
      </c>
      <c r="D33" s="125"/>
      <c r="E33" s="125"/>
      <c r="F33" s="27">
        <v>4000</v>
      </c>
      <c r="G33" t="s">
        <v>319</v>
      </c>
    </row>
    <row r="34" spans="1:9">
      <c r="C34" s="125"/>
      <c r="D34" s="125"/>
      <c r="E34" s="125"/>
      <c r="F34" s="27"/>
    </row>
    <row r="35" spans="1:9">
      <c r="B35" t="s">
        <v>337</v>
      </c>
      <c r="C35" s="125" t="s">
        <v>336</v>
      </c>
      <c r="F35" s="26">
        <v>3750</v>
      </c>
      <c r="G35" t="s">
        <v>319</v>
      </c>
    </row>
    <row r="36" spans="1:9">
      <c r="C36" s="125"/>
      <c r="F36" s="26"/>
    </row>
    <row r="37" spans="1:9">
      <c r="D37" s="122" t="s">
        <v>330</v>
      </c>
      <c r="E37" s="122"/>
      <c r="F37" s="65">
        <f>SUM(F29:F35)</f>
        <v>15750</v>
      </c>
      <c r="G37" s="122" t="s">
        <v>319</v>
      </c>
    </row>
    <row r="38" spans="1:9">
      <c r="B38" t="s">
        <v>331</v>
      </c>
      <c r="C38" t="s">
        <v>332</v>
      </c>
      <c r="F38" s="27">
        <v>4000</v>
      </c>
      <c r="G38" s="25" t="s">
        <v>319</v>
      </c>
    </row>
    <row r="39" spans="1:9">
      <c r="F39" s="27"/>
    </row>
    <row r="40" spans="1:9">
      <c r="D40" s="122" t="s">
        <v>333</v>
      </c>
      <c r="E40" s="122"/>
      <c r="F40" s="65">
        <f>F37+F38</f>
        <v>19750</v>
      </c>
      <c r="G40" s="122" t="s">
        <v>319</v>
      </c>
    </row>
    <row r="41" spans="1:9">
      <c r="A41" s="538" t="s">
        <v>269</v>
      </c>
      <c r="B41" s="538"/>
      <c r="C41" s="538"/>
      <c r="D41" s="538"/>
      <c r="E41" s="538"/>
      <c r="F41" s="538"/>
      <c r="G41" s="538"/>
    </row>
    <row r="42" spans="1:9">
      <c r="A42" s="541" t="s">
        <v>252</v>
      </c>
      <c r="B42" s="541"/>
      <c r="C42" s="541"/>
      <c r="D42" s="541"/>
      <c r="E42" s="541"/>
      <c r="F42" s="541"/>
      <c r="G42" s="541"/>
      <c r="H42" s="95"/>
      <c r="I42" s="95"/>
    </row>
    <row r="43" spans="1:9">
      <c r="A43" s="541" t="s">
        <v>253</v>
      </c>
      <c r="B43" s="541"/>
      <c r="C43" s="541"/>
      <c r="D43" s="541"/>
      <c r="E43" s="541"/>
      <c r="F43" s="541"/>
      <c r="G43" s="541"/>
      <c r="H43" s="536"/>
      <c r="I43" s="536"/>
    </row>
    <row r="44" spans="1:9">
      <c r="A44" s="541" t="s">
        <v>343</v>
      </c>
      <c r="B44" s="541"/>
      <c r="C44" s="541"/>
      <c r="D44" s="541"/>
      <c r="E44" s="541"/>
      <c r="F44" s="541"/>
      <c r="G44" s="541"/>
      <c r="H44" s="536"/>
      <c r="I44" s="536"/>
    </row>
    <row r="45" spans="1:9">
      <c r="D45" s="122"/>
      <c r="E45" s="122"/>
      <c r="F45" s="65"/>
      <c r="G45" s="122"/>
    </row>
    <row r="46" spans="1:9">
      <c r="D46" s="122"/>
      <c r="E46" s="122"/>
      <c r="F46" s="65"/>
      <c r="G46" s="122"/>
    </row>
    <row r="47" spans="1:9">
      <c r="A47" t="s">
        <v>40</v>
      </c>
      <c r="B47" s="17" t="s">
        <v>45</v>
      </c>
    </row>
    <row r="48" spans="1:9">
      <c r="B48" t="s">
        <v>46</v>
      </c>
      <c r="F48" s="29">
        <v>16500</v>
      </c>
      <c r="G48" t="s">
        <v>49</v>
      </c>
    </row>
    <row r="50" spans="1:7">
      <c r="B50" t="s">
        <v>47</v>
      </c>
      <c r="F50" s="122" t="s">
        <v>275</v>
      </c>
    </row>
    <row r="52" spans="1:7">
      <c r="B52" s="122" t="s">
        <v>48</v>
      </c>
    </row>
    <row r="53" spans="1:7">
      <c r="B53" t="s">
        <v>50</v>
      </c>
      <c r="F53" s="122" t="s">
        <v>245</v>
      </c>
    </row>
    <row r="54" spans="1:7">
      <c r="E54" s="122"/>
    </row>
    <row r="55" spans="1:7">
      <c r="F55" s="122" t="s">
        <v>63</v>
      </c>
    </row>
    <row r="56" spans="1:7">
      <c r="B56" t="s">
        <v>51</v>
      </c>
      <c r="E56" s="18" t="s">
        <v>55</v>
      </c>
      <c r="F56" s="26">
        <f>ROUND((20660*16500)/100000,0)</f>
        <v>3409</v>
      </c>
    </row>
    <row r="57" spans="1:7">
      <c r="B57" t="s">
        <v>53</v>
      </c>
      <c r="D57" s="1">
        <v>0.1</v>
      </c>
      <c r="E57" s="18" t="s">
        <v>55</v>
      </c>
      <c r="F57" s="26">
        <f>F56*D57</f>
        <v>340.90000000000003</v>
      </c>
    </row>
    <row r="58" spans="1:7">
      <c r="B58" t="s">
        <v>54</v>
      </c>
      <c r="D58" s="1">
        <v>0.05</v>
      </c>
      <c r="E58" s="18" t="s">
        <v>55</v>
      </c>
      <c r="F58" s="26">
        <f>F56*D58</f>
        <v>170.45000000000002</v>
      </c>
    </row>
    <row r="59" spans="1:7">
      <c r="E59" s="18"/>
      <c r="F59" s="26"/>
    </row>
    <row r="60" spans="1:7">
      <c r="D60" s="122" t="s">
        <v>58</v>
      </c>
      <c r="E60" s="128" t="s">
        <v>55</v>
      </c>
      <c r="F60" s="34">
        <f>SUM(F56:F59)</f>
        <v>3920.35</v>
      </c>
    </row>
    <row r="61" spans="1:7">
      <c r="D61" s="122"/>
      <c r="E61" s="122"/>
      <c r="F61" s="65"/>
      <c r="G61" s="122"/>
    </row>
    <row r="62" spans="1:7">
      <c r="A62" t="s">
        <v>41</v>
      </c>
      <c r="B62" s="17" t="s">
        <v>339</v>
      </c>
      <c r="D62" s="122"/>
      <c r="E62" s="122"/>
      <c r="F62" s="65"/>
      <c r="G62" s="122"/>
    </row>
    <row r="63" spans="1:7">
      <c r="B63" s="17"/>
      <c r="D63" s="122"/>
      <c r="E63" s="122"/>
      <c r="F63" s="65"/>
      <c r="G63" s="122"/>
    </row>
    <row r="64" spans="1:7">
      <c r="B64" s="17" t="str">
        <f>B13</f>
        <v>Phase-I</v>
      </c>
      <c r="D64" s="122"/>
      <c r="E64" s="122"/>
      <c r="F64" s="65"/>
      <c r="G64" s="122"/>
    </row>
    <row r="65" spans="2:7">
      <c r="B65" t="str">
        <f>B10</f>
        <v>Permissible Area in ground Coverage</v>
      </c>
      <c r="D65" s="122"/>
      <c r="E65" s="122"/>
      <c r="F65" s="65">
        <f>F25</f>
        <v>12000</v>
      </c>
      <c r="G65" s="122" t="s">
        <v>319</v>
      </c>
    </row>
    <row r="66" spans="2:7">
      <c r="B66" t="s">
        <v>340</v>
      </c>
      <c r="D66" s="122"/>
      <c r="E66" s="122"/>
      <c r="F66" s="65"/>
      <c r="G66" s="122"/>
    </row>
    <row r="67" spans="2:7">
      <c r="D67" s="122"/>
      <c r="E67" s="122"/>
      <c r="F67" s="65"/>
      <c r="G67" s="122"/>
    </row>
    <row r="68" spans="2:7">
      <c r="D68" s="122"/>
      <c r="E68" s="122"/>
      <c r="F68" s="122" t="s">
        <v>63</v>
      </c>
      <c r="G68" s="122"/>
    </row>
    <row r="69" spans="2:7">
      <c r="B69" t="s">
        <v>338</v>
      </c>
      <c r="D69" s="122"/>
      <c r="E69" s="122"/>
      <c r="F69" s="65">
        <f>(F65*10.76*1000)/100000</f>
        <v>1291.2</v>
      </c>
      <c r="G69" s="122"/>
    </row>
    <row r="70" spans="2:7">
      <c r="D70" s="122"/>
      <c r="E70" s="122"/>
      <c r="F70" s="65"/>
      <c r="G70" s="122"/>
    </row>
    <row r="71" spans="2:7">
      <c r="B71" t="s">
        <v>56</v>
      </c>
      <c r="D71" s="122"/>
      <c r="E71" s="126">
        <v>0.1</v>
      </c>
      <c r="F71" s="65">
        <f>F69*E71</f>
        <v>129.12</v>
      </c>
      <c r="G71" s="122"/>
    </row>
    <row r="72" spans="2:7">
      <c r="D72" s="122"/>
      <c r="E72" s="122"/>
      <c r="F72" s="65"/>
      <c r="G72" s="122"/>
    </row>
    <row r="73" spans="2:7">
      <c r="B73" t="s">
        <v>341</v>
      </c>
      <c r="D73" s="122"/>
      <c r="E73" s="126">
        <v>0.15</v>
      </c>
      <c r="F73" s="65">
        <f>F69*E73</f>
        <v>193.68</v>
      </c>
      <c r="G73" s="122"/>
    </row>
    <row r="74" spans="2:7">
      <c r="D74" s="122"/>
      <c r="E74" s="122"/>
      <c r="F74" s="65"/>
      <c r="G74" s="122"/>
    </row>
    <row r="75" spans="2:7">
      <c r="B75" s="540" t="s">
        <v>59</v>
      </c>
      <c r="D75" s="122"/>
      <c r="E75" s="122"/>
      <c r="F75" s="65">
        <v>20</v>
      </c>
      <c r="G75" s="122"/>
    </row>
    <row r="76" spans="2:7">
      <c r="B76" s="540"/>
      <c r="G76" s="122"/>
    </row>
    <row r="77" spans="2:7">
      <c r="B77" s="540"/>
      <c r="D77" s="122"/>
      <c r="E77" s="122"/>
      <c r="F77" s="65"/>
      <c r="G77" s="122"/>
    </row>
    <row r="78" spans="2:7">
      <c r="D78" s="122"/>
      <c r="E78" s="122"/>
      <c r="F78" s="65"/>
      <c r="G78" s="122"/>
    </row>
    <row r="79" spans="2:7">
      <c r="D79" s="122" t="s">
        <v>58</v>
      </c>
      <c r="E79" s="122"/>
      <c r="F79" s="127">
        <f>SUM(F69:F75)</f>
        <v>1634.0000000000002</v>
      </c>
      <c r="G79" s="122"/>
    </row>
    <row r="81" spans="1:7">
      <c r="A81" s="538" t="s">
        <v>269</v>
      </c>
      <c r="B81" s="538"/>
      <c r="C81" s="538"/>
      <c r="D81" s="538"/>
      <c r="E81" s="538"/>
      <c r="F81" s="538"/>
      <c r="G81" s="538"/>
    </row>
  </sheetData>
  <mergeCells count="15">
    <mergeCell ref="A1:G1"/>
    <mergeCell ref="A2:G2"/>
    <mergeCell ref="H2:I2"/>
    <mergeCell ref="A3:G3"/>
    <mergeCell ref="H3:I3"/>
    <mergeCell ref="A81:G81"/>
    <mergeCell ref="B4:H4"/>
    <mergeCell ref="C15:E16"/>
    <mergeCell ref="B75:B77"/>
    <mergeCell ref="A42:G42"/>
    <mergeCell ref="A43:G43"/>
    <mergeCell ref="H43:I43"/>
    <mergeCell ref="A44:G44"/>
    <mergeCell ref="H44:I44"/>
    <mergeCell ref="A41:G41"/>
  </mergeCells>
  <pageMargins left="0.5" right="0.45" top="0.75" bottom="0.75" header="0.3" footer="0.3"/>
  <pageSetup scale="82" orientation="portrait" horizontalDpi="4294967293" r:id="rId1"/>
  <rowBreaks count="1" manualBreakCount="1">
    <brk id="41" max="6" man="1"/>
  </rowBreaks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view="pageBreakPreview" zoomScale="130" zoomScaleSheetLayoutView="130" workbookViewId="0">
      <selection activeCell="C2" sqref="C2"/>
    </sheetView>
  </sheetViews>
  <sheetFormatPr defaultRowHeight="15"/>
  <cols>
    <col min="1" max="1" width="5.5703125" customWidth="1"/>
    <col min="3" max="3" width="44.42578125" customWidth="1"/>
    <col min="4" max="4" width="10.7109375" customWidth="1"/>
    <col min="5" max="5" width="13.85546875" bestFit="1" customWidth="1"/>
    <col min="6" max="6" width="13.85546875" customWidth="1"/>
  </cols>
  <sheetData>
    <row r="1" spans="1:6" ht="23.25">
      <c r="A1" s="542" t="s">
        <v>751</v>
      </c>
      <c r="B1" s="542"/>
      <c r="C1" s="542"/>
      <c r="D1" s="542"/>
      <c r="E1" s="542"/>
      <c r="F1" s="542"/>
    </row>
    <row r="3" spans="1:6">
      <c r="A3" s="184" t="s">
        <v>375</v>
      </c>
      <c r="B3" s="17" t="s">
        <v>345</v>
      </c>
      <c r="C3" s="17"/>
      <c r="D3" s="17"/>
    </row>
    <row r="4" spans="1:6">
      <c r="B4" s="17"/>
      <c r="C4" s="17"/>
      <c r="D4" s="17"/>
    </row>
    <row r="5" spans="1:6">
      <c r="B5" s="21" t="s">
        <v>42</v>
      </c>
      <c r="C5" s="21" t="s">
        <v>60</v>
      </c>
      <c r="D5" s="21" t="s">
        <v>344</v>
      </c>
      <c r="E5" s="21"/>
      <c r="F5" s="22" t="s">
        <v>61</v>
      </c>
    </row>
    <row r="6" spans="1:6">
      <c r="B6" s="21"/>
      <c r="C6" s="543" t="s">
        <v>444</v>
      </c>
      <c r="D6" s="543"/>
      <c r="E6" s="21"/>
      <c r="F6" s="156"/>
    </row>
    <row r="7" spans="1:6">
      <c r="B7" s="21"/>
      <c r="C7" s="17" t="s">
        <v>445</v>
      </c>
      <c r="D7" s="21"/>
      <c r="E7" s="21"/>
      <c r="F7" s="180"/>
    </row>
    <row r="8" spans="1:6">
      <c r="B8" s="21">
        <v>1</v>
      </c>
      <c r="C8" t="s">
        <v>433</v>
      </c>
      <c r="D8" s="154">
        <v>1</v>
      </c>
      <c r="E8" s="21"/>
      <c r="F8" s="544">
        <v>150</v>
      </c>
    </row>
    <row r="9" spans="1:6">
      <c r="B9" s="21">
        <v>2</v>
      </c>
      <c r="C9" t="s">
        <v>434</v>
      </c>
      <c r="D9" s="154">
        <v>1</v>
      </c>
      <c r="E9" s="21"/>
      <c r="F9" s="544"/>
    </row>
    <row r="10" spans="1:6">
      <c r="B10" s="21">
        <v>3</v>
      </c>
      <c r="C10" t="s">
        <v>435</v>
      </c>
      <c r="D10" s="154">
        <v>1</v>
      </c>
      <c r="E10" s="21"/>
      <c r="F10" s="544"/>
    </row>
    <row r="11" spans="1:6">
      <c r="B11" s="21">
        <v>4</v>
      </c>
      <c r="C11" t="s">
        <v>436</v>
      </c>
      <c r="D11" s="154">
        <v>1</v>
      </c>
      <c r="E11" s="21"/>
      <c r="F11" s="544"/>
    </row>
    <row r="12" spans="1:6">
      <c r="B12" s="21">
        <v>5</v>
      </c>
      <c r="C12" t="s">
        <v>437</v>
      </c>
      <c r="D12" s="154">
        <v>1</v>
      </c>
      <c r="E12" s="21"/>
      <c r="F12" s="544"/>
    </row>
    <row r="13" spans="1:6">
      <c r="B13" s="21">
        <v>6</v>
      </c>
      <c r="C13" t="s">
        <v>438</v>
      </c>
      <c r="D13" s="154">
        <v>1</v>
      </c>
      <c r="E13" s="21"/>
      <c r="F13" s="544"/>
    </row>
    <row r="14" spans="1:6">
      <c r="B14" s="21">
        <v>7</v>
      </c>
      <c r="C14" t="s">
        <v>439</v>
      </c>
      <c r="D14" s="154">
        <v>1</v>
      </c>
      <c r="E14" s="21"/>
      <c r="F14" s="544"/>
    </row>
    <row r="15" spans="1:6">
      <c r="B15" s="21">
        <v>8</v>
      </c>
      <c r="C15" t="s">
        <v>440</v>
      </c>
      <c r="D15" s="154">
        <v>1</v>
      </c>
      <c r="E15" s="21"/>
      <c r="F15" s="544"/>
    </row>
    <row r="16" spans="1:6">
      <c r="B16" s="21">
        <v>9</v>
      </c>
      <c r="C16" t="s">
        <v>441</v>
      </c>
      <c r="D16" s="154">
        <v>1</v>
      </c>
      <c r="E16" s="21"/>
      <c r="F16" s="544"/>
    </row>
    <row r="17" spans="1:8">
      <c r="B17" s="21">
        <v>10</v>
      </c>
      <c r="C17" t="s">
        <v>442</v>
      </c>
      <c r="D17" s="154">
        <v>1</v>
      </c>
      <c r="E17" s="21"/>
      <c r="F17" s="544"/>
    </row>
    <row r="18" spans="1:8">
      <c r="B18" s="21">
        <v>11</v>
      </c>
      <c r="C18" t="s">
        <v>443</v>
      </c>
      <c r="D18" s="154">
        <v>1</v>
      </c>
      <c r="E18" s="21"/>
      <c r="F18" s="544"/>
    </row>
    <row r="19" spans="1:8">
      <c r="B19" s="21"/>
      <c r="D19" s="21"/>
      <c r="E19" s="21"/>
      <c r="F19" s="180"/>
    </row>
    <row r="20" spans="1:8">
      <c r="B20" s="21"/>
      <c r="C20" s="17" t="s">
        <v>446</v>
      </c>
      <c r="D20" s="21"/>
      <c r="E20" s="21"/>
      <c r="F20" s="180"/>
    </row>
    <row r="21" spans="1:8">
      <c r="B21" s="21">
        <v>12</v>
      </c>
      <c r="C21" t="s">
        <v>448</v>
      </c>
      <c r="D21" s="154">
        <v>1</v>
      </c>
      <c r="E21" s="21"/>
      <c r="F21" s="180">
        <f>3052000/100000</f>
        <v>30.52</v>
      </c>
    </row>
    <row r="22" spans="1:8">
      <c r="B22" s="21">
        <v>13</v>
      </c>
      <c r="C22" t="s">
        <v>449</v>
      </c>
      <c r="D22" s="154">
        <v>1</v>
      </c>
      <c r="E22" s="21"/>
      <c r="F22" s="180">
        <f>1345375/100000</f>
        <v>13.453749999999999</v>
      </c>
    </row>
    <row r="23" spans="1:8">
      <c r="B23" s="21">
        <v>14</v>
      </c>
      <c r="C23" s="20" t="s">
        <v>447</v>
      </c>
      <c r="D23" s="154">
        <v>1</v>
      </c>
      <c r="E23" s="173"/>
      <c r="F23" s="155">
        <f>304750/100000</f>
        <v>3.0474999999999999</v>
      </c>
    </row>
    <row r="24" spans="1:8">
      <c r="B24" s="21">
        <v>15</v>
      </c>
      <c r="C24" s="20" t="s">
        <v>450</v>
      </c>
      <c r="D24" s="154"/>
      <c r="E24" s="173"/>
      <c r="F24" s="155">
        <v>5</v>
      </c>
      <c r="H24">
        <f>150/75%</f>
        <v>200</v>
      </c>
    </row>
    <row r="25" spans="1:8" ht="15.75" thickBot="1">
      <c r="B25" s="21"/>
      <c r="C25" s="133" t="s">
        <v>367</v>
      </c>
      <c r="D25" s="154"/>
      <c r="E25" s="173"/>
      <c r="F25" s="181">
        <f>SUM(F8:F24)</f>
        <v>202.02125000000001</v>
      </c>
    </row>
    <row r="26" spans="1:8">
      <c r="B26" s="21"/>
      <c r="C26" s="20"/>
      <c r="D26" s="154"/>
      <c r="E26" s="173"/>
      <c r="F26" s="155"/>
    </row>
    <row r="27" spans="1:8">
      <c r="A27" s="184" t="s">
        <v>376</v>
      </c>
      <c r="B27" s="17" t="s">
        <v>406</v>
      </c>
      <c r="C27" s="17"/>
    </row>
    <row r="29" spans="1:8">
      <c r="B29" t="s">
        <v>62</v>
      </c>
    </row>
    <row r="30" spans="1:8">
      <c r="F30" s="16" t="s">
        <v>63</v>
      </c>
    </row>
    <row r="31" spans="1:8">
      <c r="B31" s="541" t="s">
        <v>368</v>
      </c>
      <c r="C31" s="541"/>
    </row>
    <row r="32" spans="1:8">
      <c r="B32" s="220">
        <v>1</v>
      </c>
      <c r="C32" s="228" t="s">
        <v>452</v>
      </c>
      <c r="F32" s="28">
        <v>150</v>
      </c>
    </row>
    <row r="33" spans="2:6">
      <c r="B33" s="220">
        <v>2</v>
      </c>
      <c r="C33" t="s">
        <v>451</v>
      </c>
      <c r="F33" s="26">
        <f>F25-F32</f>
        <v>52.021250000000009</v>
      </c>
    </row>
    <row r="34" spans="2:6" ht="15.75" thickBot="1">
      <c r="C34" s="175" t="s">
        <v>58</v>
      </c>
      <c r="F34" s="182">
        <f>SUM(F32:F33)</f>
        <v>202.02125000000001</v>
      </c>
    </row>
    <row r="35" spans="2:6">
      <c r="C35" s="175" t="s">
        <v>369</v>
      </c>
      <c r="F35" s="26"/>
    </row>
    <row r="36" spans="2:6">
      <c r="B36" s="220">
        <v>1</v>
      </c>
      <c r="C36" t="s">
        <v>369</v>
      </c>
      <c r="F36" s="26">
        <v>350</v>
      </c>
    </row>
    <row r="37" spans="2:6">
      <c r="F37" s="26"/>
    </row>
    <row r="38" spans="2:6">
      <c r="C38" s="175" t="s">
        <v>58</v>
      </c>
      <c r="D38" s="153"/>
      <c r="E38" s="150"/>
      <c r="F38" s="183">
        <f>SUM(F36:F36)</f>
        <v>350</v>
      </c>
    </row>
    <row r="39" spans="2:6" ht="15.75" thickBot="1">
      <c r="C39" s="176" t="s">
        <v>182</v>
      </c>
      <c r="F39" s="30">
        <f>F34+F38</f>
        <v>552.02125000000001</v>
      </c>
    </row>
    <row r="40" spans="2:6" ht="15.75" thickTop="1">
      <c r="B40" s="17"/>
    </row>
  </sheetData>
  <mergeCells count="4">
    <mergeCell ref="A1:F1"/>
    <mergeCell ref="B31:C31"/>
    <mergeCell ref="C6:D6"/>
    <mergeCell ref="F8:F18"/>
  </mergeCells>
  <pageMargins left="0.7" right="0.7" top="0.75" bottom="0.75" header="0.3" footer="0.3"/>
  <pageSetup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2"/>
  <sheetViews>
    <sheetView view="pageBreakPreview" topLeftCell="B1" zoomScaleNormal="100" zoomScaleSheetLayoutView="100" workbookViewId="0">
      <selection activeCell="A2" sqref="A2:K2"/>
    </sheetView>
  </sheetViews>
  <sheetFormatPr defaultRowHeight="15.75"/>
  <cols>
    <col min="1" max="1" width="6.28515625" style="405" customWidth="1"/>
    <col min="2" max="2" width="68.7109375" style="404" customWidth="1"/>
    <col min="3" max="3" width="15.42578125" style="404" hidden="1" customWidth="1"/>
    <col min="4" max="4" width="21" style="404" customWidth="1"/>
    <col min="5" max="5" width="21.140625" style="404" customWidth="1"/>
    <col min="6" max="7" width="19.7109375" style="404" customWidth="1"/>
    <col min="8" max="8" width="21.28515625" style="404" customWidth="1"/>
    <col min="9" max="9" width="20" style="404" customWidth="1"/>
    <col min="10" max="10" width="18.7109375" style="404" customWidth="1"/>
    <col min="11" max="11" width="19" style="404" customWidth="1"/>
    <col min="12" max="12" width="1" style="404" customWidth="1"/>
    <col min="13" max="22" width="9.140625" style="404" customWidth="1"/>
    <col min="23" max="23" width="23.140625" style="404" customWidth="1"/>
    <col min="24" max="24" width="24.7109375" style="404" customWidth="1"/>
    <col min="25" max="25" width="29.5703125" style="404" customWidth="1"/>
    <col min="26" max="26" width="43.5703125" style="404" customWidth="1"/>
    <col min="27" max="27" width="24.42578125" style="404" customWidth="1"/>
    <col min="28" max="28" width="15.42578125" style="404" customWidth="1"/>
    <col min="29" max="16384" width="9.140625" style="404"/>
  </cols>
  <sheetData>
    <row r="1" spans="1:12" ht="18.95" customHeight="1">
      <c r="A1" s="519"/>
      <c r="B1" s="552" t="str">
        <f>'mean of finance'!A1</f>
        <v>……………………………. Pvt Ltd</v>
      </c>
      <c r="C1" s="552"/>
      <c r="D1" s="552"/>
      <c r="E1" s="552"/>
      <c r="F1" s="552"/>
      <c r="G1" s="552"/>
      <c r="H1" s="552"/>
      <c r="I1" s="552"/>
      <c r="J1" s="552"/>
      <c r="K1" s="552"/>
      <c r="L1" s="518"/>
    </row>
    <row r="2" spans="1:12" ht="18.95" customHeight="1">
      <c r="A2" s="553" t="s">
        <v>711</v>
      </c>
      <c r="B2" s="549"/>
      <c r="C2" s="549"/>
      <c r="D2" s="549"/>
      <c r="E2" s="549"/>
      <c r="F2" s="549"/>
      <c r="G2" s="549"/>
      <c r="H2" s="549"/>
      <c r="I2" s="549"/>
      <c r="J2" s="549"/>
      <c r="K2" s="549"/>
      <c r="L2" s="516"/>
    </row>
    <row r="3" spans="1:12" ht="18.75" customHeight="1">
      <c r="A3" s="553" t="s">
        <v>710</v>
      </c>
      <c r="B3" s="549"/>
      <c r="C3" s="549"/>
      <c r="D3" s="549"/>
      <c r="E3" s="549"/>
      <c r="F3" s="549"/>
      <c r="G3" s="549"/>
      <c r="H3" s="549"/>
      <c r="I3" s="549"/>
      <c r="J3" s="549"/>
      <c r="K3" s="549"/>
      <c r="L3" s="516"/>
    </row>
    <row r="4" spans="1:12" ht="19.5" customHeight="1">
      <c r="A4" s="517" t="s">
        <v>709</v>
      </c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516"/>
    </row>
    <row r="5" spans="1:12" ht="18.95" customHeight="1">
      <c r="A5" s="553" t="s">
        <v>708</v>
      </c>
      <c r="B5" s="549"/>
      <c r="C5" s="549"/>
      <c r="D5" s="549"/>
      <c r="E5" s="549"/>
      <c r="F5" s="549"/>
      <c r="G5" s="549"/>
      <c r="H5" s="549"/>
      <c r="I5" s="549"/>
      <c r="J5" s="549"/>
      <c r="K5" s="549"/>
      <c r="L5" s="516"/>
    </row>
    <row r="6" spans="1:12" ht="18.95" customHeight="1">
      <c r="A6" s="443" t="s">
        <v>707</v>
      </c>
      <c r="B6" s="515" t="s">
        <v>706</v>
      </c>
      <c r="C6" s="299">
        <v>2012</v>
      </c>
      <c r="D6" s="329" t="s">
        <v>411</v>
      </c>
      <c r="E6" s="330" t="s">
        <v>361</v>
      </c>
      <c r="F6" s="329" t="s">
        <v>362</v>
      </c>
      <c r="G6" s="329" t="s">
        <v>363</v>
      </c>
      <c r="H6" s="329" t="s">
        <v>364</v>
      </c>
      <c r="I6" s="233" t="s">
        <v>365</v>
      </c>
      <c r="J6" s="233" t="s">
        <v>366</v>
      </c>
      <c r="K6" s="233" t="s">
        <v>454</v>
      </c>
      <c r="L6" s="514"/>
    </row>
    <row r="7" spans="1:12" ht="38.25" customHeight="1">
      <c r="A7" s="455" t="s">
        <v>705</v>
      </c>
      <c r="B7" s="464"/>
      <c r="C7" s="513" t="s">
        <v>704</v>
      </c>
      <c r="D7" s="335" t="s">
        <v>516</v>
      </c>
      <c r="E7" s="335" t="s">
        <v>517</v>
      </c>
      <c r="F7" s="335" t="s">
        <v>518</v>
      </c>
      <c r="G7" s="335" t="s">
        <v>518</v>
      </c>
      <c r="H7" s="335" t="s">
        <v>518</v>
      </c>
      <c r="I7" s="335" t="s">
        <v>518</v>
      </c>
      <c r="J7" s="335" t="s">
        <v>518</v>
      </c>
      <c r="K7" s="335" t="s">
        <v>518</v>
      </c>
      <c r="L7" s="417"/>
    </row>
    <row r="8" spans="1:12" ht="18.95" customHeight="1">
      <c r="A8" s="466"/>
      <c r="B8" s="512"/>
      <c r="C8" s="466">
        <v>1</v>
      </c>
      <c r="D8" s="511">
        <v>1</v>
      </c>
      <c r="E8" s="511">
        <v>2</v>
      </c>
      <c r="F8" s="511">
        <v>3</v>
      </c>
      <c r="G8" s="511">
        <v>4</v>
      </c>
      <c r="H8" s="511">
        <v>5</v>
      </c>
      <c r="I8" s="511">
        <v>6</v>
      </c>
      <c r="J8" s="511">
        <v>7</v>
      </c>
      <c r="K8" s="511">
        <v>8</v>
      </c>
      <c r="L8" s="510"/>
    </row>
    <row r="9" spans="1:12" ht="18.95" customHeight="1">
      <c r="A9" s="439"/>
      <c r="B9" s="464" t="s">
        <v>703</v>
      </c>
      <c r="C9" s="453"/>
      <c r="D9" s="442"/>
      <c r="E9" s="442"/>
      <c r="F9" s="442"/>
      <c r="G9" s="442"/>
      <c r="H9" s="442"/>
      <c r="I9" s="442"/>
      <c r="J9" s="442"/>
      <c r="K9" s="442"/>
      <c r="L9" s="431"/>
    </row>
    <row r="10" spans="1:12" ht="18.95" customHeight="1">
      <c r="A10" s="439"/>
      <c r="B10" s="456" t="s">
        <v>209</v>
      </c>
      <c r="C10" s="440"/>
      <c r="D10" s="432"/>
      <c r="E10" s="432"/>
      <c r="F10" s="432"/>
      <c r="G10" s="432"/>
      <c r="H10" s="432"/>
      <c r="I10" s="509"/>
      <c r="J10" s="509"/>
      <c r="K10" s="509"/>
      <c r="L10" s="508"/>
    </row>
    <row r="11" spans="1:12" ht="18.95" customHeight="1">
      <c r="A11" s="439">
        <v>1</v>
      </c>
      <c r="B11" s="456" t="s">
        <v>702</v>
      </c>
      <c r="C11" s="440"/>
      <c r="D11" s="432"/>
      <c r="E11" s="432"/>
      <c r="F11" s="432"/>
      <c r="G11" s="432"/>
      <c r="H11" s="432"/>
      <c r="I11" s="432"/>
      <c r="J11" s="432"/>
      <c r="K11" s="432"/>
      <c r="L11" s="431"/>
    </row>
    <row r="12" spans="1:12" ht="18.95" customHeight="1">
      <c r="A12" s="439"/>
      <c r="B12" s="559" t="s">
        <v>701</v>
      </c>
      <c r="C12" s="460"/>
      <c r="D12" s="432"/>
      <c r="E12" s="432"/>
      <c r="F12" s="432"/>
      <c r="G12" s="432"/>
      <c r="H12" s="432"/>
      <c r="I12" s="432"/>
      <c r="J12" s="432"/>
      <c r="K12" s="432"/>
      <c r="L12" s="431"/>
    </row>
    <row r="13" spans="1:12" ht="18.95" customHeight="1">
      <c r="A13" s="439"/>
      <c r="B13" s="559"/>
      <c r="C13" s="460"/>
      <c r="D13" s="432"/>
      <c r="E13" s="432"/>
      <c r="F13" s="432"/>
      <c r="G13" s="432"/>
      <c r="H13" s="432"/>
      <c r="I13" s="432"/>
      <c r="J13" s="432"/>
      <c r="K13" s="432"/>
      <c r="L13" s="431"/>
    </row>
    <row r="14" spans="1:12" ht="18.95" customHeight="1">
      <c r="A14" s="439"/>
      <c r="B14" s="456" t="s">
        <v>700</v>
      </c>
      <c r="C14" s="432">
        <f>12665457.23/100000</f>
        <v>126.6545723</v>
      </c>
      <c r="D14" s="432">
        <v>0</v>
      </c>
      <c r="E14" s="503">
        <v>0</v>
      </c>
      <c r="F14" s="503">
        <v>0</v>
      </c>
      <c r="G14" s="503">
        <v>0</v>
      </c>
      <c r="H14" s="503">
        <v>0</v>
      </c>
      <c r="I14" s="503">
        <v>0</v>
      </c>
      <c r="J14" s="503">
        <v>0</v>
      </c>
      <c r="K14" s="503">
        <v>0</v>
      </c>
      <c r="L14" s="431">
        <v>150.55000000000001</v>
      </c>
    </row>
    <row r="15" spans="1:12" ht="18.95" customHeight="1">
      <c r="A15" s="439"/>
      <c r="B15" s="507" t="s">
        <v>699</v>
      </c>
      <c r="C15" s="432"/>
      <c r="D15" s="432">
        <v>0</v>
      </c>
      <c r="E15" s="432">
        <v>0</v>
      </c>
      <c r="F15" s="432">
        <f>'mean of finance'!F38</f>
        <v>350</v>
      </c>
      <c r="G15" s="481">
        <f>F15</f>
        <v>350</v>
      </c>
      <c r="H15" s="432">
        <f>F15</f>
        <v>350</v>
      </c>
      <c r="I15" s="432">
        <f>H15</f>
        <v>350</v>
      </c>
      <c r="J15" s="432">
        <f>I15</f>
        <v>350</v>
      </c>
      <c r="K15" s="432">
        <f>J15</f>
        <v>350</v>
      </c>
      <c r="L15" s="431"/>
    </row>
    <row r="16" spans="1:12" ht="18.95" customHeight="1">
      <c r="A16" s="439"/>
      <c r="B16" s="456" t="s">
        <v>698</v>
      </c>
      <c r="C16" s="432">
        <f>2833161.5/100000</f>
        <v>28.331614999999999</v>
      </c>
      <c r="D16" s="432">
        <v>0</v>
      </c>
      <c r="E16" s="432">
        <v>0</v>
      </c>
      <c r="F16" s="432">
        <v>0</v>
      </c>
      <c r="G16" s="432">
        <v>0</v>
      </c>
      <c r="H16" s="432">
        <v>0</v>
      </c>
      <c r="I16" s="432">
        <v>0</v>
      </c>
      <c r="J16" s="432">
        <v>0</v>
      </c>
      <c r="K16" s="432">
        <v>0</v>
      </c>
      <c r="L16" s="431">
        <v>0.42</v>
      </c>
    </row>
    <row r="17" spans="1:14" ht="18.95" customHeight="1">
      <c r="A17" s="439"/>
      <c r="B17" s="456" t="s">
        <v>697</v>
      </c>
      <c r="C17" s="432">
        <v>0</v>
      </c>
      <c r="D17" s="432">
        <v>0</v>
      </c>
      <c r="E17" s="432">
        <v>0</v>
      </c>
      <c r="F17" s="432">
        <v>0</v>
      </c>
      <c r="G17" s="432">
        <v>0</v>
      </c>
      <c r="H17" s="432">
        <v>0</v>
      </c>
      <c r="I17" s="432">
        <v>0</v>
      </c>
      <c r="J17" s="432">
        <v>0</v>
      </c>
      <c r="K17" s="432">
        <v>0</v>
      </c>
      <c r="L17" s="431"/>
    </row>
    <row r="18" spans="1:14" ht="18.95" customHeight="1" thickBot="1">
      <c r="A18" s="439"/>
      <c r="B18" s="464" t="s">
        <v>696</v>
      </c>
      <c r="C18" s="506">
        <f t="shared" ref="C18:L18" si="0">SUM(C14:C17)</f>
        <v>154.98618729999998</v>
      </c>
      <c r="D18" s="506">
        <f t="shared" si="0"/>
        <v>0</v>
      </c>
      <c r="E18" s="506">
        <f t="shared" si="0"/>
        <v>0</v>
      </c>
      <c r="F18" s="506">
        <f t="shared" si="0"/>
        <v>350</v>
      </c>
      <c r="G18" s="506">
        <f t="shared" si="0"/>
        <v>350</v>
      </c>
      <c r="H18" s="506">
        <f t="shared" si="0"/>
        <v>350</v>
      </c>
      <c r="I18" s="506">
        <f t="shared" si="0"/>
        <v>350</v>
      </c>
      <c r="J18" s="506">
        <f t="shared" si="0"/>
        <v>350</v>
      </c>
      <c r="K18" s="506">
        <f t="shared" si="0"/>
        <v>350</v>
      </c>
      <c r="L18" s="429">
        <f t="shared" si="0"/>
        <v>150.97</v>
      </c>
      <c r="N18" s="404">
        <f>256.48-16.04</f>
        <v>240.44000000000003</v>
      </c>
    </row>
    <row r="19" spans="1:14" ht="18.95" customHeight="1" thickTop="1">
      <c r="A19" s="439">
        <v>2</v>
      </c>
      <c r="B19" s="456" t="s">
        <v>695</v>
      </c>
      <c r="C19" s="432">
        <v>0</v>
      </c>
      <c r="D19" s="432">
        <v>0</v>
      </c>
      <c r="E19" s="432"/>
      <c r="F19" s="432">
        <v>0</v>
      </c>
      <c r="G19" s="432">
        <v>0</v>
      </c>
      <c r="H19" s="432">
        <v>0</v>
      </c>
      <c r="I19" s="432">
        <v>0</v>
      </c>
      <c r="J19" s="432">
        <v>0</v>
      </c>
      <c r="K19" s="432">
        <v>0</v>
      </c>
      <c r="L19" s="431"/>
    </row>
    <row r="20" spans="1:14" ht="23.25" customHeight="1">
      <c r="A20" s="439">
        <v>3</v>
      </c>
      <c r="B20" s="456" t="s">
        <v>694</v>
      </c>
      <c r="C20" s="463">
        <f>50002068.48/100000</f>
        <v>500.02068479999997</v>
      </c>
      <c r="D20" s="505">
        <v>0</v>
      </c>
      <c r="E20" s="505"/>
      <c r="F20" s="463">
        <v>90</v>
      </c>
      <c r="G20" s="463">
        <v>130</v>
      </c>
      <c r="H20" s="463">
        <v>135</v>
      </c>
      <c r="I20" s="463">
        <v>130</v>
      </c>
      <c r="J20" s="463">
        <v>135</v>
      </c>
      <c r="K20" s="463">
        <v>135</v>
      </c>
      <c r="L20" s="431"/>
      <c r="N20" s="481"/>
    </row>
    <row r="21" spans="1:14" ht="18.95" customHeight="1">
      <c r="A21" s="439">
        <v>4</v>
      </c>
      <c r="B21" s="496" t="s">
        <v>693</v>
      </c>
      <c r="C21" s="497">
        <f>305241.96/100000</f>
        <v>3.0524196000000003</v>
      </c>
      <c r="D21" s="504">
        <v>0</v>
      </c>
      <c r="E21" s="432"/>
      <c r="F21" s="432">
        <v>0</v>
      </c>
      <c r="G21" s="432">
        <v>0</v>
      </c>
      <c r="H21" s="432">
        <v>0</v>
      </c>
      <c r="I21" s="432">
        <v>0</v>
      </c>
      <c r="J21" s="432">
        <v>0</v>
      </c>
      <c r="K21" s="432">
        <v>0</v>
      </c>
      <c r="L21" s="431"/>
    </row>
    <row r="22" spans="1:14" ht="18.95" customHeight="1">
      <c r="A22" s="439">
        <v>5</v>
      </c>
      <c r="B22" s="456" t="s">
        <v>692</v>
      </c>
      <c r="C22" s="432">
        <v>0</v>
      </c>
      <c r="D22" s="503">
        <f>'form ii'!E68</f>
        <v>0</v>
      </c>
      <c r="E22" s="503">
        <f>'form ii'!F68</f>
        <v>0</v>
      </c>
      <c r="F22" s="503">
        <f>'form ii'!G68</f>
        <v>1.000585208499984</v>
      </c>
      <c r="G22" s="503">
        <f>'form ii'!H68</f>
        <v>17.292509904525087</v>
      </c>
      <c r="H22" s="503">
        <f>'form ii'!I68</f>
        <v>25.648366450916139</v>
      </c>
      <c r="I22" s="503">
        <f>'form ii'!J68</f>
        <v>28.624580424191738</v>
      </c>
      <c r="J22" s="503">
        <f>'form ii'!K68</f>
        <v>29.583833532384876</v>
      </c>
      <c r="K22" s="503">
        <f>'form ii'!L68</f>
        <v>29.786032782166647</v>
      </c>
      <c r="L22" s="431"/>
    </row>
    <row r="23" spans="1:14" ht="18.95" hidden="1" customHeight="1">
      <c r="A23" s="439">
        <v>7</v>
      </c>
      <c r="B23" s="456" t="s">
        <v>691</v>
      </c>
      <c r="C23" s="432">
        <v>0</v>
      </c>
      <c r="D23" s="432">
        <v>0</v>
      </c>
      <c r="E23" s="432"/>
      <c r="F23" s="432"/>
      <c r="G23" s="432"/>
      <c r="H23" s="432"/>
      <c r="I23" s="432"/>
      <c r="J23" s="432"/>
      <c r="K23" s="432"/>
      <c r="L23" s="431"/>
    </row>
    <row r="24" spans="1:14" ht="18.95" customHeight="1">
      <c r="A24" s="439">
        <v>6</v>
      </c>
      <c r="B24" s="498" t="s">
        <v>690</v>
      </c>
      <c r="C24" s="432">
        <f>183624.34/100000</f>
        <v>1.8362433999999999</v>
      </c>
      <c r="D24" s="432">
        <v>0</v>
      </c>
      <c r="E24" s="432">
        <v>0</v>
      </c>
      <c r="F24" s="432">
        <v>0</v>
      </c>
      <c r="G24" s="432">
        <v>0</v>
      </c>
      <c r="H24" s="432">
        <v>0</v>
      </c>
      <c r="I24" s="432">
        <v>0</v>
      </c>
      <c r="J24" s="432">
        <v>0</v>
      </c>
      <c r="K24" s="432">
        <v>0</v>
      </c>
      <c r="L24" s="431"/>
      <c r="N24" s="404">
        <v>150</v>
      </c>
    </row>
    <row r="25" spans="1:14" ht="16.5" customHeight="1">
      <c r="A25" s="439"/>
      <c r="B25" s="498"/>
      <c r="C25" s="437"/>
      <c r="D25" s="432"/>
      <c r="E25" s="432"/>
      <c r="F25" s="432"/>
      <c r="G25" s="432" t="s">
        <v>689</v>
      </c>
      <c r="H25" s="432"/>
      <c r="I25" s="432"/>
      <c r="J25" s="432"/>
      <c r="K25" s="432"/>
      <c r="L25" s="431"/>
      <c r="N25" s="481">
        <f>N24-F18</f>
        <v>-200</v>
      </c>
    </row>
    <row r="26" spans="1:14" ht="18" customHeight="1">
      <c r="A26" s="439">
        <v>7</v>
      </c>
      <c r="B26" s="560" t="s">
        <v>688</v>
      </c>
      <c r="C26" s="463"/>
      <c r="D26" s="432">
        <f>1500/100000</f>
        <v>1.4999999999999999E-2</v>
      </c>
      <c r="E26" s="432">
        <f>'[1]Balance Sheet '!$C$23/100000</f>
        <v>1.4999999999999999E-2</v>
      </c>
      <c r="F26" s="432">
        <v>5</v>
      </c>
      <c r="G26" s="432">
        <v>7.5</v>
      </c>
      <c r="H26" s="432">
        <v>8</v>
      </c>
      <c r="I26" s="432">
        <v>10</v>
      </c>
      <c r="J26" s="432">
        <v>11</v>
      </c>
      <c r="K26" s="432">
        <v>12</v>
      </c>
      <c r="L26" s="431"/>
      <c r="N26" s="481">
        <f>N25+F16</f>
        <v>-200</v>
      </c>
    </row>
    <row r="27" spans="1:14">
      <c r="A27" s="439"/>
      <c r="B27" s="560"/>
      <c r="C27" s="502"/>
      <c r="D27" s="432"/>
      <c r="E27" s="432"/>
      <c r="F27" s="432"/>
      <c r="G27" s="432"/>
      <c r="H27" s="432"/>
      <c r="I27" s="432"/>
      <c r="J27" s="432"/>
      <c r="K27" s="432"/>
      <c r="L27" s="431"/>
    </row>
    <row r="28" spans="1:14" ht="18.95" customHeight="1">
      <c r="A28" s="439">
        <v>8</v>
      </c>
      <c r="B28" s="558" t="s">
        <v>687</v>
      </c>
      <c r="C28" s="460"/>
      <c r="D28" s="432"/>
      <c r="E28" s="432"/>
      <c r="F28" s="432"/>
      <c r="G28" s="432"/>
      <c r="H28" s="432"/>
      <c r="I28" s="432"/>
      <c r="J28" s="432"/>
      <c r="K28" s="432"/>
      <c r="L28" s="431"/>
    </row>
    <row r="29" spans="1:14" s="419" customFormat="1" ht="18.95" customHeight="1">
      <c r="A29" s="439"/>
      <c r="B29" s="558"/>
      <c r="C29" s="432">
        <v>3.74</v>
      </c>
      <c r="D29" s="432">
        <v>0</v>
      </c>
      <c r="E29" s="432">
        <v>0</v>
      </c>
      <c r="F29" s="432">
        <v>0</v>
      </c>
      <c r="G29" s="432">
        <v>0</v>
      </c>
      <c r="H29" s="432">
        <v>0</v>
      </c>
      <c r="I29" s="432">
        <v>0</v>
      </c>
      <c r="J29" s="432">
        <v>0</v>
      </c>
      <c r="K29" s="432">
        <v>0</v>
      </c>
      <c r="L29" s="431"/>
    </row>
    <row r="30" spans="1:14" s="419" customFormat="1" ht="18.95" customHeight="1">
      <c r="A30" s="439"/>
      <c r="B30" s="458"/>
      <c r="C30" s="450">
        <f t="shared" ref="C30:K30" si="1">SUM(C19:C29)</f>
        <v>508.64934779999999</v>
      </c>
      <c r="D30" s="450">
        <f t="shared" si="1"/>
        <v>1.4999999999999999E-2</v>
      </c>
      <c r="E30" s="450">
        <f t="shared" si="1"/>
        <v>1.4999999999999999E-2</v>
      </c>
      <c r="F30" s="450">
        <f t="shared" si="1"/>
        <v>96.000585208499984</v>
      </c>
      <c r="G30" s="450">
        <f t="shared" si="1"/>
        <v>154.79250990452508</v>
      </c>
      <c r="H30" s="450">
        <f t="shared" si="1"/>
        <v>168.64836645091614</v>
      </c>
      <c r="I30" s="450">
        <f t="shared" si="1"/>
        <v>168.62458042419175</v>
      </c>
      <c r="J30" s="450">
        <f t="shared" si="1"/>
        <v>175.58383353238489</v>
      </c>
      <c r="K30" s="450">
        <f t="shared" si="1"/>
        <v>176.78603278216664</v>
      </c>
      <c r="L30" s="429"/>
    </row>
    <row r="31" spans="1:14" s="419" customFormat="1" ht="18.95" customHeight="1">
      <c r="A31" s="439">
        <v>9</v>
      </c>
      <c r="B31" s="409" t="s">
        <v>686</v>
      </c>
      <c r="C31" s="450">
        <f>SUM(C18+C30)-0.01</f>
        <v>663.62553509999998</v>
      </c>
      <c r="D31" s="450">
        <f t="shared" ref="D31:K31" si="2">D30+D18</f>
        <v>1.4999999999999999E-2</v>
      </c>
      <c r="E31" s="450">
        <f t="shared" si="2"/>
        <v>1.4999999999999999E-2</v>
      </c>
      <c r="F31" s="450">
        <f t="shared" si="2"/>
        <v>446.00058520849996</v>
      </c>
      <c r="G31" s="450">
        <f t="shared" si="2"/>
        <v>504.7925099045251</v>
      </c>
      <c r="H31" s="450">
        <f t="shared" si="2"/>
        <v>518.64836645091611</v>
      </c>
      <c r="I31" s="450">
        <f t="shared" si="2"/>
        <v>518.62458042419178</v>
      </c>
      <c r="J31" s="450">
        <f t="shared" si="2"/>
        <v>525.58383353238492</v>
      </c>
      <c r="K31" s="450">
        <f t="shared" si="2"/>
        <v>526.78603278216667</v>
      </c>
      <c r="L31" s="429"/>
    </row>
    <row r="32" spans="1:14" s="419" customFormat="1" ht="18.95" customHeight="1">
      <c r="A32" s="439"/>
      <c r="B32" s="501" t="s">
        <v>685</v>
      </c>
      <c r="C32" s="500"/>
      <c r="D32" s="483"/>
      <c r="E32" s="483"/>
      <c r="F32" s="483"/>
      <c r="G32" s="483"/>
      <c r="H32" s="483"/>
      <c r="I32" s="483"/>
      <c r="J32" s="483"/>
      <c r="K32" s="483"/>
      <c r="L32" s="431"/>
    </row>
    <row r="33" spans="1:13" s="419" customFormat="1" ht="18.95" customHeight="1">
      <c r="A33" s="439"/>
      <c r="B33" s="406"/>
      <c r="C33" s="456"/>
      <c r="D33" s="432"/>
      <c r="E33" s="432"/>
      <c r="F33" s="432"/>
      <c r="G33" s="432"/>
      <c r="H33" s="432"/>
      <c r="I33" s="432"/>
      <c r="J33" s="432"/>
      <c r="K33" s="432"/>
      <c r="L33" s="431"/>
    </row>
    <row r="34" spans="1:13" s="419" customFormat="1" ht="18.95" customHeight="1">
      <c r="A34" s="439">
        <v>10</v>
      </c>
      <c r="B34" s="406" t="s">
        <v>684</v>
      </c>
      <c r="C34" s="456"/>
      <c r="D34" s="432">
        <v>0</v>
      </c>
      <c r="E34" s="432">
        <v>0</v>
      </c>
      <c r="F34" s="432">
        <f>'term loan'!F17/100000</f>
        <v>150</v>
      </c>
      <c r="G34" s="432">
        <f>'term loan'!F30/100000</f>
        <v>132.5</v>
      </c>
      <c r="H34" s="432">
        <f>'term loan'!F43/100000</f>
        <v>102.5</v>
      </c>
      <c r="I34" s="432">
        <f>'term loan'!F56/100000</f>
        <v>72.5</v>
      </c>
      <c r="J34" s="432">
        <f>'term loan'!F71/100000</f>
        <v>42.5</v>
      </c>
      <c r="K34" s="432">
        <f>'term loan'!F84/100000</f>
        <v>12.5</v>
      </c>
      <c r="L34" s="431"/>
      <c r="M34" s="499">
        <f>G34-H34</f>
        <v>30</v>
      </c>
    </row>
    <row r="35" spans="1:13" s="419" customFormat="1" ht="18.95" customHeight="1">
      <c r="A35" s="439"/>
      <c r="B35" s="406"/>
      <c r="C35" s="456"/>
      <c r="D35" s="432"/>
      <c r="E35" s="432"/>
      <c r="F35" s="432"/>
      <c r="G35" s="432"/>
      <c r="H35" s="432"/>
      <c r="I35" s="432"/>
      <c r="J35" s="432"/>
      <c r="K35" s="432"/>
      <c r="L35" s="431"/>
    </row>
    <row r="36" spans="1:13" ht="15" customHeight="1">
      <c r="A36" s="439"/>
      <c r="B36" s="406" t="s">
        <v>683</v>
      </c>
      <c r="C36" s="477">
        <v>18.77</v>
      </c>
      <c r="D36" s="432">
        <f>57</f>
        <v>57</v>
      </c>
      <c r="E36" s="432">
        <f>'[1]Balance Sheet '!$C$15/100000</f>
        <v>100</v>
      </c>
      <c r="F36" s="432">
        <v>350</v>
      </c>
      <c r="G36" s="432">
        <v>325</v>
      </c>
      <c r="H36" s="432">
        <v>350</v>
      </c>
      <c r="I36" s="432">
        <v>350</v>
      </c>
      <c r="J36" s="432">
        <v>350</v>
      </c>
      <c r="K36" s="432">
        <v>350</v>
      </c>
      <c r="L36" s="431"/>
    </row>
    <row r="37" spans="1:13" ht="15" customHeight="1">
      <c r="A37" s="439"/>
      <c r="B37" s="438"/>
      <c r="C37" s="498"/>
      <c r="D37" s="432"/>
      <c r="E37" s="432"/>
      <c r="F37" s="432"/>
      <c r="G37" s="432"/>
      <c r="H37" s="432"/>
      <c r="I37" s="432"/>
      <c r="J37" s="432"/>
      <c r="K37" s="432" t="s">
        <v>682</v>
      </c>
      <c r="L37" s="431"/>
    </row>
    <row r="38" spans="1:13" ht="13.5" hidden="1" customHeight="1">
      <c r="A38" s="439">
        <v>13</v>
      </c>
      <c r="B38" s="438" t="s">
        <v>681</v>
      </c>
      <c r="C38" s="432">
        <v>0</v>
      </c>
      <c r="D38" s="432">
        <v>0</v>
      </c>
      <c r="E38" s="432">
        <v>0</v>
      </c>
      <c r="F38" s="432">
        <v>0</v>
      </c>
      <c r="G38" s="432"/>
      <c r="H38" s="432"/>
      <c r="I38" s="432">
        <v>0</v>
      </c>
      <c r="J38" s="432">
        <v>0</v>
      </c>
      <c r="K38" s="432">
        <v>0</v>
      </c>
      <c r="L38" s="431"/>
    </row>
    <row r="39" spans="1:13" ht="13.5" hidden="1" customHeight="1">
      <c r="A39" s="439"/>
      <c r="B39" s="438"/>
      <c r="C39" s="498"/>
      <c r="D39" s="432"/>
      <c r="E39" s="432"/>
      <c r="F39" s="432"/>
      <c r="G39" s="432"/>
      <c r="H39" s="432"/>
      <c r="I39" s="432"/>
      <c r="J39" s="432"/>
      <c r="K39" s="432"/>
      <c r="L39" s="431"/>
    </row>
    <row r="40" spans="1:13" ht="13.5" hidden="1" customHeight="1">
      <c r="A40" s="439">
        <v>14</v>
      </c>
      <c r="B40" s="496" t="s">
        <v>680</v>
      </c>
      <c r="C40" s="497"/>
      <c r="D40" s="432"/>
      <c r="E40" s="432"/>
      <c r="F40" s="432">
        <v>0</v>
      </c>
      <c r="G40" s="432"/>
      <c r="H40" s="432"/>
      <c r="I40" s="432"/>
      <c r="J40" s="432"/>
      <c r="K40" s="432"/>
      <c r="L40" s="431"/>
    </row>
    <row r="41" spans="1:13" ht="13.5" hidden="1" customHeight="1">
      <c r="A41" s="439"/>
      <c r="B41" s="496"/>
      <c r="C41" s="460"/>
      <c r="D41" s="432"/>
      <c r="E41" s="432"/>
      <c r="F41" s="432"/>
      <c r="G41" s="432"/>
      <c r="H41" s="432"/>
      <c r="I41" s="432"/>
      <c r="J41" s="432"/>
      <c r="K41" s="432"/>
      <c r="L41" s="431"/>
    </row>
    <row r="42" spans="1:13" ht="13.5" hidden="1" customHeight="1">
      <c r="A42" s="439">
        <v>15</v>
      </c>
      <c r="B42" s="496" t="s">
        <v>679</v>
      </c>
      <c r="C42" s="432">
        <v>0</v>
      </c>
      <c r="D42" s="432">
        <v>0</v>
      </c>
      <c r="E42" s="432">
        <v>0</v>
      </c>
      <c r="F42" s="432">
        <v>0</v>
      </c>
      <c r="G42" s="432"/>
      <c r="H42" s="432"/>
      <c r="I42" s="432">
        <v>0</v>
      </c>
      <c r="J42" s="432">
        <v>0</v>
      </c>
      <c r="K42" s="432">
        <v>0</v>
      </c>
      <c r="L42" s="431"/>
    </row>
    <row r="43" spans="1:13" ht="13.5" hidden="1" customHeight="1">
      <c r="A43" s="439"/>
      <c r="B43" s="496"/>
      <c r="C43" s="432">
        <v>0</v>
      </c>
      <c r="D43" s="432">
        <v>0</v>
      </c>
      <c r="E43" s="432">
        <v>0</v>
      </c>
      <c r="F43" s="432"/>
      <c r="G43" s="432"/>
      <c r="H43" s="432"/>
      <c r="I43" s="432">
        <v>0</v>
      </c>
      <c r="J43" s="432">
        <v>0</v>
      </c>
      <c r="K43" s="432">
        <v>0</v>
      </c>
      <c r="L43" s="431"/>
    </row>
    <row r="44" spans="1:13" ht="13.5" hidden="1" customHeight="1">
      <c r="A44" s="439">
        <v>16</v>
      </c>
      <c r="B44" s="406" t="s">
        <v>678</v>
      </c>
      <c r="C44" s="432">
        <v>0</v>
      </c>
      <c r="D44" s="432">
        <v>0</v>
      </c>
      <c r="E44" s="432">
        <v>0</v>
      </c>
      <c r="F44" s="432">
        <v>0</v>
      </c>
      <c r="G44" s="432"/>
      <c r="H44" s="432"/>
      <c r="I44" s="432">
        <v>0</v>
      </c>
      <c r="J44" s="432">
        <v>0</v>
      </c>
      <c r="K44" s="432">
        <v>0</v>
      </c>
      <c r="L44" s="431"/>
    </row>
    <row r="45" spans="1:13" ht="13.5" hidden="1" customHeight="1">
      <c r="A45" s="439"/>
      <c r="B45" s="406"/>
      <c r="C45" s="432"/>
      <c r="D45" s="432"/>
      <c r="E45" s="432"/>
      <c r="F45" s="432"/>
      <c r="G45" s="432"/>
      <c r="H45" s="432"/>
      <c r="I45" s="432"/>
      <c r="J45" s="432"/>
      <c r="K45" s="432"/>
      <c r="L45" s="431"/>
    </row>
    <row r="46" spans="1:13" s="419" customFormat="1" ht="15" hidden="1" customHeight="1">
      <c r="A46" s="455">
        <v>17</v>
      </c>
      <c r="B46" s="406" t="s">
        <v>677</v>
      </c>
      <c r="C46" s="432">
        <v>0</v>
      </c>
      <c r="D46" s="432">
        <v>0</v>
      </c>
      <c r="E46" s="432"/>
      <c r="F46" s="432"/>
      <c r="G46" s="432"/>
      <c r="H46" s="432"/>
      <c r="I46" s="432"/>
      <c r="J46" s="432"/>
      <c r="K46" s="432"/>
      <c r="L46" s="431"/>
    </row>
    <row r="47" spans="1:13" ht="15" customHeight="1">
      <c r="A47" s="439">
        <v>11</v>
      </c>
      <c r="B47" s="409" t="s">
        <v>676</v>
      </c>
      <c r="C47" s="450">
        <f xml:space="preserve"> SUM(C36:C46)</f>
        <v>18.77</v>
      </c>
      <c r="D47" s="450">
        <f t="shared" ref="D47:K47" si="3">SUM(D34:D36)</f>
        <v>57</v>
      </c>
      <c r="E47" s="450">
        <f t="shared" si="3"/>
        <v>100</v>
      </c>
      <c r="F47" s="450">
        <f t="shared" si="3"/>
        <v>500</v>
      </c>
      <c r="G47" s="450">
        <f t="shared" si="3"/>
        <v>457.5</v>
      </c>
      <c r="H47" s="450">
        <f t="shared" si="3"/>
        <v>452.5</v>
      </c>
      <c r="I47" s="450">
        <f t="shared" si="3"/>
        <v>422.5</v>
      </c>
      <c r="J47" s="450">
        <f t="shared" si="3"/>
        <v>392.5</v>
      </c>
      <c r="K47" s="450">
        <f t="shared" si="3"/>
        <v>362.5</v>
      </c>
      <c r="L47" s="429"/>
    </row>
    <row r="48" spans="1:13" s="419" customFormat="1" ht="15" customHeight="1">
      <c r="A48" s="439"/>
      <c r="B48" s="416"/>
      <c r="C48" s="432"/>
      <c r="D48" s="432"/>
      <c r="E48" s="432"/>
      <c r="F48" s="432"/>
      <c r="G48" s="432"/>
      <c r="H48" s="432"/>
      <c r="I48" s="432"/>
      <c r="J48" s="432"/>
      <c r="K48" s="432"/>
      <c r="L48" s="431"/>
    </row>
    <row r="49" spans="1:12" ht="15" customHeight="1">
      <c r="A49" s="439">
        <v>12</v>
      </c>
      <c r="B49" s="409" t="s">
        <v>675</v>
      </c>
      <c r="C49" s="450">
        <f t="shared" ref="C49:K49" si="4">C31+C47</f>
        <v>682.39553509999996</v>
      </c>
      <c r="D49" s="450">
        <f t="shared" si="4"/>
        <v>57.015000000000001</v>
      </c>
      <c r="E49" s="450">
        <f t="shared" si="4"/>
        <v>100.015</v>
      </c>
      <c r="F49" s="450">
        <f t="shared" si="4"/>
        <v>946.00058520849996</v>
      </c>
      <c r="G49" s="450">
        <f t="shared" si="4"/>
        <v>962.2925099045251</v>
      </c>
      <c r="H49" s="450">
        <f t="shared" si="4"/>
        <v>971.14836645091611</v>
      </c>
      <c r="I49" s="450">
        <f t="shared" si="4"/>
        <v>941.12458042419178</v>
      </c>
      <c r="J49" s="450">
        <f t="shared" si="4"/>
        <v>918.08383353238492</v>
      </c>
      <c r="K49" s="450">
        <f t="shared" si="4"/>
        <v>889.28603278216667</v>
      </c>
      <c r="L49" s="429"/>
    </row>
    <row r="50" spans="1:12" ht="15" customHeight="1">
      <c r="A50" s="439"/>
      <c r="B50" s="411" t="s">
        <v>670</v>
      </c>
      <c r="C50" s="482"/>
      <c r="D50" s="432"/>
      <c r="E50" s="432"/>
      <c r="F50" s="432"/>
      <c r="G50" s="432"/>
      <c r="H50" s="432"/>
      <c r="I50" s="432"/>
      <c r="J50" s="432"/>
      <c r="K50" s="432"/>
      <c r="L50" s="431"/>
    </row>
    <row r="51" spans="1:12" ht="15" customHeight="1">
      <c r="A51" s="439">
        <v>13</v>
      </c>
      <c r="B51" s="406" t="s">
        <v>674</v>
      </c>
      <c r="C51" s="494">
        <f>21579018.7/100000</f>
        <v>215.790187</v>
      </c>
      <c r="D51" s="432">
        <v>1</v>
      </c>
      <c r="E51" s="432">
        <v>1</v>
      </c>
      <c r="F51" s="432">
        <v>1</v>
      </c>
      <c r="G51" s="432">
        <v>1</v>
      </c>
      <c r="H51" s="432">
        <v>1</v>
      </c>
      <c r="I51" s="432">
        <v>1</v>
      </c>
      <c r="J51" s="432">
        <v>1</v>
      </c>
      <c r="K51" s="432">
        <v>1</v>
      </c>
      <c r="L51" s="495" t="e">
        <f>#REF!</f>
        <v>#REF!</v>
      </c>
    </row>
    <row r="52" spans="1:12" ht="15" customHeight="1">
      <c r="A52" s="439"/>
      <c r="B52" s="406"/>
      <c r="C52" s="494"/>
      <c r="D52" s="432"/>
      <c r="E52" s="432"/>
      <c r="F52" s="432"/>
      <c r="G52" s="432"/>
      <c r="H52" s="432"/>
      <c r="I52" s="432"/>
      <c r="J52" s="432"/>
      <c r="K52" s="432"/>
      <c r="L52" s="431"/>
    </row>
    <row r="53" spans="1:12" ht="15" customHeight="1">
      <c r="A53" s="439">
        <v>14</v>
      </c>
      <c r="B53" s="406" t="s">
        <v>673</v>
      </c>
      <c r="C53" s="477"/>
      <c r="D53" s="432">
        <f>-32650/100000</f>
        <v>-0.32650000000000001</v>
      </c>
      <c r="E53" s="432">
        <f t="shared" ref="E53:K53" si="5">D53+D57</f>
        <v>-0.35300000000000004</v>
      </c>
      <c r="F53" s="432">
        <f t="shared" si="5"/>
        <v>-1.2364999999999999</v>
      </c>
      <c r="G53" s="432">
        <f t="shared" si="5"/>
        <v>1.0010546248332979</v>
      </c>
      <c r="H53" s="432">
        <f t="shared" si="5"/>
        <v>39.671359945308495</v>
      </c>
      <c r="I53" s="432">
        <f t="shared" si="5"/>
        <v>97.027415665641996</v>
      </c>
      <c r="J53" s="432">
        <f t="shared" si="5"/>
        <v>161.03901784401251</v>
      </c>
      <c r="K53" s="432">
        <f t="shared" si="5"/>
        <v>227.19574590510621</v>
      </c>
      <c r="L53" s="431"/>
    </row>
    <row r="54" spans="1:12" ht="15" customHeight="1">
      <c r="A54" s="439"/>
      <c r="B54" s="316"/>
      <c r="C54" s="477"/>
      <c r="D54" s="432"/>
      <c r="E54" s="432"/>
      <c r="F54" s="432"/>
      <c r="G54" s="432"/>
      <c r="H54" s="432"/>
      <c r="I54" s="432"/>
      <c r="J54" s="432"/>
      <c r="K54" s="432"/>
      <c r="L54" s="431"/>
    </row>
    <row r="55" spans="1:12" ht="15" customHeight="1">
      <c r="A55" s="439">
        <v>15</v>
      </c>
      <c r="B55" s="416" t="s">
        <v>672</v>
      </c>
      <c r="C55" s="477"/>
      <c r="D55" s="432"/>
      <c r="E55" s="432"/>
      <c r="F55" s="432"/>
      <c r="G55" s="432"/>
      <c r="H55" s="432"/>
      <c r="I55" s="432"/>
      <c r="J55" s="432"/>
      <c r="K55" s="432"/>
      <c r="L55" s="431"/>
    </row>
    <row r="56" spans="1:12" ht="15" customHeight="1">
      <c r="A56" s="439"/>
      <c r="B56" s="406"/>
      <c r="C56" s="477"/>
      <c r="D56" s="432"/>
      <c r="E56" s="432"/>
      <c r="F56" s="432"/>
      <c r="G56" s="432"/>
      <c r="H56" s="432"/>
      <c r="I56" s="432"/>
      <c r="J56" s="432"/>
      <c r="K56" s="432"/>
      <c r="L56" s="431"/>
    </row>
    <row r="57" spans="1:12" ht="15" customHeight="1">
      <c r="A57" s="439">
        <v>16</v>
      </c>
      <c r="B57" s="406" t="s">
        <v>671</v>
      </c>
      <c r="C57" s="477"/>
      <c r="D57" s="432">
        <f>'form ii'!E77</f>
        <v>-2.6499999999999999E-2</v>
      </c>
      <c r="E57" s="432">
        <f>'form ii'!F77</f>
        <v>-0.88349999999999995</v>
      </c>
      <c r="F57" s="432">
        <f>'form ii'!G77</f>
        <v>2.2375546248332978</v>
      </c>
      <c r="G57" s="432">
        <f>'form ii'!H77</f>
        <v>38.670305320475194</v>
      </c>
      <c r="H57" s="432">
        <f>'form ii'!I77</f>
        <v>57.356055720333501</v>
      </c>
      <c r="I57" s="432">
        <f>'form ii'!J77</f>
        <v>64.011602178370524</v>
      </c>
      <c r="J57" s="432">
        <f>'form ii'!K77</f>
        <v>66.156728061093688</v>
      </c>
      <c r="K57" s="432">
        <f>'form ii'!L77</f>
        <v>66.608895315460046</v>
      </c>
      <c r="L57" s="431"/>
    </row>
    <row r="58" spans="1:12" ht="15" customHeight="1">
      <c r="A58" s="439"/>
      <c r="B58" s="406"/>
      <c r="C58" s="477"/>
      <c r="D58" s="432"/>
      <c r="E58" s="432"/>
      <c r="F58" s="432"/>
      <c r="G58" s="432"/>
      <c r="H58" s="432"/>
      <c r="I58" s="432"/>
      <c r="J58" s="432"/>
      <c r="K58" s="432"/>
      <c r="L58" s="431"/>
    </row>
    <row r="59" spans="1:12" ht="15" customHeight="1">
      <c r="A59" s="439">
        <v>17</v>
      </c>
      <c r="B59" s="409" t="s">
        <v>670</v>
      </c>
      <c r="C59" s="450" t="e">
        <f>#REF!</f>
        <v>#REF!</v>
      </c>
      <c r="D59" s="493">
        <f t="shared" ref="D59:K59" si="6">SUM(D51:D57)</f>
        <v>0.64700000000000002</v>
      </c>
      <c r="E59" s="450">
        <f t="shared" si="6"/>
        <v>-0.23649999999999993</v>
      </c>
      <c r="F59" s="493">
        <f t="shared" si="6"/>
        <v>2.0010546248332979</v>
      </c>
      <c r="G59" s="493">
        <f t="shared" si="6"/>
        <v>40.671359945308495</v>
      </c>
      <c r="H59" s="493">
        <f t="shared" si="6"/>
        <v>98.027415665641996</v>
      </c>
      <c r="I59" s="493">
        <f t="shared" si="6"/>
        <v>162.03901784401251</v>
      </c>
      <c r="J59" s="493">
        <f t="shared" si="6"/>
        <v>228.19574590510621</v>
      </c>
      <c r="K59" s="493">
        <f t="shared" si="6"/>
        <v>294.80464122056628</v>
      </c>
      <c r="L59" s="429" t="e">
        <f>#REF!</f>
        <v>#REF!</v>
      </c>
    </row>
    <row r="60" spans="1:12" ht="15" customHeight="1">
      <c r="A60" s="478"/>
      <c r="B60" s="406"/>
      <c r="C60" s="456"/>
      <c r="D60" s="432"/>
      <c r="E60" s="432"/>
      <c r="F60" s="432"/>
      <c r="G60" s="432"/>
      <c r="H60" s="432"/>
      <c r="I60" s="432"/>
      <c r="J60" s="432"/>
      <c r="K60" s="432"/>
      <c r="L60" s="431"/>
    </row>
    <row r="61" spans="1:12" ht="15" customHeight="1">
      <c r="A61" s="478" t="s">
        <v>669</v>
      </c>
      <c r="B61" s="409" t="s">
        <v>668</v>
      </c>
      <c r="C61" s="492" t="e">
        <f t="shared" ref="C61:K61" si="7">C49+C59</f>
        <v>#REF!</v>
      </c>
      <c r="D61" s="450">
        <f t="shared" si="7"/>
        <v>57.661999999999999</v>
      </c>
      <c r="E61" s="450">
        <f t="shared" si="7"/>
        <v>99.778499999999994</v>
      </c>
      <c r="F61" s="450">
        <f t="shared" si="7"/>
        <v>948.00163983333323</v>
      </c>
      <c r="G61" s="450">
        <f t="shared" si="7"/>
        <v>1002.9638698498336</v>
      </c>
      <c r="H61" s="450">
        <f t="shared" si="7"/>
        <v>1069.1757821165581</v>
      </c>
      <c r="I61" s="450">
        <f t="shared" si="7"/>
        <v>1103.1635982682042</v>
      </c>
      <c r="J61" s="450">
        <f t="shared" si="7"/>
        <v>1146.2795794374911</v>
      </c>
      <c r="K61" s="450">
        <f t="shared" si="7"/>
        <v>1184.0906740027331</v>
      </c>
      <c r="L61" s="429"/>
    </row>
    <row r="62" spans="1:12" ht="15" customHeight="1">
      <c r="A62" s="491"/>
      <c r="B62" s="487"/>
      <c r="C62" s="490"/>
      <c r="D62" s="489"/>
      <c r="E62" s="489"/>
      <c r="F62" s="489"/>
      <c r="G62" s="489"/>
      <c r="H62" s="489"/>
      <c r="I62" s="489"/>
      <c r="J62" s="489"/>
      <c r="K62" s="489"/>
      <c r="L62" s="429"/>
    </row>
    <row r="63" spans="1:12" ht="15" customHeight="1">
      <c r="A63" s="488"/>
      <c r="B63" s="409"/>
      <c r="C63" s="487"/>
      <c r="D63" s="429"/>
      <c r="E63" s="429"/>
      <c r="F63" s="429"/>
      <c r="G63" s="429"/>
      <c r="H63" s="429"/>
      <c r="I63" s="429"/>
      <c r="J63" s="429"/>
      <c r="K63" s="429"/>
      <c r="L63" s="429"/>
    </row>
    <row r="64" spans="1:12" ht="15" customHeight="1">
      <c r="A64" s="486"/>
      <c r="B64" s="485" t="s">
        <v>667</v>
      </c>
      <c r="C64" s="484"/>
      <c r="D64" s="483"/>
      <c r="E64" s="483"/>
      <c r="F64" s="483"/>
      <c r="G64" s="483"/>
      <c r="H64" s="483"/>
      <c r="I64" s="483"/>
      <c r="J64" s="483"/>
      <c r="K64" s="483"/>
      <c r="L64" s="431"/>
    </row>
    <row r="65" spans="1:15" ht="15" customHeight="1">
      <c r="A65" s="439"/>
      <c r="B65" s="411" t="s">
        <v>215</v>
      </c>
      <c r="C65" s="482"/>
      <c r="D65" s="432"/>
      <c r="E65" s="432"/>
      <c r="F65" s="432"/>
      <c r="G65" s="432"/>
      <c r="H65" s="432"/>
      <c r="I65" s="432"/>
      <c r="J65" s="432"/>
      <c r="K65" s="432"/>
      <c r="L65" s="431"/>
    </row>
    <row r="66" spans="1:15" ht="15" customHeight="1">
      <c r="A66" s="478" t="s">
        <v>666</v>
      </c>
      <c r="B66" s="406" t="s">
        <v>665</v>
      </c>
      <c r="C66" s="477">
        <f>474413.89/100000</f>
        <v>4.7441389000000003</v>
      </c>
      <c r="D66" s="432">
        <f>61165/100000</f>
        <v>0.61165000000000003</v>
      </c>
      <c r="E66" s="432">
        <f>'[1]Balance Sheet '!$C$43/100000</f>
        <v>0.65376999999999996</v>
      </c>
      <c r="F66" s="432">
        <f>'Cash Flow 2'!F50</f>
        <v>6.450853333333205</v>
      </c>
      <c r="G66" s="432">
        <f>'Cash Flow 2'!G50</f>
        <v>4.0335981248335511</v>
      </c>
      <c r="H66" s="432">
        <f>'Cash Flow 2'!H50</f>
        <v>9.6160882203080771</v>
      </c>
      <c r="I66" s="432">
        <f>'Cash Flow 2'!I50</f>
        <v>10.642721769391775</v>
      </c>
      <c r="J66" s="432">
        <f>'Cash Flow 2'!J50</f>
        <v>11.893141345200496</v>
      </c>
      <c r="K66" s="432">
        <f>'Cash Flow 2'!K50</f>
        <v>5.3843078128158961</v>
      </c>
      <c r="L66" s="431"/>
    </row>
    <row r="67" spans="1:15" ht="15" customHeight="1">
      <c r="A67" s="478"/>
      <c r="B67" s="406"/>
      <c r="C67" s="456"/>
      <c r="D67" s="432"/>
      <c r="E67" s="432" t="s">
        <v>471</v>
      </c>
      <c r="F67" s="432" t="s">
        <v>471</v>
      </c>
      <c r="G67" s="432"/>
      <c r="H67" s="432"/>
      <c r="I67" s="432"/>
      <c r="J67" s="432"/>
      <c r="K67" s="432"/>
      <c r="L67" s="431"/>
    </row>
    <row r="68" spans="1:15" ht="15" customHeight="1">
      <c r="A68" s="478" t="s">
        <v>664</v>
      </c>
      <c r="B68" s="406" t="s">
        <v>663</v>
      </c>
      <c r="C68" s="456"/>
      <c r="D68" s="432"/>
      <c r="E68" s="432"/>
      <c r="F68" s="432"/>
      <c r="G68" s="432"/>
      <c r="H68" s="432"/>
      <c r="I68" s="432"/>
      <c r="J68" s="432"/>
      <c r="K68" s="432"/>
      <c r="L68" s="431"/>
    </row>
    <row r="69" spans="1:15" ht="18.75" customHeight="1">
      <c r="A69" s="478"/>
      <c r="B69" s="406" t="s">
        <v>662</v>
      </c>
      <c r="C69" s="432">
        <v>2.88</v>
      </c>
      <c r="D69" s="432">
        <v>0</v>
      </c>
      <c r="E69" s="432">
        <v>0</v>
      </c>
      <c r="F69" s="432">
        <v>0</v>
      </c>
      <c r="G69" s="432">
        <v>0</v>
      </c>
      <c r="H69" s="432">
        <v>0</v>
      </c>
      <c r="I69" s="432">
        <v>0</v>
      </c>
      <c r="J69" s="432">
        <v>0</v>
      </c>
      <c r="K69" s="432">
        <v>0</v>
      </c>
      <c r="L69" s="431"/>
    </row>
    <row r="70" spans="1:15" ht="15" customHeight="1">
      <c r="A70" s="478"/>
      <c r="B70" s="406"/>
      <c r="C70" s="456"/>
      <c r="D70" s="432"/>
      <c r="E70" s="432"/>
      <c r="F70" s="432"/>
      <c r="G70" s="432"/>
      <c r="H70" s="432"/>
      <c r="I70" s="432"/>
      <c r="J70" s="432"/>
      <c r="K70" s="432"/>
      <c r="L70" s="431"/>
    </row>
    <row r="71" spans="1:15" ht="51" customHeight="1">
      <c r="A71" s="478" t="s">
        <v>661</v>
      </c>
      <c r="B71" s="480" t="s">
        <v>660</v>
      </c>
      <c r="C71" s="432">
        <v>596.02</v>
      </c>
      <c r="D71" s="432">
        <v>0</v>
      </c>
      <c r="E71" s="432">
        <v>0</v>
      </c>
      <c r="F71" s="432">
        <v>190</v>
      </c>
      <c r="G71" s="432">
        <v>370</v>
      </c>
      <c r="H71" s="432">
        <v>360</v>
      </c>
      <c r="I71" s="432">
        <v>420</v>
      </c>
      <c r="J71" s="432">
        <v>480</v>
      </c>
      <c r="K71" s="432">
        <v>540</v>
      </c>
      <c r="L71" s="431"/>
      <c r="O71" s="481" t="e">
        <f>#REF!-15.56</f>
        <v>#REF!</v>
      </c>
    </row>
    <row r="72" spans="1:15" ht="42.75" customHeight="1">
      <c r="A72" s="478"/>
      <c r="B72" s="480" t="s">
        <v>659</v>
      </c>
      <c r="C72" s="432">
        <v>0</v>
      </c>
      <c r="D72" s="432">
        <v>0</v>
      </c>
      <c r="E72" s="432"/>
      <c r="F72" s="432">
        <v>0</v>
      </c>
      <c r="G72" s="432">
        <v>0</v>
      </c>
      <c r="H72" s="432">
        <v>0</v>
      </c>
      <c r="I72" s="432">
        <v>0</v>
      </c>
      <c r="J72" s="432">
        <v>0</v>
      </c>
      <c r="K72" s="432">
        <v>0</v>
      </c>
      <c r="L72" s="431"/>
    </row>
    <row r="73" spans="1:15" ht="15" customHeight="1">
      <c r="A73" s="478"/>
      <c r="B73" s="421"/>
      <c r="C73" s="475"/>
      <c r="D73" s="432"/>
      <c r="E73" s="432"/>
      <c r="F73" s="432"/>
      <c r="G73" s="432"/>
      <c r="H73" s="432"/>
      <c r="I73" s="432"/>
      <c r="J73" s="432"/>
      <c r="K73" s="432"/>
      <c r="L73" s="431"/>
    </row>
    <row r="74" spans="1:15" ht="15" customHeight="1">
      <c r="A74" s="478"/>
      <c r="B74" s="421" t="s">
        <v>658</v>
      </c>
      <c r="C74" s="475"/>
      <c r="D74" s="432"/>
      <c r="E74" s="432"/>
      <c r="F74" s="432"/>
      <c r="G74" s="432"/>
      <c r="H74" s="432"/>
      <c r="I74" s="432"/>
      <c r="J74" s="432"/>
      <c r="K74" s="432"/>
      <c r="L74" s="431"/>
    </row>
    <row r="75" spans="1:15" ht="15" customHeight="1">
      <c r="A75" s="478" t="s">
        <v>657</v>
      </c>
      <c r="B75" s="421" t="s">
        <v>656</v>
      </c>
      <c r="C75" s="475"/>
      <c r="D75" s="432"/>
      <c r="E75" s="432"/>
      <c r="F75" s="432"/>
      <c r="G75" s="432"/>
      <c r="H75" s="432"/>
      <c r="I75" s="432"/>
      <c r="J75" s="432"/>
      <c r="K75" s="432"/>
      <c r="L75" s="431"/>
    </row>
    <row r="76" spans="1:15" ht="15" customHeight="1">
      <c r="A76" s="478"/>
      <c r="B76" s="479" t="s">
        <v>655</v>
      </c>
      <c r="C76" s="432">
        <v>0</v>
      </c>
      <c r="D76" s="432"/>
      <c r="E76" s="432"/>
      <c r="F76" s="432"/>
      <c r="G76" s="432"/>
      <c r="H76" s="432"/>
      <c r="I76" s="432"/>
      <c r="J76" s="432"/>
      <c r="K76" s="432"/>
      <c r="L76" s="431"/>
    </row>
    <row r="77" spans="1:15" ht="15" customHeight="1">
      <c r="A77" s="478"/>
      <c r="B77" s="421" t="s">
        <v>651</v>
      </c>
      <c r="C77" s="432">
        <v>0</v>
      </c>
      <c r="D77" s="432">
        <v>0</v>
      </c>
      <c r="E77" s="432">
        <v>0</v>
      </c>
      <c r="F77" s="432">
        <v>0</v>
      </c>
      <c r="G77" s="432">
        <v>0</v>
      </c>
      <c r="H77" s="432">
        <v>0</v>
      </c>
      <c r="I77" s="432"/>
      <c r="J77" s="432"/>
      <c r="K77" s="432"/>
      <c r="L77" s="431"/>
    </row>
    <row r="78" spans="1:15" ht="15" customHeight="1">
      <c r="A78" s="439"/>
      <c r="B78" s="421" t="s">
        <v>654</v>
      </c>
      <c r="C78" s="477"/>
      <c r="D78" s="432">
        <f>'form ii'!E37</f>
        <v>0</v>
      </c>
      <c r="E78" s="432">
        <f>'form ii'!F37</f>
        <v>0</v>
      </c>
      <c r="F78" s="432">
        <f>'form ii'!G37</f>
        <v>225</v>
      </c>
      <c r="G78" s="432">
        <f>'form ii'!H37</f>
        <v>180</v>
      </c>
      <c r="H78" s="432">
        <f>'form ii'!I37</f>
        <v>225</v>
      </c>
      <c r="I78" s="432">
        <f>'form ii'!J37</f>
        <v>225</v>
      </c>
      <c r="J78" s="432">
        <f>'form ii'!K37</f>
        <v>225</v>
      </c>
      <c r="K78" s="432">
        <f>'form ii'!L37</f>
        <v>225</v>
      </c>
      <c r="L78" s="431"/>
    </row>
    <row r="79" spans="1:15" ht="15" customHeight="1">
      <c r="A79" s="439"/>
      <c r="B79" s="421" t="s">
        <v>653</v>
      </c>
      <c r="C79" s="432"/>
      <c r="D79" s="432">
        <f>'form ii'!E41</f>
        <v>0</v>
      </c>
      <c r="E79" s="432">
        <f>'form ii'!F41</f>
        <v>0</v>
      </c>
      <c r="F79" s="432">
        <f>'form ii'!G41</f>
        <v>250</v>
      </c>
      <c r="G79" s="432">
        <f>'form ii'!H41</f>
        <v>200</v>
      </c>
      <c r="H79" s="432">
        <f>'form ii'!I41</f>
        <v>250</v>
      </c>
      <c r="I79" s="432">
        <f>'form ii'!J41</f>
        <v>250</v>
      </c>
      <c r="J79" s="432">
        <f>'form ii'!K41</f>
        <v>250</v>
      </c>
      <c r="K79" s="432">
        <f>'form ii'!L41</f>
        <v>250</v>
      </c>
      <c r="L79" s="431"/>
    </row>
    <row r="80" spans="1:15" ht="15" customHeight="1">
      <c r="A80" s="439"/>
      <c r="B80" s="421"/>
      <c r="C80" s="477">
        <f>23215430.17/100000</f>
        <v>232.15430170000002</v>
      </c>
      <c r="D80" s="432"/>
      <c r="E80" s="432"/>
      <c r="F80" s="432"/>
      <c r="G80" s="432"/>
      <c r="H80" s="432"/>
      <c r="I80" s="432"/>
      <c r="J80" s="432"/>
      <c r="K80" s="432"/>
      <c r="L80" s="432" t="e">
        <f>'[2]form ii'!#REF!</f>
        <v>#REF!</v>
      </c>
    </row>
    <row r="81" spans="1:12" ht="23.25" customHeight="1">
      <c r="A81" s="439"/>
      <c r="B81" s="406" t="s">
        <v>652</v>
      </c>
      <c r="C81" s="456"/>
      <c r="D81" s="432"/>
      <c r="E81" s="432"/>
      <c r="F81" s="432"/>
      <c r="G81" s="432"/>
      <c r="H81" s="432"/>
      <c r="I81" s="432"/>
      <c r="J81" s="432"/>
      <c r="K81" s="432"/>
      <c r="L81" s="431"/>
    </row>
    <row r="82" spans="1:12" ht="15" customHeight="1">
      <c r="A82" s="439"/>
      <c r="B82" s="421" t="s">
        <v>651</v>
      </c>
      <c r="C82" s="432">
        <v>0</v>
      </c>
      <c r="D82" s="432">
        <v>0</v>
      </c>
      <c r="E82" s="432">
        <v>0</v>
      </c>
      <c r="F82" s="432">
        <v>0</v>
      </c>
      <c r="G82" s="432">
        <v>0</v>
      </c>
      <c r="H82" s="432">
        <v>0</v>
      </c>
      <c r="I82" s="432">
        <v>0</v>
      </c>
      <c r="J82" s="432">
        <v>0</v>
      </c>
      <c r="K82" s="432">
        <v>0</v>
      </c>
      <c r="L82" s="431"/>
    </row>
    <row r="83" spans="1:12" ht="15" customHeight="1">
      <c r="A83" s="439"/>
      <c r="B83" s="421" t="s">
        <v>650</v>
      </c>
      <c r="C83" s="432">
        <v>0</v>
      </c>
      <c r="D83" s="432">
        <v>0</v>
      </c>
      <c r="E83" s="432">
        <v>0</v>
      </c>
      <c r="F83" s="432">
        <v>0</v>
      </c>
      <c r="G83" s="432">
        <v>0</v>
      </c>
      <c r="H83" s="432">
        <v>0</v>
      </c>
      <c r="I83" s="432">
        <v>0</v>
      </c>
      <c r="J83" s="432">
        <v>0</v>
      </c>
      <c r="K83" s="432">
        <v>0</v>
      </c>
      <c r="L83" s="431"/>
    </row>
    <row r="84" spans="1:12" ht="15" customHeight="1">
      <c r="A84" s="439"/>
      <c r="B84" s="410" t="s">
        <v>649</v>
      </c>
      <c r="C84" s="463"/>
      <c r="D84" s="432">
        <v>0</v>
      </c>
      <c r="E84" s="432">
        <v>0</v>
      </c>
      <c r="F84" s="432">
        <v>0</v>
      </c>
      <c r="G84" s="432">
        <v>0</v>
      </c>
      <c r="H84" s="432">
        <v>0</v>
      </c>
      <c r="I84" s="432">
        <v>0</v>
      </c>
      <c r="J84" s="432">
        <v>0</v>
      </c>
      <c r="K84" s="432">
        <v>0</v>
      </c>
      <c r="L84" s="431"/>
    </row>
    <row r="85" spans="1:12" ht="15" customHeight="1">
      <c r="A85" s="439"/>
      <c r="B85" s="406"/>
      <c r="C85" s="456"/>
      <c r="D85" s="432"/>
      <c r="E85" s="432"/>
      <c r="F85" s="432"/>
      <c r="G85" s="432"/>
      <c r="H85" s="432"/>
      <c r="I85" s="432"/>
      <c r="J85" s="432"/>
      <c r="K85" s="432"/>
      <c r="L85" s="431"/>
    </row>
    <row r="86" spans="1:12" ht="15" hidden="1" customHeight="1">
      <c r="A86" s="439">
        <v>31</v>
      </c>
      <c r="B86" s="550" t="s">
        <v>648</v>
      </c>
      <c r="C86" s="432">
        <v>0</v>
      </c>
      <c r="D86" s="432">
        <v>0</v>
      </c>
      <c r="E86" s="432"/>
      <c r="F86" s="432">
        <v>0</v>
      </c>
      <c r="G86" s="432">
        <v>0</v>
      </c>
      <c r="H86" s="432">
        <v>0</v>
      </c>
      <c r="I86" s="432">
        <v>0</v>
      </c>
      <c r="J86" s="432">
        <v>0</v>
      </c>
      <c r="K86" s="432">
        <v>0</v>
      </c>
      <c r="L86" s="431"/>
    </row>
    <row r="87" spans="1:12" ht="15" hidden="1" customHeight="1">
      <c r="A87" s="439"/>
      <c r="B87" s="551"/>
      <c r="C87" s="476"/>
      <c r="D87" s="432"/>
      <c r="E87" s="432"/>
      <c r="F87" s="432"/>
      <c r="G87" s="432"/>
      <c r="H87" s="432"/>
      <c r="I87" s="432"/>
      <c r="J87" s="432"/>
      <c r="K87" s="432"/>
      <c r="L87" s="431"/>
    </row>
    <row r="88" spans="1:12" ht="15" hidden="1" customHeight="1">
      <c r="A88" s="439">
        <v>32</v>
      </c>
      <c r="B88" s="421" t="s">
        <v>647</v>
      </c>
      <c r="C88" s="461"/>
      <c r="D88" s="461"/>
      <c r="E88" s="432"/>
      <c r="F88" s="432"/>
      <c r="G88" s="432"/>
      <c r="H88" s="432"/>
      <c r="I88" s="432"/>
      <c r="J88" s="432"/>
      <c r="K88" s="432"/>
      <c r="L88" s="431"/>
    </row>
    <row r="89" spans="1:12" s="419" customFormat="1" ht="15" customHeight="1">
      <c r="A89" s="439"/>
      <c r="B89" s="421"/>
      <c r="C89" s="475"/>
      <c r="D89" s="432"/>
      <c r="E89" s="432"/>
      <c r="F89" s="432"/>
      <c r="G89" s="432"/>
      <c r="H89" s="432"/>
      <c r="I89" s="432"/>
      <c r="J89" s="432"/>
      <c r="K89" s="432"/>
      <c r="L89" s="431"/>
    </row>
    <row r="90" spans="1:12" ht="15" customHeight="1">
      <c r="A90" s="439">
        <v>23</v>
      </c>
      <c r="B90" s="472" t="s">
        <v>646</v>
      </c>
      <c r="C90" s="473"/>
      <c r="D90" s="432"/>
      <c r="E90" s="432"/>
      <c r="F90" s="432"/>
      <c r="G90" s="432"/>
      <c r="H90" s="432"/>
      <c r="I90" s="432"/>
      <c r="J90" s="432"/>
      <c r="K90" s="432"/>
      <c r="L90" s="431"/>
    </row>
    <row r="91" spans="1:12" ht="15" customHeight="1">
      <c r="A91" s="439"/>
      <c r="B91" s="472" t="s">
        <v>645</v>
      </c>
      <c r="C91" s="474">
        <f>7846146.12/100000</f>
        <v>78.461461200000002</v>
      </c>
      <c r="D91" s="432">
        <v>0</v>
      </c>
      <c r="E91" s="432">
        <v>0</v>
      </c>
      <c r="F91" s="432">
        <v>0</v>
      </c>
      <c r="G91" s="432">
        <v>0</v>
      </c>
      <c r="H91" s="432">
        <f>G91*110%</f>
        <v>0</v>
      </c>
      <c r="I91" s="432">
        <f>H91*110%</f>
        <v>0</v>
      </c>
      <c r="J91" s="432">
        <f>I91*110%</f>
        <v>0</v>
      </c>
      <c r="K91" s="432">
        <f>J91*110%</f>
        <v>0</v>
      </c>
      <c r="L91" s="431"/>
    </row>
    <row r="92" spans="1:12" ht="15" customHeight="1">
      <c r="A92" s="439"/>
      <c r="B92" s="472"/>
      <c r="C92" s="473"/>
      <c r="D92" s="432"/>
      <c r="E92" s="432"/>
      <c r="F92" s="432"/>
      <c r="G92" s="432"/>
      <c r="H92" s="432"/>
      <c r="I92" s="432"/>
      <c r="J92" s="432"/>
      <c r="K92" s="432"/>
      <c r="L92" s="431"/>
    </row>
    <row r="93" spans="1:12" ht="15" customHeight="1">
      <c r="A93" s="439"/>
      <c r="B93" s="472" t="s">
        <v>644</v>
      </c>
      <c r="C93" s="432">
        <f>3628023.29/100000</f>
        <v>36.280232900000001</v>
      </c>
      <c r="D93" s="432">
        <f>84568/100000</f>
        <v>0.84567999999999999</v>
      </c>
      <c r="E93" s="432">
        <v>0</v>
      </c>
      <c r="F93" s="432">
        <v>10</v>
      </c>
      <c r="G93" s="432">
        <v>12</v>
      </c>
      <c r="H93" s="432">
        <v>13</v>
      </c>
      <c r="I93" s="432">
        <v>7.7</v>
      </c>
      <c r="J93" s="432">
        <v>8.1999999999999993</v>
      </c>
      <c r="K93" s="432">
        <v>8.5</v>
      </c>
      <c r="L93" s="431"/>
    </row>
    <row r="94" spans="1:12" ht="15" customHeight="1">
      <c r="A94" s="439"/>
      <c r="B94" s="421" t="s">
        <v>643</v>
      </c>
      <c r="C94" s="432">
        <f>742308.76/100000</f>
        <v>7.4230875999999997</v>
      </c>
      <c r="D94" s="432">
        <v>0</v>
      </c>
      <c r="E94" s="432">
        <v>0</v>
      </c>
      <c r="F94" s="432">
        <v>0</v>
      </c>
      <c r="G94" s="432">
        <v>0</v>
      </c>
      <c r="H94" s="432">
        <v>0</v>
      </c>
      <c r="I94" s="432">
        <v>0</v>
      </c>
      <c r="J94" s="432">
        <v>0</v>
      </c>
      <c r="K94" s="432">
        <v>0</v>
      </c>
      <c r="L94" s="431"/>
    </row>
    <row r="95" spans="1:12" ht="15" customHeight="1" thickBot="1">
      <c r="A95" s="439"/>
      <c r="B95" s="471"/>
      <c r="C95" s="470"/>
      <c r="D95" s="432"/>
      <c r="E95" s="432"/>
      <c r="F95" s="432"/>
      <c r="G95" s="432"/>
      <c r="H95" s="432"/>
      <c r="I95" s="432"/>
      <c r="J95" s="432"/>
      <c r="K95" s="432"/>
      <c r="L95" s="431"/>
    </row>
    <row r="96" spans="1:12" ht="15" customHeight="1" thickBot="1">
      <c r="A96" s="469">
        <v>24</v>
      </c>
      <c r="B96" s="468" t="s">
        <v>642</v>
      </c>
      <c r="C96" s="467">
        <f>SUM(C66:C95)</f>
        <v>957.9632223000001</v>
      </c>
      <c r="D96" s="467">
        <f t="shared" ref="D96:K96" si="8">SUM(D66:D94)</f>
        <v>1.45733</v>
      </c>
      <c r="E96" s="467">
        <f t="shared" si="8"/>
        <v>0.65376999999999996</v>
      </c>
      <c r="F96" s="467">
        <f t="shared" si="8"/>
        <v>681.45085333333327</v>
      </c>
      <c r="G96" s="467">
        <f t="shared" si="8"/>
        <v>766.03359812483359</v>
      </c>
      <c r="H96" s="467">
        <f t="shared" si="8"/>
        <v>857.61608822030803</v>
      </c>
      <c r="I96" s="467">
        <f t="shared" si="8"/>
        <v>913.3427217693918</v>
      </c>
      <c r="J96" s="467">
        <f t="shared" si="8"/>
        <v>975.09314134520059</v>
      </c>
      <c r="K96" s="467">
        <f t="shared" si="8"/>
        <v>1028.8843078128159</v>
      </c>
      <c r="L96" s="467" t="e">
        <f>SUM(L66:L95)</f>
        <v>#REF!</v>
      </c>
    </row>
    <row r="97" spans="1:12" ht="15" customHeight="1">
      <c r="A97" s="455"/>
      <c r="B97" s="406" t="s">
        <v>641</v>
      </c>
      <c r="C97" s="456"/>
      <c r="D97" s="432"/>
      <c r="E97" s="432"/>
      <c r="F97" s="432"/>
      <c r="G97" s="432"/>
      <c r="H97" s="432"/>
      <c r="I97" s="432"/>
      <c r="J97" s="432"/>
      <c r="K97" s="432"/>
      <c r="L97" s="431"/>
    </row>
    <row r="98" spans="1:12">
      <c r="A98" s="439">
        <v>25</v>
      </c>
      <c r="B98" s="415" t="s">
        <v>640</v>
      </c>
      <c r="C98" s="432">
        <v>36.94</v>
      </c>
      <c r="D98" s="432">
        <f>dep.!E32</f>
        <v>56.20467</v>
      </c>
      <c r="E98" s="432">
        <f t="shared" ref="E98:K98" si="9">D102</f>
        <v>56.20467</v>
      </c>
      <c r="F98" s="432">
        <f t="shared" si="9"/>
        <v>99.12473</v>
      </c>
      <c r="G98" s="432">
        <f t="shared" si="9"/>
        <v>266.55078650000002</v>
      </c>
      <c r="H98" s="432">
        <f t="shared" si="9"/>
        <v>236.93027172500001</v>
      </c>
      <c r="I98" s="432">
        <f t="shared" si="9"/>
        <v>211.55969389625</v>
      </c>
      <c r="J98" s="432">
        <f t="shared" si="9"/>
        <v>189.82087649881248</v>
      </c>
      <c r="K98" s="432">
        <f t="shared" si="9"/>
        <v>171.18643809229062</v>
      </c>
      <c r="L98" s="432" t="e">
        <f>#REF!</f>
        <v>#REF!</v>
      </c>
    </row>
    <row r="99" spans="1:12">
      <c r="A99" s="439">
        <v>26</v>
      </c>
      <c r="B99" s="415" t="s">
        <v>639</v>
      </c>
      <c r="C99" s="431"/>
      <c r="D99" s="432">
        <v>0</v>
      </c>
      <c r="E99" s="432">
        <f>dep.!F22</f>
        <v>42.920059999999999</v>
      </c>
      <c r="F99" s="432">
        <f>dep.!G10</f>
        <v>202.02125000000001</v>
      </c>
      <c r="G99" s="432">
        <v>0</v>
      </c>
      <c r="H99" s="432">
        <f>[2]Sheet5!J11</f>
        <v>0</v>
      </c>
      <c r="I99" s="432">
        <f>[2]Sheet5!K11</f>
        <v>0</v>
      </c>
      <c r="J99" s="432">
        <v>0</v>
      </c>
      <c r="K99" s="432">
        <v>0</v>
      </c>
      <c r="L99" s="431"/>
    </row>
    <row r="100" spans="1:12" ht="20.25" customHeight="1">
      <c r="A100" s="439">
        <v>27</v>
      </c>
      <c r="B100" s="406" t="s">
        <v>638</v>
      </c>
      <c r="C100" s="404">
        <v>8.0299999999999994</v>
      </c>
      <c r="D100" s="432">
        <f>dep.!E34</f>
        <v>0</v>
      </c>
      <c r="E100" s="432">
        <f>dep.!F34</f>
        <v>0</v>
      </c>
      <c r="F100" s="432">
        <f>dep.!G34</f>
        <v>34.595193500000001</v>
      </c>
      <c r="G100" s="432">
        <f>dep.!H34</f>
        <v>29.620514775</v>
      </c>
      <c r="H100" s="432">
        <f>dep.!I34</f>
        <v>25.370577828750001</v>
      </c>
      <c r="I100" s="432">
        <f>dep.!J34</f>
        <v>21.738817397437501</v>
      </c>
      <c r="J100" s="432">
        <f>dep.!K34</f>
        <v>18.634438406521873</v>
      </c>
      <c r="K100" s="432">
        <f>dep.!L34</f>
        <v>15.980071902373593</v>
      </c>
      <c r="L100" s="431" t="e">
        <f>'[2]form ii'!#REF!</f>
        <v>#REF!</v>
      </c>
    </row>
    <row r="101" spans="1:12" ht="15" customHeight="1">
      <c r="A101" s="439"/>
      <c r="B101" s="406"/>
      <c r="C101" s="456"/>
      <c r="D101" s="432"/>
      <c r="E101" s="432"/>
      <c r="F101" s="432"/>
      <c r="G101" s="432"/>
      <c r="H101" s="432"/>
      <c r="I101" s="432" t="s">
        <v>471</v>
      </c>
      <c r="J101" s="432" t="s">
        <v>471</v>
      </c>
      <c r="K101" s="432" t="s">
        <v>471</v>
      </c>
      <c r="L101" s="431"/>
    </row>
    <row r="102" spans="1:12" ht="15" customHeight="1">
      <c r="A102" s="466">
        <v>28</v>
      </c>
      <c r="B102" s="465" t="s">
        <v>637</v>
      </c>
      <c r="C102" s="450" t="e">
        <f>C98+#REF!-C100</f>
        <v>#REF!</v>
      </c>
      <c r="D102" s="450">
        <f>D98+D99-D100</f>
        <v>56.20467</v>
      </c>
      <c r="E102" s="450">
        <f>E98+E99-E100</f>
        <v>99.12473</v>
      </c>
      <c r="F102" s="450">
        <f>F98+F99-F100</f>
        <v>266.55078650000002</v>
      </c>
      <c r="G102" s="450">
        <f>G98+G99-G100</f>
        <v>236.93027172500001</v>
      </c>
      <c r="H102" s="450">
        <f>H98-H100</f>
        <v>211.55969389625</v>
      </c>
      <c r="I102" s="450">
        <f>I98-I100</f>
        <v>189.82087649881248</v>
      </c>
      <c r="J102" s="450">
        <f>J98-J100</f>
        <v>171.18643809229062</v>
      </c>
      <c r="K102" s="450">
        <f>K98-K100</f>
        <v>155.20636618991702</v>
      </c>
      <c r="L102" s="450" t="e">
        <f>L98-L100</f>
        <v>#REF!</v>
      </c>
    </row>
    <row r="103" spans="1:12" ht="15" customHeight="1">
      <c r="A103" s="439"/>
      <c r="B103" s="406"/>
      <c r="C103" s="456"/>
      <c r="D103" s="432"/>
      <c r="E103" s="432"/>
      <c r="F103" s="432"/>
      <c r="G103" s="432"/>
      <c r="H103" s="432"/>
      <c r="I103" s="432"/>
      <c r="J103" s="432"/>
      <c r="K103" s="432"/>
      <c r="L103" s="431"/>
    </row>
    <row r="104" spans="1:12" ht="15" customHeight="1">
      <c r="A104" s="439">
        <v>29</v>
      </c>
      <c r="B104" s="409" t="s">
        <v>636</v>
      </c>
      <c r="C104" s="464"/>
      <c r="D104" s="432"/>
      <c r="E104" s="432"/>
      <c r="F104" s="432"/>
      <c r="G104" s="432"/>
      <c r="H104" s="432"/>
      <c r="I104" s="432"/>
      <c r="J104" s="432"/>
      <c r="K104" s="432"/>
      <c r="L104" s="431"/>
    </row>
    <row r="105" spans="1:12" ht="15" customHeight="1">
      <c r="A105" s="439"/>
      <c r="B105" s="406"/>
      <c r="C105" s="456"/>
      <c r="D105" s="432"/>
      <c r="E105" s="432"/>
      <c r="F105" s="432"/>
      <c r="G105" s="432"/>
      <c r="H105" s="432"/>
      <c r="I105" s="432"/>
      <c r="J105" s="432"/>
      <c r="K105" s="432"/>
      <c r="L105" s="431"/>
    </row>
    <row r="106" spans="1:12" ht="15" customHeight="1">
      <c r="A106" s="439"/>
      <c r="B106" s="545" t="s">
        <v>635</v>
      </c>
      <c r="C106" s="432">
        <v>0</v>
      </c>
      <c r="D106" s="432"/>
      <c r="E106" s="432"/>
      <c r="F106" s="432"/>
      <c r="G106" s="432"/>
      <c r="H106" s="432"/>
      <c r="I106" s="432"/>
      <c r="J106" s="432"/>
      <c r="K106" s="432"/>
      <c r="L106" s="431"/>
    </row>
    <row r="107" spans="1:12" ht="15" customHeight="1">
      <c r="A107" s="439"/>
      <c r="B107" s="545"/>
      <c r="C107" s="463"/>
      <c r="D107" s="432">
        <v>0</v>
      </c>
      <c r="E107" s="432">
        <v>0</v>
      </c>
      <c r="F107" s="432">
        <v>0</v>
      </c>
      <c r="G107" s="432">
        <v>0</v>
      </c>
      <c r="H107" s="432">
        <v>0</v>
      </c>
      <c r="I107" s="432">
        <v>0</v>
      </c>
      <c r="J107" s="432">
        <v>0</v>
      </c>
      <c r="K107" s="432">
        <v>0</v>
      </c>
      <c r="L107" s="431"/>
    </row>
    <row r="108" spans="1:12" ht="15" customHeight="1">
      <c r="A108" s="439"/>
      <c r="B108" s="406"/>
      <c r="C108" s="440"/>
      <c r="D108" s="462"/>
      <c r="E108" s="462"/>
      <c r="F108" s="462"/>
      <c r="G108" s="462"/>
      <c r="H108" s="462"/>
      <c r="I108" s="432"/>
      <c r="J108" s="432"/>
      <c r="K108" s="432"/>
      <c r="L108" s="431"/>
    </row>
    <row r="109" spans="1:12" ht="15" customHeight="1">
      <c r="A109" s="439"/>
      <c r="B109" s="460" t="s">
        <v>634</v>
      </c>
      <c r="C109" s="432">
        <v>0</v>
      </c>
      <c r="D109" s="432">
        <v>0</v>
      </c>
      <c r="E109" s="432">
        <v>0</v>
      </c>
      <c r="F109" s="432">
        <v>0</v>
      </c>
      <c r="G109" s="432">
        <v>0</v>
      </c>
      <c r="H109" s="432">
        <v>0</v>
      </c>
      <c r="I109" s="432">
        <v>0</v>
      </c>
      <c r="J109" s="432">
        <v>0</v>
      </c>
      <c r="K109" s="432">
        <v>0</v>
      </c>
      <c r="L109" s="431"/>
    </row>
    <row r="110" spans="1:12" ht="15" customHeight="1">
      <c r="A110" s="439"/>
      <c r="B110" s="406" t="s">
        <v>633</v>
      </c>
      <c r="C110" s="432">
        <v>0</v>
      </c>
      <c r="D110" s="432">
        <v>0</v>
      </c>
      <c r="E110" s="432">
        <v>0</v>
      </c>
      <c r="F110" s="432">
        <v>0</v>
      </c>
      <c r="G110" s="432">
        <v>0</v>
      </c>
      <c r="H110" s="432">
        <v>0</v>
      </c>
      <c r="I110" s="432">
        <v>0</v>
      </c>
      <c r="J110" s="432">
        <v>0</v>
      </c>
      <c r="K110" s="432">
        <v>0</v>
      </c>
      <c r="L110" s="431"/>
    </row>
    <row r="111" spans="1:12" ht="15" customHeight="1">
      <c r="A111" s="439"/>
      <c r="B111" s="460" t="s">
        <v>632</v>
      </c>
      <c r="C111" s="432"/>
      <c r="D111" s="432">
        <v>0</v>
      </c>
      <c r="E111" s="432">
        <v>0</v>
      </c>
      <c r="F111" s="432">
        <v>0</v>
      </c>
      <c r="G111" s="432">
        <v>0</v>
      </c>
      <c r="H111" s="432">
        <v>0</v>
      </c>
      <c r="I111" s="432">
        <v>0</v>
      </c>
      <c r="J111" s="432">
        <v>0</v>
      </c>
      <c r="K111" s="432">
        <v>0</v>
      </c>
      <c r="L111" s="431"/>
    </row>
    <row r="112" spans="1:12" ht="15" customHeight="1">
      <c r="A112" s="439"/>
      <c r="B112" s="460" t="s">
        <v>631</v>
      </c>
      <c r="C112" s="462"/>
      <c r="D112" s="462">
        <v>0</v>
      </c>
      <c r="E112" s="462">
        <v>0</v>
      </c>
      <c r="F112" s="432">
        <v>0</v>
      </c>
      <c r="G112" s="432">
        <v>0</v>
      </c>
      <c r="H112" s="432">
        <v>0</v>
      </c>
      <c r="I112" s="432">
        <v>0</v>
      </c>
      <c r="J112" s="432">
        <v>0</v>
      </c>
      <c r="K112" s="432">
        <v>0</v>
      </c>
      <c r="L112" s="431"/>
    </row>
    <row r="113" spans="1:12" ht="15" customHeight="1">
      <c r="A113" s="439"/>
      <c r="B113" s="416" t="s">
        <v>630</v>
      </c>
      <c r="C113" s="461">
        <v>0</v>
      </c>
      <c r="D113" s="461">
        <v>0</v>
      </c>
      <c r="E113" s="461">
        <v>0</v>
      </c>
      <c r="F113" s="432">
        <v>0</v>
      </c>
      <c r="G113" s="432">
        <v>0</v>
      </c>
      <c r="H113" s="432">
        <v>0</v>
      </c>
      <c r="I113" s="432">
        <v>0</v>
      </c>
      <c r="J113" s="432">
        <v>0</v>
      </c>
      <c r="K113" s="432">
        <v>0</v>
      </c>
      <c r="L113" s="431"/>
    </row>
    <row r="114" spans="1:12" ht="15" customHeight="1">
      <c r="A114" s="439">
        <v>30</v>
      </c>
      <c r="B114" s="406" t="s">
        <v>629</v>
      </c>
      <c r="C114" s="432"/>
      <c r="D114" s="432">
        <v>0</v>
      </c>
      <c r="E114" s="432">
        <v>0</v>
      </c>
      <c r="F114" s="432">
        <v>0</v>
      </c>
      <c r="G114" s="432">
        <v>0</v>
      </c>
      <c r="H114" s="432">
        <v>0</v>
      </c>
      <c r="I114" s="432">
        <v>0</v>
      </c>
      <c r="J114" s="432">
        <v>0</v>
      </c>
      <c r="K114" s="432">
        <v>0</v>
      </c>
      <c r="L114" s="431"/>
    </row>
    <row r="115" spans="1:12" ht="15" customHeight="1">
      <c r="A115" s="439">
        <v>31</v>
      </c>
      <c r="B115" s="460" t="s">
        <v>628</v>
      </c>
      <c r="C115" s="432"/>
      <c r="D115" s="432">
        <v>0</v>
      </c>
      <c r="E115" s="432">
        <v>0</v>
      </c>
      <c r="F115" s="432">
        <v>0</v>
      </c>
      <c r="G115" s="432">
        <v>0</v>
      </c>
      <c r="H115" s="432">
        <v>0</v>
      </c>
      <c r="I115" s="432">
        <v>0</v>
      </c>
      <c r="J115" s="432">
        <v>0</v>
      </c>
      <c r="K115" s="432">
        <v>0</v>
      </c>
      <c r="L115" s="431"/>
    </row>
    <row r="116" spans="1:12" ht="15" customHeight="1">
      <c r="A116" s="445"/>
      <c r="B116" s="556" t="s">
        <v>627</v>
      </c>
      <c r="C116" s="450">
        <f t="shared" ref="C116:K116" si="10">SUM(C106:C115)</f>
        <v>0</v>
      </c>
      <c r="D116" s="450">
        <f t="shared" si="10"/>
        <v>0</v>
      </c>
      <c r="E116" s="450">
        <f t="shared" si="10"/>
        <v>0</v>
      </c>
      <c r="F116" s="450">
        <f t="shared" si="10"/>
        <v>0</v>
      </c>
      <c r="G116" s="450">
        <f t="shared" si="10"/>
        <v>0</v>
      </c>
      <c r="H116" s="450">
        <f t="shared" si="10"/>
        <v>0</v>
      </c>
      <c r="I116" s="450">
        <f t="shared" si="10"/>
        <v>0</v>
      </c>
      <c r="J116" s="450">
        <f t="shared" si="10"/>
        <v>0</v>
      </c>
      <c r="K116" s="450">
        <f t="shared" si="10"/>
        <v>0</v>
      </c>
      <c r="L116" s="431"/>
    </row>
    <row r="117" spans="1:12" ht="15" customHeight="1">
      <c r="A117" s="439">
        <v>32</v>
      </c>
      <c r="B117" s="557"/>
      <c r="C117" s="459"/>
      <c r="D117" s="432"/>
      <c r="E117" s="432"/>
      <c r="F117" s="432"/>
      <c r="G117" s="432"/>
      <c r="H117" s="432"/>
      <c r="I117" s="432"/>
      <c r="J117" s="432"/>
      <c r="K117" s="432"/>
      <c r="L117" s="431"/>
    </row>
    <row r="118" spans="1:12" ht="31.5">
      <c r="A118" s="439"/>
      <c r="B118" s="457" t="s">
        <v>626</v>
      </c>
      <c r="C118" s="458"/>
      <c r="D118" s="432"/>
      <c r="E118" s="432"/>
      <c r="F118" s="432"/>
      <c r="G118" s="432"/>
      <c r="H118" s="432"/>
      <c r="I118" s="432"/>
      <c r="J118" s="432"/>
      <c r="K118" s="432"/>
      <c r="L118" s="431"/>
    </row>
    <row r="119" spans="1:12" ht="15" customHeight="1">
      <c r="A119" s="439"/>
      <c r="B119" s="457"/>
      <c r="C119" s="458"/>
      <c r="D119" s="432"/>
      <c r="E119" s="432"/>
      <c r="F119" s="432"/>
      <c r="G119" s="432"/>
      <c r="H119" s="432"/>
      <c r="I119" s="432"/>
      <c r="J119" s="432"/>
      <c r="K119" s="432"/>
      <c r="L119" s="431"/>
    </row>
    <row r="120" spans="1:12" s="419" customFormat="1">
      <c r="A120" s="439">
        <v>33</v>
      </c>
      <c r="B120" s="457" t="s">
        <v>58</v>
      </c>
      <c r="C120" s="450">
        <f t="shared" ref="C120:K120" si="11">SUM(C116:C119)</f>
        <v>0</v>
      </c>
      <c r="D120" s="450">
        <f t="shared" si="11"/>
        <v>0</v>
      </c>
      <c r="E120" s="450">
        <f t="shared" si="11"/>
        <v>0</v>
      </c>
      <c r="F120" s="450">
        <f t="shared" si="11"/>
        <v>0</v>
      </c>
      <c r="G120" s="450">
        <f t="shared" si="11"/>
        <v>0</v>
      </c>
      <c r="H120" s="450">
        <f t="shared" si="11"/>
        <v>0</v>
      </c>
      <c r="I120" s="450">
        <f t="shared" si="11"/>
        <v>0</v>
      </c>
      <c r="J120" s="450">
        <f t="shared" si="11"/>
        <v>0</v>
      </c>
      <c r="K120" s="450">
        <f t="shared" si="11"/>
        <v>0</v>
      </c>
      <c r="L120" s="429"/>
    </row>
    <row r="121" spans="1:12">
      <c r="A121" s="439"/>
      <c r="B121" s="406"/>
      <c r="C121" s="456"/>
      <c r="D121" s="432"/>
      <c r="E121" s="432"/>
      <c r="F121" s="432"/>
      <c r="G121" s="432"/>
      <c r="H121" s="432"/>
      <c r="I121" s="432"/>
      <c r="J121" s="432"/>
      <c r="K121" s="432"/>
      <c r="L121" s="431"/>
    </row>
    <row r="122" spans="1:12">
      <c r="A122" s="455">
        <v>34</v>
      </c>
      <c r="B122" s="409" t="s">
        <v>625</v>
      </c>
      <c r="C122" s="450" t="e">
        <f>C96+C102+C120+C119</f>
        <v>#REF!</v>
      </c>
      <c r="D122" s="450">
        <f t="shared" ref="D122:K122" si="12">D102+D96+D120</f>
        <v>57.661999999999999</v>
      </c>
      <c r="E122" s="450">
        <f t="shared" si="12"/>
        <v>99.778499999999994</v>
      </c>
      <c r="F122" s="450">
        <f t="shared" si="12"/>
        <v>948.00163983333323</v>
      </c>
      <c r="G122" s="450">
        <f t="shared" si="12"/>
        <v>1002.9638698498336</v>
      </c>
      <c r="H122" s="450">
        <f t="shared" si="12"/>
        <v>1069.1757821165579</v>
      </c>
      <c r="I122" s="450">
        <f t="shared" si="12"/>
        <v>1103.1635982682042</v>
      </c>
      <c r="J122" s="450">
        <f t="shared" si="12"/>
        <v>1146.2795794374913</v>
      </c>
      <c r="K122" s="450">
        <f t="shared" si="12"/>
        <v>1184.0906740027328</v>
      </c>
      <c r="L122" s="429"/>
    </row>
    <row r="123" spans="1:12">
      <c r="A123" s="439"/>
      <c r="B123" s="409"/>
      <c r="C123" s="454"/>
      <c r="D123" s="432">
        <f t="shared" ref="D123:K123" si="13">D122-D61</f>
        <v>0</v>
      </c>
      <c r="E123" s="432">
        <f t="shared" si="13"/>
        <v>0</v>
      </c>
      <c r="F123" s="432">
        <f t="shared" si="13"/>
        <v>0</v>
      </c>
      <c r="G123" s="432">
        <f t="shared" si="13"/>
        <v>0</v>
      </c>
      <c r="H123" s="432">
        <f t="shared" si="13"/>
        <v>0</v>
      </c>
      <c r="I123" s="432">
        <f t="shared" si="13"/>
        <v>0</v>
      </c>
      <c r="J123" s="432">
        <f t="shared" si="13"/>
        <v>0</v>
      </c>
      <c r="K123" s="432">
        <f t="shared" si="13"/>
        <v>0</v>
      </c>
      <c r="L123" s="431"/>
    </row>
    <row r="124" spans="1:12" ht="12.75" hidden="1" customHeight="1">
      <c r="A124" s="439"/>
      <c r="B124" s="406"/>
      <c r="C124" s="440"/>
      <c r="D124" s="432"/>
      <c r="E124" s="432"/>
      <c r="F124" s="432"/>
      <c r="G124" s="432"/>
      <c r="H124" s="432"/>
      <c r="I124" s="432"/>
      <c r="J124" s="432"/>
      <c r="K124" s="432"/>
      <c r="L124" s="431"/>
    </row>
    <row r="125" spans="1:12" hidden="1">
      <c r="A125" s="439">
        <v>44</v>
      </c>
      <c r="B125" s="409" t="s">
        <v>624</v>
      </c>
      <c r="C125" s="449" t="e">
        <f t="shared" ref="C125:K125" si="14">C59</f>
        <v>#REF!</v>
      </c>
      <c r="D125" s="449">
        <f t="shared" si="14"/>
        <v>0.64700000000000002</v>
      </c>
      <c r="E125" s="449">
        <f t="shared" si="14"/>
        <v>-0.23649999999999993</v>
      </c>
      <c r="F125" s="449">
        <f t="shared" si="14"/>
        <v>2.0010546248332979</v>
      </c>
      <c r="G125" s="449">
        <f t="shared" si="14"/>
        <v>40.671359945308495</v>
      </c>
      <c r="H125" s="449">
        <f t="shared" si="14"/>
        <v>98.027415665641996</v>
      </c>
      <c r="I125" s="449">
        <f t="shared" si="14"/>
        <v>162.03901784401251</v>
      </c>
      <c r="J125" s="449">
        <f t="shared" si="14"/>
        <v>228.19574590510621</v>
      </c>
      <c r="K125" s="449">
        <f t="shared" si="14"/>
        <v>294.80464122056628</v>
      </c>
      <c r="L125" s="429"/>
    </row>
    <row r="126" spans="1:12" hidden="1">
      <c r="A126" s="439"/>
      <c r="B126" s="409"/>
      <c r="C126" s="453"/>
      <c r="D126" s="449"/>
      <c r="E126" s="449"/>
      <c r="F126" s="449"/>
      <c r="G126" s="449"/>
      <c r="H126" s="449"/>
      <c r="I126" s="449"/>
      <c r="J126" s="449"/>
      <c r="K126" s="449"/>
      <c r="L126" s="429"/>
    </row>
    <row r="127" spans="1:12" hidden="1">
      <c r="A127" s="439">
        <v>45</v>
      </c>
      <c r="B127" s="409" t="s">
        <v>623</v>
      </c>
      <c r="C127" s="453"/>
      <c r="D127" s="449"/>
      <c r="E127" s="449"/>
      <c r="F127" s="449"/>
      <c r="G127" s="449"/>
      <c r="H127" s="449"/>
      <c r="I127" s="449"/>
      <c r="J127" s="449"/>
      <c r="K127" s="449"/>
      <c r="L127" s="429"/>
    </row>
    <row r="128" spans="1:12" hidden="1">
      <c r="A128" s="439"/>
      <c r="B128" s="452" t="s">
        <v>622</v>
      </c>
      <c r="C128" s="449" t="e">
        <f t="shared" ref="C128:K128" si="15">(C47+C59)-(C102+C120+C119)</f>
        <v>#REF!</v>
      </c>
      <c r="D128" s="449">
        <f t="shared" si="15"/>
        <v>1.4423299999999983</v>
      </c>
      <c r="E128" s="449">
        <f t="shared" si="15"/>
        <v>0.63876999999999384</v>
      </c>
      <c r="F128" s="449">
        <f t="shared" si="15"/>
        <v>235.45026812483326</v>
      </c>
      <c r="G128" s="449">
        <f t="shared" si="15"/>
        <v>261.24108822030848</v>
      </c>
      <c r="H128" s="449">
        <f t="shared" si="15"/>
        <v>338.96772176939203</v>
      </c>
      <c r="I128" s="449">
        <f t="shared" si="15"/>
        <v>394.71814134520002</v>
      </c>
      <c r="J128" s="449">
        <f t="shared" si="15"/>
        <v>449.50930781281556</v>
      </c>
      <c r="K128" s="449">
        <f t="shared" si="15"/>
        <v>502.09827503064923</v>
      </c>
      <c r="L128" s="429"/>
    </row>
    <row r="129" spans="1:12" hidden="1">
      <c r="A129" s="439"/>
      <c r="B129" s="452" t="s">
        <v>531</v>
      </c>
      <c r="C129" s="451"/>
      <c r="D129" s="449"/>
      <c r="E129" s="449"/>
      <c r="F129" s="449"/>
      <c r="G129" s="449"/>
      <c r="H129" s="449"/>
      <c r="I129" s="449"/>
      <c r="J129" s="449"/>
      <c r="K129" s="449"/>
      <c r="L129" s="429"/>
    </row>
    <row r="130" spans="1:12" ht="12.75" hidden="1" customHeight="1">
      <c r="A130" s="439"/>
      <c r="B130" s="406"/>
      <c r="C130" s="440"/>
      <c r="D130" s="432"/>
      <c r="E130" s="432"/>
      <c r="F130" s="432"/>
      <c r="G130" s="432"/>
      <c r="H130" s="432"/>
      <c r="I130" s="432"/>
      <c r="J130" s="432"/>
      <c r="K130" s="432"/>
      <c r="L130" s="431"/>
    </row>
    <row r="131" spans="1:12" hidden="1">
      <c r="A131" s="439">
        <v>46</v>
      </c>
      <c r="B131" s="406" t="s">
        <v>621</v>
      </c>
      <c r="C131" s="450">
        <f t="shared" ref="C131:K131" si="16">C96/C31</f>
        <v>1.443529779419424</v>
      </c>
      <c r="D131" s="450">
        <f t="shared" si="16"/>
        <v>97.155333333333331</v>
      </c>
      <c r="E131" s="450">
        <f t="shared" si="16"/>
        <v>43.584666666666664</v>
      </c>
      <c r="F131" s="450">
        <f t="shared" si="16"/>
        <v>1.5279147066920622</v>
      </c>
      <c r="G131" s="450">
        <f t="shared" si="16"/>
        <v>1.5175217204980296</v>
      </c>
      <c r="H131" s="450">
        <f t="shared" si="16"/>
        <v>1.65355979830599</v>
      </c>
      <c r="I131" s="450">
        <f t="shared" si="16"/>
        <v>1.761086451055508</v>
      </c>
      <c r="J131" s="450">
        <f t="shared" si="16"/>
        <v>1.8552571048308666</v>
      </c>
      <c r="K131" s="450">
        <f t="shared" si="16"/>
        <v>1.9531351322639829</v>
      </c>
      <c r="L131" s="429"/>
    </row>
    <row r="132" spans="1:12" hidden="1">
      <c r="A132" s="439"/>
      <c r="B132" s="406" t="s">
        <v>620</v>
      </c>
      <c r="C132" s="449" t="e">
        <f>(('[2]form ii'!D46)/('CMI iii'!C102+C96))*100</f>
        <v>#REF!</v>
      </c>
      <c r="D132" s="449">
        <f>(('[2]form ii'!E46)/('CMI iii'!D102+D96))*100</f>
        <v>-4.5957476327564077E-2</v>
      </c>
      <c r="E132" s="449"/>
      <c r="F132" s="449"/>
      <c r="G132" s="449"/>
      <c r="H132" s="449"/>
      <c r="I132" s="449"/>
      <c r="J132" s="449">
        <f>(('[2]form ii'!H46)/('CMI iii'!J102+J96))*100</f>
        <v>9.1931747817328038</v>
      </c>
      <c r="K132" s="449">
        <f>(('[2]form ii'!K46)/('CMI iii'!K102+K96))*100</f>
        <v>11.516479657128338</v>
      </c>
      <c r="L132" s="429"/>
    </row>
    <row r="133" spans="1:12" hidden="1">
      <c r="A133" s="439"/>
      <c r="B133" s="406"/>
      <c r="C133" s="448"/>
      <c r="D133" s="448"/>
      <c r="E133" s="448"/>
      <c r="F133" s="448"/>
      <c r="G133" s="448"/>
      <c r="H133" s="448"/>
      <c r="I133" s="448"/>
      <c r="J133" s="448"/>
      <c r="K133" s="448"/>
      <c r="L133" s="446"/>
    </row>
    <row r="134" spans="1:12" hidden="1">
      <c r="A134" s="439">
        <v>47</v>
      </c>
      <c r="B134" s="406" t="s">
        <v>619</v>
      </c>
      <c r="C134" s="440"/>
      <c r="D134" s="432"/>
      <c r="E134" s="432"/>
      <c r="F134" s="432"/>
      <c r="G134" s="432"/>
      <c r="H134" s="432"/>
      <c r="I134" s="432"/>
      <c r="J134" s="432"/>
      <c r="K134" s="432"/>
      <c r="L134" s="431"/>
    </row>
    <row r="135" spans="1:12" hidden="1">
      <c r="A135" s="439"/>
      <c r="B135" s="406" t="s">
        <v>618</v>
      </c>
      <c r="C135" s="447" t="e">
        <f t="shared" ref="C135:K135" si="17">C49/C125</f>
        <v>#REF!</v>
      </c>
      <c r="D135" s="447">
        <f t="shared" si="17"/>
        <v>88.122102009273576</v>
      </c>
      <c r="E135" s="447">
        <f t="shared" si="17"/>
        <v>-422.89640591966185</v>
      </c>
      <c r="F135" s="447">
        <f t="shared" si="17"/>
        <v>472.75100512926207</v>
      </c>
      <c r="G135" s="447">
        <f t="shared" si="17"/>
        <v>23.660199983441345</v>
      </c>
      <c r="H135" s="447">
        <f t="shared" si="17"/>
        <v>9.9069057350585403</v>
      </c>
      <c r="I135" s="447">
        <f t="shared" si="17"/>
        <v>5.8080121253892631</v>
      </c>
      <c r="J135" s="447">
        <f t="shared" si="17"/>
        <v>4.0232293984751335</v>
      </c>
      <c r="K135" s="447">
        <f t="shared" si="17"/>
        <v>3.0165265685787581</v>
      </c>
      <c r="L135" s="446"/>
    </row>
    <row r="136" spans="1:12" hidden="1">
      <c r="A136" s="445"/>
      <c r="B136" s="444" t="s">
        <v>617</v>
      </c>
      <c r="C136" s="443"/>
      <c r="D136" s="442"/>
      <c r="E136" s="442"/>
      <c r="F136" s="442"/>
      <c r="G136" s="442"/>
      <c r="H136" s="442"/>
      <c r="I136" s="442"/>
      <c r="J136" s="442"/>
      <c r="K136" s="442"/>
      <c r="L136" s="431"/>
    </row>
    <row r="137" spans="1:12" hidden="1">
      <c r="A137" s="439"/>
      <c r="B137" s="406" t="s">
        <v>616</v>
      </c>
      <c r="C137" s="440"/>
      <c r="D137" s="432"/>
      <c r="E137" s="432"/>
      <c r="F137" s="432">
        <v>0</v>
      </c>
      <c r="G137" s="432">
        <v>0</v>
      </c>
      <c r="H137" s="432">
        <v>0</v>
      </c>
      <c r="I137" s="432">
        <v>0</v>
      </c>
      <c r="J137" s="432">
        <v>0</v>
      </c>
      <c r="K137" s="432">
        <v>0</v>
      </c>
      <c r="L137" s="431"/>
    </row>
    <row r="138" spans="1:12" ht="12.75" hidden="1" customHeight="1">
      <c r="A138" s="439"/>
      <c r="B138" s="406" t="s">
        <v>615</v>
      </c>
      <c r="C138" s="432"/>
      <c r="D138" s="432"/>
      <c r="E138" s="432"/>
      <c r="F138" s="432"/>
      <c r="G138" s="432"/>
      <c r="H138" s="432"/>
      <c r="I138" s="432"/>
      <c r="J138" s="432"/>
      <c r="K138" s="432"/>
      <c r="L138" s="431"/>
    </row>
    <row r="139" spans="1:12" ht="12.75" hidden="1" customHeight="1">
      <c r="A139" s="439"/>
      <c r="B139" s="406" t="s">
        <v>614</v>
      </c>
      <c r="C139" s="441"/>
      <c r="D139" s="441"/>
      <c r="E139" s="441"/>
      <c r="F139" s="432">
        <v>0</v>
      </c>
      <c r="G139" s="432">
        <v>0</v>
      </c>
      <c r="H139" s="432">
        <v>0</v>
      </c>
      <c r="I139" s="432">
        <v>0</v>
      </c>
      <c r="J139" s="432">
        <v>0</v>
      </c>
      <c r="K139" s="432">
        <v>0</v>
      </c>
      <c r="L139" s="431"/>
    </row>
    <row r="140" spans="1:12" hidden="1">
      <c r="A140" s="439"/>
      <c r="B140" s="406" t="s">
        <v>613</v>
      </c>
      <c r="C140" s="440"/>
      <c r="D140" s="432"/>
      <c r="E140" s="432"/>
      <c r="F140" s="432">
        <v>0</v>
      </c>
      <c r="G140" s="432">
        <v>0</v>
      </c>
      <c r="H140" s="432">
        <v>0</v>
      </c>
      <c r="I140" s="432">
        <v>0</v>
      </c>
      <c r="J140" s="432">
        <v>0</v>
      </c>
      <c r="K140" s="432">
        <v>0</v>
      </c>
      <c r="L140" s="431"/>
    </row>
    <row r="141" spans="1:12" hidden="1">
      <c r="A141" s="439"/>
      <c r="B141" s="438" t="s">
        <v>612</v>
      </c>
      <c r="C141" s="437"/>
      <c r="D141" s="432"/>
      <c r="E141" s="432"/>
      <c r="F141" s="432">
        <v>0</v>
      </c>
      <c r="G141" s="432">
        <v>0</v>
      </c>
      <c r="H141" s="432">
        <v>0</v>
      </c>
      <c r="I141" s="432">
        <v>0</v>
      </c>
      <c r="J141" s="432">
        <v>0</v>
      </c>
      <c r="K141" s="432">
        <v>0</v>
      </c>
      <c r="L141" s="431"/>
    </row>
    <row r="142" spans="1:12" hidden="1">
      <c r="A142" s="439"/>
      <c r="B142" s="438" t="s">
        <v>611</v>
      </c>
      <c r="C142" s="437"/>
      <c r="D142" s="432"/>
      <c r="E142" s="432"/>
      <c r="F142" s="432"/>
      <c r="G142" s="432"/>
      <c r="H142" s="432"/>
      <c r="I142" s="432"/>
      <c r="J142" s="432"/>
      <c r="K142" s="432"/>
      <c r="L142" s="431"/>
    </row>
    <row r="143" spans="1:12" ht="16.5" hidden="1" thickBot="1">
      <c r="A143" s="436"/>
      <c r="B143" s="435" t="s">
        <v>610</v>
      </c>
      <c r="C143" s="434"/>
      <c r="D143" s="433"/>
      <c r="E143" s="433"/>
      <c r="F143" s="432">
        <v>0</v>
      </c>
      <c r="G143" s="432">
        <v>0</v>
      </c>
      <c r="H143" s="432">
        <v>0</v>
      </c>
      <c r="I143" s="432">
        <v>0</v>
      </c>
      <c r="J143" s="432">
        <v>0</v>
      </c>
      <c r="K143" s="432">
        <v>0</v>
      </c>
      <c r="L143" s="431"/>
    </row>
    <row r="144" spans="1:12" hidden="1">
      <c r="A144" s="407"/>
      <c r="B144" s="406"/>
      <c r="C144" s="406"/>
      <c r="D144" s="430"/>
      <c r="E144" s="406"/>
      <c r="F144" s="406"/>
      <c r="G144" s="406"/>
      <c r="H144" s="406"/>
      <c r="I144" s="406"/>
      <c r="J144" s="406"/>
      <c r="K144" s="406"/>
      <c r="L144" s="406"/>
    </row>
    <row r="145" spans="1:12" hidden="1">
      <c r="A145" s="407"/>
      <c r="B145" s="406"/>
      <c r="C145" s="406"/>
      <c r="D145" s="406"/>
      <c r="E145" s="406"/>
      <c r="F145" s="406"/>
      <c r="G145" s="406"/>
      <c r="H145" s="406"/>
      <c r="I145" s="406"/>
      <c r="J145" s="406"/>
      <c r="K145" s="406"/>
      <c r="L145" s="406"/>
    </row>
    <row r="146" spans="1:12" hidden="1">
      <c r="A146" s="407"/>
      <c r="B146" s="406" t="s">
        <v>609</v>
      </c>
      <c r="C146" s="429" t="e">
        <f t="shared" ref="C146:K146" si="18">C61-C122</f>
        <v>#REF!</v>
      </c>
      <c r="D146" s="429">
        <f t="shared" si="18"/>
        <v>0</v>
      </c>
      <c r="E146" s="429">
        <f t="shared" si="18"/>
        <v>0</v>
      </c>
      <c r="F146" s="429">
        <f t="shared" si="18"/>
        <v>0</v>
      </c>
      <c r="G146" s="429">
        <f t="shared" si="18"/>
        <v>0</v>
      </c>
      <c r="H146" s="429">
        <f t="shared" si="18"/>
        <v>0</v>
      </c>
      <c r="I146" s="429">
        <f t="shared" si="18"/>
        <v>0</v>
      </c>
      <c r="J146" s="429">
        <f t="shared" si="18"/>
        <v>0</v>
      </c>
      <c r="K146" s="429">
        <f t="shared" si="18"/>
        <v>0</v>
      </c>
      <c r="L146" s="406"/>
    </row>
    <row r="147" spans="1:12" hidden="1">
      <c r="A147" s="407"/>
      <c r="B147" s="406"/>
      <c r="C147" s="406"/>
      <c r="D147" s="406"/>
      <c r="E147" s="406"/>
      <c r="F147" s="406"/>
      <c r="G147" s="406"/>
      <c r="H147" s="406"/>
      <c r="I147" s="406"/>
      <c r="J147" s="406"/>
      <c r="K147" s="406"/>
      <c r="L147" s="406"/>
    </row>
    <row r="148" spans="1:12" hidden="1">
      <c r="A148" s="407"/>
      <c r="B148" s="406"/>
      <c r="C148" s="406"/>
      <c r="D148" s="406"/>
      <c r="E148" s="406"/>
      <c r="F148" s="406"/>
      <c r="G148" s="406"/>
      <c r="H148" s="406"/>
      <c r="I148" s="406"/>
      <c r="J148" s="406"/>
      <c r="K148" s="406"/>
      <c r="L148" s="406"/>
    </row>
    <row r="149" spans="1:12" hidden="1">
      <c r="A149" s="407"/>
      <c r="B149" s="406"/>
      <c r="C149" s="406"/>
      <c r="D149" s="406"/>
      <c r="E149" s="406"/>
      <c r="F149" s="406"/>
      <c r="G149" s="406"/>
      <c r="H149" s="406"/>
      <c r="I149" s="406"/>
      <c r="J149" s="406"/>
      <c r="K149" s="406"/>
      <c r="L149" s="406"/>
    </row>
    <row r="150" spans="1:12" hidden="1">
      <c r="A150" s="407"/>
      <c r="B150" s="406"/>
      <c r="C150" s="406"/>
      <c r="D150" s="428"/>
      <c r="E150" s="428"/>
      <c r="F150" s="428"/>
      <c r="G150" s="428"/>
      <c r="H150" s="428"/>
      <c r="I150" s="428"/>
      <c r="J150" s="428"/>
      <c r="K150" s="428"/>
      <c r="L150" s="406"/>
    </row>
    <row r="151" spans="1:12">
      <c r="A151" s="407"/>
      <c r="B151" s="406"/>
      <c r="C151" s="406"/>
      <c r="D151" s="428"/>
      <c r="E151" s="428"/>
      <c r="F151" s="428"/>
      <c r="G151" s="428"/>
      <c r="H151" s="428"/>
      <c r="I151" s="428"/>
      <c r="J151" s="428"/>
      <c r="K151" s="428"/>
      <c r="L151" s="406"/>
    </row>
    <row r="152" spans="1:12">
      <c r="A152" s="407"/>
      <c r="B152" s="406"/>
      <c r="C152" s="406"/>
      <c r="D152" s="406"/>
      <c r="E152" s="428"/>
      <c r="F152" s="428"/>
      <c r="G152" s="428"/>
      <c r="H152" s="428"/>
      <c r="I152" s="406"/>
      <c r="J152" s="406"/>
      <c r="K152" s="406"/>
      <c r="L152" s="406"/>
    </row>
    <row r="153" spans="1:12">
      <c r="A153" s="407"/>
      <c r="B153" s="406"/>
      <c r="C153" s="406"/>
      <c r="D153" s="428"/>
      <c r="E153" s="428"/>
      <c r="F153" s="428"/>
      <c r="G153" s="428"/>
      <c r="H153" s="428"/>
      <c r="I153" s="428"/>
      <c r="J153" s="428"/>
      <c r="K153" s="428"/>
      <c r="L153" s="406"/>
    </row>
    <row r="154" spans="1:12">
      <c r="A154" s="407"/>
      <c r="B154" s="406"/>
      <c r="C154" s="406"/>
      <c r="D154" s="428"/>
      <c r="E154" s="428"/>
      <c r="F154" s="428"/>
      <c r="G154" s="428"/>
      <c r="H154" s="428"/>
      <c r="I154" s="428"/>
      <c r="J154" s="428"/>
      <c r="K154" s="428"/>
      <c r="L154" s="406"/>
    </row>
    <row r="155" spans="1:12">
      <c r="A155" s="407"/>
      <c r="B155" s="406"/>
      <c r="C155" s="406"/>
      <c r="D155" s="428"/>
      <c r="E155" s="428"/>
      <c r="F155" s="428"/>
      <c r="G155" s="428"/>
      <c r="H155" s="428"/>
      <c r="I155" s="428"/>
      <c r="J155" s="428"/>
      <c r="K155" s="428"/>
      <c r="L155" s="406"/>
    </row>
    <row r="156" spans="1:12">
      <c r="A156" s="407"/>
      <c r="B156" s="406"/>
      <c r="C156" s="406"/>
      <c r="D156" s="428"/>
      <c r="E156" s="428"/>
      <c r="F156" s="428"/>
      <c r="G156" s="428"/>
      <c r="H156" s="428"/>
      <c r="I156" s="428"/>
      <c r="J156" s="428"/>
      <c r="K156" s="428"/>
      <c r="L156" s="406"/>
    </row>
    <row r="157" spans="1:12">
      <c r="A157" s="407"/>
      <c r="B157" s="406"/>
      <c r="C157" s="406"/>
      <c r="D157" s="428"/>
      <c r="E157" s="428"/>
      <c r="F157" s="428"/>
      <c r="G157" s="428"/>
      <c r="H157" s="428"/>
      <c r="I157" s="428"/>
      <c r="J157" s="428"/>
      <c r="K157" s="428"/>
      <c r="L157" s="406"/>
    </row>
    <row r="158" spans="1:12">
      <c r="A158" s="407"/>
      <c r="B158" s="406"/>
      <c r="C158" s="406"/>
      <c r="D158" s="406"/>
      <c r="E158" s="428"/>
      <c r="F158" s="428"/>
      <c r="G158" s="428"/>
      <c r="H158" s="428"/>
      <c r="I158" s="406"/>
      <c r="J158" s="406"/>
      <c r="K158" s="406"/>
      <c r="L158" s="406"/>
    </row>
    <row r="159" spans="1:12">
      <c r="A159" s="407"/>
      <c r="B159" s="406"/>
      <c r="C159" s="406"/>
      <c r="D159" s="406"/>
      <c r="E159" s="406"/>
      <c r="F159" s="406"/>
      <c r="G159" s="406"/>
      <c r="H159" s="406"/>
      <c r="I159" s="406"/>
      <c r="J159" s="406"/>
      <c r="K159" s="406"/>
      <c r="L159" s="406"/>
    </row>
    <row r="160" spans="1:12">
      <c r="A160" s="407"/>
      <c r="B160" s="406"/>
      <c r="C160" s="406"/>
      <c r="D160" s="406"/>
      <c r="E160" s="406"/>
      <c r="F160" s="406"/>
      <c r="G160" s="406"/>
      <c r="H160" s="406"/>
      <c r="I160" s="406"/>
      <c r="J160" s="406"/>
      <c r="K160" s="406"/>
      <c r="L160" s="406"/>
    </row>
    <row r="161" spans="1:12">
      <c r="A161" s="407"/>
      <c r="B161" s="406"/>
      <c r="C161" s="406"/>
      <c r="D161" s="406"/>
      <c r="E161" s="406"/>
      <c r="F161" s="406"/>
      <c r="G161" s="406"/>
      <c r="H161" s="406"/>
      <c r="I161" s="406"/>
      <c r="J161" s="406"/>
      <c r="K161" s="406"/>
      <c r="L161" s="406"/>
    </row>
    <row r="162" spans="1:12">
      <c r="A162" s="407"/>
      <c r="B162" s="406"/>
      <c r="C162" s="406"/>
      <c r="D162" s="406"/>
      <c r="E162" s="406"/>
      <c r="F162" s="406"/>
      <c r="G162" s="406"/>
      <c r="H162" s="406"/>
      <c r="I162" s="406"/>
      <c r="J162" s="406"/>
      <c r="K162" s="406"/>
      <c r="L162" s="406"/>
    </row>
    <row r="163" spans="1:12">
      <c r="A163" s="407"/>
      <c r="B163" s="406"/>
      <c r="C163" s="406"/>
      <c r="D163" s="406"/>
      <c r="E163" s="406"/>
      <c r="F163" s="406"/>
      <c r="G163" s="406"/>
      <c r="H163" s="406"/>
      <c r="I163" s="406"/>
      <c r="J163" s="406"/>
      <c r="K163" s="406"/>
      <c r="L163" s="406"/>
    </row>
    <row r="164" spans="1:12">
      <c r="A164" s="407"/>
      <c r="B164" s="406"/>
      <c r="C164" s="406"/>
      <c r="D164" s="428"/>
      <c r="E164" s="428"/>
      <c r="F164" s="428"/>
      <c r="G164" s="428"/>
      <c r="H164" s="428"/>
      <c r="I164" s="428"/>
      <c r="J164" s="428"/>
      <c r="K164" s="428"/>
      <c r="L164" s="406"/>
    </row>
    <row r="165" spans="1:12">
      <c r="A165" s="407"/>
      <c r="B165" s="406"/>
      <c r="C165" s="406"/>
      <c r="D165" s="410"/>
      <c r="E165" s="406"/>
      <c r="F165" s="406"/>
      <c r="G165" s="406"/>
      <c r="H165" s="406"/>
      <c r="I165" s="406"/>
      <c r="J165" s="406"/>
      <c r="K165" s="406"/>
      <c r="L165" s="406"/>
    </row>
    <row r="166" spans="1:12">
      <c r="A166" s="407"/>
      <c r="B166" s="406"/>
      <c r="C166" s="406"/>
      <c r="D166" s="428"/>
      <c r="E166" s="406"/>
      <c r="F166" s="406"/>
      <c r="G166" s="406"/>
      <c r="H166" s="406"/>
      <c r="I166" s="406"/>
      <c r="J166" s="406"/>
      <c r="K166" s="406"/>
      <c r="L166" s="406"/>
    </row>
    <row r="167" spans="1:12">
      <c r="A167" s="407"/>
      <c r="B167" s="406"/>
      <c r="C167" s="406"/>
      <c r="D167" s="406"/>
      <c r="E167" s="406"/>
      <c r="F167" s="406"/>
      <c r="G167" s="406"/>
      <c r="H167" s="406"/>
      <c r="I167" s="406"/>
      <c r="J167" s="406"/>
      <c r="K167" s="406"/>
      <c r="L167" s="406"/>
    </row>
    <row r="168" spans="1:12">
      <c r="A168" s="407"/>
      <c r="B168" s="406"/>
      <c r="C168" s="406"/>
      <c r="D168" s="406"/>
      <c r="I168" s="406"/>
      <c r="J168" s="406"/>
      <c r="K168" s="406"/>
      <c r="L168" s="406"/>
    </row>
    <row r="169" spans="1:12">
      <c r="A169" s="407"/>
      <c r="B169" s="406"/>
      <c r="C169" s="406"/>
      <c r="D169" s="406"/>
      <c r="I169" s="406"/>
      <c r="J169" s="406"/>
      <c r="K169" s="406"/>
      <c r="L169" s="406"/>
    </row>
    <row r="170" spans="1:12">
      <c r="A170" s="407"/>
      <c r="B170" s="406"/>
      <c r="C170" s="406"/>
      <c r="D170" s="406"/>
      <c r="I170" s="406"/>
      <c r="J170" s="406"/>
      <c r="K170" s="406"/>
      <c r="L170" s="406"/>
    </row>
    <row r="171" spans="1:12">
      <c r="A171" s="407"/>
      <c r="B171" s="406"/>
      <c r="C171" s="406"/>
      <c r="D171" s="406"/>
      <c r="E171" s="406"/>
      <c r="F171" s="406"/>
      <c r="G171" s="406"/>
      <c r="H171" s="406"/>
      <c r="I171" s="406"/>
      <c r="J171" s="406"/>
      <c r="K171" s="406"/>
      <c r="L171" s="406"/>
    </row>
    <row r="172" spans="1:12">
      <c r="A172" s="407"/>
      <c r="B172" s="406"/>
      <c r="C172" s="406"/>
      <c r="D172" s="406"/>
      <c r="E172" s="406"/>
      <c r="F172" s="406"/>
      <c r="G172" s="406"/>
      <c r="H172" s="406"/>
      <c r="I172" s="406"/>
      <c r="J172" s="406"/>
      <c r="K172" s="406"/>
      <c r="L172" s="406"/>
    </row>
    <row r="173" spans="1:12">
      <c r="A173" s="407"/>
      <c r="B173" s="406"/>
      <c r="C173" s="406"/>
      <c r="D173" s="406"/>
      <c r="E173" s="406"/>
      <c r="F173" s="406"/>
      <c r="G173" s="406"/>
      <c r="H173" s="406"/>
      <c r="I173" s="406"/>
      <c r="J173" s="406"/>
      <c r="K173" s="406"/>
      <c r="L173" s="406"/>
    </row>
    <row r="174" spans="1:12">
      <c r="A174" s="407"/>
      <c r="B174" s="406"/>
      <c r="C174" s="406"/>
      <c r="D174" s="406"/>
      <c r="E174" s="406"/>
      <c r="F174" s="406"/>
      <c r="G174" s="406"/>
      <c r="H174" s="406"/>
      <c r="I174" s="406"/>
      <c r="J174" s="406"/>
      <c r="K174" s="406"/>
      <c r="L174" s="406"/>
    </row>
    <row r="175" spans="1:12">
      <c r="A175" s="407"/>
      <c r="B175" s="406"/>
      <c r="C175" s="406"/>
      <c r="D175" s="406"/>
      <c r="E175" s="406"/>
      <c r="F175" s="406"/>
      <c r="G175" s="406"/>
      <c r="H175" s="406"/>
      <c r="I175" s="406"/>
      <c r="J175" s="406"/>
      <c r="K175" s="406"/>
      <c r="L175" s="406"/>
    </row>
    <row r="176" spans="1:12">
      <c r="A176" s="407"/>
      <c r="B176" s="406"/>
      <c r="C176" s="406"/>
      <c r="D176" s="406"/>
      <c r="E176" s="406"/>
      <c r="F176" s="406"/>
      <c r="G176" s="406"/>
      <c r="H176" s="406"/>
      <c r="I176" s="406"/>
      <c r="J176" s="406"/>
      <c r="K176" s="406"/>
      <c r="L176" s="406"/>
    </row>
    <row r="177" spans="1:12">
      <c r="A177" s="407"/>
      <c r="B177" s="406"/>
      <c r="C177" s="406"/>
      <c r="D177" s="406"/>
      <c r="E177" s="406"/>
      <c r="F177" s="406"/>
      <c r="G177" s="406"/>
      <c r="H177" s="406"/>
      <c r="I177" s="406"/>
      <c r="J177" s="406"/>
      <c r="K177" s="406"/>
      <c r="L177" s="406"/>
    </row>
    <row r="178" spans="1:12">
      <c r="A178" s="407"/>
      <c r="B178" s="406"/>
      <c r="C178" s="406"/>
      <c r="D178" s="406"/>
      <c r="E178" s="406"/>
      <c r="F178" s="406"/>
      <c r="G178" s="406"/>
      <c r="H178" s="406"/>
      <c r="I178" s="406"/>
      <c r="J178" s="406"/>
      <c r="K178" s="406"/>
      <c r="L178" s="406"/>
    </row>
    <row r="179" spans="1:12">
      <c r="A179" s="407"/>
      <c r="B179" s="406"/>
      <c r="C179" s="406"/>
      <c r="D179" s="406"/>
      <c r="E179" s="406"/>
      <c r="F179" s="406"/>
      <c r="G179" s="406"/>
      <c r="H179" s="406"/>
      <c r="I179" s="406"/>
      <c r="J179" s="406"/>
      <c r="K179" s="406"/>
      <c r="L179" s="406"/>
    </row>
    <row r="180" spans="1:12">
      <c r="A180" s="407"/>
      <c r="B180" s="406"/>
      <c r="C180" s="406"/>
      <c r="D180" s="406"/>
      <c r="E180" s="406"/>
      <c r="F180" s="406"/>
      <c r="G180" s="406"/>
      <c r="H180" s="406"/>
      <c r="I180" s="406"/>
      <c r="J180" s="406"/>
      <c r="K180" s="406"/>
      <c r="L180" s="406"/>
    </row>
    <row r="181" spans="1:12">
      <c r="A181" s="407"/>
      <c r="B181" s="406"/>
      <c r="C181" s="406"/>
      <c r="D181" s="406"/>
      <c r="E181" s="406"/>
      <c r="F181" s="406"/>
      <c r="G181" s="406"/>
      <c r="H181" s="406"/>
      <c r="I181" s="406"/>
      <c r="J181" s="406"/>
      <c r="K181" s="406"/>
      <c r="L181" s="406"/>
    </row>
    <row r="182" spans="1:12">
      <c r="A182" s="407"/>
      <c r="B182" s="406"/>
      <c r="C182" s="406"/>
      <c r="D182" s="406"/>
      <c r="E182" s="406"/>
      <c r="F182" s="406"/>
      <c r="G182" s="406"/>
      <c r="H182" s="406"/>
      <c r="I182" s="406"/>
      <c r="J182" s="406"/>
      <c r="K182" s="406"/>
      <c r="L182" s="406"/>
    </row>
    <row r="183" spans="1:12">
      <c r="A183" s="407"/>
      <c r="B183" s="406"/>
      <c r="C183" s="406"/>
      <c r="D183" s="406"/>
      <c r="E183" s="406"/>
      <c r="F183" s="406"/>
      <c r="G183" s="406"/>
      <c r="H183" s="406"/>
      <c r="I183" s="406"/>
      <c r="J183" s="406"/>
      <c r="K183" s="406"/>
      <c r="L183" s="406"/>
    </row>
    <row r="184" spans="1:12">
      <c r="A184" s="407"/>
      <c r="B184" s="406"/>
      <c r="C184" s="406"/>
      <c r="D184" s="406"/>
      <c r="E184" s="406"/>
      <c r="F184" s="406"/>
      <c r="G184" s="406"/>
      <c r="H184" s="406"/>
      <c r="I184" s="406"/>
      <c r="J184" s="406"/>
      <c r="K184" s="406"/>
      <c r="L184" s="406"/>
    </row>
    <row r="185" spans="1:12">
      <c r="A185" s="407"/>
      <c r="B185" s="406"/>
      <c r="C185" s="406"/>
      <c r="D185" s="406"/>
      <c r="E185" s="406"/>
      <c r="F185" s="406"/>
      <c r="G185" s="406"/>
      <c r="H185" s="406"/>
      <c r="I185" s="406"/>
      <c r="J185" s="406"/>
      <c r="K185" s="406"/>
      <c r="L185" s="406"/>
    </row>
    <row r="186" spans="1:12">
      <c r="A186" s="407"/>
      <c r="B186" s="406"/>
      <c r="C186" s="406"/>
      <c r="D186" s="406"/>
      <c r="E186" s="406"/>
      <c r="F186" s="406"/>
      <c r="G186" s="406"/>
      <c r="H186" s="406"/>
      <c r="I186" s="406"/>
      <c r="J186" s="406"/>
      <c r="K186" s="406"/>
      <c r="L186" s="406"/>
    </row>
    <row r="187" spans="1:12">
      <c r="A187" s="407"/>
      <c r="B187" s="406"/>
      <c r="C187" s="406"/>
      <c r="D187" s="406"/>
      <c r="E187" s="406"/>
      <c r="F187" s="406"/>
      <c r="G187" s="406"/>
      <c r="H187" s="406"/>
      <c r="I187" s="406"/>
      <c r="J187" s="406"/>
      <c r="K187" s="406"/>
      <c r="L187" s="406"/>
    </row>
    <row r="188" spans="1:12">
      <c r="A188" s="407"/>
      <c r="B188" s="406"/>
      <c r="C188" s="406"/>
      <c r="D188" s="406"/>
      <c r="E188" s="406"/>
      <c r="F188" s="406"/>
      <c r="G188" s="406"/>
      <c r="H188" s="406"/>
      <c r="I188" s="406"/>
      <c r="J188" s="406"/>
      <c r="K188" s="406"/>
      <c r="L188" s="406"/>
    </row>
    <row r="189" spans="1:12">
      <c r="A189" s="407"/>
      <c r="B189" s="406"/>
      <c r="C189" s="406"/>
      <c r="D189" s="406"/>
      <c r="E189" s="406"/>
      <c r="F189" s="406"/>
      <c r="G189" s="406"/>
      <c r="H189" s="406"/>
      <c r="I189" s="406"/>
      <c r="J189" s="406"/>
      <c r="K189" s="406"/>
      <c r="L189" s="406"/>
    </row>
    <row r="190" spans="1:12">
      <c r="A190" s="407"/>
      <c r="B190" s="406"/>
      <c r="C190" s="406"/>
      <c r="D190" s="406"/>
      <c r="E190" s="406"/>
      <c r="F190" s="406"/>
      <c r="G190" s="406"/>
      <c r="H190" s="406"/>
      <c r="I190" s="406"/>
      <c r="J190" s="406"/>
      <c r="K190" s="406"/>
      <c r="L190" s="406"/>
    </row>
    <row r="191" spans="1:12">
      <c r="A191" s="407"/>
      <c r="B191" s="406"/>
      <c r="C191" s="406"/>
      <c r="D191" s="406"/>
      <c r="E191" s="406"/>
      <c r="F191" s="406"/>
      <c r="G191" s="406"/>
      <c r="H191" s="406"/>
      <c r="I191" s="406"/>
      <c r="J191" s="406"/>
      <c r="K191" s="406"/>
      <c r="L191" s="406"/>
    </row>
    <row r="192" spans="1:12">
      <c r="A192" s="407"/>
      <c r="B192" s="406"/>
      <c r="C192" s="406"/>
      <c r="D192" s="406"/>
      <c r="E192" s="406"/>
      <c r="F192" s="406"/>
      <c r="G192" s="406"/>
      <c r="H192" s="406"/>
      <c r="I192" s="406"/>
      <c r="J192" s="406"/>
      <c r="K192" s="406"/>
      <c r="L192" s="406"/>
    </row>
    <row r="193" spans="1:12">
      <c r="A193" s="407"/>
      <c r="B193" s="406"/>
      <c r="C193" s="406"/>
      <c r="D193" s="406"/>
      <c r="E193" s="406"/>
      <c r="F193" s="406"/>
      <c r="G193" s="406"/>
      <c r="H193" s="406"/>
      <c r="I193" s="406"/>
      <c r="J193" s="406"/>
      <c r="K193" s="406"/>
      <c r="L193" s="406"/>
    </row>
    <row r="194" spans="1:12">
      <c r="A194" s="407"/>
      <c r="B194" s="406"/>
      <c r="C194" s="406"/>
      <c r="D194" s="406"/>
      <c r="E194" s="406"/>
      <c r="F194" s="406"/>
      <c r="G194" s="406"/>
      <c r="H194" s="406"/>
      <c r="I194" s="406"/>
      <c r="J194" s="406"/>
      <c r="K194" s="406"/>
      <c r="L194" s="406"/>
    </row>
    <row r="195" spans="1:12">
      <c r="A195" s="407"/>
      <c r="B195" s="406"/>
      <c r="C195" s="406"/>
      <c r="D195" s="406"/>
      <c r="E195" s="406"/>
      <c r="F195" s="406"/>
      <c r="G195" s="406"/>
      <c r="H195" s="406"/>
      <c r="I195" s="406"/>
      <c r="J195" s="406"/>
      <c r="K195" s="406"/>
      <c r="L195" s="406"/>
    </row>
    <row r="196" spans="1:12">
      <c r="A196" s="407"/>
      <c r="B196" s="406"/>
      <c r="C196" s="406"/>
      <c r="D196" s="406"/>
      <c r="E196" s="406"/>
      <c r="F196" s="406"/>
      <c r="G196" s="406"/>
      <c r="H196" s="406"/>
      <c r="I196" s="406"/>
      <c r="J196" s="406"/>
      <c r="K196" s="406"/>
      <c r="L196" s="406"/>
    </row>
    <row r="197" spans="1:12">
      <c r="A197" s="407"/>
      <c r="B197" s="406"/>
      <c r="C197" s="406"/>
      <c r="D197" s="406"/>
      <c r="E197" s="406"/>
      <c r="F197" s="406"/>
      <c r="G197" s="406"/>
      <c r="H197" s="406"/>
      <c r="I197" s="406"/>
      <c r="J197" s="406"/>
      <c r="K197" s="406"/>
      <c r="L197" s="406"/>
    </row>
    <row r="198" spans="1:12">
      <c r="A198" s="407"/>
      <c r="B198" s="406"/>
      <c r="C198" s="406"/>
      <c r="D198" s="406"/>
      <c r="E198" s="406"/>
      <c r="F198" s="406"/>
      <c r="G198" s="406"/>
      <c r="H198" s="406"/>
      <c r="I198" s="406"/>
      <c r="J198" s="406"/>
      <c r="K198" s="406"/>
      <c r="L198" s="406"/>
    </row>
    <row r="199" spans="1:12">
      <c r="A199" s="407"/>
      <c r="B199" s="406"/>
      <c r="C199" s="406"/>
      <c r="D199" s="406"/>
      <c r="E199" s="406"/>
      <c r="F199" s="406"/>
      <c r="G199" s="406"/>
      <c r="H199" s="406"/>
      <c r="I199" s="406"/>
      <c r="J199" s="406"/>
      <c r="K199" s="406"/>
      <c r="L199" s="406"/>
    </row>
    <row r="200" spans="1:12">
      <c r="A200" s="407"/>
      <c r="B200" s="406"/>
      <c r="C200" s="406"/>
      <c r="D200" s="406"/>
      <c r="E200" s="406"/>
      <c r="F200" s="406"/>
      <c r="G200" s="406"/>
      <c r="H200" s="406"/>
      <c r="I200" s="406"/>
      <c r="J200" s="406"/>
      <c r="K200" s="406"/>
      <c r="L200" s="406"/>
    </row>
    <row r="201" spans="1:12">
      <c r="A201" s="407"/>
      <c r="B201" s="406"/>
      <c r="C201" s="406"/>
      <c r="D201" s="406"/>
      <c r="E201" s="406"/>
      <c r="F201" s="406"/>
      <c r="G201" s="406"/>
      <c r="H201" s="406"/>
      <c r="I201" s="406"/>
      <c r="J201" s="406"/>
      <c r="K201" s="406"/>
      <c r="L201" s="406"/>
    </row>
    <row r="202" spans="1:12">
      <c r="A202" s="407"/>
      <c r="B202" s="406"/>
      <c r="C202" s="406"/>
      <c r="D202" s="406"/>
      <c r="E202" s="406"/>
      <c r="F202" s="406"/>
      <c r="G202" s="406"/>
      <c r="H202" s="406"/>
      <c r="I202" s="406"/>
      <c r="J202" s="406"/>
      <c r="K202" s="406"/>
      <c r="L202" s="406"/>
    </row>
    <row r="203" spans="1:12">
      <c r="A203" s="407"/>
      <c r="B203" s="406"/>
      <c r="C203" s="406"/>
      <c r="D203" s="406"/>
      <c r="E203" s="406"/>
      <c r="F203" s="406"/>
      <c r="G203" s="406"/>
      <c r="H203" s="406"/>
      <c r="I203" s="406"/>
      <c r="J203" s="406"/>
      <c r="K203" s="406"/>
      <c r="L203" s="406"/>
    </row>
    <row r="204" spans="1:12">
      <c r="A204" s="407"/>
      <c r="B204" s="406"/>
      <c r="C204" s="406"/>
      <c r="D204" s="406"/>
      <c r="E204" s="406"/>
      <c r="F204" s="406"/>
      <c r="G204" s="406"/>
      <c r="H204" s="406"/>
      <c r="I204" s="406"/>
      <c r="J204" s="406"/>
      <c r="K204" s="406"/>
      <c r="L204" s="406"/>
    </row>
    <row r="205" spans="1:12">
      <c r="A205" s="407"/>
      <c r="B205" s="406"/>
      <c r="C205" s="406"/>
      <c r="D205" s="406"/>
      <c r="E205" s="406"/>
      <c r="F205" s="406"/>
      <c r="G205" s="406"/>
      <c r="H205" s="406"/>
      <c r="I205" s="406"/>
      <c r="J205" s="406"/>
      <c r="K205" s="406"/>
      <c r="L205" s="406"/>
    </row>
    <row r="206" spans="1:12">
      <c r="A206" s="407"/>
      <c r="B206" s="406"/>
      <c r="C206" s="406"/>
      <c r="D206" s="406"/>
      <c r="E206" s="406"/>
      <c r="F206" s="406"/>
      <c r="G206" s="406"/>
      <c r="H206" s="406"/>
      <c r="I206" s="406"/>
      <c r="J206" s="406"/>
      <c r="K206" s="406"/>
      <c r="L206" s="406"/>
    </row>
    <row r="207" spans="1:12">
      <c r="A207" s="407"/>
      <c r="B207" s="406"/>
      <c r="C207" s="406"/>
      <c r="D207" s="406"/>
      <c r="E207" s="406"/>
      <c r="F207" s="406"/>
      <c r="G207" s="406"/>
      <c r="H207" s="406"/>
      <c r="I207" s="406"/>
      <c r="J207" s="406"/>
      <c r="K207" s="406"/>
      <c r="L207" s="406"/>
    </row>
    <row r="208" spans="1:12">
      <c r="A208" s="407"/>
      <c r="B208" s="406"/>
      <c r="C208" s="406"/>
      <c r="D208" s="406"/>
      <c r="E208" s="406"/>
      <c r="F208" s="406"/>
      <c r="G208" s="406"/>
      <c r="H208" s="406"/>
      <c r="I208" s="406"/>
      <c r="J208" s="406"/>
      <c r="K208" s="406"/>
      <c r="L208" s="406"/>
    </row>
    <row r="209" spans="1:12">
      <c r="A209" s="407"/>
      <c r="B209" s="406"/>
      <c r="C209" s="406"/>
      <c r="D209" s="406"/>
      <c r="E209" s="406"/>
      <c r="F209" s="406"/>
      <c r="G209" s="406"/>
      <c r="H209" s="406"/>
      <c r="I209" s="406"/>
      <c r="J209" s="406"/>
      <c r="K209" s="406"/>
      <c r="L209" s="406"/>
    </row>
    <row r="210" spans="1:12">
      <c r="A210" s="407"/>
      <c r="B210" s="406"/>
      <c r="C210" s="406"/>
      <c r="D210" s="406"/>
      <c r="E210" s="406"/>
      <c r="F210" s="406"/>
      <c r="G210" s="406"/>
      <c r="H210" s="406"/>
      <c r="I210" s="406"/>
      <c r="J210" s="406"/>
      <c r="K210" s="406"/>
      <c r="L210" s="406"/>
    </row>
    <row r="211" spans="1:12">
      <c r="A211" s="407"/>
      <c r="B211" s="406"/>
      <c r="C211" s="406"/>
      <c r="D211" s="406"/>
      <c r="E211" s="406"/>
      <c r="F211" s="406"/>
      <c r="G211" s="406"/>
      <c r="H211" s="406"/>
      <c r="I211" s="406"/>
      <c r="J211" s="406"/>
      <c r="K211" s="406"/>
      <c r="L211" s="406"/>
    </row>
    <row r="212" spans="1:12">
      <c r="A212" s="407"/>
      <c r="B212" s="406"/>
      <c r="C212" s="406"/>
      <c r="D212" s="406"/>
      <c r="E212" s="406"/>
      <c r="F212" s="406"/>
      <c r="G212" s="406"/>
      <c r="H212" s="406"/>
      <c r="I212" s="406"/>
      <c r="J212" s="406"/>
      <c r="K212" s="406"/>
      <c r="L212" s="406"/>
    </row>
    <row r="213" spans="1:12">
      <c r="A213" s="407"/>
      <c r="B213" s="406"/>
      <c r="C213" s="406"/>
      <c r="D213" s="406"/>
      <c r="E213" s="406"/>
      <c r="F213" s="406"/>
      <c r="G213" s="406"/>
      <c r="H213" s="406"/>
      <c r="I213" s="406"/>
      <c r="J213" s="406"/>
      <c r="K213" s="406"/>
      <c r="L213" s="406"/>
    </row>
    <row r="214" spans="1:12">
      <c r="A214" s="407"/>
      <c r="B214" s="406"/>
      <c r="C214" s="406"/>
      <c r="D214" s="406"/>
      <c r="E214" s="406"/>
      <c r="F214" s="406"/>
      <c r="G214" s="406"/>
      <c r="H214" s="406"/>
      <c r="I214" s="406"/>
      <c r="J214" s="406"/>
      <c r="K214" s="406"/>
      <c r="L214" s="406"/>
    </row>
    <row r="215" spans="1:12">
      <c r="A215" s="407"/>
      <c r="B215" s="406"/>
      <c r="C215" s="406"/>
      <c r="D215" s="406"/>
      <c r="E215" s="406"/>
      <c r="F215" s="406"/>
      <c r="G215" s="406"/>
      <c r="H215" s="406"/>
      <c r="I215" s="406"/>
      <c r="J215" s="406"/>
      <c r="K215" s="406"/>
      <c r="L215" s="406"/>
    </row>
    <row r="216" spans="1:12">
      <c r="A216" s="407"/>
      <c r="B216" s="406"/>
      <c r="C216" s="406"/>
      <c r="D216" s="406"/>
      <c r="E216" s="406"/>
      <c r="F216" s="406"/>
      <c r="G216" s="406"/>
      <c r="H216" s="406"/>
      <c r="I216" s="406"/>
      <c r="J216" s="406"/>
      <c r="K216" s="406"/>
      <c r="L216" s="406"/>
    </row>
    <row r="217" spans="1:12">
      <c r="A217" s="407"/>
      <c r="B217" s="406"/>
      <c r="C217" s="406"/>
      <c r="D217" s="406"/>
      <c r="E217" s="406"/>
      <c r="F217" s="406"/>
      <c r="G217" s="406"/>
      <c r="H217" s="406"/>
      <c r="I217" s="406"/>
      <c r="J217" s="406"/>
      <c r="K217" s="406"/>
      <c r="L217" s="406"/>
    </row>
    <row r="218" spans="1:12">
      <c r="A218" s="407"/>
      <c r="B218" s="406"/>
      <c r="C218" s="406"/>
      <c r="D218" s="406"/>
      <c r="E218" s="406"/>
      <c r="F218" s="406"/>
      <c r="G218" s="406"/>
      <c r="H218" s="406"/>
      <c r="I218" s="406"/>
      <c r="J218" s="406"/>
      <c r="K218" s="406"/>
      <c r="L218" s="406"/>
    </row>
    <row r="219" spans="1:12">
      <c r="A219" s="407"/>
      <c r="B219" s="406"/>
      <c r="C219" s="406"/>
      <c r="D219" s="406"/>
      <c r="E219" s="406"/>
      <c r="F219" s="406"/>
      <c r="G219" s="406"/>
      <c r="H219" s="406"/>
      <c r="I219" s="406"/>
      <c r="J219" s="406"/>
      <c r="K219" s="406"/>
      <c r="L219" s="406"/>
    </row>
    <row r="220" spans="1:12">
      <c r="A220" s="407"/>
      <c r="B220" s="406"/>
      <c r="C220" s="406"/>
      <c r="D220" s="406"/>
      <c r="E220" s="406"/>
      <c r="F220" s="406"/>
      <c r="G220" s="406"/>
      <c r="H220" s="406"/>
      <c r="I220" s="406"/>
      <c r="J220" s="406"/>
      <c r="K220" s="406"/>
      <c r="L220" s="406"/>
    </row>
    <row r="221" spans="1:12">
      <c r="A221" s="407"/>
      <c r="B221" s="406"/>
      <c r="C221" s="406"/>
      <c r="D221" s="406"/>
      <c r="E221" s="406"/>
      <c r="F221" s="406"/>
      <c r="G221" s="406"/>
      <c r="H221" s="406"/>
      <c r="I221" s="406"/>
      <c r="J221" s="406"/>
      <c r="K221" s="406"/>
      <c r="L221" s="406"/>
    </row>
    <row r="222" spans="1:12">
      <c r="A222" s="407"/>
      <c r="B222" s="406"/>
      <c r="C222" s="406"/>
      <c r="D222" s="406"/>
      <c r="E222" s="406"/>
      <c r="F222" s="406"/>
      <c r="G222" s="406"/>
      <c r="H222" s="406"/>
      <c r="I222" s="406"/>
      <c r="J222" s="406"/>
      <c r="K222" s="406"/>
      <c r="L222" s="406"/>
    </row>
    <row r="223" spans="1:12">
      <c r="A223" s="407"/>
      <c r="B223" s="406"/>
      <c r="C223" s="406"/>
      <c r="D223" s="406"/>
      <c r="E223" s="406"/>
      <c r="F223" s="406"/>
      <c r="G223" s="406"/>
      <c r="H223" s="406"/>
      <c r="I223" s="406"/>
      <c r="J223" s="406"/>
      <c r="K223" s="406"/>
      <c r="L223" s="406"/>
    </row>
    <row r="224" spans="1:12">
      <c r="A224" s="407"/>
      <c r="B224" s="406"/>
      <c r="C224" s="406"/>
      <c r="D224" s="406"/>
      <c r="E224" s="406"/>
      <c r="F224" s="406"/>
      <c r="G224" s="406"/>
      <c r="H224" s="406"/>
      <c r="I224" s="406"/>
      <c r="J224" s="406"/>
      <c r="K224" s="406"/>
      <c r="L224" s="406"/>
    </row>
    <row r="225" spans="1:12">
      <c r="A225" s="407"/>
      <c r="B225" s="406"/>
      <c r="C225" s="406"/>
      <c r="D225" s="406"/>
      <c r="E225" s="406"/>
      <c r="F225" s="406"/>
      <c r="G225" s="406"/>
      <c r="H225" s="406"/>
      <c r="I225" s="406"/>
      <c r="J225" s="406"/>
      <c r="K225" s="406"/>
      <c r="L225" s="406"/>
    </row>
    <row r="226" spans="1:12">
      <c r="A226" s="407"/>
      <c r="B226" s="406"/>
      <c r="C226" s="406"/>
      <c r="D226" s="406"/>
      <c r="E226" s="406"/>
      <c r="F226" s="406"/>
      <c r="G226" s="406"/>
      <c r="H226" s="406"/>
      <c r="I226" s="406"/>
      <c r="J226" s="406"/>
      <c r="K226" s="406"/>
      <c r="L226" s="406"/>
    </row>
    <row r="227" spans="1:12">
      <c r="A227" s="407"/>
      <c r="B227" s="406"/>
      <c r="C227" s="406"/>
      <c r="D227" s="406"/>
      <c r="E227" s="406"/>
      <c r="F227" s="406"/>
      <c r="G227" s="406"/>
      <c r="H227" s="406"/>
      <c r="I227" s="406"/>
      <c r="J227" s="406"/>
      <c r="K227" s="406"/>
      <c r="L227" s="406"/>
    </row>
    <row r="228" spans="1:12">
      <c r="A228" s="407"/>
      <c r="B228" s="406"/>
      <c r="C228" s="406"/>
      <c r="D228" s="406"/>
      <c r="E228" s="406"/>
      <c r="F228" s="406"/>
      <c r="G228" s="406"/>
      <c r="H228" s="406"/>
      <c r="I228" s="406"/>
      <c r="J228" s="406"/>
      <c r="K228" s="406"/>
      <c r="L228" s="406"/>
    </row>
    <row r="229" spans="1:12">
      <c r="A229" s="407"/>
      <c r="B229" s="406"/>
      <c r="C229" s="406"/>
      <c r="D229" s="406"/>
      <c r="E229" s="406"/>
      <c r="F229" s="406"/>
      <c r="G229" s="406"/>
      <c r="H229" s="406"/>
      <c r="I229" s="406"/>
      <c r="J229" s="406"/>
      <c r="K229" s="406"/>
      <c r="L229" s="406"/>
    </row>
    <row r="230" spans="1:12">
      <c r="A230" s="407"/>
      <c r="B230" s="406"/>
      <c r="C230" s="406"/>
      <c r="D230" s="406"/>
      <c r="E230" s="406"/>
      <c r="F230" s="406"/>
      <c r="G230" s="406"/>
      <c r="H230" s="406"/>
      <c r="I230" s="406"/>
      <c r="J230" s="406"/>
      <c r="K230" s="406"/>
      <c r="L230" s="406"/>
    </row>
    <row r="231" spans="1:12">
      <c r="A231" s="407"/>
      <c r="B231" s="406"/>
      <c r="C231" s="406"/>
      <c r="D231" s="406"/>
      <c r="E231" s="406"/>
      <c r="F231" s="406"/>
      <c r="G231" s="406"/>
      <c r="H231" s="406"/>
      <c r="I231" s="406"/>
      <c r="J231" s="406"/>
      <c r="K231" s="406"/>
      <c r="L231" s="406"/>
    </row>
    <row r="232" spans="1:12">
      <c r="A232" s="407"/>
      <c r="B232" s="406"/>
      <c r="C232" s="406"/>
      <c r="D232" s="406"/>
      <c r="E232" s="406"/>
      <c r="F232" s="406"/>
      <c r="G232" s="406"/>
      <c r="H232" s="406"/>
      <c r="I232" s="406"/>
      <c r="J232" s="406"/>
      <c r="K232" s="406"/>
      <c r="L232" s="406"/>
    </row>
    <row r="233" spans="1:12">
      <c r="A233" s="407"/>
      <c r="B233" s="406"/>
      <c r="C233" s="406"/>
      <c r="D233" s="406"/>
      <c r="E233" s="406"/>
      <c r="F233" s="406"/>
      <c r="G233" s="406"/>
      <c r="H233" s="406"/>
      <c r="I233" s="406"/>
      <c r="J233" s="406"/>
      <c r="K233" s="406"/>
      <c r="L233" s="406"/>
    </row>
    <row r="234" spans="1:12">
      <c r="A234" s="407"/>
      <c r="B234" s="406"/>
      <c r="C234" s="406"/>
      <c r="D234" s="406"/>
      <c r="E234" s="406"/>
      <c r="F234" s="406"/>
      <c r="G234" s="406"/>
      <c r="H234" s="406"/>
      <c r="I234" s="406"/>
      <c r="J234" s="406"/>
      <c r="K234" s="406"/>
      <c r="L234" s="406"/>
    </row>
    <row r="235" spans="1:12">
      <c r="A235" s="407"/>
      <c r="B235" s="406"/>
      <c r="C235" s="406"/>
      <c r="D235" s="406"/>
      <c r="E235" s="406"/>
      <c r="F235" s="406"/>
      <c r="G235" s="406"/>
      <c r="H235" s="406"/>
      <c r="I235" s="406"/>
      <c r="J235" s="406"/>
      <c r="K235" s="406"/>
      <c r="L235" s="406"/>
    </row>
    <row r="236" spans="1:12">
      <c r="A236" s="407"/>
      <c r="B236" s="406"/>
      <c r="C236" s="406"/>
      <c r="D236" s="406"/>
      <c r="E236" s="406"/>
      <c r="F236" s="406"/>
      <c r="G236" s="406"/>
      <c r="H236" s="406"/>
      <c r="I236" s="406"/>
      <c r="J236" s="406"/>
      <c r="K236" s="406"/>
      <c r="L236" s="406"/>
    </row>
    <row r="237" spans="1:12">
      <c r="A237" s="407"/>
      <c r="B237" s="406"/>
      <c r="C237" s="406"/>
      <c r="D237" s="406"/>
      <c r="E237" s="406"/>
      <c r="F237" s="406"/>
      <c r="G237" s="406"/>
      <c r="H237" s="406"/>
      <c r="I237" s="406"/>
      <c r="J237" s="406"/>
      <c r="K237" s="406"/>
      <c r="L237" s="406"/>
    </row>
    <row r="238" spans="1:12">
      <c r="A238" s="407"/>
      <c r="B238" s="406"/>
      <c r="C238" s="406"/>
      <c r="D238" s="406"/>
      <c r="E238" s="406"/>
      <c r="F238" s="406"/>
      <c r="G238" s="406"/>
      <c r="H238" s="406"/>
      <c r="I238" s="406"/>
      <c r="J238" s="406"/>
      <c r="K238" s="406"/>
      <c r="L238" s="406"/>
    </row>
    <row r="239" spans="1:12">
      <c r="A239" s="407"/>
      <c r="B239" s="406"/>
      <c r="C239" s="406"/>
      <c r="D239" s="406"/>
      <c r="E239" s="406"/>
      <c r="F239" s="406"/>
      <c r="G239" s="406"/>
      <c r="H239" s="406"/>
      <c r="I239" s="406"/>
      <c r="J239" s="406"/>
      <c r="K239" s="406"/>
      <c r="L239" s="406"/>
    </row>
    <row r="240" spans="1:12">
      <c r="A240" s="407"/>
      <c r="B240" s="406"/>
      <c r="C240" s="406"/>
      <c r="D240" s="406"/>
      <c r="E240" s="406"/>
      <c r="F240" s="406"/>
      <c r="G240" s="406"/>
      <c r="H240" s="406"/>
      <c r="I240" s="406"/>
      <c r="J240" s="406"/>
      <c r="K240" s="406"/>
      <c r="L240" s="406"/>
    </row>
    <row r="241" spans="1:12">
      <c r="A241" s="407"/>
      <c r="B241" s="406"/>
      <c r="C241" s="406"/>
      <c r="D241" s="406"/>
      <c r="E241" s="406"/>
      <c r="F241" s="406"/>
      <c r="G241" s="406"/>
      <c r="H241" s="406"/>
      <c r="I241" s="406"/>
      <c r="J241" s="406"/>
      <c r="K241" s="406"/>
      <c r="L241" s="406"/>
    </row>
    <row r="242" spans="1:12">
      <c r="A242" s="407"/>
      <c r="B242" s="406"/>
      <c r="C242" s="406"/>
      <c r="D242" s="406"/>
      <c r="E242" s="406"/>
      <c r="F242" s="406"/>
      <c r="G242" s="406"/>
      <c r="H242" s="406"/>
      <c r="I242" s="406"/>
      <c r="J242" s="406"/>
      <c r="K242" s="406"/>
      <c r="L242" s="406"/>
    </row>
    <row r="243" spans="1:12">
      <c r="A243" s="407"/>
      <c r="B243" s="406"/>
      <c r="C243" s="406"/>
      <c r="D243" s="406"/>
      <c r="E243" s="406"/>
      <c r="F243" s="406"/>
      <c r="G243" s="406"/>
      <c r="H243" s="406"/>
      <c r="I243" s="406"/>
      <c r="J243" s="406"/>
      <c r="K243" s="406"/>
      <c r="L243" s="406"/>
    </row>
    <row r="244" spans="1:12">
      <c r="A244" s="407"/>
      <c r="B244" s="406"/>
      <c r="C244" s="406"/>
      <c r="D244" s="406"/>
      <c r="E244" s="406"/>
      <c r="F244" s="406"/>
      <c r="G244" s="406"/>
      <c r="H244" s="406"/>
      <c r="I244" s="406"/>
      <c r="J244" s="406"/>
      <c r="K244" s="406"/>
      <c r="L244" s="406"/>
    </row>
    <row r="245" spans="1:12">
      <c r="A245" s="407"/>
      <c r="B245" s="406"/>
      <c r="C245" s="406"/>
      <c r="D245" s="406"/>
      <c r="E245" s="406"/>
      <c r="F245" s="406"/>
      <c r="G245" s="406"/>
      <c r="H245" s="406"/>
      <c r="I245" s="406"/>
      <c r="J245" s="406"/>
      <c r="K245" s="406"/>
      <c r="L245" s="406"/>
    </row>
    <row r="246" spans="1:12">
      <c r="A246" s="407"/>
      <c r="B246" s="406"/>
      <c r="C246" s="406"/>
      <c r="D246" s="406"/>
      <c r="E246" s="406"/>
      <c r="F246" s="406"/>
      <c r="G246" s="406"/>
      <c r="H246" s="406"/>
      <c r="I246" s="406"/>
      <c r="J246" s="406"/>
      <c r="K246" s="406"/>
      <c r="L246" s="406"/>
    </row>
    <row r="247" spans="1:12">
      <c r="A247" s="407"/>
      <c r="B247" s="406"/>
      <c r="C247" s="406"/>
      <c r="D247" s="406"/>
      <c r="E247" s="406"/>
      <c r="F247" s="406"/>
      <c r="G247" s="406"/>
      <c r="H247" s="406"/>
      <c r="I247" s="406"/>
      <c r="J247" s="406"/>
      <c r="K247" s="406"/>
      <c r="L247" s="406"/>
    </row>
    <row r="248" spans="1:12">
      <c r="A248" s="407"/>
      <c r="B248" s="406"/>
      <c r="C248" s="406"/>
      <c r="D248" s="406"/>
      <c r="E248" s="406"/>
      <c r="F248" s="406"/>
      <c r="G248" s="406"/>
      <c r="H248" s="406"/>
      <c r="I248" s="406"/>
      <c r="J248" s="406"/>
      <c r="K248" s="406"/>
      <c r="L248" s="406"/>
    </row>
    <row r="249" spans="1:12">
      <c r="A249" s="407"/>
      <c r="B249" s="406"/>
      <c r="C249" s="406"/>
      <c r="D249" s="406"/>
      <c r="E249" s="406"/>
      <c r="F249" s="406"/>
      <c r="G249" s="406"/>
      <c r="H249" s="406"/>
      <c r="I249" s="406"/>
      <c r="J249" s="406"/>
      <c r="K249" s="406"/>
      <c r="L249" s="406"/>
    </row>
    <row r="250" spans="1:12">
      <c r="A250" s="407"/>
      <c r="B250" s="406"/>
      <c r="C250" s="406"/>
      <c r="D250" s="406"/>
      <c r="E250" s="406"/>
      <c r="F250" s="406"/>
      <c r="G250" s="406"/>
      <c r="H250" s="406"/>
      <c r="I250" s="406"/>
      <c r="J250" s="406"/>
      <c r="K250" s="406"/>
      <c r="L250" s="406"/>
    </row>
    <row r="251" spans="1:12">
      <c r="A251" s="407"/>
      <c r="B251" s="406"/>
      <c r="C251" s="406"/>
      <c r="D251" s="406"/>
      <c r="E251" s="406"/>
      <c r="F251" s="406"/>
      <c r="G251" s="406"/>
      <c r="H251" s="406"/>
      <c r="I251" s="406"/>
      <c r="J251" s="406"/>
      <c r="K251" s="406"/>
      <c r="L251" s="406"/>
    </row>
    <row r="252" spans="1:12">
      <c r="A252" s="407"/>
      <c r="B252" s="406"/>
      <c r="C252" s="406"/>
      <c r="D252" s="406"/>
      <c r="E252" s="406"/>
      <c r="F252" s="406"/>
      <c r="G252" s="406"/>
      <c r="H252" s="406"/>
      <c r="I252" s="406"/>
      <c r="J252" s="406"/>
      <c r="K252" s="406"/>
      <c r="L252" s="406"/>
    </row>
    <row r="253" spans="1:12">
      <c r="A253" s="407"/>
      <c r="B253" s="406"/>
      <c r="C253" s="406"/>
      <c r="D253" s="406"/>
      <c r="E253" s="406"/>
      <c r="F253" s="406"/>
      <c r="G253" s="406"/>
      <c r="H253" s="406"/>
      <c r="I253" s="406"/>
      <c r="J253" s="406"/>
      <c r="K253" s="406"/>
      <c r="L253" s="406"/>
    </row>
    <row r="254" spans="1:12">
      <c r="A254" s="407"/>
      <c r="B254" s="406"/>
      <c r="C254" s="406"/>
      <c r="D254" s="406"/>
      <c r="E254" s="406"/>
      <c r="F254" s="406"/>
      <c r="G254" s="406"/>
      <c r="H254" s="406"/>
      <c r="I254" s="406"/>
      <c r="J254" s="406"/>
      <c r="K254" s="406"/>
      <c r="L254" s="406"/>
    </row>
    <row r="255" spans="1:12">
      <c r="A255" s="407"/>
      <c r="B255" s="406"/>
      <c r="C255" s="406"/>
      <c r="D255" s="406"/>
      <c r="E255" s="406"/>
      <c r="F255" s="406"/>
      <c r="G255" s="406"/>
      <c r="H255" s="406"/>
      <c r="I255" s="406"/>
      <c r="J255" s="406"/>
      <c r="K255" s="406"/>
      <c r="L255" s="406"/>
    </row>
    <row r="256" spans="1:12">
      <c r="A256" s="407"/>
      <c r="B256" s="406"/>
      <c r="C256" s="406"/>
      <c r="D256" s="406"/>
      <c r="E256" s="406"/>
      <c r="F256" s="406"/>
      <c r="G256" s="406"/>
      <c r="H256" s="406"/>
      <c r="I256" s="406"/>
      <c r="J256" s="406"/>
      <c r="K256" s="406"/>
      <c r="L256" s="406"/>
    </row>
    <row r="257" spans="1:12">
      <c r="A257" s="407"/>
      <c r="B257" s="406"/>
      <c r="C257" s="406"/>
      <c r="D257" s="406"/>
      <c r="E257" s="406"/>
      <c r="F257" s="406"/>
      <c r="G257" s="406"/>
      <c r="H257" s="406"/>
      <c r="I257" s="406"/>
      <c r="J257" s="406"/>
      <c r="K257" s="406"/>
      <c r="L257" s="406"/>
    </row>
    <row r="258" spans="1:12">
      <c r="A258" s="407"/>
      <c r="B258" s="406"/>
      <c r="C258" s="406"/>
      <c r="D258" s="406"/>
      <c r="E258" s="406"/>
      <c r="F258" s="406"/>
      <c r="G258" s="406"/>
      <c r="H258" s="406"/>
      <c r="I258" s="406"/>
      <c r="J258" s="406"/>
      <c r="K258" s="406"/>
      <c r="L258" s="406"/>
    </row>
    <row r="259" spans="1:12">
      <c r="A259" s="407"/>
      <c r="B259" s="406"/>
      <c r="C259" s="406"/>
      <c r="D259" s="406"/>
      <c r="E259" s="406"/>
      <c r="F259" s="406"/>
      <c r="G259" s="406"/>
      <c r="H259" s="406"/>
      <c r="I259" s="406"/>
      <c r="J259" s="406"/>
      <c r="K259" s="406"/>
      <c r="L259" s="406"/>
    </row>
    <row r="260" spans="1:12">
      <c r="A260" s="407"/>
      <c r="B260" s="406"/>
      <c r="C260" s="406"/>
      <c r="D260" s="406"/>
      <c r="E260" s="406"/>
      <c r="F260" s="406"/>
      <c r="G260" s="406"/>
      <c r="H260" s="406"/>
      <c r="I260" s="406"/>
      <c r="J260" s="406"/>
      <c r="K260" s="406"/>
      <c r="L260" s="406"/>
    </row>
    <row r="261" spans="1:12">
      <c r="A261" s="407"/>
      <c r="B261" s="406"/>
      <c r="C261" s="406"/>
      <c r="D261" s="406"/>
      <c r="E261" s="406"/>
      <c r="F261" s="406"/>
      <c r="G261" s="406"/>
      <c r="H261" s="406"/>
      <c r="I261" s="406"/>
      <c r="J261" s="406"/>
      <c r="K261" s="406"/>
      <c r="L261" s="406"/>
    </row>
    <row r="262" spans="1:12">
      <c r="A262" s="407"/>
      <c r="B262" s="406"/>
      <c r="C262" s="406"/>
      <c r="D262" s="406"/>
      <c r="E262" s="406"/>
      <c r="F262" s="406"/>
      <c r="G262" s="406"/>
      <c r="H262" s="406"/>
      <c r="I262" s="406"/>
      <c r="J262" s="406"/>
      <c r="K262" s="406"/>
      <c r="L262" s="406"/>
    </row>
    <row r="263" spans="1:12">
      <c r="A263" s="407"/>
      <c r="B263" s="406"/>
      <c r="C263" s="406"/>
      <c r="D263" s="406"/>
      <c r="E263" s="406"/>
      <c r="F263" s="406"/>
      <c r="G263" s="406"/>
      <c r="H263" s="406"/>
      <c r="I263" s="406"/>
      <c r="J263" s="406"/>
      <c r="K263" s="406"/>
      <c r="L263" s="406"/>
    </row>
    <row r="264" spans="1:12">
      <c r="A264" s="407"/>
      <c r="B264" s="406"/>
      <c r="C264" s="406"/>
      <c r="D264" s="406"/>
      <c r="E264" s="406"/>
      <c r="F264" s="406"/>
      <c r="G264" s="406"/>
      <c r="H264" s="406"/>
      <c r="I264" s="406"/>
      <c r="J264" s="406"/>
      <c r="K264" s="406"/>
      <c r="L264" s="406"/>
    </row>
    <row r="265" spans="1:12">
      <c r="A265" s="407"/>
      <c r="B265" s="406"/>
      <c r="C265" s="406"/>
      <c r="D265" s="406"/>
      <c r="E265" s="406"/>
      <c r="F265" s="406"/>
      <c r="G265" s="406"/>
      <c r="H265" s="406"/>
      <c r="I265" s="406"/>
      <c r="J265" s="406"/>
      <c r="K265" s="406"/>
      <c r="L265" s="406"/>
    </row>
    <row r="266" spans="1:12">
      <c r="A266" s="407"/>
      <c r="B266" s="406"/>
      <c r="C266" s="406"/>
      <c r="D266" s="406"/>
      <c r="E266" s="406"/>
      <c r="F266" s="406"/>
      <c r="G266" s="406"/>
      <c r="H266" s="406"/>
      <c r="I266" s="406"/>
      <c r="J266" s="406"/>
      <c r="K266" s="406"/>
      <c r="L266" s="406"/>
    </row>
    <row r="267" spans="1:12">
      <c r="A267" s="407"/>
      <c r="B267" s="406"/>
      <c r="C267" s="406"/>
      <c r="D267" s="406"/>
      <c r="E267" s="406"/>
      <c r="F267" s="406"/>
      <c r="G267" s="406"/>
      <c r="H267" s="406"/>
      <c r="I267" s="406"/>
      <c r="J267" s="406"/>
      <c r="K267" s="406"/>
      <c r="L267" s="406"/>
    </row>
    <row r="268" spans="1:12">
      <c r="A268" s="407"/>
      <c r="B268" s="406"/>
      <c r="C268" s="406"/>
      <c r="D268" s="406"/>
      <c r="E268" s="406"/>
      <c r="F268" s="406"/>
      <c r="G268" s="406"/>
      <c r="H268" s="406"/>
      <c r="I268" s="406"/>
      <c r="J268" s="406"/>
      <c r="K268" s="406"/>
      <c r="L268" s="406"/>
    </row>
    <row r="269" spans="1:12">
      <c r="A269" s="407"/>
      <c r="B269" s="406"/>
      <c r="C269" s="406"/>
      <c r="D269" s="406"/>
      <c r="E269" s="406"/>
      <c r="F269" s="406"/>
      <c r="G269" s="406"/>
      <c r="H269" s="406"/>
      <c r="I269" s="406"/>
      <c r="J269" s="406"/>
      <c r="K269" s="406"/>
      <c r="L269" s="406"/>
    </row>
    <row r="270" spans="1:12">
      <c r="A270" s="407"/>
      <c r="B270" s="406"/>
      <c r="C270" s="406"/>
      <c r="D270" s="406"/>
      <c r="E270" s="406"/>
      <c r="F270" s="406"/>
      <c r="G270" s="406"/>
      <c r="H270" s="406"/>
      <c r="I270" s="406"/>
      <c r="J270" s="406"/>
      <c r="K270" s="406"/>
      <c r="L270" s="406"/>
    </row>
    <row r="271" spans="1:12">
      <c r="A271" s="407"/>
      <c r="B271" s="406"/>
      <c r="C271" s="406"/>
      <c r="D271" s="406"/>
      <c r="E271" s="406"/>
      <c r="F271" s="406"/>
      <c r="G271" s="406"/>
      <c r="H271" s="406"/>
      <c r="I271" s="406"/>
      <c r="J271" s="406"/>
      <c r="K271" s="406"/>
      <c r="L271" s="406"/>
    </row>
    <row r="272" spans="1:12">
      <c r="A272" s="407"/>
      <c r="B272" s="406"/>
      <c r="C272" s="406"/>
      <c r="D272" s="406"/>
      <c r="E272" s="406"/>
      <c r="F272" s="406"/>
      <c r="G272" s="406"/>
      <c r="H272" s="406"/>
      <c r="I272" s="406"/>
      <c r="J272" s="406"/>
      <c r="K272" s="406"/>
      <c r="L272" s="406"/>
    </row>
    <row r="273" spans="1:12">
      <c r="A273" s="407"/>
      <c r="B273" s="406"/>
      <c r="C273" s="406"/>
      <c r="D273" s="406"/>
      <c r="E273" s="406"/>
      <c r="F273" s="406"/>
      <c r="G273" s="406"/>
      <c r="H273" s="406"/>
      <c r="I273" s="406"/>
      <c r="J273" s="406"/>
      <c r="K273" s="406"/>
      <c r="L273" s="406"/>
    </row>
    <row r="274" spans="1:12">
      <c r="A274" s="407"/>
      <c r="B274" s="406"/>
      <c r="C274" s="406"/>
      <c r="D274" s="406"/>
      <c r="E274" s="406"/>
      <c r="F274" s="406"/>
      <c r="G274" s="406"/>
      <c r="H274" s="406"/>
      <c r="I274" s="406"/>
      <c r="J274" s="406"/>
      <c r="K274" s="406"/>
      <c r="L274" s="406"/>
    </row>
    <row r="275" spans="1:12">
      <c r="A275" s="407"/>
      <c r="B275" s="406"/>
      <c r="C275" s="406"/>
      <c r="D275" s="406"/>
      <c r="E275" s="406"/>
      <c r="F275" s="406"/>
      <c r="G275" s="406"/>
      <c r="H275" s="406"/>
      <c r="I275" s="406"/>
      <c r="J275" s="406"/>
      <c r="K275" s="406"/>
      <c r="L275" s="406"/>
    </row>
    <row r="276" spans="1:12">
      <c r="A276" s="407"/>
      <c r="B276" s="406"/>
      <c r="C276" s="406"/>
      <c r="D276" s="406"/>
      <c r="E276" s="406"/>
      <c r="F276" s="406"/>
      <c r="G276" s="406"/>
      <c r="H276" s="406"/>
      <c r="I276" s="406"/>
      <c r="J276" s="406"/>
      <c r="K276" s="406"/>
      <c r="L276" s="406"/>
    </row>
    <row r="277" spans="1:12">
      <c r="A277" s="407"/>
      <c r="B277" s="406"/>
      <c r="C277" s="406"/>
      <c r="D277" s="406"/>
      <c r="E277" s="406"/>
      <c r="F277" s="406"/>
      <c r="G277" s="406"/>
      <c r="H277" s="406"/>
      <c r="I277" s="406"/>
      <c r="J277" s="406"/>
      <c r="K277" s="406"/>
      <c r="L277" s="406"/>
    </row>
    <row r="278" spans="1:12">
      <c r="A278" s="407"/>
      <c r="B278" s="406"/>
      <c r="C278" s="406"/>
      <c r="D278" s="406"/>
      <c r="E278" s="406"/>
      <c r="F278" s="406"/>
      <c r="G278" s="406"/>
      <c r="H278" s="406"/>
      <c r="I278" s="406"/>
      <c r="J278" s="406"/>
      <c r="K278" s="406"/>
      <c r="L278" s="406"/>
    </row>
    <row r="279" spans="1:12">
      <c r="A279" s="407"/>
      <c r="B279" s="406"/>
      <c r="C279" s="406"/>
      <c r="D279" s="406"/>
      <c r="E279" s="406"/>
      <c r="F279" s="406"/>
      <c r="G279" s="406"/>
      <c r="H279" s="406"/>
      <c r="I279" s="406"/>
      <c r="J279" s="406"/>
      <c r="K279" s="406"/>
      <c r="L279" s="406"/>
    </row>
    <row r="280" spans="1:12">
      <c r="A280" s="407"/>
      <c r="B280" s="406"/>
      <c r="C280" s="406"/>
      <c r="D280" s="406"/>
      <c r="E280" s="406"/>
      <c r="F280" s="406"/>
      <c r="G280" s="406"/>
      <c r="H280" s="406"/>
      <c r="I280" s="406"/>
      <c r="J280" s="406"/>
      <c r="K280" s="406"/>
      <c r="L280" s="406"/>
    </row>
    <row r="281" spans="1:12">
      <c r="A281" s="407"/>
      <c r="B281" s="406"/>
      <c r="C281" s="406"/>
      <c r="D281" s="406"/>
      <c r="E281" s="406"/>
      <c r="F281" s="406"/>
      <c r="G281" s="406"/>
      <c r="H281" s="406"/>
      <c r="I281" s="406"/>
      <c r="J281" s="406"/>
      <c r="K281" s="406"/>
      <c r="L281" s="406"/>
    </row>
    <row r="282" spans="1:12">
      <c r="A282" s="407"/>
      <c r="B282" s="406"/>
      <c r="C282" s="406"/>
      <c r="D282" s="406"/>
      <c r="E282" s="406"/>
      <c r="F282" s="406"/>
      <c r="G282" s="406"/>
      <c r="H282" s="406"/>
      <c r="I282" s="406"/>
      <c r="J282" s="406"/>
      <c r="K282" s="406"/>
      <c r="L282" s="406"/>
    </row>
    <row r="283" spans="1:12">
      <c r="A283" s="407"/>
      <c r="B283" s="406"/>
      <c r="C283" s="406"/>
      <c r="D283" s="406"/>
      <c r="E283" s="406"/>
      <c r="F283" s="406"/>
      <c r="G283" s="406"/>
      <c r="H283" s="406"/>
      <c r="I283" s="406"/>
      <c r="J283" s="406"/>
      <c r="K283" s="406"/>
      <c r="L283" s="406"/>
    </row>
    <row r="284" spans="1:12">
      <c r="A284" s="407"/>
      <c r="B284" s="406"/>
      <c r="C284" s="406"/>
      <c r="D284" s="406"/>
      <c r="E284" s="406"/>
      <c r="F284" s="406"/>
      <c r="G284" s="406"/>
      <c r="H284" s="406"/>
      <c r="I284" s="406"/>
      <c r="J284" s="406"/>
      <c r="K284" s="406"/>
      <c r="L284" s="406"/>
    </row>
    <row r="285" spans="1:12">
      <c r="A285" s="407"/>
      <c r="B285" s="406"/>
      <c r="C285" s="406"/>
      <c r="D285" s="406"/>
      <c r="E285" s="406"/>
      <c r="F285" s="406"/>
      <c r="G285" s="406"/>
      <c r="H285" s="406"/>
      <c r="I285" s="406"/>
      <c r="J285" s="406"/>
      <c r="K285" s="406"/>
      <c r="L285" s="406"/>
    </row>
    <row r="286" spans="1:12">
      <c r="A286" s="407"/>
      <c r="B286" s="406"/>
      <c r="C286" s="406"/>
      <c r="D286" s="406"/>
      <c r="E286" s="406"/>
      <c r="F286" s="406"/>
      <c r="G286" s="406"/>
      <c r="H286" s="406"/>
      <c r="I286" s="406"/>
      <c r="J286" s="406"/>
      <c r="K286" s="406"/>
      <c r="L286" s="406"/>
    </row>
    <row r="287" spans="1:12">
      <c r="A287" s="407"/>
      <c r="B287" s="406"/>
      <c r="C287" s="406"/>
      <c r="D287" s="406"/>
      <c r="E287" s="406"/>
      <c r="F287" s="406"/>
      <c r="G287" s="406"/>
      <c r="H287" s="406"/>
      <c r="I287" s="406"/>
      <c r="J287" s="406"/>
      <c r="K287" s="406"/>
      <c r="L287" s="406"/>
    </row>
    <row r="288" spans="1:12">
      <c r="A288" s="407"/>
      <c r="B288" s="406"/>
      <c r="C288" s="406"/>
      <c r="D288" s="406"/>
      <c r="E288" s="406"/>
      <c r="F288" s="406"/>
      <c r="G288" s="406"/>
      <c r="H288" s="406"/>
      <c r="I288" s="406"/>
      <c r="J288" s="406"/>
      <c r="K288" s="406"/>
      <c r="L288" s="406"/>
    </row>
    <row r="289" spans="1:12">
      <c r="A289" s="407"/>
      <c r="B289" s="406"/>
      <c r="C289" s="406"/>
      <c r="D289" s="406"/>
      <c r="E289" s="406"/>
      <c r="F289" s="406"/>
      <c r="G289" s="406"/>
      <c r="H289" s="406"/>
      <c r="I289" s="406"/>
      <c r="J289" s="406"/>
      <c r="K289" s="406"/>
      <c r="L289" s="406"/>
    </row>
    <row r="290" spans="1:12">
      <c r="A290" s="407"/>
      <c r="B290" s="406"/>
      <c r="C290" s="406"/>
      <c r="D290" s="406"/>
      <c r="E290" s="406"/>
      <c r="F290" s="406"/>
      <c r="G290" s="406"/>
      <c r="H290" s="406"/>
      <c r="I290" s="406"/>
      <c r="J290" s="406"/>
      <c r="K290" s="406"/>
      <c r="L290" s="406"/>
    </row>
    <row r="291" spans="1:12">
      <c r="A291" s="407"/>
      <c r="B291" s="406"/>
      <c r="C291" s="406"/>
      <c r="D291" s="406"/>
      <c r="E291" s="406"/>
      <c r="F291" s="406"/>
      <c r="G291" s="406"/>
      <c r="H291" s="406"/>
      <c r="I291" s="406"/>
      <c r="J291" s="406"/>
      <c r="K291" s="406"/>
      <c r="L291" s="406"/>
    </row>
    <row r="292" spans="1:12">
      <c r="A292" s="407"/>
      <c r="B292" s="406"/>
      <c r="C292" s="406"/>
      <c r="D292" s="406"/>
      <c r="E292" s="406"/>
      <c r="F292" s="406"/>
      <c r="G292" s="406"/>
      <c r="H292" s="406"/>
      <c r="I292" s="406"/>
      <c r="J292" s="406"/>
      <c r="K292" s="406"/>
      <c r="L292" s="406"/>
    </row>
    <row r="293" spans="1:12">
      <c r="A293" s="407"/>
      <c r="B293" s="406"/>
      <c r="C293" s="406"/>
      <c r="D293" s="406"/>
      <c r="E293" s="406"/>
      <c r="F293" s="406"/>
      <c r="G293" s="406"/>
      <c r="H293" s="406"/>
      <c r="I293" s="406"/>
      <c r="J293" s="406"/>
      <c r="K293" s="406"/>
      <c r="L293" s="406"/>
    </row>
    <row r="294" spans="1:12">
      <c r="A294" s="407"/>
      <c r="B294" s="406"/>
      <c r="C294" s="406"/>
      <c r="D294" s="406"/>
      <c r="E294" s="406"/>
      <c r="F294" s="406"/>
      <c r="G294" s="406"/>
      <c r="H294" s="406"/>
      <c r="I294" s="406"/>
      <c r="J294" s="406"/>
      <c r="K294" s="406"/>
      <c r="L294" s="406"/>
    </row>
    <row r="295" spans="1:12">
      <c r="A295" s="407"/>
      <c r="B295" s="406"/>
      <c r="C295" s="406"/>
      <c r="D295" s="406"/>
      <c r="E295" s="406"/>
      <c r="F295" s="406"/>
      <c r="G295" s="406"/>
      <c r="H295" s="406"/>
      <c r="I295" s="406"/>
      <c r="J295" s="406"/>
      <c r="K295" s="406"/>
      <c r="L295" s="406"/>
    </row>
    <row r="296" spans="1:12">
      <c r="A296" s="407"/>
      <c r="B296" s="406"/>
      <c r="C296" s="406"/>
      <c r="D296" s="406"/>
      <c r="E296" s="406"/>
      <c r="F296" s="406"/>
      <c r="G296" s="406"/>
      <c r="H296" s="406"/>
      <c r="I296" s="406"/>
      <c r="J296" s="406"/>
      <c r="K296" s="406"/>
      <c r="L296" s="406"/>
    </row>
    <row r="297" spans="1:12">
      <c r="A297" s="407"/>
      <c r="B297" s="406"/>
      <c r="C297" s="406"/>
      <c r="D297" s="406"/>
      <c r="E297" s="406"/>
      <c r="F297" s="406"/>
      <c r="G297" s="406"/>
      <c r="H297" s="406"/>
      <c r="I297" s="406"/>
      <c r="J297" s="406"/>
      <c r="K297" s="406"/>
      <c r="L297" s="406"/>
    </row>
    <row r="298" spans="1:12">
      <c r="A298" s="407"/>
      <c r="B298" s="406"/>
      <c r="C298" s="406"/>
      <c r="D298" s="406"/>
      <c r="E298" s="406"/>
      <c r="F298" s="406"/>
      <c r="G298" s="406"/>
      <c r="H298" s="406"/>
      <c r="I298" s="406"/>
      <c r="J298" s="406"/>
      <c r="K298" s="406"/>
      <c r="L298" s="406"/>
    </row>
    <row r="299" spans="1:12">
      <c r="A299" s="407"/>
      <c r="B299" s="406"/>
      <c r="C299" s="406"/>
      <c r="D299" s="406"/>
      <c r="E299" s="406"/>
      <c r="F299" s="406"/>
      <c r="G299" s="406"/>
      <c r="H299" s="406"/>
      <c r="I299" s="406"/>
      <c r="J299" s="406"/>
      <c r="K299" s="406"/>
      <c r="L299" s="406"/>
    </row>
    <row r="300" spans="1:12">
      <c r="A300" s="407"/>
      <c r="B300" s="406"/>
      <c r="C300" s="406"/>
      <c r="D300" s="406"/>
      <c r="E300" s="406"/>
      <c r="F300" s="406"/>
      <c r="G300" s="406"/>
      <c r="H300" s="406"/>
      <c r="I300" s="406"/>
      <c r="J300" s="406"/>
      <c r="K300" s="406"/>
      <c r="L300" s="406"/>
    </row>
    <row r="301" spans="1:12">
      <c r="A301" s="407"/>
      <c r="B301" s="406"/>
      <c r="C301" s="406"/>
      <c r="D301" s="406"/>
      <c r="E301" s="406"/>
      <c r="F301" s="406"/>
      <c r="G301" s="406"/>
      <c r="H301" s="406"/>
      <c r="I301" s="406"/>
      <c r="J301" s="406"/>
      <c r="K301" s="406"/>
      <c r="L301" s="406"/>
    </row>
    <row r="302" spans="1:12">
      <c r="A302" s="407"/>
      <c r="B302" s="406"/>
      <c r="C302" s="406"/>
      <c r="D302" s="406"/>
      <c r="E302" s="406"/>
      <c r="F302" s="406"/>
      <c r="G302" s="406"/>
      <c r="H302" s="406"/>
      <c r="I302" s="406"/>
      <c r="J302" s="406"/>
      <c r="K302" s="406"/>
      <c r="L302" s="406"/>
    </row>
    <row r="303" spans="1:12">
      <c r="A303" s="407"/>
      <c r="B303" s="406"/>
      <c r="C303" s="406"/>
      <c r="D303" s="406"/>
      <c r="E303" s="406"/>
      <c r="F303" s="406"/>
      <c r="G303" s="406"/>
      <c r="H303" s="406"/>
      <c r="I303" s="406"/>
      <c r="J303" s="406"/>
      <c r="K303" s="406"/>
      <c r="L303" s="406"/>
    </row>
    <row r="304" spans="1:12">
      <c r="A304" s="407"/>
      <c r="B304" s="406"/>
      <c r="C304" s="406"/>
      <c r="D304" s="406"/>
      <c r="E304" s="406"/>
      <c r="F304" s="406"/>
      <c r="G304" s="406"/>
      <c r="H304" s="406"/>
      <c r="I304" s="406"/>
      <c r="J304" s="406"/>
      <c r="K304" s="406"/>
      <c r="L304" s="406"/>
    </row>
    <row r="305" spans="1:12">
      <c r="A305" s="407"/>
      <c r="B305" s="406"/>
      <c r="C305" s="406"/>
      <c r="D305" s="406"/>
      <c r="E305" s="406"/>
      <c r="F305" s="406"/>
      <c r="G305" s="406"/>
      <c r="H305" s="406"/>
      <c r="I305" s="406"/>
      <c r="J305" s="406"/>
      <c r="K305" s="406"/>
      <c r="L305" s="406"/>
    </row>
    <row r="306" spans="1:12">
      <c r="A306" s="407"/>
      <c r="B306" s="406"/>
      <c r="C306" s="406"/>
      <c r="D306" s="406"/>
      <c r="E306" s="406"/>
      <c r="F306" s="406"/>
      <c r="G306" s="406"/>
      <c r="H306" s="406"/>
      <c r="I306" s="406"/>
      <c r="J306" s="406"/>
      <c r="K306" s="406"/>
      <c r="L306" s="406"/>
    </row>
    <row r="307" spans="1:12">
      <c r="A307" s="407"/>
      <c r="B307" s="406"/>
      <c r="C307" s="406"/>
      <c r="D307" s="406"/>
      <c r="E307" s="406"/>
      <c r="F307" s="406"/>
      <c r="G307" s="406"/>
      <c r="H307" s="406"/>
      <c r="I307" s="406"/>
      <c r="J307" s="406"/>
      <c r="K307" s="406"/>
      <c r="L307" s="406"/>
    </row>
    <row r="308" spans="1:12">
      <c r="A308" s="407"/>
      <c r="B308" s="406"/>
      <c r="C308" s="406"/>
      <c r="D308" s="406"/>
      <c r="E308" s="406"/>
      <c r="F308" s="406"/>
      <c r="G308" s="406"/>
      <c r="H308" s="406"/>
      <c r="I308" s="406"/>
      <c r="J308" s="406"/>
      <c r="K308" s="406"/>
      <c r="L308" s="406"/>
    </row>
    <row r="309" spans="1:12">
      <c r="A309" s="407"/>
      <c r="B309" s="406"/>
      <c r="C309" s="406"/>
      <c r="D309" s="406"/>
      <c r="E309" s="406"/>
      <c r="F309" s="406"/>
      <c r="G309" s="406"/>
      <c r="H309" s="406"/>
      <c r="I309" s="406"/>
      <c r="J309" s="406"/>
      <c r="K309" s="406"/>
      <c r="L309" s="406"/>
    </row>
    <row r="310" spans="1:12">
      <c r="A310" s="407"/>
      <c r="B310" s="406"/>
      <c r="C310" s="406"/>
      <c r="D310" s="406"/>
      <c r="E310" s="406"/>
      <c r="F310" s="406"/>
      <c r="G310" s="406"/>
      <c r="H310" s="406"/>
      <c r="I310" s="406"/>
      <c r="J310" s="406"/>
      <c r="K310" s="406"/>
      <c r="L310" s="406"/>
    </row>
    <row r="311" spans="1:12">
      <c r="A311" s="407"/>
      <c r="B311" s="406"/>
      <c r="C311" s="406"/>
      <c r="D311" s="406"/>
      <c r="E311" s="406"/>
      <c r="F311" s="406"/>
      <c r="G311" s="406"/>
      <c r="H311" s="406"/>
      <c r="I311" s="406"/>
      <c r="J311" s="406"/>
      <c r="K311" s="406"/>
      <c r="L311" s="406"/>
    </row>
    <row r="312" spans="1:12">
      <c r="A312" s="407"/>
      <c r="B312" s="406"/>
      <c r="C312" s="406"/>
      <c r="D312" s="406"/>
      <c r="E312" s="406"/>
      <c r="F312" s="406"/>
      <c r="G312" s="406"/>
      <c r="H312" s="406"/>
      <c r="I312" s="406"/>
      <c r="J312" s="406"/>
      <c r="K312" s="406"/>
      <c r="L312" s="406"/>
    </row>
    <row r="313" spans="1:12">
      <c r="A313" s="407"/>
      <c r="B313" s="406"/>
      <c r="C313" s="406"/>
      <c r="D313" s="406"/>
      <c r="E313" s="406"/>
      <c r="F313" s="406"/>
      <c r="G313" s="406"/>
      <c r="H313" s="406"/>
      <c r="I313" s="406"/>
      <c r="J313" s="406"/>
      <c r="K313" s="406"/>
      <c r="L313" s="406"/>
    </row>
    <row r="314" spans="1:12">
      <c r="A314" s="407"/>
      <c r="B314" s="406"/>
      <c r="C314" s="406"/>
      <c r="D314" s="406"/>
      <c r="E314" s="406"/>
      <c r="F314" s="406"/>
      <c r="G314" s="406"/>
      <c r="H314" s="406"/>
      <c r="I314" s="406"/>
      <c r="J314" s="406"/>
      <c r="K314" s="406"/>
      <c r="L314" s="406"/>
    </row>
    <row r="315" spans="1:12">
      <c r="A315" s="407"/>
      <c r="B315" s="406"/>
      <c r="C315" s="406"/>
      <c r="D315" s="406"/>
      <c r="E315" s="406"/>
      <c r="F315" s="406"/>
      <c r="G315" s="406"/>
      <c r="H315" s="406"/>
      <c r="I315" s="406"/>
      <c r="J315" s="406"/>
      <c r="K315" s="406"/>
      <c r="L315" s="406"/>
    </row>
    <row r="316" spans="1:12">
      <c r="A316" s="407"/>
      <c r="B316" s="406"/>
      <c r="C316" s="406"/>
      <c r="D316" s="406"/>
      <c r="E316" s="406"/>
      <c r="F316" s="406"/>
      <c r="G316" s="406"/>
      <c r="H316" s="406"/>
      <c r="I316" s="406"/>
      <c r="J316" s="406"/>
      <c r="K316" s="406"/>
      <c r="L316" s="406"/>
    </row>
    <row r="317" spans="1:12">
      <c r="A317" s="407"/>
      <c r="B317" s="406"/>
      <c r="C317" s="406"/>
      <c r="D317" s="406"/>
      <c r="E317" s="406"/>
      <c r="F317" s="406"/>
      <c r="G317" s="406"/>
      <c r="H317" s="406"/>
      <c r="I317" s="406"/>
      <c r="J317" s="406"/>
      <c r="K317" s="406"/>
      <c r="L317" s="406"/>
    </row>
    <row r="318" spans="1:12">
      <c r="A318" s="407"/>
      <c r="B318" s="406"/>
      <c r="C318" s="406"/>
      <c r="D318" s="406"/>
      <c r="E318" s="406"/>
      <c r="F318" s="406"/>
      <c r="G318" s="406"/>
      <c r="H318" s="406"/>
      <c r="I318" s="406"/>
      <c r="J318" s="406"/>
      <c r="K318" s="406"/>
      <c r="L318" s="406"/>
    </row>
    <row r="319" spans="1:12">
      <c r="A319" s="407"/>
      <c r="B319" s="406"/>
      <c r="C319" s="406"/>
      <c r="D319" s="406"/>
      <c r="E319" s="406"/>
      <c r="F319" s="406"/>
      <c r="G319" s="406"/>
      <c r="H319" s="406"/>
      <c r="I319" s="406"/>
      <c r="J319" s="406"/>
      <c r="K319" s="406"/>
      <c r="L319" s="406"/>
    </row>
    <row r="320" spans="1:12">
      <c r="A320" s="407"/>
      <c r="B320" s="406"/>
      <c r="C320" s="406"/>
      <c r="D320" s="406"/>
      <c r="E320" s="406"/>
      <c r="F320" s="406"/>
      <c r="G320" s="406"/>
      <c r="H320" s="406"/>
      <c r="I320" s="406"/>
      <c r="J320" s="406"/>
      <c r="K320" s="406"/>
      <c r="L320" s="406"/>
    </row>
    <row r="321" spans="1:12">
      <c r="A321" s="407"/>
      <c r="B321" s="406"/>
      <c r="C321" s="406"/>
      <c r="D321" s="406"/>
      <c r="E321" s="406"/>
      <c r="F321" s="406"/>
      <c r="G321" s="406"/>
      <c r="H321" s="406"/>
      <c r="I321" s="406"/>
      <c r="J321" s="406"/>
      <c r="K321" s="406"/>
      <c r="L321" s="406"/>
    </row>
    <row r="322" spans="1:12">
      <c r="A322" s="407"/>
      <c r="B322" s="406"/>
      <c r="C322" s="406"/>
      <c r="D322" s="406"/>
      <c r="E322" s="406"/>
      <c r="F322" s="406"/>
      <c r="G322" s="406"/>
      <c r="H322" s="406"/>
      <c r="I322" s="406"/>
      <c r="J322" s="406"/>
      <c r="K322" s="406"/>
      <c r="L322" s="406"/>
    </row>
    <row r="323" spans="1:12">
      <c r="A323" s="407"/>
      <c r="B323" s="406"/>
      <c r="C323" s="406"/>
      <c r="D323" s="406"/>
      <c r="E323" s="406"/>
      <c r="F323" s="406"/>
      <c r="G323" s="406"/>
      <c r="H323" s="406"/>
      <c r="I323" s="406"/>
      <c r="J323" s="406"/>
      <c r="K323" s="406"/>
      <c r="L323" s="406"/>
    </row>
    <row r="324" spans="1:12">
      <c r="A324" s="407"/>
      <c r="B324" s="406"/>
      <c r="C324" s="406"/>
      <c r="D324" s="406"/>
      <c r="E324" s="406"/>
      <c r="F324" s="406"/>
      <c r="G324" s="406"/>
      <c r="H324" s="406"/>
      <c r="I324" s="406"/>
      <c r="J324" s="406"/>
      <c r="K324" s="406"/>
      <c r="L324" s="406"/>
    </row>
    <row r="325" spans="1:12">
      <c r="A325" s="407"/>
      <c r="B325" s="406"/>
      <c r="C325" s="406"/>
      <c r="D325" s="406"/>
      <c r="E325" s="406"/>
      <c r="F325" s="406"/>
      <c r="G325" s="406"/>
      <c r="H325" s="406"/>
      <c r="I325" s="406"/>
      <c r="J325" s="406"/>
      <c r="K325" s="406"/>
      <c r="L325" s="406"/>
    </row>
    <row r="326" spans="1:12">
      <c r="A326" s="407"/>
      <c r="B326" s="406"/>
      <c r="C326" s="406"/>
      <c r="D326" s="406"/>
      <c r="E326" s="406"/>
      <c r="F326" s="406"/>
      <c r="G326" s="406"/>
      <c r="H326" s="406"/>
      <c r="I326" s="406"/>
      <c r="J326" s="406"/>
      <c r="K326" s="406"/>
      <c r="L326" s="406"/>
    </row>
    <row r="327" spans="1:12" ht="33" customHeight="1">
      <c r="A327" s="554"/>
      <c r="B327" s="555"/>
      <c r="C327" s="555"/>
      <c r="D327" s="555"/>
      <c r="E327" s="555"/>
      <c r="F327" s="555"/>
      <c r="G327" s="555"/>
      <c r="H327" s="555"/>
      <c r="I327" s="555"/>
      <c r="J327" s="555"/>
      <c r="K327" s="427"/>
      <c r="L327" s="427"/>
    </row>
    <row r="328" spans="1:12">
      <c r="A328" s="407"/>
      <c r="B328" s="406"/>
      <c r="C328" s="406"/>
      <c r="D328" s="406"/>
      <c r="E328" s="406"/>
      <c r="F328" s="406"/>
      <c r="G328" s="406"/>
      <c r="H328" s="406"/>
      <c r="I328" s="406"/>
      <c r="J328" s="406"/>
      <c r="K328" s="406"/>
      <c r="L328" s="406"/>
    </row>
    <row r="329" spans="1:12">
      <c r="A329" s="407"/>
      <c r="B329" s="406"/>
      <c r="C329" s="406"/>
      <c r="D329" s="406"/>
      <c r="E329" s="406"/>
      <c r="F329" s="406"/>
      <c r="G329" s="406"/>
      <c r="H329" s="406"/>
      <c r="I329" s="406"/>
      <c r="J329" s="406"/>
      <c r="K329" s="406"/>
      <c r="L329" s="406"/>
    </row>
    <row r="330" spans="1:12" ht="18.75" customHeight="1">
      <c r="A330" s="549"/>
      <c r="B330" s="549"/>
      <c r="C330" s="426"/>
      <c r="D330" s="426"/>
      <c r="E330" s="426"/>
      <c r="F330" s="426"/>
      <c r="G330" s="426"/>
      <c r="H330" s="426"/>
      <c r="I330" s="406"/>
      <c r="J330" s="406"/>
      <c r="K330" s="406"/>
      <c r="L330" s="406"/>
    </row>
    <row r="331" spans="1:12" ht="18.75" customHeight="1">
      <c r="A331" s="411"/>
      <c r="B331" s="411"/>
      <c r="C331" s="411"/>
      <c r="D331" s="411"/>
      <c r="E331" s="411"/>
      <c r="F331" s="411"/>
      <c r="G331" s="411"/>
      <c r="H331" s="411"/>
      <c r="I331" s="406"/>
      <c r="J331" s="406"/>
      <c r="K331" s="406"/>
      <c r="L331" s="406"/>
    </row>
    <row r="332" spans="1:12" ht="18.75" customHeight="1">
      <c r="A332" s="549"/>
      <c r="B332" s="549"/>
      <c r="C332" s="426"/>
      <c r="D332" s="426"/>
      <c r="E332" s="426"/>
      <c r="F332" s="426"/>
      <c r="G332" s="426"/>
      <c r="H332" s="426"/>
      <c r="I332" s="406"/>
      <c r="J332" s="406"/>
      <c r="K332" s="406"/>
      <c r="L332" s="406"/>
    </row>
    <row r="333" spans="1:12">
      <c r="A333" s="407"/>
      <c r="B333" s="411"/>
      <c r="C333" s="411"/>
      <c r="D333" s="406"/>
      <c r="E333" s="406"/>
      <c r="F333" s="406"/>
      <c r="G333" s="406"/>
      <c r="H333" s="406"/>
      <c r="I333" s="406"/>
      <c r="J333" s="406"/>
      <c r="K333" s="406"/>
      <c r="L333" s="406"/>
    </row>
    <row r="334" spans="1:12">
      <c r="A334" s="407"/>
      <c r="B334" s="411"/>
      <c r="C334" s="411"/>
      <c r="D334" s="406"/>
      <c r="E334" s="406"/>
      <c r="F334" s="406"/>
      <c r="G334" s="406"/>
      <c r="H334" s="406"/>
      <c r="I334" s="406"/>
      <c r="J334" s="406"/>
      <c r="K334" s="406"/>
      <c r="L334" s="406"/>
    </row>
    <row r="335" spans="1:12">
      <c r="A335" s="407"/>
      <c r="B335" s="407"/>
      <c r="C335" s="407"/>
      <c r="D335" s="425"/>
      <c r="E335" s="425"/>
      <c r="F335" s="425"/>
      <c r="G335" s="425"/>
      <c r="H335" s="425"/>
      <c r="I335" s="424"/>
      <c r="J335" s="424"/>
      <c r="K335" s="424"/>
      <c r="L335" s="424"/>
    </row>
    <row r="336" spans="1:12">
      <c r="A336" s="407"/>
      <c r="B336" s="407"/>
      <c r="C336" s="407"/>
      <c r="D336" s="410"/>
      <c r="E336" s="410"/>
      <c r="F336" s="410"/>
      <c r="G336" s="410"/>
      <c r="H336" s="410"/>
      <c r="I336" s="410"/>
      <c r="J336" s="410"/>
      <c r="K336" s="410"/>
      <c r="L336" s="410"/>
    </row>
    <row r="337" spans="1:12">
      <c r="A337" s="407"/>
      <c r="B337" s="406"/>
      <c r="C337" s="406"/>
      <c r="D337" s="406"/>
      <c r="E337" s="406"/>
      <c r="F337" s="406"/>
      <c r="G337" s="406"/>
      <c r="H337" s="406"/>
      <c r="I337" s="406"/>
      <c r="J337" s="406"/>
      <c r="K337" s="406"/>
      <c r="L337" s="406"/>
    </row>
    <row r="338" spans="1:12" ht="12.75" customHeight="1">
      <c r="A338" s="407"/>
      <c r="B338" s="406"/>
      <c r="C338" s="406"/>
      <c r="D338" s="424"/>
      <c r="E338" s="424"/>
      <c r="F338" s="424"/>
      <c r="G338" s="424"/>
      <c r="H338" s="424"/>
      <c r="I338" s="424"/>
      <c r="J338" s="424"/>
      <c r="K338" s="424"/>
      <c r="L338" s="424"/>
    </row>
    <row r="339" spans="1:12">
      <c r="A339" s="407"/>
      <c r="B339" s="406"/>
      <c r="C339" s="406"/>
      <c r="D339" s="423"/>
      <c r="E339" s="423"/>
      <c r="F339" s="423"/>
      <c r="G339" s="423"/>
      <c r="H339" s="423"/>
      <c r="I339" s="422"/>
      <c r="J339" s="422"/>
      <c r="K339" s="422"/>
      <c r="L339" s="422"/>
    </row>
    <row r="340" spans="1:12">
      <c r="A340" s="407"/>
      <c r="B340" s="406"/>
      <c r="C340" s="406"/>
      <c r="D340" s="410"/>
      <c r="E340" s="410"/>
      <c r="F340" s="410"/>
      <c r="G340" s="410"/>
      <c r="H340" s="410"/>
      <c r="I340" s="410"/>
      <c r="J340" s="410"/>
      <c r="K340" s="410"/>
      <c r="L340" s="410"/>
    </row>
    <row r="341" spans="1:12" ht="12.75" customHeight="1">
      <c r="A341" s="407"/>
      <c r="B341" s="406"/>
      <c r="C341" s="406"/>
      <c r="D341" s="418"/>
      <c r="E341" s="418"/>
      <c r="F341" s="418"/>
      <c r="G341" s="418"/>
      <c r="H341" s="418"/>
      <c r="I341" s="410"/>
      <c r="J341" s="410"/>
      <c r="K341" s="410"/>
      <c r="L341" s="410"/>
    </row>
    <row r="342" spans="1:12">
      <c r="A342" s="407"/>
      <c r="B342" s="415"/>
      <c r="C342" s="415"/>
      <c r="D342" s="418"/>
      <c r="E342" s="418"/>
      <c r="F342" s="418"/>
      <c r="G342" s="418"/>
      <c r="H342" s="418"/>
      <c r="I342" s="410"/>
      <c r="J342" s="410"/>
      <c r="K342" s="410"/>
      <c r="L342" s="410"/>
    </row>
    <row r="343" spans="1:12">
      <c r="A343" s="407"/>
      <c r="B343" s="406"/>
      <c r="C343" s="406"/>
      <c r="D343" s="418"/>
      <c r="E343" s="418"/>
      <c r="F343" s="418"/>
      <c r="G343" s="418"/>
      <c r="H343" s="418"/>
      <c r="I343" s="418"/>
      <c r="J343" s="418"/>
      <c r="K343" s="418"/>
      <c r="L343" s="418"/>
    </row>
    <row r="344" spans="1:12">
      <c r="A344" s="407"/>
      <c r="B344" s="406"/>
      <c r="C344" s="406"/>
      <c r="D344" s="418"/>
      <c r="E344" s="418"/>
      <c r="F344" s="418"/>
      <c r="G344" s="418"/>
      <c r="H344" s="418"/>
      <c r="I344" s="418"/>
      <c r="J344" s="418"/>
      <c r="K344" s="418"/>
      <c r="L344" s="418"/>
    </row>
    <row r="345" spans="1:12">
      <c r="A345" s="407"/>
      <c r="B345" s="421"/>
      <c r="C345" s="421"/>
      <c r="D345" s="418"/>
      <c r="E345" s="418"/>
      <c r="F345" s="418"/>
      <c r="G345" s="418"/>
      <c r="H345" s="418"/>
      <c r="I345" s="418"/>
      <c r="J345" s="418"/>
      <c r="K345" s="418"/>
      <c r="L345" s="418"/>
    </row>
    <row r="346" spans="1:12">
      <c r="A346" s="407"/>
      <c r="B346" s="406"/>
      <c r="C346" s="406"/>
      <c r="D346" s="418"/>
      <c r="E346" s="418"/>
      <c r="F346" s="418"/>
      <c r="G346" s="418"/>
      <c r="H346" s="418"/>
      <c r="I346" s="418"/>
      <c r="J346" s="418"/>
      <c r="K346" s="418"/>
      <c r="L346" s="418"/>
    </row>
    <row r="347" spans="1:12">
      <c r="A347" s="407"/>
      <c r="B347" s="406"/>
      <c r="C347" s="406"/>
      <c r="D347" s="418"/>
      <c r="E347" s="418"/>
      <c r="F347" s="418"/>
      <c r="G347" s="418"/>
      <c r="H347" s="418"/>
      <c r="I347" s="418"/>
      <c r="J347" s="418"/>
      <c r="K347" s="418"/>
      <c r="L347" s="418"/>
    </row>
    <row r="348" spans="1:12">
      <c r="A348" s="407"/>
      <c r="B348" s="545"/>
      <c r="C348" s="415"/>
      <c r="D348" s="418"/>
      <c r="E348" s="418"/>
      <c r="F348" s="418"/>
      <c r="G348" s="418"/>
      <c r="H348" s="418"/>
      <c r="I348" s="418"/>
      <c r="J348" s="418"/>
      <c r="K348" s="418"/>
      <c r="L348" s="418"/>
    </row>
    <row r="349" spans="1:12" ht="12.75" customHeight="1">
      <c r="A349" s="407"/>
      <c r="B349" s="545"/>
      <c r="C349" s="415"/>
      <c r="D349" s="418"/>
      <c r="E349" s="418"/>
      <c r="F349" s="418"/>
      <c r="G349" s="418"/>
      <c r="H349" s="418"/>
      <c r="I349" s="418"/>
      <c r="J349" s="418"/>
      <c r="K349" s="418"/>
      <c r="L349" s="418"/>
    </row>
    <row r="350" spans="1:12" ht="12.75" customHeight="1">
      <c r="A350" s="407"/>
      <c r="B350" s="406"/>
      <c r="C350" s="406"/>
      <c r="D350" s="418"/>
      <c r="E350" s="418"/>
      <c r="F350" s="418"/>
      <c r="G350" s="418"/>
      <c r="H350" s="418"/>
      <c r="I350" s="418"/>
      <c r="J350" s="418"/>
      <c r="K350" s="418"/>
      <c r="L350" s="418"/>
    </row>
    <row r="351" spans="1:12">
      <c r="A351" s="407"/>
      <c r="B351" s="406"/>
      <c r="C351" s="406"/>
      <c r="D351" s="418"/>
      <c r="E351" s="418"/>
      <c r="F351" s="418"/>
      <c r="G351" s="418"/>
      <c r="H351" s="418"/>
      <c r="I351" s="418"/>
      <c r="J351" s="418"/>
      <c r="K351" s="418"/>
      <c r="L351" s="418"/>
    </row>
    <row r="352" spans="1:12">
      <c r="A352" s="407"/>
      <c r="B352" s="406"/>
      <c r="C352" s="406"/>
      <c r="D352" s="418"/>
      <c r="E352" s="418"/>
      <c r="F352" s="418"/>
      <c r="G352" s="418"/>
      <c r="H352" s="418"/>
      <c r="I352" s="418"/>
      <c r="J352" s="418"/>
      <c r="K352" s="418"/>
      <c r="L352" s="418"/>
    </row>
    <row r="353" spans="1:12">
      <c r="A353" s="407"/>
      <c r="B353" s="421"/>
      <c r="C353" s="421"/>
      <c r="D353" s="418"/>
      <c r="E353" s="418"/>
      <c r="F353" s="418"/>
      <c r="G353" s="418"/>
      <c r="H353" s="418"/>
      <c r="I353" s="418"/>
      <c r="J353" s="418"/>
      <c r="K353" s="418"/>
      <c r="L353" s="418"/>
    </row>
    <row r="354" spans="1:12">
      <c r="A354" s="407"/>
      <c r="B354" s="406"/>
      <c r="C354" s="406"/>
      <c r="D354" s="418"/>
      <c r="E354" s="418"/>
      <c r="F354" s="418"/>
      <c r="G354" s="418"/>
      <c r="H354" s="418"/>
      <c r="I354" s="418"/>
      <c r="J354" s="418"/>
      <c r="K354" s="418"/>
      <c r="L354" s="418"/>
    </row>
    <row r="355" spans="1:12">
      <c r="A355" s="407"/>
      <c r="B355" s="406"/>
      <c r="C355" s="406"/>
      <c r="D355" s="418"/>
      <c r="E355" s="418"/>
      <c r="F355" s="418"/>
      <c r="G355" s="418"/>
      <c r="H355" s="418"/>
      <c r="I355" s="418"/>
      <c r="J355" s="418"/>
      <c r="K355" s="418"/>
      <c r="L355" s="418"/>
    </row>
    <row r="356" spans="1:12">
      <c r="A356" s="407"/>
      <c r="B356" s="406"/>
      <c r="C356" s="406"/>
      <c r="D356" s="418"/>
      <c r="E356" s="418"/>
      <c r="F356" s="418"/>
      <c r="G356" s="418"/>
      <c r="H356" s="418"/>
      <c r="I356" s="418"/>
      <c r="J356" s="418"/>
      <c r="K356" s="418"/>
      <c r="L356" s="418"/>
    </row>
    <row r="357" spans="1:12">
      <c r="A357" s="407"/>
      <c r="B357" s="406"/>
      <c r="C357" s="406"/>
      <c r="D357" s="412"/>
      <c r="E357" s="412"/>
      <c r="F357" s="412"/>
      <c r="G357" s="412"/>
      <c r="H357" s="412"/>
      <c r="I357" s="418"/>
      <c r="J357" s="418"/>
      <c r="K357" s="418"/>
      <c r="L357" s="418"/>
    </row>
    <row r="358" spans="1:12">
      <c r="A358" s="407"/>
      <c r="B358" s="406"/>
      <c r="C358" s="406"/>
      <c r="D358" s="412"/>
      <c r="E358" s="412"/>
      <c r="F358" s="412"/>
      <c r="G358" s="412"/>
      <c r="H358" s="412"/>
      <c r="I358" s="418"/>
      <c r="J358" s="418"/>
      <c r="K358" s="418"/>
      <c r="L358" s="418"/>
    </row>
    <row r="359" spans="1:12" ht="16.5" customHeight="1">
      <c r="A359" s="407"/>
      <c r="B359" s="547"/>
      <c r="C359" s="420"/>
      <c r="D359" s="412"/>
      <c r="E359" s="412"/>
      <c r="F359" s="412"/>
      <c r="G359" s="412"/>
      <c r="H359" s="412"/>
      <c r="I359" s="418"/>
      <c r="J359" s="418"/>
      <c r="K359" s="418"/>
      <c r="L359" s="418"/>
    </row>
    <row r="360" spans="1:12" ht="12.75" customHeight="1">
      <c r="A360" s="407"/>
      <c r="B360" s="547"/>
      <c r="C360" s="420"/>
      <c r="D360" s="412"/>
      <c r="E360" s="412"/>
      <c r="F360" s="412"/>
      <c r="G360" s="412"/>
      <c r="H360" s="412"/>
      <c r="I360" s="418"/>
      <c r="J360" s="418"/>
      <c r="K360" s="418"/>
      <c r="L360" s="418"/>
    </row>
    <row r="361" spans="1:12" ht="12.75" customHeight="1">
      <c r="A361" s="407"/>
      <c r="B361" s="548"/>
      <c r="C361" s="284"/>
      <c r="D361" s="412"/>
      <c r="E361" s="412"/>
      <c r="F361" s="412"/>
      <c r="G361" s="412"/>
      <c r="H361" s="412"/>
      <c r="I361" s="418"/>
      <c r="J361" s="418"/>
      <c r="K361" s="418"/>
      <c r="L361" s="418"/>
    </row>
    <row r="362" spans="1:12">
      <c r="A362" s="407"/>
      <c r="B362" s="406"/>
      <c r="C362" s="406"/>
      <c r="D362" s="412"/>
      <c r="E362" s="412"/>
      <c r="F362" s="412"/>
      <c r="G362" s="412"/>
      <c r="H362" s="412"/>
      <c r="I362" s="418"/>
      <c r="J362" s="418"/>
      <c r="K362" s="418"/>
      <c r="L362" s="418"/>
    </row>
    <row r="363" spans="1:12">
      <c r="A363" s="407"/>
      <c r="B363" s="406"/>
      <c r="C363" s="406"/>
      <c r="D363" s="412"/>
      <c r="E363" s="412"/>
      <c r="F363" s="412"/>
      <c r="G363" s="412"/>
      <c r="H363" s="412"/>
      <c r="I363" s="418"/>
      <c r="J363" s="418"/>
      <c r="K363" s="418"/>
      <c r="L363" s="418"/>
    </row>
    <row r="364" spans="1:12" ht="13.5" customHeight="1">
      <c r="A364" s="407"/>
      <c r="B364" s="547"/>
      <c r="C364" s="420"/>
      <c r="D364" s="412"/>
      <c r="E364" s="412"/>
      <c r="F364" s="412"/>
      <c r="G364" s="412"/>
      <c r="H364" s="412"/>
      <c r="I364" s="418"/>
      <c r="J364" s="418"/>
      <c r="K364" s="418"/>
      <c r="L364" s="418"/>
    </row>
    <row r="365" spans="1:12">
      <c r="A365" s="407"/>
      <c r="B365" s="547"/>
      <c r="C365" s="420"/>
      <c r="D365" s="406"/>
      <c r="E365" s="406"/>
      <c r="F365" s="406"/>
      <c r="G365" s="406"/>
      <c r="H365" s="406"/>
      <c r="I365" s="418"/>
      <c r="J365" s="418"/>
      <c r="K365" s="418"/>
      <c r="L365" s="418"/>
    </row>
    <row r="366" spans="1:12">
      <c r="A366" s="407"/>
      <c r="B366" s="406"/>
      <c r="C366" s="406"/>
      <c r="D366" s="412"/>
      <c r="E366" s="412"/>
      <c r="F366" s="412"/>
      <c r="G366" s="412"/>
      <c r="H366" s="412"/>
      <c r="I366" s="418"/>
      <c r="J366" s="418"/>
      <c r="K366" s="418"/>
      <c r="L366" s="418"/>
    </row>
    <row r="367" spans="1:12" ht="12.75" customHeight="1">
      <c r="A367" s="407"/>
      <c r="B367" s="406"/>
      <c r="C367" s="406"/>
      <c r="D367" s="412"/>
      <c r="E367" s="412"/>
      <c r="F367" s="412"/>
      <c r="G367" s="412"/>
      <c r="H367" s="412"/>
      <c r="I367" s="418"/>
      <c r="J367" s="418"/>
      <c r="K367" s="418"/>
      <c r="L367" s="418"/>
    </row>
    <row r="368" spans="1:12" s="419" customFormat="1">
      <c r="A368" s="407"/>
      <c r="B368" s="406"/>
      <c r="C368" s="406"/>
      <c r="D368" s="412"/>
      <c r="E368" s="412"/>
      <c r="F368" s="412"/>
      <c r="G368" s="412"/>
      <c r="H368" s="412"/>
      <c r="I368" s="418"/>
      <c r="J368" s="418"/>
      <c r="K368" s="418"/>
      <c r="L368" s="418"/>
    </row>
    <row r="369" spans="1:12">
      <c r="A369" s="407"/>
      <c r="B369" s="545"/>
      <c r="C369" s="415"/>
      <c r="D369" s="406"/>
      <c r="E369" s="406"/>
      <c r="F369" s="406"/>
      <c r="G369" s="406"/>
      <c r="H369" s="406"/>
      <c r="I369" s="418"/>
      <c r="J369" s="418"/>
      <c r="K369" s="418"/>
      <c r="L369" s="418"/>
    </row>
    <row r="370" spans="1:12">
      <c r="A370" s="407"/>
      <c r="B370" s="545"/>
      <c r="C370" s="415"/>
      <c r="D370" s="412"/>
      <c r="E370" s="412"/>
      <c r="F370" s="412"/>
      <c r="G370" s="412"/>
      <c r="H370" s="412"/>
      <c r="I370" s="418"/>
      <c r="J370" s="418"/>
      <c r="K370" s="418"/>
      <c r="L370" s="418"/>
    </row>
    <row r="371" spans="1:12">
      <c r="A371" s="407"/>
      <c r="B371" s="546"/>
      <c r="C371" s="414"/>
      <c r="D371" s="412"/>
      <c r="E371" s="412"/>
      <c r="F371" s="412"/>
      <c r="G371" s="412"/>
      <c r="H371" s="412"/>
      <c r="I371" s="418"/>
      <c r="J371" s="418"/>
      <c r="K371" s="418"/>
      <c r="L371" s="418"/>
    </row>
    <row r="372" spans="1:12" ht="12.75" customHeight="1">
      <c r="A372" s="407"/>
      <c r="B372" s="545"/>
      <c r="C372" s="415"/>
      <c r="D372" s="406"/>
      <c r="E372" s="406"/>
      <c r="F372" s="406"/>
      <c r="G372" s="406"/>
      <c r="H372" s="406"/>
      <c r="I372" s="418"/>
      <c r="J372" s="418"/>
      <c r="K372" s="418"/>
      <c r="L372" s="418"/>
    </row>
    <row r="373" spans="1:12">
      <c r="A373" s="407"/>
      <c r="B373" s="548"/>
      <c r="C373" s="284"/>
      <c r="D373" s="406"/>
      <c r="E373" s="406"/>
      <c r="F373" s="406"/>
      <c r="G373" s="406"/>
      <c r="H373" s="406"/>
      <c r="I373" s="418"/>
      <c r="J373" s="418"/>
      <c r="K373" s="418"/>
      <c r="L373" s="418"/>
    </row>
    <row r="374" spans="1:12">
      <c r="A374" s="407"/>
      <c r="B374" s="548"/>
      <c r="C374" s="284"/>
      <c r="D374" s="412"/>
      <c r="E374" s="412"/>
      <c r="F374" s="412"/>
      <c r="G374" s="412"/>
      <c r="H374" s="412"/>
      <c r="I374" s="418"/>
      <c r="J374" s="418"/>
      <c r="K374" s="418"/>
      <c r="L374" s="418"/>
    </row>
    <row r="375" spans="1:12" ht="15.75" customHeight="1">
      <c r="A375" s="407"/>
      <c r="B375" s="409"/>
      <c r="C375" s="409"/>
      <c r="D375" s="412"/>
      <c r="E375" s="412"/>
      <c r="F375" s="412"/>
      <c r="G375" s="412"/>
      <c r="H375" s="412"/>
      <c r="I375" s="418"/>
      <c r="J375" s="418"/>
      <c r="K375" s="418"/>
      <c r="L375" s="418"/>
    </row>
    <row r="376" spans="1:12">
      <c r="A376" s="411"/>
      <c r="B376" s="409"/>
      <c r="C376" s="409"/>
      <c r="D376" s="413"/>
      <c r="E376" s="413"/>
      <c r="F376" s="413"/>
      <c r="G376" s="413"/>
      <c r="H376" s="413"/>
      <c r="I376" s="417"/>
      <c r="J376" s="417"/>
      <c r="K376" s="417"/>
      <c r="L376" s="417"/>
    </row>
    <row r="377" spans="1:12">
      <c r="A377" s="407"/>
      <c r="B377" s="545"/>
      <c r="C377" s="415"/>
      <c r="D377" s="406"/>
      <c r="E377" s="406"/>
      <c r="F377" s="406"/>
      <c r="G377" s="406"/>
      <c r="H377" s="406"/>
      <c r="I377" s="410"/>
      <c r="J377" s="410"/>
      <c r="K377" s="410"/>
      <c r="L377" s="410"/>
    </row>
    <row r="378" spans="1:12">
      <c r="A378" s="407"/>
      <c r="B378" s="546"/>
      <c r="C378" s="414"/>
      <c r="D378" s="412"/>
      <c r="E378" s="412"/>
      <c r="F378" s="412"/>
      <c r="G378" s="412"/>
      <c r="H378" s="412"/>
      <c r="I378" s="412"/>
      <c r="J378" s="412"/>
      <c r="K378" s="412"/>
      <c r="L378" s="412"/>
    </row>
    <row r="379" spans="1:12">
      <c r="A379" s="407"/>
      <c r="B379" s="415"/>
      <c r="C379" s="415"/>
      <c r="D379" s="406"/>
      <c r="E379" s="406"/>
      <c r="F379" s="406"/>
      <c r="G379" s="406"/>
      <c r="H379" s="406"/>
      <c r="I379" s="412"/>
      <c r="J379" s="412"/>
      <c r="K379" s="412"/>
      <c r="L379" s="412"/>
    </row>
    <row r="380" spans="1:12">
      <c r="A380" s="407"/>
      <c r="B380" s="406"/>
      <c r="C380" s="406"/>
      <c r="D380" s="406"/>
      <c r="E380" s="406"/>
      <c r="F380" s="406"/>
      <c r="G380" s="406"/>
      <c r="H380" s="406"/>
      <c r="I380" s="412"/>
      <c r="J380" s="412"/>
      <c r="K380" s="412"/>
      <c r="L380" s="412"/>
    </row>
    <row r="381" spans="1:12" ht="12.75" customHeight="1">
      <c r="A381" s="407"/>
      <c r="B381" s="406"/>
      <c r="C381" s="406"/>
      <c r="D381" s="412"/>
      <c r="E381" s="412"/>
      <c r="F381" s="412"/>
      <c r="G381" s="412"/>
      <c r="H381" s="412"/>
      <c r="I381" s="412"/>
      <c r="J381" s="412"/>
      <c r="K381" s="412"/>
      <c r="L381" s="412"/>
    </row>
    <row r="382" spans="1:12">
      <c r="A382" s="407"/>
      <c r="B382" s="406"/>
      <c r="C382" s="406"/>
      <c r="D382" s="406"/>
      <c r="E382" s="406"/>
      <c r="F382" s="406"/>
      <c r="G382" s="406"/>
      <c r="H382" s="406"/>
      <c r="I382" s="412"/>
      <c r="J382" s="412"/>
      <c r="K382" s="412"/>
      <c r="L382" s="412"/>
    </row>
    <row r="383" spans="1:12">
      <c r="A383" s="407"/>
      <c r="B383" s="406"/>
      <c r="C383" s="406"/>
      <c r="D383" s="412"/>
      <c r="E383" s="412"/>
      <c r="F383" s="412"/>
      <c r="G383" s="412"/>
      <c r="H383" s="412"/>
      <c r="I383" s="412"/>
      <c r="J383" s="412"/>
      <c r="K383" s="412"/>
      <c r="L383" s="412"/>
    </row>
    <row r="384" spans="1:12">
      <c r="A384" s="407"/>
      <c r="B384" s="406"/>
      <c r="C384" s="406"/>
      <c r="D384" s="406"/>
      <c r="E384" s="406"/>
      <c r="F384" s="406"/>
      <c r="G384" s="406"/>
      <c r="H384" s="406"/>
      <c r="I384" s="412"/>
      <c r="J384" s="412"/>
      <c r="K384" s="412"/>
      <c r="L384" s="412"/>
    </row>
    <row r="385" spans="1:12">
      <c r="A385" s="407"/>
      <c r="B385" s="416"/>
      <c r="C385" s="416"/>
      <c r="D385" s="412"/>
      <c r="E385" s="412"/>
      <c r="F385" s="412"/>
      <c r="G385" s="412"/>
      <c r="H385" s="412"/>
      <c r="I385" s="412"/>
      <c r="J385" s="412"/>
      <c r="K385" s="412"/>
      <c r="L385" s="412"/>
    </row>
    <row r="386" spans="1:12">
      <c r="A386" s="407"/>
      <c r="B386" s="416"/>
      <c r="C386" s="416"/>
      <c r="D386" s="406"/>
      <c r="E386" s="406"/>
      <c r="F386" s="406"/>
      <c r="G386" s="406"/>
      <c r="H386" s="406"/>
      <c r="I386" s="412"/>
      <c r="J386" s="412"/>
      <c r="K386" s="412"/>
      <c r="L386" s="412"/>
    </row>
    <row r="387" spans="1:12">
      <c r="A387" s="407"/>
      <c r="B387" s="545"/>
      <c r="C387" s="415"/>
      <c r="D387" s="412"/>
      <c r="E387" s="412"/>
      <c r="F387" s="412"/>
      <c r="G387" s="412"/>
      <c r="H387" s="412"/>
      <c r="I387" s="412"/>
      <c r="J387" s="412"/>
      <c r="K387" s="412"/>
      <c r="L387" s="412"/>
    </row>
    <row r="388" spans="1:12" ht="12.75" customHeight="1">
      <c r="A388" s="407"/>
      <c r="B388" s="546"/>
      <c r="C388" s="414"/>
      <c r="D388" s="406"/>
      <c r="E388" s="406"/>
      <c r="F388" s="406"/>
      <c r="G388" s="406"/>
      <c r="H388" s="406"/>
      <c r="I388" s="412"/>
      <c r="J388" s="412"/>
      <c r="K388" s="412"/>
      <c r="L388" s="412"/>
    </row>
    <row r="389" spans="1:12" ht="15.75" customHeight="1">
      <c r="A389" s="407"/>
      <c r="B389" s="546"/>
      <c r="C389" s="414"/>
      <c r="D389" s="412"/>
      <c r="E389" s="412"/>
      <c r="F389" s="412"/>
      <c r="G389" s="412"/>
      <c r="H389" s="412"/>
      <c r="I389" s="412"/>
      <c r="J389" s="412"/>
      <c r="K389" s="412"/>
      <c r="L389" s="412"/>
    </row>
    <row r="390" spans="1:12" ht="12.75" customHeight="1">
      <c r="A390" s="407"/>
      <c r="B390" s="409"/>
      <c r="C390" s="409"/>
      <c r="D390" s="413"/>
      <c r="E390" s="413"/>
      <c r="F390" s="413"/>
      <c r="G390" s="413"/>
      <c r="H390" s="413"/>
      <c r="I390" s="412"/>
      <c r="J390" s="412"/>
      <c r="K390" s="412"/>
      <c r="L390" s="412"/>
    </row>
    <row r="391" spans="1:12" ht="16.5" customHeight="1">
      <c r="A391" s="407"/>
      <c r="B391" s="409"/>
      <c r="C391" s="409"/>
      <c r="D391" s="413"/>
      <c r="E391" s="413"/>
      <c r="F391" s="413"/>
      <c r="G391" s="413"/>
      <c r="H391" s="413"/>
      <c r="I391" s="412"/>
      <c r="J391" s="412"/>
      <c r="K391" s="412"/>
      <c r="L391" s="412"/>
    </row>
    <row r="392" spans="1:12">
      <c r="A392" s="407"/>
      <c r="B392" s="406"/>
      <c r="C392" s="406"/>
      <c r="D392" s="409"/>
      <c r="E392" s="409"/>
      <c r="F392" s="409"/>
      <c r="G392" s="409"/>
      <c r="H392" s="409"/>
      <c r="I392" s="412"/>
      <c r="J392" s="412"/>
      <c r="K392" s="412"/>
      <c r="L392" s="412"/>
    </row>
    <row r="393" spans="1:12">
      <c r="A393" s="411"/>
      <c r="B393" s="406"/>
      <c r="C393" s="406"/>
      <c r="D393" s="410"/>
      <c r="E393" s="410"/>
      <c r="F393" s="410"/>
      <c r="G393" s="410"/>
      <c r="H393" s="410"/>
      <c r="I393" s="412"/>
      <c r="J393" s="412"/>
      <c r="K393" s="412"/>
      <c r="L393" s="412"/>
    </row>
    <row r="394" spans="1:12">
      <c r="A394" s="411"/>
      <c r="B394" s="406"/>
      <c r="C394" s="406"/>
      <c r="D394" s="406"/>
      <c r="E394" s="406"/>
      <c r="F394" s="406"/>
      <c r="G394" s="406"/>
      <c r="H394" s="406"/>
      <c r="I394" s="406"/>
      <c r="J394" s="406"/>
      <c r="K394" s="406"/>
      <c r="L394" s="406"/>
    </row>
    <row r="395" spans="1:12">
      <c r="A395" s="407"/>
      <c r="B395" s="406"/>
      <c r="C395" s="406"/>
      <c r="D395" s="410"/>
      <c r="E395" s="410"/>
      <c r="F395" s="410"/>
      <c r="G395" s="410"/>
      <c r="H395" s="410"/>
      <c r="I395" s="406"/>
      <c r="J395" s="406"/>
      <c r="K395" s="406"/>
    </row>
    <row r="396" spans="1:12">
      <c r="A396" s="407"/>
      <c r="B396" s="406"/>
      <c r="C396" s="406"/>
      <c r="D396" s="406"/>
      <c r="E396" s="406"/>
      <c r="F396" s="406"/>
      <c r="G396" s="406"/>
      <c r="H396" s="406"/>
      <c r="I396" s="406"/>
      <c r="J396" s="406"/>
      <c r="K396" s="406"/>
    </row>
    <row r="397" spans="1:12">
      <c r="A397" s="407"/>
      <c r="B397" s="406"/>
      <c r="C397" s="406"/>
      <c r="D397" s="410"/>
      <c r="E397" s="410"/>
      <c r="F397" s="410"/>
      <c r="G397" s="410"/>
      <c r="H397" s="410"/>
      <c r="I397" s="406"/>
      <c r="J397" s="406"/>
      <c r="K397" s="406"/>
    </row>
    <row r="398" spans="1:12">
      <c r="A398" s="407"/>
      <c r="B398" s="406"/>
      <c r="C398" s="406"/>
      <c r="D398" s="406"/>
      <c r="E398" s="406"/>
      <c r="F398" s="406"/>
      <c r="G398" s="406"/>
      <c r="H398" s="406"/>
      <c r="I398" s="406"/>
      <c r="J398" s="406"/>
      <c r="K398" s="406"/>
    </row>
    <row r="399" spans="1:12">
      <c r="A399" s="411"/>
      <c r="B399" s="406"/>
      <c r="C399" s="406"/>
      <c r="D399" s="410"/>
      <c r="E399" s="410"/>
      <c r="F399" s="410"/>
      <c r="G399" s="410"/>
      <c r="H399" s="410"/>
      <c r="I399" s="406"/>
      <c r="J399" s="406"/>
      <c r="K399" s="406"/>
    </row>
    <row r="400" spans="1:12">
      <c r="A400" s="407"/>
      <c r="B400" s="409"/>
      <c r="C400" s="409"/>
      <c r="D400" s="406"/>
      <c r="E400" s="406"/>
      <c r="F400" s="406"/>
      <c r="G400" s="406"/>
      <c r="H400" s="406"/>
      <c r="I400" s="406"/>
      <c r="J400" s="406"/>
      <c r="K400" s="406"/>
    </row>
    <row r="401" spans="1:11">
      <c r="A401" s="407"/>
      <c r="B401" s="406"/>
      <c r="C401" s="406"/>
      <c r="D401" s="408"/>
      <c r="E401" s="408"/>
      <c r="F401" s="408"/>
      <c r="G401" s="408"/>
      <c r="H401" s="408"/>
      <c r="I401" s="406"/>
      <c r="J401" s="406"/>
      <c r="K401" s="406"/>
    </row>
    <row r="402" spans="1:11">
      <c r="A402" s="407"/>
      <c r="B402" s="406"/>
      <c r="C402" s="406"/>
      <c r="D402" s="406"/>
      <c r="E402" s="406"/>
      <c r="F402" s="406"/>
      <c r="G402" s="406"/>
      <c r="H402" s="406"/>
      <c r="I402" s="406"/>
      <c r="J402" s="406"/>
      <c r="K402" s="406"/>
    </row>
  </sheetData>
  <mergeCells count="20">
    <mergeCell ref="B387:B389"/>
    <mergeCell ref="B364:B365"/>
    <mergeCell ref="B372:B374"/>
    <mergeCell ref="B369:B371"/>
    <mergeCell ref="B348:B349"/>
    <mergeCell ref="B377:B378"/>
    <mergeCell ref="B359:B361"/>
    <mergeCell ref="A330:B330"/>
    <mergeCell ref="B86:B87"/>
    <mergeCell ref="B1:K1"/>
    <mergeCell ref="A5:K5"/>
    <mergeCell ref="A332:B332"/>
    <mergeCell ref="A327:J327"/>
    <mergeCell ref="B116:B117"/>
    <mergeCell ref="A2:K2"/>
    <mergeCell ref="A3:K3"/>
    <mergeCell ref="B28:B29"/>
    <mergeCell ref="B12:B13"/>
    <mergeCell ref="B106:B107"/>
    <mergeCell ref="B26:B27"/>
  </mergeCells>
  <pageMargins left="0.65" right="0.17" top="0.31" bottom="0.14000000000000001" header="0.17" footer="0.14000000000000001"/>
  <pageSetup paperSize="9" scale="57" fitToHeight="2" orientation="landscape" horizontalDpi="120" verticalDpi="144" r:id="rId1"/>
  <headerFooter alignWithMargins="0"/>
  <rowBreaks count="1" manualBreakCount="1">
    <brk id="62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T457"/>
  <sheetViews>
    <sheetView view="pageBreakPreview" zoomScale="115" zoomScaleNormal="100" zoomScaleSheetLayoutView="115" workbookViewId="0">
      <selection activeCell="G3" sqref="G3"/>
    </sheetView>
  </sheetViews>
  <sheetFormatPr defaultRowHeight="12.75"/>
  <cols>
    <col min="1" max="1" width="3.85546875" style="318" customWidth="1"/>
    <col min="2" max="2" width="5.42578125" style="392" customWidth="1"/>
    <col min="3" max="3" width="32.85546875" style="317" customWidth="1"/>
    <col min="4" max="4" width="15.28515625" style="321" hidden="1" customWidth="1"/>
    <col min="5" max="5" width="12.85546875" style="318" customWidth="1"/>
    <col min="6" max="6" width="14" style="401" customWidth="1"/>
    <col min="7" max="7" width="12.28515625" style="402" customWidth="1"/>
    <col min="8" max="8" width="12" style="403" customWidth="1"/>
    <col min="9" max="9" width="12.140625" style="318" customWidth="1"/>
    <col min="10" max="10" width="13.7109375" style="318" customWidth="1"/>
    <col min="11" max="11" width="12.7109375" style="318" customWidth="1"/>
    <col min="12" max="12" width="12.140625" style="318" customWidth="1"/>
    <col min="13" max="13" width="17.42578125" style="318" customWidth="1"/>
    <col min="14" max="15" width="9.140625" style="318"/>
    <col min="16" max="16" width="12" style="318" customWidth="1"/>
    <col min="17" max="17" width="9.5703125" style="318" customWidth="1"/>
    <col min="18" max="256" width="9.140625" style="318"/>
    <col min="257" max="257" width="3.85546875" style="318" customWidth="1"/>
    <col min="258" max="258" width="5.42578125" style="318" customWidth="1"/>
    <col min="259" max="259" width="32.85546875" style="318" customWidth="1"/>
    <col min="260" max="260" width="0" style="318" hidden="1" customWidth="1"/>
    <col min="261" max="261" width="12.85546875" style="318" customWidth="1"/>
    <col min="262" max="262" width="14" style="318" customWidth="1"/>
    <col min="263" max="263" width="12.28515625" style="318" customWidth="1"/>
    <col min="264" max="264" width="12" style="318" customWidth="1"/>
    <col min="265" max="265" width="12.140625" style="318" customWidth="1"/>
    <col min="266" max="266" width="13.7109375" style="318" customWidth="1"/>
    <col min="267" max="267" width="12.7109375" style="318" customWidth="1"/>
    <col min="268" max="268" width="12.140625" style="318" customWidth="1"/>
    <col min="269" max="269" width="17.42578125" style="318" customWidth="1"/>
    <col min="270" max="271" width="9.140625" style="318"/>
    <col min="272" max="272" width="12" style="318" customWidth="1"/>
    <col min="273" max="273" width="9.5703125" style="318" customWidth="1"/>
    <col min="274" max="512" width="9.140625" style="318"/>
    <col min="513" max="513" width="3.85546875" style="318" customWidth="1"/>
    <col min="514" max="514" width="5.42578125" style="318" customWidth="1"/>
    <col min="515" max="515" width="32.85546875" style="318" customWidth="1"/>
    <col min="516" max="516" width="0" style="318" hidden="1" customWidth="1"/>
    <col min="517" max="517" width="12.85546875" style="318" customWidth="1"/>
    <col min="518" max="518" width="14" style="318" customWidth="1"/>
    <col min="519" max="519" width="12.28515625" style="318" customWidth="1"/>
    <col min="520" max="520" width="12" style="318" customWidth="1"/>
    <col min="521" max="521" width="12.140625" style="318" customWidth="1"/>
    <col min="522" max="522" width="13.7109375" style="318" customWidth="1"/>
    <col min="523" max="523" width="12.7109375" style="318" customWidth="1"/>
    <col min="524" max="524" width="12.140625" style="318" customWidth="1"/>
    <col min="525" max="525" width="17.42578125" style="318" customWidth="1"/>
    <col min="526" max="527" width="9.140625" style="318"/>
    <col min="528" max="528" width="12" style="318" customWidth="1"/>
    <col min="529" max="529" width="9.5703125" style="318" customWidth="1"/>
    <col min="530" max="768" width="9.140625" style="318"/>
    <col min="769" max="769" width="3.85546875" style="318" customWidth="1"/>
    <col min="770" max="770" width="5.42578125" style="318" customWidth="1"/>
    <col min="771" max="771" width="32.85546875" style="318" customWidth="1"/>
    <col min="772" max="772" width="0" style="318" hidden="1" customWidth="1"/>
    <col min="773" max="773" width="12.85546875" style="318" customWidth="1"/>
    <col min="774" max="774" width="14" style="318" customWidth="1"/>
    <col min="775" max="775" width="12.28515625" style="318" customWidth="1"/>
    <col min="776" max="776" width="12" style="318" customWidth="1"/>
    <col min="777" max="777" width="12.140625" style="318" customWidth="1"/>
    <col min="778" max="778" width="13.7109375" style="318" customWidth="1"/>
    <col min="779" max="779" width="12.7109375" style="318" customWidth="1"/>
    <col min="780" max="780" width="12.140625" style="318" customWidth="1"/>
    <col min="781" max="781" width="17.42578125" style="318" customWidth="1"/>
    <col min="782" max="783" width="9.140625" style="318"/>
    <col min="784" max="784" width="12" style="318" customWidth="1"/>
    <col min="785" max="785" width="9.5703125" style="318" customWidth="1"/>
    <col min="786" max="1024" width="9.140625" style="318"/>
    <col min="1025" max="1025" width="3.85546875" style="318" customWidth="1"/>
    <col min="1026" max="1026" width="5.42578125" style="318" customWidth="1"/>
    <col min="1027" max="1027" width="32.85546875" style="318" customWidth="1"/>
    <col min="1028" max="1028" width="0" style="318" hidden="1" customWidth="1"/>
    <col min="1029" max="1029" width="12.85546875" style="318" customWidth="1"/>
    <col min="1030" max="1030" width="14" style="318" customWidth="1"/>
    <col min="1031" max="1031" width="12.28515625" style="318" customWidth="1"/>
    <col min="1032" max="1032" width="12" style="318" customWidth="1"/>
    <col min="1033" max="1033" width="12.140625" style="318" customWidth="1"/>
    <col min="1034" max="1034" width="13.7109375" style="318" customWidth="1"/>
    <col min="1035" max="1035" width="12.7109375" style="318" customWidth="1"/>
    <col min="1036" max="1036" width="12.140625" style="318" customWidth="1"/>
    <col min="1037" max="1037" width="17.42578125" style="318" customWidth="1"/>
    <col min="1038" max="1039" width="9.140625" style="318"/>
    <col min="1040" max="1040" width="12" style="318" customWidth="1"/>
    <col min="1041" max="1041" width="9.5703125" style="318" customWidth="1"/>
    <col min="1042" max="1280" width="9.140625" style="318"/>
    <col min="1281" max="1281" width="3.85546875" style="318" customWidth="1"/>
    <col min="1282" max="1282" width="5.42578125" style="318" customWidth="1"/>
    <col min="1283" max="1283" width="32.85546875" style="318" customWidth="1"/>
    <col min="1284" max="1284" width="0" style="318" hidden="1" customWidth="1"/>
    <col min="1285" max="1285" width="12.85546875" style="318" customWidth="1"/>
    <col min="1286" max="1286" width="14" style="318" customWidth="1"/>
    <col min="1287" max="1287" width="12.28515625" style="318" customWidth="1"/>
    <col min="1288" max="1288" width="12" style="318" customWidth="1"/>
    <col min="1289" max="1289" width="12.140625" style="318" customWidth="1"/>
    <col min="1290" max="1290" width="13.7109375" style="318" customWidth="1"/>
    <col min="1291" max="1291" width="12.7109375" style="318" customWidth="1"/>
    <col min="1292" max="1292" width="12.140625" style="318" customWidth="1"/>
    <col min="1293" max="1293" width="17.42578125" style="318" customWidth="1"/>
    <col min="1294" max="1295" width="9.140625" style="318"/>
    <col min="1296" max="1296" width="12" style="318" customWidth="1"/>
    <col min="1297" max="1297" width="9.5703125" style="318" customWidth="1"/>
    <col min="1298" max="1536" width="9.140625" style="318"/>
    <col min="1537" max="1537" width="3.85546875" style="318" customWidth="1"/>
    <col min="1538" max="1538" width="5.42578125" style="318" customWidth="1"/>
    <col min="1539" max="1539" width="32.85546875" style="318" customWidth="1"/>
    <col min="1540" max="1540" width="0" style="318" hidden="1" customWidth="1"/>
    <col min="1541" max="1541" width="12.85546875" style="318" customWidth="1"/>
    <col min="1542" max="1542" width="14" style="318" customWidth="1"/>
    <col min="1543" max="1543" width="12.28515625" style="318" customWidth="1"/>
    <col min="1544" max="1544" width="12" style="318" customWidth="1"/>
    <col min="1545" max="1545" width="12.140625" style="318" customWidth="1"/>
    <col min="1546" max="1546" width="13.7109375" style="318" customWidth="1"/>
    <col min="1547" max="1547" width="12.7109375" style="318" customWidth="1"/>
    <col min="1548" max="1548" width="12.140625" style="318" customWidth="1"/>
    <col min="1549" max="1549" width="17.42578125" style="318" customWidth="1"/>
    <col min="1550" max="1551" width="9.140625" style="318"/>
    <col min="1552" max="1552" width="12" style="318" customWidth="1"/>
    <col min="1553" max="1553" width="9.5703125" style="318" customWidth="1"/>
    <col min="1554" max="1792" width="9.140625" style="318"/>
    <col min="1793" max="1793" width="3.85546875" style="318" customWidth="1"/>
    <col min="1794" max="1794" width="5.42578125" style="318" customWidth="1"/>
    <col min="1795" max="1795" width="32.85546875" style="318" customWidth="1"/>
    <col min="1796" max="1796" width="0" style="318" hidden="1" customWidth="1"/>
    <col min="1797" max="1797" width="12.85546875" style="318" customWidth="1"/>
    <col min="1798" max="1798" width="14" style="318" customWidth="1"/>
    <col min="1799" max="1799" width="12.28515625" style="318" customWidth="1"/>
    <col min="1800" max="1800" width="12" style="318" customWidth="1"/>
    <col min="1801" max="1801" width="12.140625" style="318" customWidth="1"/>
    <col min="1802" max="1802" width="13.7109375" style="318" customWidth="1"/>
    <col min="1803" max="1803" width="12.7109375" style="318" customWidth="1"/>
    <col min="1804" max="1804" width="12.140625" style="318" customWidth="1"/>
    <col min="1805" max="1805" width="17.42578125" style="318" customWidth="1"/>
    <col min="1806" max="1807" width="9.140625" style="318"/>
    <col min="1808" max="1808" width="12" style="318" customWidth="1"/>
    <col min="1809" max="1809" width="9.5703125" style="318" customWidth="1"/>
    <col min="1810" max="2048" width="9.140625" style="318"/>
    <col min="2049" max="2049" width="3.85546875" style="318" customWidth="1"/>
    <col min="2050" max="2050" width="5.42578125" style="318" customWidth="1"/>
    <col min="2051" max="2051" width="32.85546875" style="318" customWidth="1"/>
    <col min="2052" max="2052" width="0" style="318" hidden="1" customWidth="1"/>
    <col min="2053" max="2053" width="12.85546875" style="318" customWidth="1"/>
    <col min="2054" max="2054" width="14" style="318" customWidth="1"/>
    <col min="2055" max="2055" width="12.28515625" style="318" customWidth="1"/>
    <col min="2056" max="2056" width="12" style="318" customWidth="1"/>
    <col min="2057" max="2057" width="12.140625" style="318" customWidth="1"/>
    <col min="2058" max="2058" width="13.7109375" style="318" customWidth="1"/>
    <col min="2059" max="2059" width="12.7109375" style="318" customWidth="1"/>
    <col min="2060" max="2060" width="12.140625" style="318" customWidth="1"/>
    <col min="2061" max="2061" width="17.42578125" style="318" customWidth="1"/>
    <col min="2062" max="2063" width="9.140625" style="318"/>
    <col min="2064" max="2064" width="12" style="318" customWidth="1"/>
    <col min="2065" max="2065" width="9.5703125" style="318" customWidth="1"/>
    <col min="2066" max="2304" width="9.140625" style="318"/>
    <col min="2305" max="2305" width="3.85546875" style="318" customWidth="1"/>
    <col min="2306" max="2306" width="5.42578125" style="318" customWidth="1"/>
    <col min="2307" max="2307" width="32.85546875" style="318" customWidth="1"/>
    <col min="2308" max="2308" width="0" style="318" hidden="1" customWidth="1"/>
    <col min="2309" max="2309" width="12.85546875" style="318" customWidth="1"/>
    <col min="2310" max="2310" width="14" style="318" customWidth="1"/>
    <col min="2311" max="2311" width="12.28515625" style="318" customWidth="1"/>
    <col min="2312" max="2312" width="12" style="318" customWidth="1"/>
    <col min="2313" max="2313" width="12.140625" style="318" customWidth="1"/>
    <col min="2314" max="2314" width="13.7109375" style="318" customWidth="1"/>
    <col min="2315" max="2315" width="12.7109375" style="318" customWidth="1"/>
    <col min="2316" max="2316" width="12.140625" style="318" customWidth="1"/>
    <col min="2317" max="2317" width="17.42578125" style="318" customWidth="1"/>
    <col min="2318" max="2319" width="9.140625" style="318"/>
    <col min="2320" max="2320" width="12" style="318" customWidth="1"/>
    <col min="2321" max="2321" width="9.5703125" style="318" customWidth="1"/>
    <col min="2322" max="2560" width="9.140625" style="318"/>
    <col min="2561" max="2561" width="3.85546875" style="318" customWidth="1"/>
    <col min="2562" max="2562" width="5.42578125" style="318" customWidth="1"/>
    <col min="2563" max="2563" width="32.85546875" style="318" customWidth="1"/>
    <col min="2564" max="2564" width="0" style="318" hidden="1" customWidth="1"/>
    <col min="2565" max="2565" width="12.85546875" style="318" customWidth="1"/>
    <col min="2566" max="2566" width="14" style="318" customWidth="1"/>
    <col min="2567" max="2567" width="12.28515625" style="318" customWidth="1"/>
    <col min="2568" max="2568" width="12" style="318" customWidth="1"/>
    <col min="2569" max="2569" width="12.140625" style="318" customWidth="1"/>
    <col min="2570" max="2570" width="13.7109375" style="318" customWidth="1"/>
    <col min="2571" max="2571" width="12.7109375" style="318" customWidth="1"/>
    <col min="2572" max="2572" width="12.140625" style="318" customWidth="1"/>
    <col min="2573" max="2573" width="17.42578125" style="318" customWidth="1"/>
    <col min="2574" max="2575" width="9.140625" style="318"/>
    <col min="2576" max="2576" width="12" style="318" customWidth="1"/>
    <col min="2577" max="2577" width="9.5703125" style="318" customWidth="1"/>
    <col min="2578" max="2816" width="9.140625" style="318"/>
    <col min="2817" max="2817" width="3.85546875" style="318" customWidth="1"/>
    <col min="2818" max="2818" width="5.42578125" style="318" customWidth="1"/>
    <col min="2819" max="2819" width="32.85546875" style="318" customWidth="1"/>
    <col min="2820" max="2820" width="0" style="318" hidden="1" customWidth="1"/>
    <col min="2821" max="2821" width="12.85546875" style="318" customWidth="1"/>
    <col min="2822" max="2822" width="14" style="318" customWidth="1"/>
    <col min="2823" max="2823" width="12.28515625" style="318" customWidth="1"/>
    <col min="2824" max="2824" width="12" style="318" customWidth="1"/>
    <col min="2825" max="2825" width="12.140625" style="318" customWidth="1"/>
    <col min="2826" max="2826" width="13.7109375" style="318" customWidth="1"/>
    <col min="2827" max="2827" width="12.7109375" style="318" customWidth="1"/>
    <col min="2828" max="2828" width="12.140625" style="318" customWidth="1"/>
    <col min="2829" max="2829" width="17.42578125" style="318" customWidth="1"/>
    <col min="2830" max="2831" width="9.140625" style="318"/>
    <col min="2832" max="2832" width="12" style="318" customWidth="1"/>
    <col min="2833" max="2833" width="9.5703125" style="318" customWidth="1"/>
    <col min="2834" max="3072" width="9.140625" style="318"/>
    <col min="3073" max="3073" width="3.85546875" style="318" customWidth="1"/>
    <col min="3074" max="3074" width="5.42578125" style="318" customWidth="1"/>
    <col min="3075" max="3075" width="32.85546875" style="318" customWidth="1"/>
    <col min="3076" max="3076" width="0" style="318" hidden="1" customWidth="1"/>
    <col min="3077" max="3077" width="12.85546875" style="318" customWidth="1"/>
    <col min="3078" max="3078" width="14" style="318" customWidth="1"/>
    <col min="3079" max="3079" width="12.28515625" style="318" customWidth="1"/>
    <col min="3080" max="3080" width="12" style="318" customWidth="1"/>
    <col min="3081" max="3081" width="12.140625" style="318" customWidth="1"/>
    <col min="3082" max="3082" width="13.7109375" style="318" customWidth="1"/>
    <col min="3083" max="3083" width="12.7109375" style="318" customWidth="1"/>
    <col min="3084" max="3084" width="12.140625" style="318" customWidth="1"/>
    <col min="3085" max="3085" width="17.42578125" style="318" customWidth="1"/>
    <col min="3086" max="3087" width="9.140625" style="318"/>
    <col min="3088" max="3088" width="12" style="318" customWidth="1"/>
    <col min="3089" max="3089" width="9.5703125" style="318" customWidth="1"/>
    <col min="3090" max="3328" width="9.140625" style="318"/>
    <col min="3329" max="3329" width="3.85546875" style="318" customWidth="1"/>
    <col min="3330" max="3330" width="5.42578125" style="318" customWidth="1"/>
    <col min="3331" max="3331" width="32.85546875" style="318" customWidth="1"/>
    <col min="3332" max="3332" width="0" style="318" hidden="1" customWidth="1"/>
    <col min="3333" max="3333" width="12.85546875" style="318" customWidth="1"/>
    <col min="3334" max="3334" width="14" style="318" customWidth="1"/>
    <col min="3335" max="3335" width="12.28515625" style="318" customWidth="1"/>
    <col min="3336" max="3336" width="12" style="318" customWidth="1"/>
    <col min="3337" max="3337" width="12.140625" style="318" customWidth="1"/>
    <col min="3338" max="3338" width="13.7109375" style="318" customWidth="1"/>
    <col min="3339" max="3339" width="12.7109375" style="318" customWidth="1"/>
    <col min="3340" max="3340" width="12.140625" style="318" customWidth="1"/>
    <col min="3341" max="3341" width="17.42578125" style="318" customWidth="1"/>
    <col min="3342" max="3343" width="9.140625" style="318"/>
    <col min="3344" max="3344" width="12" style="318" customWidth="1"/>
    <col min="3345" max="3345" width="9.5703125" style="318" customWidth="1"/>
    <col min="3346" max="3584" width="9.140625" style="318"/>
    <col min="3585" max="3585" width="3.85546875" style="318" customWidth="1"/>
    <col min="3586" max="3586" width="5.42578125" style="318" customWidth="1"/>
    <col min="3587" max="3587" width="32.85546875" style="318" customWidth="1"/>
    <col min="3588" max="3588" width="0" style="318" hidden="1" customWidth="1"/>
    <col min="3589" max="3589" width="12.85546875" style="318" customWidth="1"/>
    <col min="3590" max="3590" width="14" style="318" customWidth="1"/>
    <col min="3591" max="3591" width="12.28515625" style="318" customWidth="1"/>
    <col min="3592" max="3592" width="12" style="318" customWidth="1"/>
    <col min="3593" max="3593" width="12.140625" style="318" customWidth="1"/>
    <col min="3594" max="3594" width="13.7109375" style="318" customWidth="1"/>
    <col min="3595" max="3595" width="12.7109375" style="318" customWidth="1"/>
    <col min="3596" max="3596" width="12.140625" style="318" customWidth="1"/>
    <col min="3597" max="3597" width="17.42578125" style="318" customWidth="1"/>
    <col min="3598" max="3599" width="9.140625" style="318"/>
    <col min="3600" max="3600" width="12" style="318" customWidth="1"/>
    <col min="3601" max="3601" width="9.5703125" style="318" customWidth="1"/>
    <col min="3602" max="3840" width="9.140625" style="318"/>
    <col min="3841" max="3841" width="3.85546875" style="318" customWidth="1"/>
    <col min="3842" max="3842" width="5.42578125" style="318" customWidth="1"/>
    <col min="3843" max="3843" width="32.85546875" style="318" customWidth="1"/>
    <col min="3844" max="3844" width="0" style="318" hidden="1" customWidth="1"/>
    <col min="3845" max="3845" width="12.85546875" style="318" customWidth="1"/>
    <col min="3846" max="3846" width="14" style="318" customWidth="1"/>
    <col min="3847" max="3847" width="12.28515625" style="318" customWidth="1"/>
    <col min="3848" max="3848" width="12" style="318" customWidth="1"/>
    <col min="3849" max="3849" width="12.140625" style="318" customWidth="1"/>
    <col min="3850" max="3850" width="13.7109375" style="318" customWidth="1"/>
    <col min="3851" max="3851" width="12.7109375" style="318" customWidth="1"/>
    <col min="3852" max="3852" width="12.140625" style="318" customWidth="1"/>
    <col min="3853" max="3853" width="17.42578125" style="318" customWidth="1"/>
    <col min="3854" max="3855" width="9.140625" style="318"/>
    <col min="3856" max="3856" width="12" style="318" customWidth="1"/>
    <col min="3857" max="3857" width="9.5703125" style="318" customWidth="1"/>
    <col min="3858" max="4096" width="9.140625" style="318"/>
    <col min="4097" max="4097" width="3.85546875" style="318" customWidth="1"/>
    <col min="4098" max="4098" width="5.42578125" style="318" customWidth="1"/>
    <col min="4099" max="4099" width="32.85546875" style="318" customWidth="1"/>
    <col min="4100" max="4100" width="0" style="318" hidden="1" customWidth="1"/>
    <col min="4101" max="4101" width="12.85546875" style="318" customWidth="1"/>
    <col min="4102" max="4102" width="14" style="318" customWidth="1"/>
    <col min="4103" max="4103" width="12.28515625" style="318" customWidth="1"/>
    <col min="4104" max="4104" width="12" style="318" customWidth="1"/>
    <col min="4105" max="4105" width="12.140625" style="318" customWidth="1"/>
    <col min="4106" max="4106" width="13.7109375" style="318" customWidth="1"/>
    <col min="4107" max="4107" width="12.7109375" style="318" customWidth="1"/>
    <col min="4108" max="4108" width="12.140625" style="318" customWidth="1"/>
    <col min="4109" max="4109" width="17.42578125" style="318" customWidth="1"/>
    <col min="4110" max="4111" width="9.140625" style="318"/>
    <col min="4112" max="4112" width="12" style="318" customWidth="1"/>
    <col min="4113" max="4113" width="9.5703125" style="318" customWidth="1"/>
    <col min="4114" max="4352" width="9.140625" style="318"/>
    <col min="4353" max="4353" width="3.85546875" style="318" customWidth="1"/>
    <col min="4354" max="4354" width="5.42578125" style="318" customWidth="1"/>
    <col min="4355" max="4355" width="32.85546875" style="318" customWidth="1"/>
    <col min="4356" max="4356" width="0" style="318" hidden="1" customWidth="1"/>
    <col min="4357" max="4357" width="12.85546875" style="318" customWidth="1"/>
    <col min="4358" max="4358" width="14" style="318" customWidth="1"/>
    <col min="4359" max="4359" width="12.28515625" style="318" customWidth="1"/>
    <col min="4360" max="4360" width="12" style="318" customWidth="1"/>
    <col min="4361" max="4361" width="12.140625" style="318" customWidth="1"/>
    <col min="4362" max="4362" width="13.7109375" style="318" customWidth="1"/>
    <col min="4363" max="4363" width="12.7109375" style="318" customWidth="1"/>
    <col min="4364" max="4364" width="12.140625" style="318" customWidth="1"/>
    <col min="4365" max="4365" width="17.42578125" style="318" customWidth="1"/>
    <col min="4366" max="4367" width="9.140625" style="318"/>
    <col min="4368" max="4368" width="12" style="318" customWidth="1"/>
    <col min="4369" max="4369" width="9.5703125" style="318" customWidth="1"/>
    <col min="4370" max="4608" width="9.140625" style="318"/>
    <col min="4609" max="4609" width="3.85546875" style="318" customWidth="1"/>
    <col min="4610" max="4610" width="5.42578125" style="318" customWidth="1"/>
    <col min="4611" max="4611" width="32.85546875" style="318" customWidth="1"/>
    <col min="4612" max="4612" width="0" style="318" hidden="1" customWidth="1"/>
    <col min="4613" max="4613" width="12.85546875" style="318" customWidth="1"/>
    <col min="4614" max="4614" width="14" style="318" customWidth="1"/>
    <col min="4615" max="4615" width="12.28515625" style="318" customWidth="1"/>
    <col min="4616" max="4616" width="12" style="318" customWidth="1"/>
    <col min="4617" max="4617" width="12.140625" style="318" customWidth="1"/>
    <col min="4618" max="4618" width="13.7109375" style="318" customWidth="1"/>
    <col min="4619" max="4619" width="12.7109375" style="318" customWidth="1"/>
    <col min="4620" max="4620" width="12.140625" style="318" customWidth="1"/>
    <col min="4621" max="4621" width="17.42578125" style="318" customWidth="1"/>
    <col min="4622" max="4623" width="9.140625" style="318"/>
    <col min="4624" max="4624" width="12" style="318" customWidth="1"/>
    <col min="4625" max="4625" width="9.5703125" style="318" customWidth="1"/>
    <col min="4626" max="4864" width="9.140625" style="318"/>
    <col min="4865" max="4865" width="3.85546875" style="318" customWidth="1"/>
    <col min="4866" max="4866" width="5.42578125" style="318" customWidth="1"/>
    <col min="4867" max="4867" width="32.85546875" style="318" customWidth="1"/>
    <col min="4868" max="4868" width="0" style="318" hidden="1" customWidth="1"/>
    <col min="4869" max="4869" width="12.85546875" style="318" customWidth="1"/>
    <col min="4870" max="4870" width="14" style="318" customWidth="1"/>
    <col min="4871" max="4871" width="12.28515625" style="318" customWidth="1"/>
    <col min="4872" max="4872" width="12" style="318" customWidth="1"/>
    <col min="4873" max="4873" width="12.140625" style="318" customWidth="1"/>
    <col min="4874" max="4874" width="13.7109375" style="318" customWidth="1"/>
    <col min="4875" max="4875" width="12.7109375" style="318" customWidth="1"/>
    <col min="4876" max="4876" width="12.140625" style="318" customWidth="1"/>
    <col min="4877" max="4877" width="17.42578125" style="318" customWidth="1"/>
    <col min="4878" max="4879" width="9.140625" style="318"/>
    <col min="4880" max="4880" width="12" style="318" customWidth="1"/>
    <col min="4881" max="4881" width="9.5703125" style="318" customWidth="1"/>
    <col min="4882" max="5120" width="9.140625" style="318"/>
    <col min="5121" max="5121" width="3.85546875" style="318" customWidth="1"/>
    <col min="5122" max="5122" width="5.42578125" style="318" customWidth="1"/>
    <col min="5123" max="5123" width="32.85546875" style="318" customWidth="1"/>
    <col min="5124" max="5124" width="0" style="318" hidden="1" customWidth="1"/>
    <col min="5125" max="5125" width="12.85546875" style="318" customWidth="1"/>
    <col min="5126" max="5126" width="14" style="318" customWidth="1"/>
    <col min="5127" max="5127" width="12.28515625" style="318" customWidth="1"/>
    <col min="5128" max="5128" width="12" style="318" customWidth="1"/>
    <col min="5129" max="5129" width="12.140625" style="318" customWidth="1"/>
    <col min="5130" max="5130" width="13.7109375" style="318" customWidth="1"/>
    <col min="5131" max="5131" width="12.7109375" style="318" customWidth="1"/>
    <col min="5132" max="5132" width="12.140625" style="318" customWidth="1"/>
    <col min="5133" max="5133" width="17.42578125" style="318" customWidth="1"/>
    <col min="5134" max="5135" width="9.140625" style="318"/>
    <col min="5136" max="5136" width="12" style="318" customWidth="1"/>
    <col min="5137" max="5137" width="9.5703125" style="318" customWidth="1"/>
    <col min="5138" max="5376" width="9.140625" style="318"/>
    <col min="5377" max="5377" width="3.85546875" style="318" customWidth="1"/>
    <col min="5378" max="5378" width="5.42578125" style="318" customWidth="1"/>
    <col min="5379" max="5379" width="32.85546875" style="318" customWidth="1"/>
    <col min="5380" max="5380" width="0" style="318" hidden="1" customWidth="1"/>
    <col min="5381" max="5381" width="12.85546875" style="318" customWidth="1"/>
    <col min="5382" max="5382" width="14" style="318" customWidth="1"/>
    <col min="5383" max="5383" width="12.28515625" style="318" customWidth="1"/>
    <col min="5384" max="5384" width="12" style="318" customWidth="1"/>
    <col min="5385" max="5385" width="12.140625" style="318" customWidth="1"/>
    <col min="5386" max="5386" width="13.7109375" style="318" customWidth="1"/>
    <col min="5387" max="5387" width="12.7109375" style="318" customWidth="1"/>
    <col min="5388" max="5388" width="12.140625" style="318" customWidth="1"/>
    <col min="5389" max="5389" width="17.42578125" style="318" customWidth="1"/>
    <col min="5390" max="5391" width="9.140625" style="318"/>
    <col min="5392" max="5392" width="12" style="318" customWidth="1"/>
    <col min="5393" max="5393" width="9.5703125" style="318" customWidth="1"/>
    <col min="5394" max="5632" width="9.140625" style="318"/>
    <col min="5633" max="5633" width="3.85546875" style="318" customWidth="1"/>
    <col min="5634" max="5634" width="5.42578125" style="318" customWidth="1"/>
    <col min="5635" max="5635" width="32.85546875" style="318" customWidth="1"/>
    <col min="5636" max="5636" width="0" style="318" hidden="1" customWidth="1"/>
    <col min="5637" max="5637" width="12.85546875" style="318" customWidth="1"/>
    <col min="5638" max="5638" width="14" style="318" customWidth="1"/>
    <col min="5639" max="5639" width="12.28515625" style="318" customWidth="1"/>
    <col min="5640" max="5640" width="12" style="318" customWidth="1"/>
    <col min="5641" max="5641" width="12.140625" style="318" customWidth="1"/>
    <col min="5642" max="5642" width="13.7109375" style="318" customWidth="1"/>
    <col min="5643" max="5643" width="12.7109375" style="318" customWidth="1"/>
    <col min="5644" max="5644" width="12.140625" style="318" customWidth="1"/>
    <col min="5645" max="5645" width="17.42578125" style="318" customWidth="1"/>
    <col min="5646" max="5647" width="9.140625" style="318"/>
    <col min="5648" max="5648" width="12" style="318" customWidth="1"/>
    <col min="5649" max="5649" width="9.5703125" style="318" customWidth="1"/>
    <col min="5650" max="5888" width="9.140625" style="318"/>
    <col min="5889" max="5889" width="3.85546875" style="318" customWidth="1"/>
    <col min="5890" max="5890" width="5.42578125" style="318" customWidth="1"/>
    <col min="5891" max="5891" width="32.85546875" style="318" customWidth="1"/>
    <col min="5892" max="5892" width="0" style="318" hidden="1" customWidth="1"/>
    <col min="5893" max="5893" width="12.85546875" style="318" customWidth="1"/>
    <col min="5894" max="5894" width="14" style="318" customWidth="1"/>
    <col min="5895" max="5895" width="12.28515625" style="318" customWidth="1"/>
    <col min="5896" max="5896" width="12" style="318" customWidth="1"/>
    <col min="5897" max="5897" width="12.140625" style="318" customWidth="1"/>
    <col min="5898" max="5898" width="13.7109375" style="318" customWidth="1"/>
    <col min="5899" max="5899" width="12.7109375" style="318" customWidth="1"/>
    <col min="5900" max="5900" width="12.140625" style="318" customWidth="1"/>
    <col min="5901" max="5901" width="17.42578125" style="318" customWidth="1"/>
    <col min="5902" max="5903" width="9.140625" style="318"/>
    <col min="5904" max="5904" width="12" style="318" customWidth="1"/>
    <col min="5905" max="5905" width="9.5703125" style="318" customWidth="1"/>
    <col min="5906" max="6144" width="9.140625" style="318"/>
    <col min="6145" max="6145" width="3.85546875" style="318" customWidth="1"/>
    <col min="6146" max="6146" width="5.42578125" style="318" customWidth="1"/>
    <col min="6147" max="6147" width="32.85546875" style="318" customWidth="1"/>
    <col min="6148" max="6148" width="0" style="318" hidden="1" customWidth="1"/>
    <col min="6149" max="6149" width="12.85546875" style="318" customWidth="1"/>
    <col min="6150" max="6150" width="14" style="318" customWidth="1"/>
    <col min="6151" max="6151" width="12.28515625" style="318" customWidth="1"/>
    <col min="6152" max="6152" width="12" style="318" customWidth="1"/>
    <col min="6153" max="6153" width="12.140625" style="318" customWidth="1"/>
    <col min="6154" max="6154" width="13.7109375" style="318" customWidth="1"/>
    <col min="6155" max="6155" width="12.7109375" style="318" customWidth="1"/>
    <col min="6156" max="6156" width="12.140625" style="318" customWidth="1"/>
    <col min="6157" max="6157" width="17.42578125" style="318" customWidth="1"/>
    <col min="6158" max="6159" width="9.140625" style="318"/>
    <col min="6160" max="6160" width="12" style="318" customWidth="1"/>
    <col min="6161" max="6161" width="9.5703125" style="318" customWidth="1"/>
    <col min="6162" max="6400" width="9.140625" style="318"/>
    <col min="6401" max="6401" width="3.85546875" style="318" customWidth="1"/>
    <col min="6402" max="6402" width="5.42578125" style="318" customWidth="1"/>
    <col min="6403" max="6403" width="32.85546875" style="318" customWidth="1"/>
    <col min="6404" max="6404" width="0" style="318" hidden="1" customWidth="1"/>
    <col min="6405" max="6405" width="12.85546875" style="318" customWidth="1"/>
    <col min="6406" max="6406" width="14" style="318" customWidth="1"/>
    <col min="6407" max="6407" width="12.28515625" style="318" customWidth="1"/>
    <col min="6408" max="6408" width="12" style="318" customWidth="1"/>
    <col min="6409" max="6409" width="12.140625" style="318" customWidth="1"/>
    <col min="6410" max="6410" width="13.7109375" style="318" customWidth="1"/>
    <col min="6411" max="6411" width="12.7109375" style="318" customWidth="1"/>
    <col min="6412" max="6412" width="12.140625" style="318" customWidth="1"/>
    <col min="6413" max="6413" width="17.42578125" style="318" customWidth="1"/>
    <col min="6414" max="6415" width="9.140625" style="318"/>
    <col min="6416" max="6416" width="12" style="318" customWidth="1"/>
    <col min="6417" max="6417" width="9.5703125" style="318" customWidth="1"/>
    <col min="6418" max="6656" width="9.140625" style="318"/>
    <col min="6657" max="6657" width="3.85546875" style="318" customWidth="1"/>
    <col min="6658" max="6658" width="5.42578125" style="318" customWidth="1"/>
    <col min="6659" max="6659" width="32.85546875" style="318" customWidth="1"/>
    <col min="6660" max="6660" width="0" style="318" hidden="1" customWidth="1"/>
    <col min="6661" max="6661" width="12.85546875" style="318" customWidth="1"/>
    <col min="6662" max="6662" width="14" style="318" customWidth="1"/>
    <col min="6663" max="6663" width="12.28515625" style="318" customWidth="1"/>
    <col min="6664" max="6664" width="12" style="318" customWidth="1"/>
    <col min="6665" max="6665" width="12.140625" style="318" customWidth="1"/>
    <col min="6666" max="6666" width="13.7109375" style="318" customWidth="1"/>
    <col min="6667" max="6667" width="12.7109375" style="318" customWidth="1"/>
    <col min="6668" max="6668" width="12.140625" style="318" customWidth="1"/>
    <col min="6669" max="6669" width="17.42578125" style="318" customWidth="1"/>
    <col min="6670" max="6671" width="9.140625" style="318"/>
    <col min="6672" max="6672" width="12" style="318" customWidth="1"/>
    <col min="6673" max="6673" width="9.5703125" style="318" customWidth="1"/>
    <col min="6674" max="6912" width="9.140625" style="318"/>
    <col min="6913" max="6913" width="3.85546875" style="318" customWidth="1"/>
    <col min="6914" max="6914" width="5.42578125" style="318" customWidth="1"/>
    <col min="6915" max="6915" width="32.85546875" style="318" customWidth="1"/>
    <col min="6916" max="6916" width="0" style="318" hidden="1" customWidth="1"/>
    <col min="6917" max="6917" width="12.85546875" style="318" customWidth="1"/>
    <col min="6918" max="6918" width="14" style="318" customWidth="1"/>
    <col min="6919" max="6919" width="12.28515625" style="318" customWidth="1"/>
    <col min="6920" max="6920" width="12" style="318" customWidth="1"/>
    <col min="6921" max="6921" width="12.140625" style="318" customWidth="1"/>
    <col min="6922" max="6922" width="13.7109375" style="318" customWidth="1"/>
    <col min="6923" max="6923" width="12.7109375" style="318" customWidth="1"/>
    <col min="6924" max="6924" width="12.140625" style="318" customWidth="1"/>
    <col min="6925" max="6925" width="17.42578125" style="318" customWidth="1"/>
    <col min="6926" max="6927" width="9.140625" style="318"/>
    <col min="6928" max="6928" width="12" style="318" customWidth="1"/>
    <col min="6929" max="6929" width="9.5703125" style="318" customWidth="1"/>
    <col min="6930" max="7168" width="9.140625" style="318"/>
    <col min="7169" max="7169" width="3.85546875" style="318" customWidth="1"/>
    <col min="7170" max="7170" width="5.42578125" style="318" customWidth="1"/>
    <col min="7171" max="7171" width="32.85546875" style="318" customWidth="1"/>
    <col min="7172" max="7172" width="0" style="318" hidden="1" customWidth="1"/>
    <col min="7173" max="7173" width="12.85546875" style="318" customWidth="1"/>
    <col min="7174" max="7174" width="14" style="318" customWidth="1"/>
    <col min="7175" max="7175" width="12.28515625" style="318" customWidth="1"/>
    <col min="7176" max="7176" width="12" style="318" customWidth="1"/>
    <col min="7177" max="7177" width="12.140625" style="318" customWidth="1"/>
    <col min="7178" max="7178" width="13.7109375" style="318" customWidth="1"/>
    <col min="7179" max="7179" width="12.7109375" style="318" customWidth="1"/>
    <col min="7180" max="7180" width="12.140625" style="318" customWidth="1"/>
    <col min="7181" max="7181" width="17.42578125" style="318" customWidth="1"/>
    <col min="7182" max="7183" width="9.140625" style="318"/>
    <col min="7184" max="7184" width="12" style="318" customWidth="1"/>
    <col min="7185" max="7185" width="9.5703125" style="318" customWidth="1"/>
    <col min="7186" max="7424" width="9.140625" style="318"/>
    <col min="7425" max="7425" width="3.85546875" style="318" customWidth="1"/>
    <col min="7426" max="7426" width="5.42578125" style="318" customWidth="1"/>
    <col min="7427" max="7427" width="32.85546875" style="318" customWidth="1"/>
    <col min="7428" max="7428" width="0" style="318" hidden="1" customWidth="1"/>
    <col min="7429" max="7429" width="12.85546875" style="318" customWidth="1"/>
    <col min="7430" max="7430" width="14" style="318" customWidth="1"/>
    <col min="7431" max="7431" width="12.28515625" style="318" customWidth="1"/>
    <col min="7432" max="7432" width="12" style="318" customWidth="1"/>
    <col min="7433" max="7433" width="12.140625" style="318" customWidth="1"/>
    <col min="7434" max="7434" width="13.7109375" style="318" customWidth="1"/>
    <col min="7435" max="7435" width="12.7109375" style="318" customWidth="1"/>
    <col min="7436" max="7436" width="12.140625" style="318" customWidth="1"/>
    <col min="7437" max="7437" width="17.42578125" style="318" customWidth="1"/>
    <col min="7438" max="7439" width="9.140625" style="318"/>
    <col min="7440" max="7440" width="12" style="318" customWidth="1"/>
    <col min="7441" max="7441" width="9.5703125" style="318" customWidth="1"/>
    <col min="7442" max="7680" width="9.140625" style="318"/>
    <col min="7681" max="7681" width="3.85546875" style="318" customWidth="1"/>
    <col min="7682" max="7682" width="5.42578125" style="318" customWidth="1"/>
    <col min="7683" max="7683" width="32.85546875" style="318" customWidth="1"/>
    <col min="7684" max="7684" width="0" style="318" hidden="1" customWidth="1"/>
    <col min="7685" max="7685" width="12.85546875" style="318" customWidth="1"/>
    <col min="7686" max="7686" width="14" style="318" customWidth="1"/>
    <col min="7687" max="7687" width="12.28515625" style="318" customWidth="1"/>
    <col min="7688" max="7688" width="12" style="318" customWidth="1"/>
    <col min="7689" max="7689" width="12.140625" style="318" customWidth="1"/>
    <col min="7690" max="7690" width="13.7109375" style="318" customWidth="1"/>
    <col min="7691" max="7691" width="12.7109375" style="318" customWidth="1"/>
    <col min="7692" max="7692" width="12.140625" style="318" customWidth="1"/>
    <col min="7693" max="7693" width="17.42578125" style="318" customWidth="1"/>
    <col min="7694" max="7695" width="9.140625" style="318"/>
    <col min="7696" max="7696" width="12" style="318" customWidth="1"/>
    <col min="7697" max="7697" width="9.5703125" style="318" customWidth="1"/>
    <col min="7698" max="7936" width="9.140625" style="318"/>
    <col min="7937" max="7937" width="3.85546875" style="318" customWidth="1"/>
    <col min="7938" max="7938" width="5.42578125" style="318" customWidth="1"/>
    <col min="7939" max="7939" width="32.85546875" style="318" customWidth="1"/>
    <col min="7940" max="7940" width="0" style="318" hidden="1" customWidth="1"/>
    <col min="7941" max="7941" width="12.85546875" style="318" customWidth="1"/>
    <col min="7942" max="7942" width="14" style="318" customWidth="1"/>
    <col min="7943" max="7943" width="12.28515625" style="318" customWidth="1"/>
    <col min="7944" max="7944" width="12" style="318" customWidth="1"/>
    <col min="7945" max="7945" width="12.140625" style="318" customWidth="1"/>
    <col min="7946" max="7946" width="13.7109375" style="318" customWidth="1"/>
    <col min="7947" max="7947" width="12.7109375" style="318" customWidth="1"/>
    <col min="7948" max="7948" width="12.140625" style="318" customWidth="1"/>
    <col min="7949" max="7949" width="17.42578125" style="318" customWidth="1"/>
    <col min="7950" max="7951" width="9.140625" style="318"/>
    <col min="7952" max="7952" width="12" style="318" customWidth="1"/>
    <col min="7953" max="7953" width="9.5703125" style="318" customWidth="1"/>
    <col min="7954" max="8192" width="9.140625" style="318"/>
    <col min="8193" max="8193" width="3.85546875" style="318" customWidth="1"/>
    <col min="8194" max="8194" width="5.42578125" style="318" customWidth="1"/>
    <col min="8195" max="8195" width="32.85546875" style="318" customWidth="1"/>
    <col min="8196" max="8196" width="0" style="318" hidden="1" customWidth="1"/>
    <col min="8197" max="8197" width="12.85546875" style="318" customWidth="1"/>
    <col min="8198" max="8198" width="14" style="318" customWidth="1"/>
    <col min="8199" max="8199" width="12.28515625" style="318" customWidth="1"/>
    <col min="8200" max="8200" width="12" style="318" customWidth="1"/>
    <col min="8201" max="8201" width="12.140625" style="318" customWidth="1"/>
    <col min="8202" max="8202" width="13.7109375" style="318" customWidth="1"/>
    <col min="8203" max="8203" width="12.7109375" style="318" customWidth="1"/>
    <col min="8204" max="8204" width="12.140625" style="318" customWidth="1"/>
    <col min="8205" max="8205" width="17.42578125" style="318" customWidth="1"/>
    <col min="8206" max="8207" width="9.140625" style="318"/>
    <col min="8208" max="8208" width="12" style="318" customWidth="1"/>
    <col min="8209" max="8209" width="9.5703125" style="318" customWidth="1"/>
    <col min="8210" max="8448" width="9.140625" style="318"/>
    <col min="8449" max="8449" width="3.85546875" style="318" customWidth="1"/>
    <col min="8450" max="8450" width="5.42578125" style="318" customWidth="1"/>
    <col min="8451" max="8451" width="32.85546875" style="318" customWidth="1"/>
    <col min="8452" max="8452" width="0" style="318" hidden="1" customWidth="1"/>
    <col min="8453" max="8453" width="12.85546875" style="318" customWidth="1"/>
    <col min="8454" max="8454" width="14" style="318" customWidth="1"/>
    <col min="8455" max="8455" width="12.28515625" style="318" customWidth="1"/>
    <col min="8456" max="8456" width="12" style="318" customWidth="1"/>
    <col min="8457" max="8457" width="12.140625" style="318" customWidth="1"/>
    <col min="8458" max="8458" width="13.7109375" style="318" customWidth="1"/>
    <col min="8459" max="8459" width="12.7109375" style="318" customWidth="1"/>
    <col min="8460" max="8460" width="12.140625" style="318" customWidth="1"/>
    <col min="8461" max="8461" width="17.42578125" style="318" customWidth="1"/>
    <col min="8462" max="8463" width="9.140625" style="318"/>
    <col min="8464" max="8464" width="12" style="318" customWidth="1"/>
    <col min="8465" max="8465" width="9.5703125" style="318" customWidth="1"/>
    <col min="8466" max="8704" width="9.140625" style="318"/>
    <col min="8705" max="8705" width="3.85546875" style="318" customWidth="1"/>
    <col min="8706" max="8706" width="5.42578125" style="318" customWidth="1"/>
    <col min="8707" max="8707" width="32.85546875" style="318" customWidth="1"/>
    <col min="8708" max="8708" width="0" style="318" hidden="1" customWidth="1"/>
    <col min="8709" max="8709" width="12.85546875" style="318" customWidth="1"/>
    <col min="8710" max="8710" width="14" style="318" customWidth="1"/>
    <col min="8711" max="8711" width="12.28515625" style="318" customWidth="1"/>
    <col min="8712" max="8712" width="12" style="318" customWidth="1"/>
    <col min="8713" max="8713" width="12.140625" style="318" customWidth="1"/>
    <col min="8714" max="8714" width="13.7109375" style="318" customWidth="1"/>
    <col min="8715" max="8715" width="12.7109375" style="318" customWidth="1"/>
    <col min="8716" max="8716" width="12.140625" style="318" customWidth="1"/>
    <col min="8717" max="8717" width="17.42578125" style="318" customWidth="1"/>
    <col min="8718" max="8719" width="9.140625" style="318"/>
    <col min="8720" max="8720" width="12" style="318" customWidth="1"/>
    <col min="8721" max="8721" width="9.5703125" style="318" customWidth="1"/>
    <col min="8722" max="8960" width="9.140625" style="318"/>
    <col min="8961" max="8961" width="3.85546875" style="318" customWidth="1"/>
    <col min="8962" max="8962" width="5.42578125" style="318" customWidth="1"/>
    <col min="8963" max="8963" width="32.85546875" style="318" customWidth="1"/>
    <col min="8964" max="8964" width="0" style="318" hidden="1" customWidth="1"/>
    <col min="8965" max="8965" width="12.85546875" style="318" customWidth="1"/>
    <col min="8966" max="8966" width="14" style="318" customWidth="1"/>
    <col min="8967" max="8967" width="12.28515625" style="318" customWidth="1"/>
    <col min="8968" max="8968" width="12" style="318" customWidth="1"/>
    <col min="8969" max="8969" width="12.140625" style="318" customWidth="1"/>
    <col min="8970" max="8970" width="13.7109375" style="318" customWidth="1"/>
    <col min="8971" max="8971" width="12.7109375" style="318" customWidth="1"/>
    <col min="8972" max="8972" width="12.140625" style="318" customWidth="1"/>
    <col min="8973" max="8973" width="17.42578125" style="318" customWidth="1"/>
    <col min="8974" max="8975" width="9.140625" style="318"/>
    <col min="8976" max="8976" width="12" style="318" customWidth="1"/>
    <col min="8977" max="8977" width="9.5703125" style="318" customWidth="1"/>
    <col min="8978" max="9216" width="9.140625" style="318"/>
    <col min="9217" max="9217" width="3.85546875" style="318" customWidth="1"/>
    <col min="9218" max="9218" width="5.42578125" style="318" customWidth="1"/>
    <col min="9219" max="9219" width="32.85546875" style="318" customWidth="1"/>
    <col min="9220" max="9220" width="0" style="318" hidden="1" customWidth="1"/>
    <col min="9221" max="9221" width="12.85546875" style="318" customWidth="1"/>
    <col min="9222" max="9222" width="14" style="318" customWidth="1"/>
    <col min="9223" max="9223" width="12.28515625" style="318" customWidth="1"/>
    <col min="9224" max="9224" width="12" style="318" customWidth="1"/>
    <col min="9225" max="9225" width="12.140625" style="318" customWidth="1"/>
    <col min="9226" max="9226" width="13.7109375" style="318" customWidth="1"/>
    <col min="9227" max="9227" width="12.7109375" style="318" customWidth="1"/>
    <col min="9228" max="9228" width="12.140625" style="318" customWidth="1"/>
    <col min="9229" max="9229" width="17.42578125" style="318" customWidth="1"/>
    <col min="9230" max="9231" width="9.140625" style="318"/>
    <col min="9232" max="9232" width="12" style="318" customWidth="1"/>
    <col min="9233" max="9233" width="9.5703125" style="318" customWidth="1"/>
    <col min="9234" max="9472" width="9.140625" style="318"/>
    <col min="9473" max="9473" width="3.85546875" style="318" customWidth="1"/>
    <col min="9474" max="9474" width="5.42578125" style="318" customWidth="1"/>
    <col min="9475" max="9475" width="32.85546875" style="318" customWidth="1"/>
    <col min="9476" max="9476" width="0" style="318" hidden="1" customWidth="1"/>
    <col min="9477" max="9477" width="12.85546875" style="318" customWidth="1"/>
    <col min="9478" max="9478" width="14" style="318" customWidth="1"/>
    <col min="9479" max="9479" width="12.28515625" style="318" customWidth="1"/>
    <col min="9480" max="9480" width="12" style="318" customWidth="1"/>
    <col min="9481" max="9481" width="12.140625" style="318" customWidth="1"/>
    <col min="9482" max="9482" width="13.7109375" style="318" customWidth="1"/>
    <col min="9483" max="9483" width="12.7109375" style="318" customWidth="1"/>
    <col min="9484" max="9484" width="12.140625" style="318" customWidth="1"/>
    <col min="9485" max="9485" width="17.42578125" style="318" customWidth="1"/>
    <col min="9486" max="9487" width="9.140625" style="318"/>
    <col min="9488" max="9488" width="12" style="318" customWidth="1"/>
    <col min="9489" max="9489" width="9.5703125" style="318" customWidth="1"/>
    <col min="9490" max="9728" width="9.140625" style="318"/>
    <col min="9729" max="9729" width="3.85546875" style="318" customWidth="1"/>
    <col min="9730" max="9730" width="5.42578125" style="318" customWidth="1"/>
    <col min="9731" max="9731" width="32.85546875" style="318" customWidth="1"/>
    <col min="9732" max="9732" width="0" style="318" hidden="1" customWidth="1"/>
    <col min="9733" max="9733" width="12.85546875" style="318" customWidth="1"/>
    <col min="9734" max="9734" width="14" style="318" customWidth="1"/>
    <col min="9735" max="9735" width="12.28515625" style="318" customWidth="1"/>
    <col min="9736" max="9736" width="12" style="318" customWidth="1"/>
    <col min="9737" max="9737" width="12.140625" style="318" customWidth="1"/>
    <col min="9738" max="9738" width="13.7109375" style="318" customWidth="1"/>
    <col min="9739" max="9739" width="12.7109375" style="318" customWidth="1"/>
    <col min="9740" max="9740" width="12.140625" style="318" customWidth="1"/>
    <col min="9741" max="9741" width="17.42578125" style="318" customWidth="1"/>
    <col min="9742" max="9743" width="9.140625" style="318"/>
    <col min="9744" max="9744" width="12" style="318" customWidth="1"/>
    <col min="9745" max="9745" width="9.5703125" style="318" customWidth="1"/>
    <col min="9746" max="9984" width="9.140625" style="318"/>
    <col min="9985" max="9985" width="3.85546875" style="318" customWidth="1"/>
    <col min="9986" max="9986" width="5.42578125" style="318" customWidth="1"/>
    <col min="9987" max="9987" width="32.85546875" style="318" customWidth="1"/>
    <col min="9988" max="9988" width="0" style="318" hidden="1" customWidth="1"/>
    <col min="9989" max="9989" width="12.85546875" style="318" customWidth="1"/>
    <col min="9990" max="9990" width="14" style="318" customWidth="1"/>
    <col min="9991" max="9991" width="12.28515625" style="318" customWidth="1"/>
    <col min="9992" max="9992" width="12" style="318" customWidth="1"/>
    <col min="9993" max="9993" width="12.140625" style="318" customWidth="1"/>
    <col min="9994" max="9994" width="13.7109375" style="318" customWidth="1"/>
    <col min="9995" max="9995" width="12.7109375" style="318" customWidth="1"/>
    <col min="9996" max="9996" width="12.140625" style="318" customWidth="1"/>
    <col min="9997" max="9997" width="17.42578125" style="318" customWidth="1"/>
    <col min="9998" max="9999" width="9.140625" style="318"/>
    <col min="10000" max="10000" width="12" style="318" customWidth="1"/>
    <col min="10001" max="10001" width="9.5703125" style="318" customWidth="1"/>
    <col min="10002" max="10240" width="9.140625" style="318"/>
    <col min="10241" max="10241" width="3.85546875" style="318" customWidth="1"/>
    <col min="10242" max="10242" width="5.42578125" style="318" customWidth="1"/>
    <col min="10243" max="10243" width="32.85546875" style="318" customWidth="1"/>
    <col min="10244" max="10244" width="0" style="318" hidden="1" customWidth="1"/>
    <col min="10245" max="10245" width="12.85546875" style="318" customWidth="1"/>
    <col min="10246" max="10246" width="14" style="318" customWidth="1"/>
    <col min="10247" max="10247" width="12.28515625" style="318" customWidth="1"/>
    <col min="10248" max="10248" width="12" style="318" customWidth="1"/>
    <col min="10249" max="10249" width="12.140625" style="318" customWidth="1"/>
    <col min="10250" max="10250" width="13.7109375" style="318" customWidth="1"/>
    <col min="10251" max="10251" width="12.7109375" style="318" customWidth="1"/>
    <col min="10252" max="10252" width="12.140625" style="318" customWidth="1"/>
    <col min="10253" max="10253" width="17.42578125" style="318" customWidth="1"/>
    <col min="10254" max="10255" width="9.140625" style="318"/>
    <col min="10256" max="10256" width="12" style="318" customWidth="1"/>
    <col min="10257" max="10257" width="9.5703125" style="318" customWidth="1"/>
    <col min="10258" max="10496" width="9.140625" style="318"/>
    <col min="10497" max="10497" width="3.85546875" style="318" customWidth="1"/>
    <col min="10498" max="10498" width="5.42578125" style="318" customWidth="1"/>
    <col min="10499" max="10499" width="32.85546875" style="318" customWidth="1"/>
    <col min="10500" max="10500" width="0" style="318" hidden="1" customWidth="1"/>
    <col min="10501" max="10501" width="12.85546875" style="318" customWidth="1"/>
    <col min="10502" max="10502" width="14" style="318" customWidth="1"/>
    <col min="10503" max="10503" width="12.28515625" style="318" customWidth="1"/>
    <col min="10504" max="10504" width="12" style="318" customWidth="1"/>
    <col min="10505" max="10505" width="12.140625" style="318" customWidth="1"/>
    <col min="10506" max="10506" width="13.7109375" style="318" customWidth="1"/>
    <col min="10507" max="10507" width="12.7109375" style="318" customWidth="1"/>
    <col min="10508" max="10508" width="12.140625" style="318" customWidth="1"/>
    <col min="10509" max="10509" width="17.42578125" style="318" customWidth="1"/>
    <col min="10510" max="10511" width="9.140625" style="318"/>
    <col min="10512" max="10512" width="12" style="318" customWidth="1"/>
    <col min="10513" max="10513" width="9.5703125" style="318" customWidth="1"/>
    <col min="10514" max="10752" width="9.140625" style="318"/>
    <col min="10753" max="10753" width="3.85546875" style="318" customWidth="1"/>
    <col min="10754" max="10754" width="5.42578125" style="318" customWidth="1"/>
    <col min="10755" max="10755" width="32.85546875" style="318" customWidth="1"/>
    <col min="10756" max="10756" width="0" style="318" hidden="1" customWidth="1"/>
    <col min="10757" max="10757" width="12.85546875" style="318" customWidth="1"/>
    <col min="10758" max="10758" width="14" style="318" customWidth="1"/>
    <col min="10759" max="10759" width="12.28515625" style="318" customWidth="1"/>
    <col min="10760" max="10760" width="12" style="318" customWidth="1"/>
    <col min="10761" max="10761" width="12.140625" style="318" customWidth="1"/>
    <col min="10762" max="10762" width="13.7109375" style="318" customWidth="1"/>
    <col min="10763" max="10763" width="12.7109375" style="318" customWidth="1"/>
    <col min="10764" max="10764" width="12.140625" style="318" customWidth="1"/>
    <col min="10765" max="10765" width="17.42578125" style="318" customWidth="1"/>
    <col min="10766" max="10767" width="9.140625" style="318"/>
    <col min="10768" max="10768" width="12" style="318" customWidth="1"/>
    <col min="10769" max="10769" width="9.5703125" style="318" customWidth="1"/>
    <col min="10770" max="11008" width="9.140625" style="318"/>
    <col min="11009" max="11009" width="3.85546875" style="318" customWidth="1"/>
    <col min="11010" max="11010" width="5.42578125" style="318" customWidth="1"/>
    <col min="11011" max="11011" width="32.85546875" style="318" customWidth="1"/>
    <col min="11012" max="11012" width="0" style="318" hidden="1" customWidth="1"/>
    <col min="11013" max="11013" width="12.85546875" style="318" customWidth="1"/>
    <col min="11014" max="11014" width="14" style="318" customWidth="1"/>
    <col min="11015" max="11015" width="12.28515625" style="318" customWidth="1"/>
    <col min="11016" max="11016" width="12" style="318" customWidth="1"/>
    <col min="11017" max="11017" width="12.140625" style="318" customWidth="1"/>
    <col min="11018" max="11018" width="13.7109375" style="318" customWidth="1"/>
    <col min="11019" max="11019" width="12.7109375" style="318" customWidth="1"/>
    <col min="11020" max="11020" width="12.140625" style="318" customWidth="1"/>
    <col min="11021" max="11021" width="17.42578125" style="318" customWidth="1"/>
    <col min="11022" max="11023" width="9.140625" style="318"/>
    <col min="11024" max="11024" width="12" style="318" customWidth="1"/>
    <col min="11025" max="11025" width="9.5703125" style="318" customWidth="1"/>
    <col min="11026" max="11264" width="9.140625" style="318"/>
    <col min="11265" max="11265" width="3.85546875" style="318" customWidth="1"/>
    <col min="11266" max="11266" width="5.42578125" style="318" customWidth="1"/>
    <col min="11267" max="11267" width="32.85546875" style="318" customWidth="1"/>
    <col min="11268" max="11268" width="0" style="318" hidden="1" customWidth="1"/>
    <col min="11269" max="11269" width="12.85546875" style="318" customWidth="1"/>
    <col min="11270" max="11270" width="14" style="318" customWidth="1"/>
    <col min="11271" max="11271" width="12.28515625" style="318" customWidth="1"/>
    <col min="11272" max="11272" width="12" style="318" customWidth="1"/>
    <col min="11273" max="11273" width="12.140625" style="318" customWidth="1"/>
    <col min="11274" max="11274" width="13.7109375" style="318" customWidth="1"/>
    <col min="11275" max="11275" width="12.7109375" style="318" customWidth="1"/>
    <col min="11276" max="11276" width="12.140625" style="318" customWidth="1"/>
    <col min="11277" max="11277" width="17.42578125" style="318" customWidth="1"/>
    <col min="11278" max="11279" width="9.140625" style="318"/>
    <col min="11280" max="11280" width="12" style="318" customWidth="1"/>
    <col min="11281" max="11281" width="9.5703125" style="318" customWidth="1"/>
    <col min="11282" max="11520" width="9.140625" style="318"/>
    <col min="11521" max="11521" width="3.85546875" style="318" customWidth="1"/>
    <col min="11522" max="11522" width="5.42578125" style="318" customWidth="1"/>
    <col min="11523" max="11523" width="32.85546875" style="318" customWidth="1"/>
    <col min="11524" max="11524" width="0" style="318" hidden="1" customWidth="1"/>
    <col min="11525" max="11525" width="12.85546875" style="318" customWidth="1"/>
    <col min="11526" max="11526" width="14" style="318" customWidth="1"/>
    <col min="11527" max="11527" width="12.28515625" style="318" customWidth="1"/>
    <col min="11528" max="11528" width="12" style="318" customWidth="1"/>
    <col min="11529" max="11529" width="12.140625" style="318" customWidth="1"/>
    <col min="11530" max="11530" width="13.7109375" style="318" customWidth="1"/>
    <col min="11531" max="11531" width="12.7109375" style="318" customWidth="1"/>
    <col min="11532" max="11532" width="12.140625" style="318" customWidth="1"/>
    <col min="11533" max="11533" width="17.42578125" style="318" customWidth="1"/>
    <col min="11534" max="11535" width="9.140625" style="318"/>
    <col min="11536" max="11536" width="12" style="318" customWidth="1"/>
    <col min="11537" max="11537" width="9.5703125" style="318" customWidth="1"/>
    <col min="11538" max="11776" width="9.140625" style="318"/>
    <col min="11777" max="11777" width="3.85546875" style="318" customWidth="1"/>
    <col min="11778" max="11778" width="5.42578125" style="318" customWidth="1"/>
    <col min="11779" max="11779" width="32.85546875" style="318" customWidth="1"/>
    <col min="11780" max="11780" width="0" style="318" hidden="1" customWidth="1"/>
    <col min="11781" max="11781" width="12.85546875" style="318" customWidth="1"/>
    <col min="11782" max="11782" width="14" style="318" customWidth="1"/>
    <col min="11783" max="11783" width="12.28515625" style="318" customWidth="1"/>
    <col min="11784" max="11784" width="12" style="318" customWidth="1"/>
    <col min="11785" max="11785" width="12.140625" style="318" customWidth="1"/>
    <col min="11786" max="11786" width="13.7109375" style="318" customWidth="1"/>
    <col min="11787" max="11787" width="12.7109375" style="318" customWidth="1"/>
    <col min="11788" max="11788" width="12.140625" style="318" customWidth="1"/>
    <col min="11789" max="11789" width="17.42578125" style="318" customWidth="1"/>
    <col min="11790" max="11791" width="9.140625" style="318"/>
    <col min="11792" max="11792" width="12" style="318" customWidth="1"/>
    <col min="11793" max="11793" width="9.5703125" style="318" customWidth="1"/>
    <col min="11794" max="12032" width="9.140625" style="318"/>
    <col min="12033" max="12033" width="3.85546875" style="318" customWidth="1"/>
    <col min="12034" max="12034" width="5.42578125" style="318" customWidth="1"/>
    <col min="12035" max="12035" width="32.85546875" style="318" customWidth="1"/>
    <col min="12036" max="12036" width="0" style="318" hidden="1" customWidth="1"/>
    <col min="12037" max="12037" width="12.85546875" style="318" customWidth="1"/>
    <col min="12038" max="12038" width="14" style="318" customWidth="1"/>
    <col min="12039" max="12039" width="12.28515625" style="318" customWidth="1"/>
    <col min="12040" max="12040" width="12" style="318" customWidth="1"/>
    <col min="12041" max="12041" width="12.140625" style="318" customWidth="1"/>
    <col min="12042" max="12042" width="13.7109375" style="318" customWidth="1"/>
    <col min="12043" max="12043" width="12.7109375" style="318" customWidth="1"/>
    <col min="12044" max="12044" width="12.140625" style="318" customWidth="1"/>
    <col min="12045" max="12045" width="17.42578125" style="318" customWidth="1"/>
    <col min="12046" max="12047" width="9.140625" style="318"/>
    <col min="12048" max="12048" width="12" style="318" customWidth="1"/>
    <col min="12049" max="12049" width="9.5703125" style="318" customWidth="1"/>
    <col min="12050" max="12288" width="9.140625" style="318"/>
    <col min="12289" max="12289" width="3.85546875" style="318" customWidth="1"/>
    <col min="12290" max="12290" width="5.42578125" style="318" customWidth="1"/>
    <col min="12291" max="12291" width="32.85546875" style="318" customWidth="1"/>
    <col min="12292" max="12292" width="0" style="318" hidden="1" customWidth="1"/>
    <col min="12293" max="12293" width="12.85546875" style="318" customWidth="1"/>
    <col min="12294" max="12294" width="14" style="318" customWidth="1"/>
    <col min="12295" max="12295" width="12.28515625" style="318" customWidth="1"/>
    <col min="12296" max="12296" width="12" style="318" customWidth="1"/>
    <col min="12297" max="12297" width="12.140625" style="318" customWidth="1"/>
    <col min="12298" max="12298" width="13.7109375" style="318" customWidth="1"/>
    <col min="12299" max="12299" width="12.7109375" style="318" customWidth="1"/>
    <col min="12300" max="12300" width="12.140625" style="318" customWidth="1"/>
    <col min="12301" max="12301" width="17.42578125" style="318" customWidth="1"/>
    <col min="12302" max="12303" width="9.140625" style="318"/>
    <col min="12304" max="12304" width="12" style="318" customWidth="1"/>
    <col min="12305" max="12305" width="9.5703125" style="318" customWidth="1"/>
    <col min="12306" max="12544" width="9.140625" style="318"/>
    <col min="12545" max="12545" width="3.85546875" style="318" customWidth="1"/>
    <col min="12546" max="12546" width="5.42578125" style="318" customWidth="1"/>
    <col min="12547" max="12547" width="32.85546875" style="318" customWidth="1"/>
    <col min="12548" max="12548" width="0" style="318" hidden="1" customWidth="1"/>
    <col min="12549" max="12549" width="12.85546875" style="318" customWidth="1"/>
    <col min="12550" max="12550" width="14" style="318" customWidth="1"/>
    <col min="12551" max="12551" width="12.28515625" style="318" customWidth="1"/>
    <col min="12552" max="12552" width="12" style="318" customWidth="1"/>
    <col min="12553" max="12553" width="12.140625" style="318" customWidth="1"/>
    <col min="12554" max="12554" width="13.7109375" style="318" customWidth="1"/>
    <col min="12555" max="12555" width="12.7109375" style="318" customWidth="1"/>
    <col min="12556" max="12556" width="12.140625" style="318" customWidth="1"/>
    <col min="12557" max="12557" width="17.42578125" style="318" customWidth="1"/>
    <col min="12558" max="12559" width="9.140625" style="318"/>
    <col min="12560" max="12560" width="12" style="318" customWidth="1"/>
    <col min="12561" max="12561" width="9.5703125" style="318" customWidth="1"/>
    <col min="12562" max="12800" width="9.140625" style="318"/>
    <col min="12801" max="12801" width="3.85546875" style="318" customWidth="1"/>
    <col min="12802" max="12802" width="5.42578125" style="318" customWidth="1"/>
    <col min="12803" max="12803" width="32.85546875" style="318" customWidth="1"/>
    <col min="12804" max="12804" width="0" style="318" hidden="1" customWidth="1"/>
    <col min="12805" max="12805" width="12.85546875" style="318" customWidth="1"/>
    <col min="12806" max="12806" width="14" style="318" customWidth="1"/>
    <col min="12807" max="12807" width="12.28515625" style="318" customWidth="1"/>
    <col min="12808" max="12808" width="12" style="318" customWidth="1"/>
    <col min="12809" max="12809" width="12.140625" style="318" customWidth="1"/>
    <col min="12810" max="12810" width="13.7109375" style="318" customWidth="1"/>
    <col min="12811" max="12811" width="12.7109375" style="318" customWidth="1"/>
    <col min="12812" max="12812" width="12.140625" style="318" customWidth="1"/>
    <col min="12813" max="12813" width="17.42578125" style="318" customWidth="1"/>
    <col min="12814" max="12815" width="9.140625" style="318"/>
    <col min="12816" max="12816" width="12" style="318" customWidth="1"/>
    <col min="12817" max="12817" width="9.5703125" style="318" customWidth="1"/>
    <col min="12818" max="13056" width="9.140625" style="318"/>
    <col min="13057" max="13057" width="3.85546875" style="318" customWidth="1"/>
    <col min="13058" max="13058" width="5.42578125" style="318" customWidth="1"/>
    <col min="13059" max="13059" width="32.85546875" style="318" customWidth="1"/>
    <col min="13060" max="13060" width="0" style="318" hidden="1" customWidth="1"/>
    <col min="13061" max="13061" width="12.85546875" style="318" customWidth="1"/>
    <col min="13062" max="13062" width="14" style="318" customWidth="1"/>
    <col min="13063" max="13063" width="12.28515625" style="318" customWidth="1"/>
    <col min="13064" max="13064" width="12" style="318" customWidth="1"/>
    <col min="13065" max="13065" width="12.140625" style="318" customWidth="1"/>
    <col min="13066" max="13066" width="13.7109375" style="318" customWidth="1"/>
    <col min="13067" max="13067" width="12.7109375" style="318" customWidth="1"/>
    <col min="13068" max="13068" width="12.140625" style="318" customWidth="1"/>
    <col min="13069" max="13069" width="17.42578125" style="318" customWidth="1"/>
    <col min="13070" max="13071" width="9.140625" style="318"/>
    <col min="13072" max="13072" width="12" style="318" customWidth="1"/>
    <col min="13073" max="13073" width="9.5703125" style="318" customWidth="1"/>
    <col min="13074" max="13312" width="9.140625" style="318"/>
    <col min="13313" max="13313" width="3.85546875" style="318" customWidth="1"/>
    <col min="13314" max="13314" width="5.42578125" style="318" customWidth="1"/>
    <col min="13315" max="13315" width="32.85546875" style="318" customWidth="1"/>
    <col min="13316" max="13316" width="0" style="318" hidden="1" customWidth="1"/>
    <col min="13317" max="13317" width="12.85546875" style="318" customWidth="1"/>
    <col min="13318" max="13318" width="14" style="318" customWidth="1"/>
    <col min="13319" max="13319" width="12.28515625" style="318" customWidth="1"/>
    <col min="13320" max="13320" width="12" style="318" customWidth="1"/>
    <col min="13321" max="13321" width="12.140625" style="318" customWidth="1"/>
    <col min="13322" max="13322" width="13.7109375" style="318" customWidth="1"/>
    <col min="13323" max="13323" width="12.7109375" style="318" customWidth="1"/>
    <col min="13324" max="13324" width="12.140625" style="318" customWidth="1"/>
    <col min="13325" max="13325" width="17.42578125" style="318" customWidth="1"/>
    <col min="13326" max="13327" width="9.140625" style="318"/>
    <col min="13328" max="13328" width="12" style="318" customWidth="1"/>
    <col min="13329" max="13329" width="9.5703125" style="318" customWidth="1"/>
    <col min="13330" max="13568" width="9.140625" style="318"/>
    <col min="13569" max="13569" width="3.85546875" style="318" customWidth="1"/>
    <col min="13570" max="13570" width="5.42578125" style="318" customWidth="1"/>
    <col min="13571" max="13571" width="32.85546875" style="318" customWidth="1"/>
    <col min="13572" max="13572" width="0" style="318" hidden="1" customWidth="1"/>
    <col min="13573" max="13573" width="12.85546875" style="318" customWidth="1"/>
    <col min="13574" max="13574" width="14" style="318" customWidth="1"/>
    <col min="13575" max="13575" width="12.28515625" style="318" customWidth="1"/>
    <col min="13576" max="13576" width="12" style="318" customWidth="1"/>
    <col min="13577" max="13577" width="12.140625" style="318" customWidth="1"/>
    <col min="13578" max="13578" width="13.7109375" style="318" customWidth="1"/>
    <col min="13579" max="13579" width="12.7109375" style="318" customWidth="1"/>
    <col min="13580" max="13580" width="12.140625" style="318" customWidth="1"/>
    <col min="13581" max="13581" width="17.42578125" style="318" customWidth="1"/>
    <col min="13582" max="13583" width="9.140625" style="318"/>
    <col min="13584" max="13584" width="12" style="318" customWidth="1"/>
    <col min="13585" max="13585" width="9.5703125" style="318" customWidth="1"/>
    <col min="13586" max="13824" width="9.140625" style="318"/>
    <col min="13825" max="13825" width="3.85546875" style="318" customWidth="1"/>
    <col min="13826" max="13826" width="5.42578125" style="318" customWidth="1"/>
    <col min="13827" max="13827" width="32.85546875" style="318" customWidth="1"/>
    <col min="13828" max="13828" width="0" style="318" hidden="1" customWidth="1"/>
    <col min="13829" max="13829" width="12.85546875" style="318" customWidth="1"/>
    <col min="13830" max="13830" width="14" style="318" customWidth="1"/>
    <col min="13831" max="13831" width="12.28515625" style="318" customWidth="1"/>
    <col min="13832" max="13832" width="12" style="318" customWidth="1"/>
    <col min="13833" max="13833" width="12.140625" style="318" customWidth="1"/>
    <col min="13834" max="13834" width="13.7109375" style="318" customWidth="1"/>
    <col min="13835" max="13835" width="12.7109375" style="318" customWidth="1"/>
    <col min="13836" max="13836" width="12.140625" style="318" customWidth="1"/>
    <col min="13837" max="13837" width="17.42578125" style="318" customWidth="1"/>
    <col min="13838" max="13839" width="9.140625" style="318"/>
    <col min="13840" max="13840" width="12" style="318" customWidth="1"/>
    <col min="13841" max="13841" width="9.5703125" style="318" customWidth="1"/>
    <col min="13842" max="14080" width="9.140625" style="318"/>
    <col min="14081" max="14081" width="3.85546875" style="318" customWidth="1"/>
    <col min="14082" max="14082" width="5.42578125" style="318" customWidth="1"/>
    <col min="14083" max="14083" width="32.85546875" style="318" customWidth="1"/>
    <col min="14084" max="14084" width="0" style="318" hidden="1" customWidth="1"/>
    <col min="14085" max="14085" width="12.85546875" style="318" customWidth="1"/>
    <col min="14086" max="14086" width="14" style="318" customWidth="1"/>
    <col min="14087" max="14087" width="12.28515625" style="318" customWidth="1"/>
    <col min="14088" max="14088" width="12" style="318" customWidth="1"/>
    <col min="14089" max="14089" width="12.140625" style="318" customWidth="1"/>
    <col min="14090" max="14090" width="13.7109375" style="318" customWidth="1"/>
    <col min="14091" max="14091" width="12.7109375" style="318" customWidth="1"/>
    <col min="14092" max="14092" width="12.140625" style="318" customWidth="1"/>
    <col min="14093" max="14093" width="17.42578125" style="318" customWidth="1"/>
    <col min="14094" max="14095" width="9.140625" style="318"/>
    <col min="14096" max="14096" width="12" style="318" customWidth="1"/>
    <col min="14097" max="14097" width="9.5703125" style="318" customWidth="1"/>
    <col min="14098" max="14336" width="9.140625" style="318"/>
    <col min="14337" max="14337" width="3.85546875" style="318" customWidth="1"/>
    <col min="14338" max="14338" width="5.42578125" style="318" customWidth="1"/>
    <col min="14339" max="14339" width="32.85546875" style="318" customWidth="1"/>
    <col min="14340" max="14340" width="0" style="318" hidden="1" customWidth="1"/>
    <col min="14341" max="14341" width="12.85546875" style="318" customWidth="1"/>
    <col min="14342" max="14342" width="14" style="318" customWidth="1"/>
    <col min="14343" max="14343" width="12.28515625" style="318" customWidth="1"/>
    <col min="14344" max="14344" width="12" style="318" customWidth="1"/>
    <col min="14345" max="14345" width="12.140625" style="318" customWidth="1"/>
    <col min="14346" max="14346" width="13.7109375" style="318" customWidth="1"/>
    <col min="14347" max="14347" width="12.7109375" style="318" customWidth="1"/>
    <col min="14348" max="14348" width="12.140625" style="318" customWidth="1"/>
    <col min="14349" max="14349" width="17.42578125" style="318" customWidth="1"/>
    <col min="14350" max="14351" width="9.140625" style="318"/>
    <col min="14352" max="14352" width="12" style="318" customWidth="1"/>
    <col min="14353" max="14353" width="9.5703125" style="318" customWidth="1"/>
    <col min="14354" max="14592" width="9.140625" style="318"/>
    <col min="14593" max="14593" width="3.85546875" style="318" customWidth="1"/>
    <col min="14594" max="14594" width="5.42578125" style="318" customWidth="1"/>
    <col min="14595" max="14595" width="32.85546875" style="318" customWidth="1"/>
    <col min="14596" max="14596" width="0" style="318" hidden="1" customWidth="1"/>
    <col min="14597" max="14597" width="12.85546875" style="318" customWidth="1"/>
    <col min="14598" max="14598" width="14" style="318" customWidth="1"/>
    <col min="14599" max="14599" width="12.28515625" style="318" customWidth="1"/>
    <col min="14600" max="14600" width="12" style="318" customWidth="1"/>
    <col min="14601" max="14601" width="12.140625" style="318" customWidth="1"/>
    <col min="14602" max="14602" width="13.7109375" style="318" customWidth="1"/>
    <col min="14603" max="14603" width="12.7109375" style="318" customWidth="1"/>
    <col min="14604" max="14604" width="12.140625" style="318" customWidth="1"/>
    <col min="14605" max="14605" width="17.42578125" style="318" customWidth="1"/>
    <col min="14606" max="14607" width="9.140625" style="318"/>
    <col min="14608" max="14608" width="12" style="318" customWidth="1"/>
    <col min="14609" max="14609" width="9.5703125" style="318" customWidth="1"/>
    <col min="14610" max="14848" width="9.140625" style="318"/>
    <col min="14849" max="14849" width="3.85546875" style="318" customWidth="1"/>
    <col min="14850" max="14850" width="5.42578125" style="318" customWidth="1"/>
    <col min="14851" max="14851" width="32.85546875" style="318" customWidth="1"/>
    <col min="14852" max="14852" width="0" style="318" hidden="1" customWidth="1"/>
    <col min="14853" max="14853" width="12.85546875" style="318" customWidth="1"/>
    <col min="14854" max="14854" width="14" style="318" customWidth="1"/>
    <col min="14855" max="14855" width="12.28515625" style="318" customWidth="1"/>
    <col min="14856" max="14856" width="12" style="318" customWidth="1"/>
    <col min="14857" max="14857" width="12.140625" style="318" customWidth="1"/>
    <col min="14858" max="14858" width="13.7109375" style="318" customWidth="1"/>
    <col min="14859" max="14859" width="12.7109375" style="318" customWidth="1"/>
    <col min="14860" max="14860" width="12.140625" style="318" customWidth="1"/>
    <col min="14861" max="14861" width="17.42578125" style="318" customWidth="1"/>
    <col min="14862" max="14863" width="9.140625" style="318"/>
    <col min="14864" max="14864" width="12" style="318" customWidth="1"/>
    <col min="14865" max="14865" width="9.5703125" style="318" customWidth="1"/>
    <col min="14866" max="15104" width="9.140625" style="318"/>
    <col min="15105" max="15105" width="3.85546875" style="318" customWidth="1"/>
    <col min="15106" max="15106" width="5.42578125" style="318" customWidth="1"/>
    <col min="15107" max="15107" width="32.85546875" style="318" customWidth="1"/>
    <col min="15108" max="15108" width="0" style="318" hidden="1" customWidth="1"/>
    <col min="15109" max="15109" width="12.85546875" style="318" customWidth="1"/>
    <col min="15110" max="15110" width="14" style="318" customWidth="1"/>
    <col min="15111" max="15111" width="12.28515625" style="318" customWidth="1"/>
    <col min="15112" max="15112" width="12" style="318" customWidth="1"/>
    <col min="15113" max="15113" width="12.140625" style="318" customWidth="1"/>
    <col min="15114" max="15114" width="13.7109375" style="318" customWidth="1"/>
    <col min="15115" max="15115" width="12.7109375" style="318" customWidth="1"/>
    <col min="15116" max="15116" width="12.140625" style="318" customWidth="1"/>
    <col min="15117" max="15117" width="17.42578125" style="318" customWidth="1"/>
    <col min="15118" max="15119" width="9.140625" style="318"/>
    <col min="15120" max="15120" width="12" style="318" customWidth="1"/>
    <col min="15121" max="15121" width="9.5703125" style="318" customWidth="1"/>
    <col min="15122" max="15360" width="9.140625" style="318"/>
    <col min="15361" max="15361" width="3.85546875" style="318" customWidth="1"/>
    <col min="15362" max="15362" width="5.42578125" style="318" customWidth="1"/>
    <col min="15363" max="15363" width="32.85546875" style="318" customWidth="1"/>
    <col min="15364" max="15364" width="0" style="318" hidden="1" customWidth="1"/>
    <col min="15365" max="15365" width="12.85546875" style="318" customWidth="1"/>
    <col min="15366" max="15366" width="14" style="318" customWidth="1"/>
    <col min="15367" max="15367" width="12.28515625" style="318" customWidth="1"/>
    <col min="15368" max="15368" width="12" style="318" customWidth="1"/>
    <col min="15369" max="15369" width="12.140625" style="318" customWidth="1"/>
    <col min="15370" max="15370" width="13.7109375" style="318" customWidth="1"/>
    <col min="15371" max="15371" width="12.7109375" style="318" customWidth="1"/>
    <col min="15372" max="15372" width="12.140625" style="318" customWidth="1"/>
    <col min="15373" max="15373" width="17.42578125" style="318" customWidth="1"/>
    <col min="15374" max="15375" width="9.140625" style="318"/>
    <col min="15376" max="15376" width="12" style="318" customWidth="1"/>
    <col min="15377" max="15377" width="9.5703125" style="318" customWidth="1"/>
    <col min="15378" max="15616" width="9.140625" style="318"/>
    <col min="15617" max="15617" width="3.85546875" style="318" customWidth="1"/>
    <col min="15618" max="15618" width="5.42578125" style="318" customWidth="1"/>
    <col min="15619" max="15619" width="32.85546875" style="318" customWidth="1"/>
    <col min="15620" max="15620" width="0" style="318" hidden="1" customWidth="1"/>
    <col min="15621" max="15621" width="12.85546875" style="318" customWidth="1"/>
    <col min="15622" max="15622" width="14" style="318" customWidth="1"/>
    <col min="15623" max="15623" width="12.28515625" style="318" customWidth="1"/>
    <col min="15624" max="15624" width="12" style="318" customWidth="1"/>
    <col min="15625" max="15625" width="12.140625" style="318" customWidth="1"/>
    <col min="15626" max="15626" width="13.7109375" style="318" customWidth="1"/>
    <col min="15627" max="15627" width="12.7109375" style="318" customWidth="1"/>
    <col min="15628" max="15628" width="12.140625" style="318" customWidth="1"/>
    <col min="15629" max="15629" width="17.42578125" style="318" customWidth="1"/>
    <col min="15630" max="15631" width="9.140625" style="318"/>
    <col min="15632" max="15632" width="12" style="318" customWidth="1"/>
    <col min="15633" max="15633" width="9.5703125" style="318" customWidth="1"/>
    <col min="15634" max="15872" width="9.140625" style="318"/>
    <col min="15873" max="15873" width="3.85546875" style="318" customWidth="1"/>
    <col min="15874" max="15874" width="5.42578125" style="318" customWidth="1"/>
    <col min="15875" max="15875" width="32.85546875" style="318" customWidth="1"/>
    <col min="15876" max="15876" width="0" style="318" hidden="1" customWidth="1"/>
    <col min="15877" max="15877" width="12.85546875" style="318" customWidth="1"/>
    <col min="15878" max="15878" width="14" style="318" customWidth="1"/>
    <col min="15879" max="15879" width="12.28515625" style="318" customWidth="1"/>
    <col min="15880" max="15880" width="12" style="318" customWidth="1"/>
    <col min="15881" max="15881" width="12.140625" style="318" customWidth="1"/>
    <col min="15882" max="15882" width="13.7109375" style="318" customWidth="1"/>
    <col min="15883" max="15883" width="12.7109375" style="318" customWidth="1"/>
    <col min="15884" max="15884" width="12.140625" style="318" customWidth="1"/>
    <col min="15885" max="15885" width="17.42578125" style="318" customWidth="1"/>
    <col min="15886" max="15887" width="9.140625" style="318"/>
    <col min="15888" max="15888" width="12" style="318" customWidth="1"/>
    <col min="15889" max="15889" width="9.5703125" style="318" customWidth="1"/>
    <col min="15890" max="16128" width="9.140625" style="318"/>
    <col min="16129" max="16129" width="3.85546875" style="318" customWidth="1"/>
    <col min="16130" max="16130" width="5.42578125" style="318" customWidth="1"/>
    <col min="16131" max="16131" width="32.85546875" style="318" customWidth="1"/>
    <col min="16132" max="16132" width="0" style="318" hidden="1" customWidth="1"/>
    <col min="16133" max="16133" width="12.85546875" style="318" customWidth="1"/>
    <col min="16134" max="16134" width="14" style="318" customWidth="1"/>
    <col min="16135" max="16135" width="12.28515625" style="318" customWidth="1"/>
    <col min="16136" max="16136" width="12" style="318" customWidth="1"/>
    <col min="16137" max="16137" width="12.140625" style="318" customWidth="1"/>
    <col min="16138" max="16138" width="13.7109375" style="318" customWidth="1"/>
    <col min="16139" max="16139" width="12.7109375" style="318" customWidth="1"/>
    <col min="16140" max="16140" width="12.140625" style="318" customWidth="1"/>
    <col min="16141" max="16141" width="17.42578125" style="318" customWidth="1"/>
    <col min="16142" max="16143" width="9.140625" style="318"/>
    <col min="16144" max="16144" width="12" style="318" customWidth="1"/>
    <col min="16145" max="16145" width="9.5703125" style="318" customWidth="1"/>
    <col min="16146" max="16384" width="9.140625" style="318"/>
  </cols>
  <sheetData>
    <row r="1" spans="1:15" ht="15.75">
      <c r="A1" s="317"/>
      <c r="B1" s="561" t="str">
        <f>'mean of finance'!A1</f>
        <v>……………………………. Pvt Ltd</v>
      </c>
      <c r="C1" s="561"/>
      <c r="D1" s="561"/>
      <c r="E1" s="561"/>
      <c r="F1" s="561"/>
      <c r="G1" s="561"/>
      <c r="H1" s="561"/>
      <c r="I1" s="561"/>
      <c r="J1" s="561"/>
      <c r="K1" s="561"/>
      <c r="L1" s="561"/>
    </row>
    <row r="2" spans="1:15" ht="15.75" hidden="1">
      <c r="A2" s="317"/>
      <c r="B2" s="561" t="s">
        <v>511</v>
      </c>
      <c r="C2" s="561"/>
      <c r="D2" s="561"/>
      <c r="E2" s="561"/>
      <c r="F2" s="561"/>
      <c r="G2" s="561"/>
      <c r="H2" s="561"/>
      <c r="I2" s="561"/>
      <c r="J2" s="561"/>
      <c r="K2" s="561"/>
      <c r="L2" s="561"/>
    </row>
    <row r="3" spans="1:15" s="317" customFormat="1">
      <c r="B3" s="319"/>
      <c r="C3" s="320"/>
      <c r="D3" s="321"/>
      <c r="E3" s="322"/>
      <c r="F3" s="323"/>
      <c r="H3" s="324"/>
    </row>
    <row r="4" spans="1:15" ht="15.75">
      <c r="A4" s="317"/>
      <c r="B4" s="561" t="s">
        <v>512</v>
      </c>
      <c r="C4" s="561"/>
      <c r="D4" s="561"/>
      <c r="E4" s="561"/>
      <c r="F4" s="561"/>
      <c r="G4" s="561"/>
      <c r="H4" s="561"/>
      <c r="I4" s="561"/>
      <c r="J4" s="561"/>
      <c r="K4" s="561"/>
      <c r="L4" s="561"/>
    </row>
    <row r="5" spans="1:15" ht="15.75" customHeight="1">
      <c r="B5" s="562" t="s">
        <v>513</v>
      </c>
      <c r="C5" s="563"/>
      <c r="D5" s="563"/>
      <c r="E5" s="563"/>
      <c r="F5" s="563"/>
      <c r="G5" s="563"/>
      <c r="H5" s="563"/>
      <c r="I5" s="563"/>
      <c r="J5" s="563"/>
      <c r="K5" s="563"/>
      <c r="L5" s="563"/>
    </row>
    <row r="6" spans="1:15" ht="1.5" customHeight="1">
      <c r="B6" s="564"/>
      <c r="C6" s="565"/>
      <c r="D6" s="565"/>
      <c r="E6" s="565"/>
      <c r="F6" s="565"/>
      <c r="G6" s="565"/>
      <c r="H6" s="565"/>
      <c r="I6" s="565"/>
      <c r="J6" s="565"/>
      <c r="K6" s="565"/>
      <c r="L6" s="565"/>
    </row>
    <row r="7" spans="1:15" s="325" customFormat="1">
      <c r="A7" s="325" t="s">
        <v>514</v>
      </c>
      <c r="B7" s="326" t="s">
        <v>42</v>
      </c>
      <c r="C7" s="327" t="s">
        <v>515</v>
      </c>
      <c r="D7" s="328">
        <v>2012</v>
      </c>
      <c r="E7" s="329" t="s">
        <v>411</v>
      </c>
      <c r="F7" s="330" t="s">
        <v>361</v>
      </c>
      <c r="G7" s="329" t="s">
        <v>362</v>
      </c>
      <c r="H7" s="329" t="s">
        <v>363</v>
      </c>
      <c r="I7" s="329" t="s">
        <v>364</v>
      </c>
      <c r="J7" s="329" t="s">
        <v>365</v>
      </c>
      <c r="K7" s="329" t="s">
        <v>366</v>
      </c>
      <c r="L7" s="329" t="s">
        <v>454</v>
      </c>
      <c r="M7" s="331">
        <f>8000*25*6</f>
        <v>1200000</v>
      </c>
      <c r="N7" s="331">
        <f>8000*25*12</f>
        <v>2400000</v>
      </c>
      <c r="O7" s="331">
        <f>8000*25*12</f>
        <v>2400000</v>
      </c>
    </row>
    <row r="8" spans="1:15" s="332" customFormat="1" ht="50.25" customHeight="1">
      <c r="B8" s="333"/>
      <c r="C8" s="334"/>
      <c r="D8" s="335" t="s">
        <v>516</v>
      </c>
      <c r="E8" s="335" t="s">
        <v>516</v>
      </c>
      <c r="F8" s="335" t="s">
        <v>517</v>
      </c>
      <c r="G8" s="335" t="s">
        <v>518</v>
      </c>
      <c r="H8" s="335" t="s">
        <v>518</v>
      </c>
      <c r="I8" s="335" t="s">
        <v>518</v>
      </c>
      <c r="J8" s="335" t="s">
        <v>518</v>
      </c>
      <c r="K8" s="335" t="s">
        <v>518</v>
      </c>
      <c r="L8" s="335" t="s">
        <v>518</v>
      </c>
      <c r="M8" s="332">
        <f>8000*25</f>
        <v>200000</v>
      </c>
      <c r="N8" s="332">
        <f>8000*25</f>
        <v>200000</v>
      </c>
      <c r="O8" s="332">
        <f>8000*25</f>
        <v>200000</v>
      </c>
    </row>
    <row r="9" spans="1:15" s="332" customFormat="1" ht="18" customHeight="1">
      <c r="B9" s="333"/>
      <c r="C9" s="334"/>
      <c r="D9" s="335"/>
      <c r="E9" s="336">
        <v>1</v>
      </c>
      <c r="F9" s="336">
        <v>2</v>
      </c>
      <c r="G9" s="336">
        <v>3</v>
      </c>
      <c r="H9" s="336">
        <v>4</v>
      </c>
      <c r="I9" s="336">
        <v>5</v>
      </c>
      <c r="J9" s="336">
        <v>6</v>
      </c>
      <c r="K9" s="336">
        <v>7</v>
      </c>
      <c r="L9" s="336">
        <v>8</v>
      </c>
    </row>
    <row r="10" spans="1:15" s="331" customFormat="1" ht="15" customHeight="1">
      <c r="B10" s="337"/>
      <c r="C10" s="334"/>
      <c r="D10" s="338"/>
      <c r="E10" s="339"/>
      <c r="F10" s="340"/>
      <c r="G10" s="339"/>
      <c r="H10" s="341"/>
      <c r="I10" s="341"/>
      <c r="J10" s="341"/>
      <c r="K10" s="341"/>
      <c r="L10" s="341"/>
      <c r="M10" s="331">
        <f>(M7-M8)/100000</f>
        <v>10</v>
      </c>
      <c r="N10" s="331">
        <v>24</v>
      </c>
      <c r="O10" s="331">
        <v>24</v>
      </c>
    </row>
    <row r="11" spans="1:15" s="331" customFormat="1" ht="15" customHeight="1">
      <c r="B11" s="342">
        <v>1</v>
      </c>
      <c r="C11" s="343" t="s">
        <v>519</v>
      </c>
      <c r="D11" s="344">
        <f>D13</f>
        <v>700.7829534</v>
      </c>
      <c r="E11" s="345">
        <f>E12+E13+E14</f>
        <v>0</v>
      </c>
      <c r="F11" s="345">
        <f>F12+F13+F14</f>
        <v>0</v>
      </c>
      <c r="G11" s="345">
        <f t="shared" ref="G11:L11" si="0">G12+G13+G14</f>
        <v>1650</v>
      </c>
      <c r="H11" s="345">
        <f>H12+H13+H14</f>
        <v>5335</v>
      </c>
      <c r="I11" s="345">
        <f t="shared" si="0"/>
        <v>6545</v>
      </c>
      <c r="J11" s="345">
        <f t="shared" si="0"/>
        <v>6600</v>
      </c>
      <c r="K11" s="345">
        <f t="shared" si="0"/>
        <v>6600</v>
      </c>
      <c r="L11" s="345">
        <f t="shared" si="0"/>
        <v>6600</v>
      </c>
      <c r="M11" s="346">
        <f>G11/$M$10</f>
        <v>165</v>
      </c>
      <c r="N11" s="346">
        <f>H11/$N$10</f>
        <v>222.29166666666666</v>
      </c>
      <c r="O11" s="346">
        <f>I11/$O$10</f>
        <v>272.70833333333331</v>
      </c>
    </row>
    <row r="12" spans="1:15" s="331" customFormat="1" ht="15" customHeight="1">
      <c r="B12" s="342" t="s">
        <v>520</v>
      </c>
      <c r="C12" s="347" t="s">
        <v>521</v>
      </c>
      <c r="D12" s="348">
        <v>0</v>
      </c>
      <c r="E12" s="345">
        <v>0</v>
      </c>
      <c r="F12" s="345">
        <v>0</v>
      </c>
      <c r="G12" s="345">
        <v>0</v>
      </c>
      <c r="H12" s="345">
        <v>0</v>
      </c>
      <c r="I12" s="345">
        <f>H12*110%</f>
        <v>0</v>
      </c>
      <c r="J12" s="345">
        <f>I12*111%</f>
        <v>0</v>
      </c>
      <c r="K12" s="345">
        <f>J12*105%</f>
        <v>0</v>
      </c>
      <c r="L12" s="345">
        <f>K12*105%</f>
        <v>0</v>
      </c>
    </row>
    <row r="13" spans="1:15" s="331" customFormat="1" ht="15" customHeight="1">
      <c r="B13" s="342" t="s">
        <v>522</v>
      </c>
      <c r="C13" s="347" t="s">
        <v>523</v>
      </c>
      <c r="D13" s="349">
        <f>70078295.34/100000</f>
        <v>700.7829534</v>
      </c>
      <c r="E13" s="339">
        <v>0</v>
      </c>
      <c r="F13" s="339">
        <v>0</v>
      </c>
      <c r="G13" s="339">
        <f>'Material used'!C28/100000</f>
        <v>1650</v>
      </c>
      <c r="H13" s="339">
        <f>'Material used'!D28/100000</f>
        <v>5335</v>
      </c>
      <c r="I13" s="339">
        <f>'Material used'!E28/100000</f>
        <v>6545</v>
      </c>
      <c r="J13" s="339">
        <f>'Material used'!F28/100000</f>
        <v>6600</v>
      </c>
      <c r="K13" s="339">
        <f>'Material used'!G28/100000</f>
        <v>6600</v>
      </c>
      <c r="L13" s="339">
        <f>'Material used'!H28/100000</f>
        <v>6600</v>
      </c>
      <c r="M13" s="350"/>
    </row>
    <row r="14" spans="1:15" s="331" customFormat="1" ht="15" customHeight="1">
      <c r="B14" s="342" t="s">
        <v>524</v>
      </c>
      <c r="C14" s="347" t="s">
        <v>525</v>
      </c>
      <c r="D14" s="349">
        <v>94.45</v>
      </c>
      <c r="E14" s="351">
        <v>0</v>
      </c>
      <c r="F14" s="351">
        <v>0</v>
      </c>
      <c r="G14" s="351">
        <v>0</v>
      </c>
      <c r="H14" s="351">
        <f>H12*7.5%</f>
        <v>0</v>
      </c>
      <c r="I14" s="351">
        <f>I12*7.5%</f>
        <v>0</v>
      </c>
      <c r="J14" s="351">
        <f>J12*7.5%</f>
        <v>0</v>
      </c>
      <c r="K14" s="351">
        <f>K12*7.5%</f>
        <v>0</v>
      </c>
      <c r="L14" s="351">
        <f>L12*7.5%</f>
        <v>0</v>
      </c>
    </row>
    <row r="15" spans="1:15" s="331" customFormat="1" ht="15" customHeight="1">
      <c r="B15" s="337"/>
      <c r="C15" s="352" t="s">
        <v>367</v>
      </c>
      <c r="D15" s="349">
        <f>D13+D12+D14</f>
        <v>795.23295340000004</v>
      </c>
      <c r="E15" s="348">
        <f>E11</f>
        <v>0</v>
      </c>
      <c r="F15" s="348">
        <f>F11</f>
        <v>0</v>
      </c>
      <c r="G15" s="348">
        <f t="shared" ref="G15:L15" si="1">G11</f>
        <v>1650</v>
      </c>
      <c r="H15" s="348">
        <f t="shared" si="1"/>
        <v>5335</v>
      </c>
      <c r="I15" s="348">
        <f t="shared" si="1"/>
        <v>6545</v>
      </c>
      <c r="J15" s="348">
        <f t="shared" si="1"/>
        <v>6600</v>
      </c>
      <c r="K15" s="348">
        <f t="shared" si="1"/>
        <v>6600</v>
      </c>
      <c r="L15" s="348">
        <f t="shared" si="1"/>
        <v>6600</v>
      </c>
    </row>
    <row r="16" spans="1:15" s="331" customFormat="1" ht="15" customHeight="1">
      <c r="B16" s="337">
        <v>2</v>
      </c>
      <c r="C16" s="343" t="s">
        <v>526</v>
      </c>
      <c r="D16" s="339"/>
      <c r="E16" s="348"/>
      <c r="F16" s="348"/>
      <c r="G16" s="348"/>
      <c r="H16" s="353"/>
      <c r="I16" s="353"/>
      <c r="J16" s="353"/>
      <c r="K16" s="353"/>
      <c r="L16" s="353"/>
    </row>
    <row r="17" spans="2:18" s="331" customFormat="1" ht="15" customHeight="1">
      <c r="B17" s="337">
        <v>3</v>
      </c>
      <c r="C17" s="343" t="s">
        <v>527</v>
      </c>
      <c r="D17" s="354">
        <f>D15</f>
        <v>795.23295340000004</v>
      </c>
      <c r="E17" s="348">
        <f>E15-E16</f>
        <v>0</v>
      </c>
      <c r="F17" s="348">
        <f>F15-F16</f>
        <v>0</v>
      </c>
      <c r="G17" s="348">
        <f t="shared" ref="G17:L17" si="2">G15-G16</f>
        <v>1650</v>
      </c>
      <c r="H17" s="348">
        <f t="shared" si="2"/>
        <v>5335</v>
      </c>
      <c r="I17" s="348">
        <f t="shared" si="2"/>
        <v>6545</v>
      </c>
      <c r="J17" s="348">
        <f t="shared" si="2"/>
        <v>6600</v>
      </c>
      <c r="K17" s="348">
        <f t="shared" si="2"/>
        <v>6600</v>
      </c>
      <c r="L17" s="348">
        <f t="shared" si="2"/>
        <v>6600</v>
      </c>
      <c r="M17" s="346"/>
    </row>
    <row r="18" spans="2:18" s="331" customFormat="1" ht="15" customHeight="1">
      <c r="B18" s="355">
        <v>4</v>
      </c>
      <c r="C18" s="356" t="s">
        <v>528</v>
      </c>
      <c r="D18" s="357"/>
      <c r="E18" s="353">
        <v>0</v>
      </c>
      <c r="F18" s="353">
        <v>0</v>
      </c>
      <c r="G18" s="353">
        <v>0</v>
      </c>
      <c r="H18" s="339">
        <f>(H17-G17)/G17*100</f>
        <v>223.33333333333334</v>
      </c>
      <c r="I18" s="339">
        <f>(I17-H17)/H17*100</f>
        <v>22.680412371134022</v>
      </c>
      <c r="J18" s="339">
        <f>(J17-I17)/I17*100</f>
        <v>0.84033613445378152</v>
      </c>
      <c r="K18" s="339">
        <f>(K17-J17)/J17*100</f>
        <v>0</v>
      </c>
      <c r="L18" s="339">
        <f>(L17-K17)/K17*100</f>
        <v>0</v>
      </c>
    </row>
    <row r="19" spans="2:18" s="360" customFormat="1" ht="15" customHeight="1">
      <c r="B19" s="355"/>
      <c r="C19" s="356" t="s">
        <v>529</v>
      </c>
      <c r="D19" s="358">
        <v>0</v>
      </c>
      <c r="E19" s="359">
        <v>0</v>
      </c>
      <c r="F19" s="359">
        <v>0</v>
      </c>
      <c r="G19" s="359">
        <v>0</v>
      </c>
      <c r="H19" s="341">
        <v>0</v>
      </c>
      <c r="I19" s="341">
        <v>0</v>
      </c>
      <c r="J19" s="341">
        <v>0</v>
      </c>
      <c r="K19" s="341">
        <v>0</v>
      </c>
      <c r="L19" s="341">
        <v>0</v>
      </c>
    </row>
    <row r="20" spans="2:18" s="331" customFormat="1" ht="15" customHeight="1">
      <c r="B20" s="337">
        <v>4</v>
      </c>
      <c r="C20" s="343" t="s">
        <v>530</v>
      </c>
      <c r="D20" s="361"/>
      <c r="E20" s="339"/>
      <c r="F20" s="339"/>
      <c r="G20" s="339"/>
      <c r="H20" s="341" t="s">
        <v>531</v>
      </c>
      <c r="I20" s="341"/>
      <c r="J20" s="341"/>
      <c r="K20" s="341"/>
      <c r="L20" s="341"/>
    </row>
    <row r="21" spans="2:18" s="366" customFormat="1" ht="15" customHeight="1">
      <c r="B21" s="362" t="s">
        <v>532</v>
      </c>
      <c r="C21" s="347" t="s">
        <v>533</v>
      </c>
      <c r="D21" s="363">
        <f>D22</f>
        <v>388.46</v>
      </c>
      <c r="E21" s="364">
        <f t="shared" ref="E21:L21" si="3">+E22</f>
        <v>0</v>
      </c>
      <c r="F21" s="364">
        <f t="shared" si="3"/>
        <v>0</v>
      </c>
      <c r="G21" s="364">
        <f t="shared" si="3"/>
        <v>1800</v>
      </c>
      <c r="H21" s="364">
        <f t="shared" si="3"/>
        <v>4275</v>
      </c>
      <c r="I21" s="364">
        <f t="shared" si="3"/>
        <v>5445</v>
      </c>
      <c r="J21" s="364">
        <f t="shared" si="3"/>
        <v>5400</v>
      </c>
      <c r="K21" s="364">
        <f t="shared" si="3"/>
        <v>5400</v>
      </c>
      <c r="L21" s="364">
        <f t="shared" si="3"/>
        <v>5400</v>
      </c>
      <c r="M21" s="365" t="s">
        <v>534</v>
      </c>
    </row>
    <row r="22" spans="2:18" s="360" customFormat="1" ht="15" customHeight="1">
      <c r="B22" s="355"/>
      <c r="C22" s="367" t="s">
        <v>535</v>
      </c>
      <c r="D22" s="368">
        <v>388.46</v>
      </c>
      <c r="E22" s="369">
        <v>0</v>
      </c>
      <c r="F22" s="369">
        <v>0</v>
      </c>
      <c r="G22" s="369">
        <f>'Material used'!C17/100000</f>
        <v>1800</v>
      </c>
      <c r="H22" s="369">
        <f>'Material used'!D17/100000</f>
        <v>4275</v>
      </c>
      <c r="I22" s="369">
        <f>'Material used'!E17/100000</f>
        <v>5445</v>
      </c>
      <c r="J22" s="369">
        <f>'Material used'!F17/100000</f>
        <v>5400</v>
      </c>
      <c r="K22" s="369">
        <f>'Material used'!G17/100000</f>
        <v>5400</v>
      </c>
      <c r="L22" s="369">
        <f>'Material used'!H17/100000</f>
        <v>5400</v>
      </c>
      <c r="M22" s="370">
        <f>G22/$M$7*100000</f>
        <v>150</v>
      </c>
      <c r="N22" s="370">
        <f>H22/$N$7*100000</f>
        <v>178.125</v>
      </c>
      <c r="O22" s="370">
        <f>I22/$O$7*100000</f>
        <v>226.875</v>
      </c>
      <c r="P22" s="367" t="s">
        <v>536</v>
      </c>
    </row>
    <row r="23" spans="2:18" s="360" customFormat="1" ht="15" customHeight="1">
      <c r="B23" s="355"/>
      <c r="C23" s="356" t="s">
        <v>537</v>
      </c>
      <c r="D23" s="341">
        <v>0</v>
      </c>
      <c r="E23" s="369">
        <v>0</v>
      </c>
      <c r="F23" s="369">
        <v>0</v>
      </c>
      <c r="G23" s="369">
        <v>0</v>
      </c>
      <c r="H23" s="353">
        <v>0</v>
      </c>
      <c r="I23" s="353">
        <v>0</v>
      </c>
      <c r="J23" s="353">
        <v>0</v>
      </c>
      <c r="K23" s="353" t="s">
        <v>471</v>
      </c>
      <c r="L23" s="353">
        <v>0</v>
      </c>
      <c r="M23" s="370"/>
      <c r="N23" s="367"/>
      <c r="O23" s="367"/>
      <c r="P23" s="367"/>
    </row>
    <row r="24" spans="2:18" s="360" customFormat="1" ht="15" customHeight="1">
      <c r="B24" s="355"/>
      <c r="C24" s="356"/>
      <c r="D24" s="357"/>
      <c r="E24" s="358"/>
      <c r="F24" s="358"/>
      <c r="G24" s="358"/>
      <c r="H24" s="358"/>
      <c r="I24" s="358"/>
      <c r="J24" s="358"/>
      <c r="K24" s="358"/>
      <c r="L24" s="358"/>
      <c r="M24" s="367"/>
      <c r="N24" s="367"/>
      <c r="O24" s="367"/>
      <c r="P24" s="367"/>
    </row>
    <row r="25" spans="2:18" s="331" customFormat="1" ht="15" customHeight="1">
      <c r="B25" s="342" t="s">
        <v>538</v>
      </c>
      <c r="C25" s="367" t="s">
        <v>539</v>
      </c>
      <c r="D25" s="371"/>
      <c r="E25" s="339"/>
      <c r="F25" s="339"/>
      <c r="G25" s="339"/>
      <c r="H25" s="341"/>
      <c r="I25" s="341"/>
      <c r="J25" s="341"/>
      <c r="K25" s="341"/>
      <c r="L25" s="341"/>
      <c r="M25" s="334"/>
      <c r="N25" s="334"/>
      <c r="O25" s="334"/>
      <c r="P25" s="334"/>
    </row>
    <row r="26" spans="2:18" s="331" customFormat="1" ht="15" customHeight="1">
      <c r="B26" s="355"/>
      <c r="C26" s="367" t="s">
        <v>535</v>
      </c>
      <c r="D26" s="341">
        <v>0</v>
      </c>
      <c r="E26" s="369">
        <v>0</v>
      </c>
      <c r="F26" s="369">
        <v>0</v>
      </c>
      <c r="G26" s="369">
        <v>0</v>
      </c>
      <c r="H26" s="369">
        <v>0</v>
      </c>
      <c r="I26" s="369">
        <v>0</v>
      </c>
      <c r="J26" s="369">
        <v>0</v>
      </c>
      <c r="K26" s="369">
        <v>0</v>
      </c>
      <c r="L26" s="369">
        <v>0</v>
      </c>
      <c r="M26" s="334"/>
      <c r="N26" s="334"/>
      <c r="O26" s="334"/>
      <c r="P26" s="334"/>
    </row>
    <row r="27" spans="2:18" s="331" customFormat="1" ht="15" customHeight="1">
      <c r="B27" s="342"/>
      <c r="C27" s="356" t="s">
        <v>537</v>
      </c>
      <c r="D27" s="339">
        <v>0</v>
      </c>
      <c r="E27" s="369">
        <v>0</v>
      </c>
      <c r="F27" s="369">
        <v>0</v>
      </c>
      <c r="G27" s="369">
        <v>0</v>
      </c>
      <c r="H27" s="369">
        <v>0</v>
      </c>
      <c r="I27" s="369">
        <v>0</v>
      </c>
      <c r="J27" s="369">
        <v>0</v>
      </c>
      <c r="K27" s="369">
        <v>0</v>
      </c>
      <c r="L27" s="369">
        <v>0</v>
      </c>
      <c r="M27" s="334"/>
      <c r="N27" s="334"/>
      <c r="O27" s="334"/>
      <c r="P27" s="334"/>
    </row>
    <row r="28" spans="2:18" s="331" customFormat="1" ht="15" customHeight="1">
      <c r="B28" s="342"/>
      <c r="C28" s="356"/>
      <c r="D28" s="371"/>
      <c r="E28" s="339"/>
      <c r="F28" s="339"/>
      <c r="G28" s="339"/>
      <c r="H28" s="341"/>
      <c r="I28" s="341"/>
      <c r="J28" s="341"/>
      <c r="K28" s="341"/>
      <c r="L28" s="341"/>
      <c r="M28" s="334"/>
      <c r="N28" s="334"/>
      <c r="O28" s="334"/>
      <c r="P28" s="334"/>
    </row>
    <row r="29" spans="2:18" s="331" customFormat="1" ht="15" customHeight="1">
      <c r="B29" s="372" t="s">
        <v>524</v>
      </c>
      <c r="C29" s="352" t="s">
        <v>540</v>
      </c>
      <c r="D29" s="371"/>
      <c r="E29" s="369"/>
      <c r="F29" s="369"/>
      <c r="G29" s="369">
        <f>' energy'!C12</f>
        <v>42</v>
      </c>
      <c r="H29" s="369">
        <f>' energy'!D12</f>
        <v>115.2</v>
      </c>
      <c r="I29" s="369">
        <f>' energy'!E12</f>
        <v>144</v>
      </c>
      <c r="J29" s="369">
        <f>' energy'!F12</f>
        <v>144</v>
      </c>
      <c r="K29" s="369">
        <f>' energy'!G12</f>
        <v>144</v>
      </c>
      <c r="L29" s="369">
        <f>' energy'!H12</f>
        <v>144</v>
      </c>
      <c r="M29" s="370">
        <f>G29/$M$7*100000</f>
        <v>3.4999999999999996</v>
      </c>
      <c r="N29" s="370">
        <f>H29/$N$7*100000</f>
        <v>4.8</v>
      </c>
      <c r="O29" s="370">
        <f>I29/$O$7*100000</f>
        <v>6</v>
      </c>
      <c r="P29" s="373"/>
      <c r="Q29" s="346"/>
    </row>
    <row r="30" spans="2:18" s="331" customFormat="1" ht="15" customHeight="1">
      <c r="B30" s="372" t="s">
        <v>541</v>
      </c>
      <c r="C30" s="352" t="s">
        <v>542</v>
      </c>
      <c r="D30" s="371">
        <v>51.94</v>
      </c>
      <c r="E30" s="369"/>
      <c r="F30" s="369"/>
      <c r="G30" s="369">
        <f>'man power'!F19/100000</f>
        <v>27.86</v>
      </c>
      <c r="H30" s="369">
        <f>'man power'!G19/100000</f>
        <v>52.536000000000001</v>
      </c>
      <c r="I30" s="369">
        <f>'man power'!H19/100000</f>
        <v>57.789600000000007</v>
      </c>
      <c r="J30" s="369">
        <f>'man power'!I19/100000</f>
        <v>63.568560000000012</v>
      </c>
      <c r="K30" s="369">
        <f>'man power'!J19/100000</f>
        <v>69.925416000000013</v>
      </c>
      <c r="L30" s="369">
        <f>'man power'!K19/100000</f>
        <v>76.917957600000022</v>
      </c>
      <c r="M30" s="370">
        <f>G30/$M$7*100000</f>
        <v>2.3216666666666668</v>
      </c>
      <c r="N30" s="370">
        <f>H30/$N$7*100000</f>
        <v>2.1890000000000001</v>
      </c>
      <c r="O30" s="370">
        <f>I30/$O$7*100000</f>
        <v>2.4079000000000006</v>
      </c>
      <c r="P30" s="373"/>
      <c r="R30" s="346"/>
    </row>
    <row r="31" spans="2:18" s="331" customFormat="1" ht="15" customHeight="1">
      <c r="B31" s="372" t="s">
        <v>543</v>
      </c>
      <c r="C31" s="352" t="s">
        <v>544</v>
      </c>
      <c r="D31" s="371"/>
      <c r="E31" s="369"/>
      <c r="F31" s="369"/>
      <c r="G31" s="369">
        <v>0</v>
      </c>
      <c r="H31" s="369">
        <v>0</v>
      </c>
      <c r="I31" s="369">
        <v>0</v>
      </c>
      <c r="J31" s="369"/>
      <c r="K31" s="369"/>
      <c r="L31" s="369"/>
      <c r="M31" s="370">
        <f>G31/$M$7*100000</f>
        <v>0</v>
      </c>
      <c r="N31" s="370">
        <f>H31/$N$7*100000</f>
        <v>0</v>
      </c>
      <c r="O31" s="370">
        <f>I31/$O$7*100000</f>
        <v>0</v>
      </c>
      <c r="P31" s="373"/>
      <c r="R31" s="346"/>
    </row>
    <row r="32" spans="2:18" s="331" customFormat="1" ht="15" customHeight="1">
      <c r="B32" s="372" t="s">
        <v>545</v>
      </c>
      <c r="C32" s="352" t="s">
        <v>546</v>
      </c>
      <c r="D32" s="371"/>
      <c r="E32" s="369"/>
      <c r="F32" s="369"/>
      <c r="G32" s="369">
        <f>(5000*25*7*20)/100000-G29-G30</f>
        <v>105.14</v>
      </c>
      <c r="H32" s="369">
        <f>(8000*25*12*20)/100000-H29-H30</f>
        <v>312.26400000000001</v>
      </c>
      <c r="I32" s="369">
        <f>(10000*25*12*20)/100000-I29-I30</f>
        <v>398.21039999999999</v>
      </c>
      <c r="J32" s="369">
        <f>(10000*25*12*20)/100000-J29-J30</f>
        <v>392.43144000000001</v>
      </c>
      <c r="K32" s="369">
        <f>(10000*25*12*20)/100000-K29-K30</f>
        <v>386.07458399999996</v>
      </c>
      <c r="L32" s="369">
        <f>(10000*25*12*20)/100000-L29-L30</f>
        <v>379.08204239999998</v>
      </c>
      <c r="M32" s="370">
        <f>G32/$M$7*100000</f>
        <v>8.7616666666666667</v>
      </c>
      <c r="N32" s="370">
        <f>H32/$N$7*100000</f>
        <v>13.011000000000001</v>
      </c>
      <c r="O32" s="370">
        <f>I32/$O$7*100000</f>
        <v>16.592099999999999</v>
      </c>
      <c r="P32" s="373"/>
      <c r="Q32" s="346"/>
    </row>
    <row r="33" spans="2:20" s="331" customFormat="1" ht="15" customHeight="1">
      <c r="B33" s="372"/>
      <c r="C33" s="352"/>
      <c r="D33" s="371"/>
      <c r="E33" s="369"/>
      <c r="F33" s="369"/>
      <c r="G33" s="369"/>
      <c r="H33" s="341"/>
      <c r="I33" s="341"/>
      <c r="J33" s="341"/>
      <c r="K33" s="341"/>
      <c r="L33" s="341"/>
      <c r="M33" s="373">
        <f>SUM(M22:M32)</f>
        <v>164.58333333333331</v>
      </c>
      <c r="N33" s="373">
        <f>SUM(N22:N32)</f>
        <v>198.125</v>
      </c>
      <c r="O33" s="373">
        <f>SUM(O22:O32)</f>
        <v>251.875</v>
      </c>
      <c r="P33" s="334" t="s">
        <v>547</v>
      </c>
    </row>
    <row r="34" spans="2:20" s="331" customFormat="1" ht="15" customHeight="1">
      <c r="B34" s="372" t="s">
        <v>548</v>
      </c>
      <c r="C34" s="343" t="s">
        <v>549</v>
      </c>
      <c r="D34" s="353">
        <f>SUM(D22:D33)</f>
        <v>440.4</v>
      </c>
      <c r="E34" s="353">
        <f>SUM(E22:E33)</f>
        <v>0</v>
      </c>
      <c r="F34" s="353">
        <f>SUM(F22:F33)</f>
        <v>0</v>
      </c>
      <c r="G34" s="353">
        <f t="shared" ref="G34:L34" si="4">SUM(G22:G33)</f>
        <v>1975</v>
      </c>
      <c r="H34" s="353">
        <f t="shared" si="4"/>
        <v>4755</v>
      </c>
      <c r="I34" s="353">
        <f t="shared" si="4"/>
        <v>6045</v>
      </c>
      <c r="J34" s="353">
        <f t="shared" si="4"/>
        <v>6000</v>
      </c>
      <c r="K34" s="353">
        <f t="shared" si="4"/>
        <v>6000</v>
      </c>
      <c r="L34" s="353">
        <f t="shared" si="4"/>
        <v>6000</v>
      </c>
      <c r="M34" s="373">
        <f>M33*110%</f>
        <v>181.04166666666666</v>
      </c>
      <c r="N34" s="373">
        <f>N33*110%</f>
        <v>217.93750000000003</v>
      </c>
      <c r="O34" s="373">
        <f>O33*110%</f>
        <v>277.0625</v>
      </c>
      <c r="P34" s="334" t="s">
        <v>550</v>
      </c>
    </row>
    <row r="35" spans="2:20" s="331" customFormat="1" ht="15" customHeight="1">
      <c r="B35" s="372" t="s">
        <v>551</v>
      </c>
      <c r="C35" s="352" t="s">
        <v>552</v>
      </c>
      <c r="D35" s="371">
        <f>17018312/100000</f>
        <v>170.18312</v>
      </c>
      <c r="E35" s="369">
        <v>0</v>
      </c>
      <c r="F35" s="369">
        <v>0</v>
      </c>
      <c r="G35" s="369">
        <v>0</v>
      </c>
      <c r="H35" s="353">
        <f>G37</f>
        <v>225</v>
      </c>
      <c r="I35" s="353">
        <f>H37</f>
        <v>180</v>
      </c>
      <c r="J35" s="353">
        <f>I37</f>
        <v>225</v>
      </c>
      <c r="K35" s="353">
        <f>J37</f>
        <v>225</v>
      </c>
      <c r="L35" s="353">
        <f>K37</f>
        <v>225</v>
      </c>
      <c r="M35" s="346"/>
    </row>
    <row r="36" spans="2:20" s="331" customFormat="1" ht="15" customHeight="1">
      <c r="B36" s="372" t="s">
        <v>553</v>
      </c>
      <c r="C36" s="347" t="s">
        <v>554</v>
      </c>
      <c r="D36" s="349">
        <f t="shared" ref="D36:L36" si="5">D34+D35</f>
        <v>610.58312000000001</v>
      </c>
      <c r="E36" s="364">
        <f t="shared" si="5"/>
        <v>0</v>
      </c>
      <c r="F36" s="364">
        <f t="shared" si="5"/>
        <v>0</v>
      </c>
      <c r="G36" s="364">
        <f t="shared" si="5"/>
        <v>1975</v>
      </c>
      <c r="H36" s="351">
        <f t="shared" si="5"/>
        <v>4980</v>
      </c>
      <c r="I36" s="351">
        <f t="shared" si="5"/>
        <v>6225</v>
      </c>
      <c r="J36" s="351">
        <f t="shared" si="5"/>
        <v>6225</v>
      </c>
      <c r="K36" s="351">
        <f t="shared" si="5"/>
        <v>6225</v>
      </c>
      <c r="L36" s="351">
        <f t="shared" si="5"/>
        <v>6225</v>
      </c>
    </row>
    <row r="37" spans="2:20" s="375" customFormat="1" ht="15" customHeight="1">
      <c r="B37" s="372" t="s">
        <v>555</v>
      </c>
      <c r="C37" s="356" t="s">
        <v>556</v>
      </c>
      <c r="D37" s="341">
        <f>(23215430.17)/100000</f>
        <v>232.15430170000002</v>
      </c>
      <c r="E37" s="353">
        <v>0</v>
      </c>
      <c r="F37" s="353">
        <v>0</v>
      </c>
      <c r="G37" s="353">
        <f>'Material used'!C12*'Material used'!C16/100000</f>
        <v>225</v>
      </c>
      <c r="H37" s="353">
        <f>'Material used'!D12*'Material used'!D16/100000</f>
        <v>180</v>
      </c>
      <c r="I37" s="353">
        <f>'Material used'!E12*'Material used'!E16/100000</f>
        <v>225</v>
      </c>
      <c r="J37" s="353">
        <f>'Material used'!F12*'Material used'!F16/100000</f>
        <v>225</v>
      </c>
      <c r="K37" s="353">
        <f>'Material used'!G12*'Material used'!G16/100000</f>
        <v>225</v>
      </c>
      <c r="L37" s="353">
        <f>'Material used'!H12*'Material used'!H16/100000</f>
        <v>225</v>
      </c>
      <c r="M37" s="374">
        <f>(8000*25*M33)/100000</f>
        <v>329.16666666666663</v>
      </c>
      <c r="N37" s="374"/>
      <c r="O37" s="374"/>
      <c r="S37" s="374"/>
    </row>
    <row r="38" spans="2:20" s="375" customFormat="1" ht="15" customHeight="1">
      <c r="B38" s="372" t="s">
        <v>557</v>
      </c>
      <c r="C38" s="376" t="s">
        <v>558</v>
      </c>
      <c r="D38" s="341">
        <f t="shared" ref="D38:H38" si="6">D34+D35-D37</f>
        <v>378.42881829999999</v>
      </c>
      <c r="E38" s="341">
        <f t="shared" si="6"/>
        <v>0</v>
      </c>
      <c r="F38" s="341">
        <f t="shared" si="6"/>
        <v>0</v>
      </c>
      <c r="G38" s="341">
        <f>G34+G35-G37</f>
        <v>1750</v>
      </c>
      <c r="H38" s="341">
        <f t="shared" si="6"/>
        <v>4800</v>
      </c>
      <c r="I38" s="341">
        <f>I34+I35-I37</f>
        <v>6000</v>
      </c>
      <c r="J38" s="341">
        <f>J34+J35-J37</f>
        <v>6000</v>
      </c>
      <c r="K38" s="341">
        <f>K34+K35-K37</f>
        <v>6000</v>
      </c>
      <c r="L38" s="341">
        <f>L34+L35-L37</f>
        <v>6000</v>
      </c>
      <c r="M38" s="374"/>
      <c r="N38" s="374"/>
    </row>
    <row r="39" spans="2:20" s="375" customFormat="1" ht="15" customHeight="1">
      <c r="B39" s="372" t="s">
        <v>559</v>
      </c>
      <c r="C39" s="347" t="s">
        <v>560</v>
      </c>
      <c r="D39" s="341">
        <v>0</v>
      </c>
      <c r="E39" s="369">
        <v>0</v>
      </c>
      <c r="F39" s="369">
        <v>0</v>
      </c>
      <c r="G39" s="369">
        <v>0</v>
      </c>
      <c r="H39" s="353">
        <f>G41</f>
        <v>250</v>
      </c>
      <c r="I39" s="353">
        <f>H41</f>
        <v>200</v>
      </c>
      <c r="J39" s="353">
        <f>I41</f>
        <v>250</v>
      </c>
      <c r="K39" s="353">
        <f>J41</f>
        <v>250</v>
      </c>
      <c r="L39" s="353">
        <f>K41</f>
        <v>250</v>
      </c>
      <c r="M39" s="374" t="e">
        <f>G34/#REF!*100000</f>
        <v>#REF!</v>
      </c>
      <c r="P39" s="374"/>
    </row>
    <row r="40" spans="2:20" s="375" customFormat="1" ht="15" customHeight="1">
      <c r="B40" s="372" t="s">
        <v>561</v>
      </c>
      <c r="C40" s="376" t="s">
        <v>554</v>
      </c>
      <c r="D40" s="341">
        <f t="shared" ref="D40:L40" si="7">D38-D39</f>
        <v>378.42881829999999</v>
      </c>
      <c r="E40" s="369">
        <f t="shared" si="7"/>
        <v>0</v>
      </c>
      <c r="F40" s="369">
        <f t="shared" si="7"/>
        <v>0</v>
      </c>
      <c r="G40" s="369">
        <f>G38-G39</f>
        <v>1750</v>
      </c>
      <c r="H40" s="341">
        <f t="shared" si="7"/>
        <v>4550</v>
      </c>
      <c r="I40" s="341">
        <f t="shared" si="7"/>
        <v>5800</v>
      </c>
      <c r="J40" s="341">
        <f t="shared" si="7"/>
        <v>5750</v>
      </c>
      <c r="K40" s="341">
        <f t="shared" si="7"/>
        <v>5750</v>
      </c>
      <c r="L40" s="341">
        <f t="shared" si="7"/>
        <v>5750</v>
      </c>
      <c r="M40" s="374"/>
      <c r="P40" s="377"/>
      <c r="T40" s="374"/>
    </row>
    <row r="41" spans="2:20" s="375" customFormat="1" ht="15" customHeight="1">
      <c r="B41" s="372" t="s">
        <v>562</v>
      </c>
      <c r="C41" s="347" t="s">
        <v>563</v>
      </c>
      <c r="D41" s="341">
        <v>0</v>
      </c>
      <c r="E41" s="369">
        <v>0</v>
      </c>
      <c r="F41" s="369">
        <v>0</v>
      </c>
      <c r="G41" s="369">
        <f>'Material used'!C25*200*1000/100000</f>
        <v>250</v>
      </c>
      <c r="H41" s="369">
        <f>'Material used'!D25*200*1000/100000</f>
        <v>200</v>
      </c>
      <c r="I41" s="369">
        <f>'Material used'!E25*200*1000/100000</f>
        <v>250</v>
      </c>
      <c r="J41" s="369">
        <f>'Material used'!F25*200*1000/100000</f>
        <v>250</v>
      </c>
      <c r="K41" s="369">
        <f>'Material used'!G25*200*1000/100000</f>
        <v>250</v>
      </c>
      <c r="L41" s="369">
        <f>'Material used'!H25*200*1000/100000</f>
        <v>250</v>
      </c>
      <c r="O41" s="375">
        <f>8000*200*25*10</f>
        <v>400000000</v>
      </c>
      <c r="Q41" s="375">
        <f>8000*220*235</f>
        <v>413600000</v>
      </c>
      <c r="R41" s="375">
        <f>Q41/100000</f>
        <v>4136</v>
      </c>
      <c r="S41" s="374"/>
    </row>
    <row r="42" spans="2:20" s="375" customFormat="1" ht="15" customHeight="1">
      <c r="B42" s="372" t="s">
        <v>564</v>
      </c>
      <c r="C42" s="343" t="s">
        <v>565</v>
      </c>
      <c r="D42" s="341">
        <f t="shared" ref="D42:L42" si="8">D38+D39-D41</f>
        <v>378.42881829999999</v>
      </c>
      <c r="E42" s="369">
        <f t="shared" si="8"/>
        <v>0</v>
      </c>
      <c r="F42" s="369">
        <f t="shared" si="8"/>
        <v>0</v>
      </c>
      <c r="G42" s="369">
        <f>G38+G39-G41</f>
        <v>1500</v>
      </c>
      <c r="H42" s="341">
        <f t="shared" si="8"/>
        <v>4850</v>
      </c>
      <c r="I42" s="341">
        <f t="shared" si="8"/>
        <v>5950</v>
      </c>
      <c r="J42" s="341">
        <f t="shared" si="8"/>
        <v>6000</v>
      </c>
      <c r="K42" s="341">
        <f t="shared" si="8"/>
        <v>6000</v>
      </c>
      <c r="L42" s="341">
        <f t="shared" si="8"/>
        <v>6000</v>
      </c>
      <c r="M42" s="378"/>
      <c r="O42" s="375">
        <f>O41/100000</f>
        <v>4000</v>
      </c>
      <c r="Q42" s="375">
        <f>8000*200*15</f>
        <v>24000000</v>
      </c>
      <c r="R42" s="375">
        <f>Q42/100000</f>
        <v>240</v>
      </c>
    </row>
    <row r="43" spans="2:20" s="375" customFormat="1" ht="15" customHeight="1">
      <c r="B43" s="337">
        <v>5</v>
      </c>
      <c r="C43" s="343" t="s">
        <v>566</v>
      </c>
      <c r="D43" s="341"/>
      <c r="E43" s="369">
        <f>2650/100000</f>
        <v>2.6499999999999999E-2</v>
      </c>
      <c r="F43" s="369">
        <f>'[1]P &amp; L'!$C$18/100000</f>
        <v>0.88349999999999995</v>
      </c>
      <c r="G43" s="369">
        <v>83</v>
      </c>
      <c r="H43" s="369">
        <v>350</v>
      </c>
      <c r="I43" s="369">
        <v>440</v>
      </c>
      <c r="J43" s="369">
        <v>442</v>
      </c>
      <c r="K43" s="369">
        <v>445</v>
      </c>
      <c r="L43" s="369">
        <v>450</v>
      </c>
      <c r="M43" s="378"/>
      <c r="Q43" s="375">
        <f>Q41+Q42</f>
        <v>437600000</v>
      </c>
    </row>
    <row r="44" spans="2:20" s="375" customFormat="1" ht="15" customHeight="1">
      <c r="B44" s="337"/>
      <c r="C44" s="352" t="s">
        <v>567</v>
      </c>
      <c r="D44" s="371">
        <v>8.0299999999999994</v>
      </c>
      <c r="E44" s="341">
        <v>0</v>
      </c>
      <c r="F44" s="341">
        <v>0</v>
      </c>
      <c r="G44" s="341">
        <f>dep.!G34</f>
        <v>34.595193500000001</v>
      </c>
      <c r="H44" s="341">
        <f>dep.!H34</f>
        <v>29.620514775</v>
      </c>
      <c r="I44" s="341">
        <f>dep.!I34</f>
        <v>25.370577828750001</v>
      </c>
      <c r="J44" s="341">
        <f>dep.!J34</f>
        <v>21.738817397437501</v>
      </c>
      <c r="K44" s="341">
        <f>dep.!K34</f>
        <v>18.634438406521873</v>
      </c>
      <c r="L44" s="341">
        <f>dep.!L34</f>
        <v>15.980071902373593</v>
      </c>
      <c r="N44" s="374"/>
      <c r="O44" s="375">
        <f>O42-R42</f>
        <v>3760</v>
      </c>
    </row>
    <row r="45" spans="2:20" s="375" customFormat="1" ht="15" customHeight="1">
      <c r="B45" s="337">
        <v>6</v>
      </c>
      <c r="C45" s="343" t="s">
        <v>568</v>
      </c>
      <c r="D45" s="341">
        <f t="shared" ref="D45:L45" si="9">SUM(D42:D44)</f>
        <v>386.45881829999996</v>
      </c>
      <c r="E45" s="341">
        <f>SUM(E42:E44)</f>
        <v>2.6499999999999999E-2</v>
      </c>
      <c r="F45" s="341">
        <f>SUM(F42:F44)</f>
        <v>0.88349999999999995</v>
      </c>
      <c r="G45" s="341">
        <f t="shared" si="9"/>
        <v>1617.5951935000001</v>
      </c>
      <c r="H45" s="341">
        <f t="shared" si="9"/>
        <v>5229.6205147749997</v>
      </c>
      <c r="I45" s="341">
        <f t="shared" si="9"/>
        <v>6415.3705778287504</v>
      </c>
      <c r="J45" s="341">
        <f t="shared" si="9"/>
        <v>6463.7388173974377</v>
      </c>
      <c r="K45" s="341">
        <f t="shared" si="9"/>
        <v>6463.6344384065214</v>
      </c>
      <c r="L45" s="341">
        <f t="shared" si="9"/>
        <v>6465.9800719023733</v>
      </c>
      <c r="M45" s="374"/>
      <c r="Q45" s="375">
        <f>Q43-O41</f>
        <v>37600000</v>
      </c>
      <c r="R45" s="375">
        <f>Q45/100000</f>
        <v>376</v>
      </c>
    </row>
    <row r="46" spans="2:20" s="375" customFormat="1" ht="15" customHeight="1">
      <c r="B46" s="362">
        <v>7</v>
      </c>
      <c r="C46" s="352" t="s">
        <v>569</v>
      </c>
      <c r="D46" s="341">
        <f t="shared" ref="D46:L46" si="10">D17-D45</f>
        <v>408.77413510000008</v>
      </c>
      <c r="E46" s="341">
        <f>E17-E45</f>
        <v>-2.6499999999999999E-2</v>
      </c>
      <c r="F46" s="341">
        <f>F17-F45</f>
        <v>-0.88349999999999995</v>
      </c>
      <c r="G46" s="341">
        <f t="shared" si="10"/>
        <v>32.40480649999995</v>
      </c>
      <c r="H46" s="341">
        <f t="shared" si="10"/>
        <v>105.37948522500028</v>
      </c>
      <c r="I46" s="341">
        <f t="shared" si="10"/>
        <v>129.62942217124964</v>
      </c>
      <c r="J46" s="341">
        <f t="shared" si="10"/>
        <v>136.26118260256226</v>
      </c>
      <c r="K46" s="341">
        <f t="shared" si="10"/>
        <v>136.36556159347856</v>
      </c>
      <c r="L46" s="341">
        <f t="shared" si="10"/>
        <v>134.01992809762669</v>
      </c>
      <c r="Q46" s="375">
        <f>Q45/Q41*100</f>
        <v>9.0909090909090917</v>
      </c>
    </row>
    <row r="47" spans="2:20" s="375" customFormat="1" ht="15" customHeight="1">
      <c r="B47" s="355"/>
      <c r="C47" s="356"/>
      <c r="D47" s="341"/>
      <c r="E47" s="341"/>
      <c r="F47" s="341"/>
      <c r="G47" s="341"/>
      <c r="H47" s="341"/>
      <c r="I47" s="341"/>
      <c r="J47" s="341"/>
      <c r="K47" s="341"/>
      <c r="L47" s="341"/>
    </row>
    <row r="48" spans="2:20" s="375" customFormat="1" ht="15" customHeight="1">
      <c r="B48" s="337">
        <v>8</v>
      </c>
      <c r="C48" s="343" t="s">
        <v>267</v>
      </c>
      <c r="D48" s="361">
        <v>26.12</v>
      </c>
      <c r="E48" s="341"/>
      <c r="F48" s="341"/>
      <c r="G48" s="341">
        <f>'Finance cost'!C7</f>
        <v>29.166666666666668</v>
      </c>
      <c r="H48" s="341">
        <f>'Finance cost'!D7</f>
        <v>49.416669999999996</v>
      </c>
      <c r="I48" s="341">
        <f>'Finance cost'!E7</f>
        <v>46.625</v>
      </c>
      <c r="J48" s="341">
        <f>'Finance cost'!F7</f>
        <v>43.625</v>
      </c>
      <c r="K48" s="341">
        <f>'Finance cost'!G7</f>
        <v>40.625</v>
      </c>
      <c r="L48" s="341">
        <f>'Finance cost'!H7</f>
        <v>37.625</v>
      </c>
    </row>
    <row r="49" spans="2:18" s="375" customFormat="1" ht="15" customHeight="1">
      <c r="B49" s="337">
        <v>9</v>
      </c>
      <c r="C49" s="352" t="s">
        <v>570</v>
      </c>
      <c r="D49" s="379">
        <f t="shared" ref="D49:L49" si="11">D46-D48</f>
        <v>382.65413510000008</v>
      </c>
      <c r="E49" s="379">
        <f t="shared" si="11"/>
        <v>-2.6499999999999999E-2</v>
      </c>
      <c r="F49" s="379">
        <f t="shared" si="11"/>
        <v>-0.88349999999999995</v>
      </c>
      <c r="G49" s="379">
        <f>G46-G48</f>
        <v>3.2381398333332818</v>
      </c>
      <c r="H49" s="379">
        <f>H46-H48</f>
        <v>55.962815225000284</v>
      </c>
      <c r="I49" s="379">
        <f t="shared" si="11"/>
        <v>83.004422171249644</v>
      </c>
      <c r="J49" s="379">
        <f t="shared" si="11"/>
        <v>92.636182602562258</v>
      </c>
      <c r="K49" s="379">
        <f t="shared" si="11"/>
        <v>95.74056159347856</v>
      </c>
      <c r="L49" s="379">
        <f t="shared" si="11"/>
        <v>96.394928097626689</v>
      </c>
      <c r="M49" s="380" t="s">
        <v>571</v>
      </c>
      <c r="P49" s="375">
        <v>2016</v>
      </c>
      <c r="Q49" s="375">
        <v>2015</v>
      </c>
      <c r="R49" s="375">
        <v>2014</v>
      </c>
    </row>
    <row r="50" spans="2:18" s="375" customFormat="1" ht="15" customHeight="1">
      <c r="B50" s="337"/>
      <c r="C50" s="343"/>
      <c r="D50" s="361"/>
      <c r="E50" s="341"/>
      <c r="F50" s="341"/>
      <c r="G50" s="341"/>
      <c r="H50" s="341"/>
      <c r="I50" s="341"/>
      <c r="J50" s="341"/>
      <c r="K50" s="341"/>
      <c r="L50" s="341"/>
      <c r="N50" s="375" t="s">
        <v>572</v>
      </c>
      <c r="P50" s="375">
        <v>5404943</v>
      </c>
      <c r="Q50" s="375">
        <v>2186573</v>
      </c>
      <c r="R50" s="375">
        <v>5432415</v>
      </c>
    </row>
    <row r="51" spans="2:18" s="375" customFormat="1" ht="15" customHeight="1">
      <c r="B51" s="362">
        <v>10</v>
      </c>
      <c r="C51" s="376" t="s">
        <v>573</v>
      </c>
      <c r="D51" s="381"/>
      <c r="E51" s="341"/>
      <c r="F51" s="341"/>
      <c r="G51" s="341"/>
      <c r="H51" s="341"/>
      <c r="I51" s="341"/>
      <c r="J51" s="341"/>
      <c r="K51" s="341"/>
      <c r="L51" s="341"/>
      <c r="N51" s="375" t="s">
        <v>574</v>
      </c>
      <c r="P51" s="375">
        <v>1221967190</v>
      </c>
      <c r="Q51" s="375">
        <v>1088691723</v>
      </c>
      <c r="R51" s="375">
        <v>831554187</v>
      </c>
    </row>
    <row r="52" spans="2:18" s="375" customFormat="1" ht="15" customHeight="1">
      <c r="B52" s="362"/>
      <c r="C52" s="376"/>
      <c r="D52" s="381"/>
      <c r="E52" s="341"/>
      <c r="F52" s="341"/>
      <c r="G52" s="341"/>
      <c r="H52" s="341"/>
      <c r="I52" s="341"/>
      <c r="J52" s="341"/>
      <c r="K52" s="341"/>
      <c r="L52" s="341"/>
      <c r="N52" s="375" t="s">
        <v>575</v>
      </c>
      <c r="P52" s="377">
        <f>P50/P51*100</f>
        <v>0.44231490372503379</v>
      </c>
      <c r="Q52" s="377">
        <f>Q50/Q51*100</f>
        <v>0.20084409147289897</v>
      </c>
      <c r="R52" s="377">
        <f>R50/R51*100</f>
        <v>0.65328454656677715</v>
      </c>
    </row>
    <row r="53" spans="2:18" s="375" customFormat="1" ht="15" hidden="1" customHeight="1">
      <c r="B53" s="362"/>
      <c r="C53" s="376" t="s">
        <v>576</v>
      </c>
      <c r="D53" s="341">
        <v>0</v>
      </c>
      <c r="E53" s="341">
        <v>0</v>
      </c>
      <c r="F53" s="341">
        <v>0</v>
      </c>
      <c r="G53" s="341">
        <v>0</v>
      </c>
      <c r="H53" s="341">
        <v>0</v>
      </c>
      <c r="I53" s="341">
        <v>0</v>
      </c>
      <c r="J53" s="341">
        <v>0</v>
      </c>
      <c r="K53" s="341">
        <v>0</v>
      </c>
      <c r="L53" s="341">
        <v>0</v>
      </c>
    </row>
    <row r="54" spans="2:18" s="375" customFormat="1" ht="15" hidden="1" customHeight="1">
      <c r="B54" s="362"/>
      <c r="C54" s="376" t="s">
        <v>577</v>
      </c>
      <c r="D54" s="341">
        <v>0</v>
      </c>
      <c r="E54" s="341">
        <v>0</v>
      </c>
      <c r="F54" s="341">
        <v>0</v>
      </c>
      <c r="G54" s="341">
        <v>0</v>
      </c>
      <c r="H54" s="341">
        <v>0</v>
      </c>
      <c r="I54" s="341">
        <v>0</v>
      </c>
      <c r="J54" s="341">
        <v>0</v>
      </c>
      <c r="K54" s="341">
        <v>0</v>
      </c>
      <c r="L54" s="341">
        <v>0</v>
      </c>
    </row>
    <row r="55" spans="2:18" s="375" customFormat="1" ht="15" customHeight="1">
      <c r="B55" s="337"/>
      <c r="C55" s="382" t="s">
        <v>578</v>
      </c>
      <c r="D55" s="349">
        <v>2.3199999999999998</v>
      </c>
      <c r="E55" s="341">
        <v>0</v>
      </c>
      <c r="F55" s="341">
        <v>0</v>
      </c>
      <c r="G55" s="341">
        <v>0</v>
      </c>
      <c r="H55" s="341">
        <v>0</v>
      </c>
      <c r="I55" s="341">
        <f>H55*110%</f>
        <v>0</v>
      </c>
      <c r="J55" s="341">
        <f>I55*110%</f>
        <v>0</v>
      </c>
      <c r="K55" s="341">
        <f>J55*110%</f>
        <v>0</v>
      </c>
      <c r="L55" s="341">
        <f>K55*110%</f>
        <v>0</v>
      </c>
      <c r="Q55" s="383">
        <f>(P52+Q52+R52)/3</f>
        <v>0.43214784725490335</v>
      </c>
    </row>
    <row r="56" spans="2:18" s="375" customFormat="1" ht="15" customHeight="1">
      <c r="B56" s="337"/>
      <c r="C56" s="376"/>
      <c r="D56" s="381"/>
      <c r="E56" s="341"/>
      <c r="F56" s="341"/>
      <c r="G56" s="341"/>
      <c r="H56" s="341"/>
      <c r="I56" s="341"/>
      <c r="J56" s="341"/>
      <c r="K56" s="341"/>
      <c r="L56" s="341"/>
      <c r="N56" s="375" t="s">
        <v>579</v>
      </c>
      <c r="P56" s="375">
        <v>1117470225</v>
      </c>
      <c r="Q56" s="375">
        <v>983860019</v>
      </c>
      <c r="R56" s="375">
        <v>793888664</v>
      </c>
    </row>
    <row r="57" spans="2:18" s="375" customFormat="1" ht="15" customHeight="1">
      <c r="B57" s="337"/>
      <c r="C57" s="376" t="s">
        <v>580</v>
      </c>
      <c r="D57" s="341">
        <f t="shared" ref="D57:L57" si="12">SUM(D53:D56)</f>
        <v>2.3199999999999998</v>
      </c>
      <c r="E57" s="341">
        <f>SUM(E53:E56)</f>
        <v>0</v>
      </c>
      <c r="F57" s="341">
        <f>SUM(F53:F56)</f>
        <v>0</v>
      </c>
      <c r="G57" s="341">
        <f t="shared" si="12"/>
        <v>0</v>
      </c>
      <c r="H57" s="341">
        <f t="shared" si="12"/>
        <v>0</v>
      </c>
      <c r="I57" s="341">
        <f t="shared" si="12"/>
        <v>0</v>
      </c>
      <c r="J57" s="341">
        <f t="shared" si="12"/>
        <v>0</v>
      </c>
      <c r="K57" s="341">
        <f t="shared" si="12"/>
        <v>0</v>
      </c>
      <c r="L57" s="341">
        <f t="shared" si="12"/>
        <v>0</v>
      </c>
      <c r="N57" s="374" t="s">
        <v>581</v>
      </c>
      <c r="P57" s="375">
        <v>-3635612</v>
      </c>
      <c r="Q57" s="375">
        <v>-5061378</v>
      </c>
      <c r="R57" s="375">
        <v>-34509988</v>
      </c>
    </row>
    <row r="58" spans="2:18" s="375" customFormat="1" ht="15" customHeight="1">
      <c r="B58" s="337"/>
      <c r="C58" s="356" t="s">
        <v>582</v>
      </c>
      <c r="D58" s="341"/>
      <c r="E58" s="353"/>
      <c r="F58" s="353"/>
      <c r="G58" s="353"/>
      <c r="H58" s="353"/>
      <c r="I58" s="353"/>
      <c r="J58" s="353"/>
      <c r="K58" s="353"/>
      <c r="L58" s="353"/>
      <c r="N58" s="375" t="s">
        <v>583</v>
      </c>
      <c r="P58" s="375">
        <v>40600343</v>
      </c>
      <c r="Q58" s="375">
        <v>40600343</v>
      </c>
      <c r="R58" s="375">
        <v>32345661</v>
      </c>
    </row>
    <row r="59" spans="2:18" s="375" customFormat="1" ht="15" hidden="1" customHeight="1">
      <c r="B59" s="337"/>
      <c r="C59" s="376"/>
      <c r="D59" s="381"/>
      <c r="E59" s="341"/>
      <c r="F59" s="341"/>
      <c r="G59" s="341"/>
      <c r="H59" s="341"/>
      <c r="I59" s="341"/>
      <c r="J59" s="341"/>
      <c r="K59" s="341"/>
      <c r="L59" s="341"/>
      <c r="M59" s="374"/>
    </row>
    <row r="60" spans="2:18" s="375" customFormat="1" ht="15" hidden="1" customHeight="1">
      <c r="B60" s="337"/>
      <c r="C60" s="376" t="s">
        <v>584</v>
      </c>
      <c r="D60" s="341">
        <v>0</v>
      </c>
      <c r="E60" s="341"/>
      <c r="F60" s="341"/>
      <c r="G60" s="341"/>
      <c r="H60" s="341"/>
      <c r="I60" s="341"/>
      <c r="J60" s="341"/>
      <c r="K60" s="341"/>
      <c r="L60" s="341"/>
    </row>
    <row r="61" spans="2:18" s="375" customFormat="1" ht="15" hidden="1" customHeight="1">
      <c r="B61" s="337"/>
      <c r="C61" s="376"/>
      <c r="D61" s="381"/>
      <c r="E61" s="341"/>
      <c r="F61" s="341"/>
      <c r="G61" s="341"/>
      <c r="H61" s="341"/>
      <c r="I61" s="341"/>
      <c r="J61" s="341"/>
      <c r="K61" s="341"/>
      <c r="L61" s="341"/>
      <c r="M61" s="375">
        <v>30</v>
      </c>
    </row>
    <row r="62" spans="2:18" s="375" customFormat="1" ht="15" hidden="1" customHeight="1">
      <c r="B62" s="337"/>
      <c r="C62" s="376" t="s">
        <v>585</v>
      </c>
      <c r="D62" s="341">
        <f t="shared" ref="D62:L62" si="13">SUM(D58:D60)</f>
        <v>0</v>
      </c>
      <c r="E62" s="341">
        <f>SUM(E58:E60)</f>
        <v>0</v>
      </c>
      <c r="F62" s="341">
        <f>SUM(F58:F60)</f>
        <v>0</v>
      </c>
      <c r="G62" s="341">
        <f t="shared" si="13"/>
        <v>0</v>
      </c>
      <c r="H62" s="341">
        <f t="shared" si="13"/>
        <v>0</v>
      </c>
      <c r="I62" s="341">
        <f t="shared" si="13"/>
        <v>0</v>
      </c>
      <c r="J62" s="341">
        <f t="shared" si="13"/>
        <v>0</v>
      </c>
      <c r="K62" s="341">
        <f t="shared" si="13"/>
        <v>0</v>
      </c>
      <c r="L62" s="341">
        <f t="shared" si="13"/>
        <v>0</v>
      </c>
      <c r="M62" s="375">
        <f>M61*3%</f>
        <v>0.89999999999999991</v>
      </c>
    </row>
    <row r="63" spans="2:18" s="375" customFormat="1" ht="15" hidden="1" customHeight="1">
      <c r="B63" s="337"/>
      <c r="C63" s="356" t="s">
        <v>586</v>
      </c>
      <c r="D63" s="341">
        <f>D57-D62</f>
        <v>2.3199999999999998</v>
      </c>
      <c r="E63" s="341">
        <f>E57-E62</f>
        <v>0</v>
      </c>
      <c r="F63" s="341">
        <f>F57-F62</f>
        <v>0</v>
      </c>
      <c r="G63" s="341">
        <f>G57-G62</f>
        <v>0</v>
      </c>
      <c r="H63" s="341"/>
      <c r="I63" s="341">
        <f>I57-I62</f>
        <v>0</v>
      </c>
      <c r="J63" s="341">
        <f>J57-J62</f>
        <v>0</v>
      </c>
      <c r="K63" s="341">
        <f>K57-K62</f>
        <v>0</v>
      </c>
      <c r="L63" s="341">
        <f>L57-L62</f>
        <v>0</v>
      </c>
    </row>
    <row r="64" spans="2:18" s="375" customFormat="1" ht="15" hidden="1" customHeight="1">
      <c r="B64" s="337"/>
      <c r="C64" s="376" t="s">
        <v>587</v>
      </c>
      <c r="D64" s="381"/>
      <c r="E64" s="341"/>
      <c r="F64" s="341"/>
      <c r="G64" s="341"/>
      <c r="H64" s="353"/>
      <c r="I64" s="353"/>
      <c r="J64" s="353"/>
      <c r="K64" s="353"/>
      <c r="L64" s="353"/>
    </row>
    <row r="65" spans="2:18" s="375" customFormat="1" ht="15" customHeight="1">
      <c r="B65" s="384"/>
      <c r="C65" s="343"/>
      <c r="D65" s="381"/>
      <c r="E65" s="341"/>
      <c r="F65" s="341"/>
      <c r="G65" s="341"/>
      <c r="H65" s="353"/>
      <c r="I65" s="353"/>
      <c r="J65" s="353"/>
      <c r="K65" s="353"/>
      <c r="L65" s="353"/>
      <c r="N65" s="375" t="s">
        <v>473</v>
      </c>
      <c r="P65" s="375">
        <f>P51-SUM(P56:P58)</f>
        <v>67532234</v>
      </c>
      <c r="Q65" s="375">
        <f>Q51-SUM(Q56:Q58)</f>
        <v>69292739</v>
      </c>
      <c r="R65" s="375">
        <f>R51-SUM(R56:R58)</f>
        <v>39829850</v>
      </c>
    </row>
    <row r="66" spans="2:18" s="375" customFormat="1" ht="15" customHeight="1">
      <c r="B66" s="362">
        <v>11</v>
      </c>
      <c r="C66" s="376" t="s">
        <v>588</v>
      </c>
      <c r="D66" s="341">
        <f t="shared" ref="D66:L66" si="14">D49+D63</f>
        <v>384.97413510000007</v>
      </c>
      <c r="E66" s="341">
        <f t="shared" si="14"/>
        <v>-2.6499999999999999E-2</v>
      </c>
      <c r="F66" s="341">
        <f t="shared" si="14"/>
        <v>-0.88349999999999995</v>
      </c>
      <c r="G66" s="341">
        <f>G49+G63</f>
        <v>3.2381398333332818</v>
      </c>
      <c r="H66" s="341">
        <f>H49+H63</f>
        <v>55.962815225000284</v>
      </c>
      <c r="I66" s="341">
        <f t="shared" si="14"/>
        <v>83.004422171249644</v>
      </c>
      <c r="J66" s="341">
        <f t="shared" si="14"/>
        <v>92.636182602562258</v>
      </c>
      <c r="K66" s="341">
        <f t="shared" si="14"/>
        <v>95.74056159347856</v>
      </c>
      <c r="L66" s="341">
        <f t="shared" si="14"/>
        <v>96.394928097626689</v>
      </c>
      <c r="N66" s="375" t="s">
        <v>575</v>
      </c>
      <c r="P66" s="377">
        <f>P65/P51*100</f>
        <v>5.526517778271935</v>
      </c>
      <c r="Q66" s="377">
        <f>Q65/Q51*100</f>
        <v>6.3647713614517851</v>
      </c>
      <c r="R66" s="377">
        <f>R65/R51*100</f>
        <v>4.7898081234722953</v>
      </c>
    </row>
    <row r="67" spans="2:18" s="375" customFormat="1" ht="15" customHeight="1">
      <c r="B67" s="362"/>
      <c r="C67" s="376" t="s">
        <v>589</v>
      </c>
      <c r="D67" s="381"/>
      <c r="E67" s="341"/>
      <c r="F67" s="341"/>
      <c r="G67" s="341"/>
      <c r="H67" s="353"/>
      <c r="I67" s="353"/>
      <c r="J67" s="353"/>
      <c r="K67" s="353"/>
      <c r="L67" s="353"/>
    </row>
    <row r="68" spans="2:18" s="375" customFormat="1" ht="15" customHeight="1">
      <c r="B68" s="337">
        <v>12</v>
      </c>
      <c r="C68" s="343" t="s">
        <v>590</v>
      </c>
      <c r="D68" s="341">
        <v>0</v>
      </c>
      <c r="E68" s="351">
        <v>0</v>
      </c>
      <c r="F68" s="351">
        <v>0</v>
      </c>
      <c r="G68" s="351">
        <f t="shared" ref="G68:L68" si="15">G66*30.9%</f>
        <v>1.000585208499984</v>
      </c>
      <c r="H68" s="351">
        <f t="shared" si="15"/>
        <v>17.292509904525087</v>
      </c>
      <c r="I68" s="351">
        <f t="shared" si="15"/>
        <v>25.648366450916139</v>
      </c>
      <c r="J68" s="351">
        <f t="shared" si="15"/>
        <v>28.624580424191738</v>
      </c>
      <c r="K68" s="351">
        <f t="shared" si="15"/>
        <v>29.583833532384876</v>
      </c>
      <c r="L68" s="351">
        <f t="shared" si="15"/>
        <v>29.786032782166647</v>
      </c>
      <c r="M68" s="374"/>
      <c r="Q68" s="377">
        <f>P66+Q66+R66</f>
        <v>16.681097263196015</v>
      </c>
    </row>
    <row r="69" spans="2:18" s="375" customFormat="1" ht="15" customHeight="1">
      <c r="B69" s="337"/>
      <c r="C69" s="343"/>
      <c r="D69" s="361"/>
      <c r="E69" s="341"/>
      <c r="F69" s="341"/>
      <c r="G69" s="341"/>
      <c r="H69" s="341"/>
      <c r="I69" s="341"/>
      <c r="J69" s="341"/>
      <c r="K69" s="341"/>
      <c r="L69" s="341"/>
      <c r="Q69" s="383">
        <f>Q68/3</f>
        <v>5.5603657543986715</v>
      </c>
    </row>
    <row r="70" spans="2:18" s="375" customFormat="1" ht="15" customHeight="1">
      <c r="B70" s="337">
        <v>13</v>
      </c>
      <c r="C70" s="343" t="s">
        <v>591</v>
      </c>
      <c r="D70" s="341">
        <f t="shared" ref="D70:L70" si="16">D66-D68</f>
        <v>384.97413510000007</v>
      </c>
      <c r="E70" s="341">
        <f t="shared" si="16"/>
        <v>-2.6499999999999999E-2</v>
      </c>
      <c r="F70" s="341">
        <f t="shared" si="16"/>
        <v>-0.88349999999999995</v>
      </c>
      <c r="G70" s="341">
        <f t="shared" si="16"/>
        <v>2.2375546248332978</v>
      </c>
      <c r="H70" s="341">
        <f t="shared" si="16"/>
        <v>38.670305320475194</v>
      </c>
      <c r="I70" s="341">
        <f t="shared" si="16"/>
        <v>57.356055720333501</v>
      </c>
      <c r="J70" s="341">
        <f t="shared" si="16"/>
        <v>64.011602178370524</v>
      </c>
      <c r="K70" s="341">
        <f t="shared" si="16"/>
        <v>66.156728061093688</v>
      </c>
      <c r="L70" s="341">
        <f t="shared" si="16"/>
        <v>66.608895315460046</v>
      </c>
    </row>
    <row r="71" spans="2:18" s="375" customFormat="1" ht="15" customHeight="1">
      <c r="B71" s="337"/>
      <c r="C71" s="343"/>
      <c r="D71" s="361"/>
      <c r="E71" s="341"/>
      <c r="F71" s="341"/>
      <c r="G71" s="341"/>
      <c r="H71" s="341"/>
      <c r="I71" s="341"/>
      <c r="J71" s="341"/>
      <c r="K71" s="341"/>
      <c r="L71" s="341"/>
    </row>
    <row r="72" spans="2:18" s="375" customFormat="1" ht="15" hidden="1" customHeight="1">
      <c r="B72" s="362">
        <v>15</v>
      </c>
      <c r="C72" s="343" t="s">
        <v>592</v>
      </c>
      <c r="D72" s="361"/>
      <c r="E72" s="341">
        <v>0</v>
      </c>
      <c r="F72" s="341">
        <v>0</v>
      </c>
      <c r="G72" s="341">
        <v>0</v>
      </c>
      <c r="H72" s="341">
        <v>0</v>
      </c>
      <c r="I72" s="341">
        <v>0</v>
      </c>
      <c r="J72" s="341">
        <v>0</v>
      </c>
      <c r="K72" s="341">
        <v>0</v>
      </c>
      <c r="L72" s="341">
        <v>0</v>
      </c>
      <c r="M72" s="374"/>
    </row>
    <row r="73" spans="2:18" s="375" customFormat="1" ht="15" hidden="1" customHeight="1">
      <c r="B73" s="362"/>
      <c r="C73" s="343"/>
      <c r="D73" s="361"/>
      <c r="E73" s="341"/>
      <c r="F73" s="341"/>
      <c r="G73" s="341"/>
      <c r="H73" s="341"/>
      <c r="I73" s="341"/>
      <c r="J73" s="341"/>
      <c r="K73" s="341"/>
      <c r="L73" s="341"/>
      <c r="M73" s="377"/>
      <c r="N73" s="377"/>
      <c r="O73" s="377"/>
    </row>
    <row r="74" spans="2:18" s="375" customFormat="1" ht="15" hidden="1" customHeight="1">
      <c r="B74" s="337">
        <v>16</v>
      </c>
      <c r="C74" s="343" t="s">
        <v>593</v>
      </c>
      <c r="D74" s="341">
        <v>0</v>
      </c>
      <c r="E74" s="351">
        <v>0</v>
      </c>
      <c r="F74" s="351">
        <v>0</v>
      </c>
      <c r="G74" s="351">
        <v>0</v>
      </c>
      <c r="H74" s="351">
        <v>0</v>
      </c>
      <c r="I74" s="351">
        <v>0</v>
      </c>
      <c r="J74" s="351">
        <v>0</v>
      </c>
      <c r="K74" s="351">
        <v>0</v>
      </c>
      <c r="L74" s="351">
        <v>0</v>
      </c>
      <c r="M74" s="374"/>
    </row>
    <row r="75" spans="2:18" s="375" customFormat="1" ht="15" hidden="1" customHeight="1">
      <c r="B75" s="337">
        <v>16</v>
      </c>
      <c r="C75" s="343" t="s">
        <v>594</v>
      </c>
      <c r="D75" s="341">
        <v>0</v>
      </c>
      <c r="E75" s="351">
        <v>0</v>
      </c>
      <c r="F75" s="351">
        <v>0</v>
      </c>
      <c r="G75" s="351">
        <v>0</v>
      </c>
      <c r="H75" s="351"/>
      <c r="I75" s="351"/>
      <c r="J75" s="351"/>
      <c r="K75" s="351"/>
      <c r="L75" s="351"/>
    </row>
    <row r="76" spans="2:18" s="375" customFormat="1" ht="15" hidden="1" customHeight="1">
      <c r="B76" s="337"/>
      <c r="C76" s="343"/>
      <c r="D76" s="361"/>
      <c r="E76" s="341"/>
      <c r="F76" s="341"/>
      <c r="G76" s="341"/>
      <c r="H76" s="341"/>
      <c r="I76" s="341"/>
      <c r="J76" s="341"/>
      <c r="K76" s="341"/>
      <c r="L76" s="341"/>
    </row>
    <row r="77" spans="2:18" s="375" customFormat="1" ht="15" customHeight="1">
      <c r="B77" s="337">
        <v>14</v>
      </c>
      <c r="C77" s="343" t="s">
        <v>595</v>
      </c>
      <c r="D77" s="341">
        <f>D70-D72-D75</f>
        <v>384.97413510000007</v>
      </c>
      <c r="E77" s="341">
        <f>E70-E72+E75</f>
        <v>-2.6499999999999999E-2</v>
      </c>
      <c r="F77" s="341">
        <f>F70-F72+F75</f>
        <v>-0.88349999999999995</v>
      </c>
      <c r="G77" s="341">
        <f t="shared" ref="G77:L77" si="17">G70-G72+G75</f>
        <v>2.2375546248332978</v>
      </c>
      <c r="H77" s="341">
        <f>H70-H72+H75</f>
        <v>38.670305320475194</v>
      </c>
      <c r="I77" s="341">
        <f t="shared" si="17"/>
        <v>57.356055720333501</v>
      </c>
      <c r="J77" s="341">
        <f t="shared" si="17"/>
        <v>64.011602178370524</v>
      </c>
      <c r="K77" s="341">
        <f t="shared" si="17"/>
        <v>66.156728061093688</v>
      </c>
      <c r="L77" s="341">
        <f t="shared" si="17"/>
        <v>66.608895315460046</v>
      </c>
      <c r="M77" s="374"/>
    </row>
    <row r="78" spans="2:18" s="375" customFormat="1" ht="15" customHeight="1">
      <c r="B78" s="337"/>
      <c r="C78" s="352" t="s">
        <v>596</v>
      </c>
      <c r="D78" s="385">
        <v>100</v>
      </c>
      <c r="E78" s="341"/>
      <c r="F78" s="341"/>
      <c r="G78" s="341"/>
      <c r="H78" s="341"/>
      <c r="I78" s="341"/>
      <c r="J78" s="341"/>
      <c r="K78" s="341"/>
      <c r="L78" s="341"/>
    </row>
    <row r="79" spans="2:18" s="388" customFormat="1">
      <c r="B79" s="386"/>
      <c r="C79" s="324"/>
      <c r="D79" s="387"/>
      <c r="F79" s="389"/>
      <c r="G79" s="390"/>
      <c r="H79" s="390"/>
      <c r="I79" s="391"/>
      <c r="J79" s="391"/>
      <c r="K79" s="391"/>
      <c r="L79" s="391"/>
    </row>
    <row r="80" spans="2:18" s="388" customFormat="1">
      <c r="B80" s="392"/>
      <c r="C80" s="324"/>
      <c r="D80" s="393"/>
      <c r="E80" s="394"/>
      <c r="F80" s="389"/>
      <c r="G80" s="390"/>
      <c r="H80" s="390"/>
      <c r="I80" s="391"/>
      <c r="J80" s="391">
        <v>45.61</v>
      </c>
      <c r="K80" s="391">
        <v>46.56</v>
      </c>
      <c r="L80" s="391">
        <v>47.97</v>
      </c>
    </row>
    <row r="81" spans="2:12" s="388" customFormat="1">
      <c r="B81" s="392"/>
      <c r="C81" s="324"/>
      <c r="D81" s="387"/>
      <c r="E81" s="395"/>
      <c r="F81" s="389"/>
      <c r="G81" s="390"/>
      <c r="H81" s="390"/>
      <c r="I81" s="391"/>
      <c r="J81" s="391"/>
      <c r="K81" s="391"/>
      <c r="L81" s="391"/>
    </row>
    <row r="82" spans="2:12" s="388" customFormat="1">
      <c r="B82" s="392"/>
      <c r="C82" s="324"/>
      <c r="D82" s="387"/>
      <c r="E82" s="395"/>
      <c r="F82" s="389"/>
      <c r="G82" s="390"/>
      <c r="H82" s="390"/>
      <c r="I82" s="390"/>
      <c r="J82" s="390" t="e">
        <f>J46+J44+#REF!</f>
        <v>#REF!</v>
      </c>
      <c r="K82" s="390" t="e">
        <f>K46+K44+#REF!</f>
        <v>#REF!</v>
      </c>
      <c r="L82" s="390" t="e">
        <f>L46+L44+#REF!</f>
        <v>#REF!</v>
      </c>
    </row>
    <row r="83" spans="2:12" s="388" customFormat="1">
      <c r="B83" s="392"/>
      <c r="C83" s="324"/>
      <c r="D83" s="387"/>
      <c r="F83" s="389"/>
      <c r="G83" s="390"/>
      <c r="H83" s="390"/>
      <c r="I83" s="391"/>
      <c r="J83" s="391"/>
      <c r="K83" s="391"/>
      <c r="L83" s="391"/>
    </row>
    <row r="84" spans="2:12" s="388" customFormat="1">
      <c r="B84" s="392"/>
      <c r="C84" s="324"/>
      <c r="D84" s="387"/>
      <c r="F84" s="389"/>
      <c r="G84" s="390"/>
      <c r="H84" s="390"/>
      <c r="I84" s="391"/>
      <c r="J84" s="391"/>
      <c r="K84" s="391"/>
      <c r="L84" s="391"/>
    </row>
    <row r="85" spans="2:12" s="388" customFormat="1">
      <c r="B85" s="392"/>
      <c r="C85" s="324"/>
      <c r="D85" s="387"/>
      <c r="F85" s="389"/>
      <c r="G85" s="390"/>
      <c r="H85" s="390"/>
      <c r="I85" s="391"/>
      <c r="J85" s="391"/>
      <c r="K85" s="391"/>
      <c r="L85" s="391"/>
    </row>
    <row r="86" spans="2:12" s="388" customFormat="1">
      <c r="B86" s="392"/>
      <c r="C86" s="324"/>
      <c r="D86" s="387"/>
      <c r="F86" s="389"/>
      <c r="G86" s="390"/>
      <c r="H86" s="390"/>
      <c r="I86" s="391"/>
      <c r="J86" s="391"/>
      <c r="K86" s="391"/>
      <c r="L86" s="391"/>
    </row>
    <row r="87" spans="2:12" s="388" customFormat="1">
      <c r="B87" s="392"/>
      <c r="C87" s="324"/>
      <c r="D87" s="387"/>
      <c r="F87" s="389"/>
      <c r="G87" s="390"/>
      <c r="H87" s="390"/>
      <c r="I87" s="391"/>
      <c r="J87" s="391"/>
      <c r="K87" s="391"/>
      <c r="L87" s="391"/>
    </row>
    <row r="88" spans="2:12" s="388" customFormat="1">
      <c r="B88" s="392"/>
      <c r="C88" s="324"/>
      <c r="D88" s="387"/>
      <c r="F88" s="389"/>
      <c r="G88" s="390"/>
      <c r="H88" s="390"/>
      <c r="I88" s="391"/>
      <c r="J88" s="391"/>
      <c r="K88" s="391"/>
      <c r="L88" s="391"/>
    </row>
    <row r="89" spans="2:12" s="388" customFormat="1">
      <c r="B89" s="392"/>
      <c r="C89" s="324"/>
      <c r="D89" s="387"/>
      <c r="F89" s="389"/>
      <c r="G89" s="390"/>
      <c r="H89" s="390"/>
      <c r="I89" s="391"/>
      <c r="J89" s="391"/>
      <c r="K89" s="391"/>
      <c r="L89" s="391"/>
    </row>
    <row r="90" spans="2:12" s="388" customFormat="1">
      <c r="B90" s="392"/>
      <c r="C90" s="324"/>
      <c r="D90" s="387"/>
      <c r="F90" s="389"/>
      <c r="G90" s="390"/>
      <c r="H90" s="390"/>
      <c r="I90" s="391"/>
      <c r="J90" s="391"/>
      <c r="K90" s="391"/>
      <c r="L90" s="391"/>
    </row>
    <row r="91" spans="2:12" s="388" customFormat="1" hidden="1">
      <c r="B91" s="392"/>
      <c r="C91" s="324"/>
      <c r="D91" s="387"/>
      <c r="E91" s="391">
        <f>884201.91/100000</f>
        <v>8.8420190999999999</v>
      </c>
      <c r="F91" s="323"/>
      <c r="G91" s="324"/>
      <c r="H91" s="324"/>
      <c r="I91" s="391"/>
      <c r="J91" s="391"/>
      <c r="K91" s="391"/>
      <c r="L91" s="391"/>
    </row>
    <row r="92" spans="2:12" s="388" customFormat="1" hidden="1">
      <c r="B92" s="392"/>
      <c r="C92" s="324"/>
      <c r="D92" s="387"/>
      <c r="E92" s="391">
        <f>224.43-E91</f>
        <v>215.58798090000002</v>
      </c>
      <c r="F92" s="389"/>
      <c r="G92" s="390"/>
      <c r="H92" s="390"/>
      <c r="I92" s="391"/>
      <c r="J92" s="391"/>
      <c r="K92" s="391"/>
      <c r="L92" s="391"/>
    </row>
    <row r="93" spans="2:12" s="388" customFormat="1" hidden="1">
      <c r="B93" s="392"/>
      <c r="C93" s="324"/>
      <c r="D93" s="387"/>
      <c r="E93" s="391"/>
      <c r="F93" s="323"/>
      <c r="G93" s="324"/>
      <c r="H93" s="324"/>
      <c r="I93" s="391"/>
      <c r="J93" s="391"/>
      <c r="K93" s="391"/>
      <c r="L93" s="391"/>
    </row>
    <row r="94" spans="2:12" s="388" customFormat="1" hidden="1">
      <c r="B94" s="392"/>
      <c r="C94" s="324"/>
      <c r="D94" s="387"/>
      <c r="E94" s="391"/>
      <c r="F94" s="389"/>
      <c r="G94" s="390"/>
      <c r="H94" s="324"/>
    </row>
    <row r="95" spans="2:12" s="388" customFormat="1" hidden="1">
      <c r="B95" s="392"/>
      <c r="C95" s="324"/>
      <c r="D95" s="387"/>
      <c r="E95" s="391"/>
      <c r="F95" s="323"/>
      <c r="G95" s="324"/>
      <c r="H95" s="324"/>
    </row>
    <row r="96" spans="2:12" s="388" customFormat="1" hidden="1">
      <c r="B96" s="392"/>
      <c r="C96" s="324"/>
      <c r="D96" s="387"/>
      <c r="F96" s="323"/>
      <c r="G96" s="324"/>
      <c r="H96" s="324"/>
    </row>
    <row r="97" spans="3:8" hidden="1">
      <c r="F97" s="323"/>
      <c r="G97" s="317"/>
      <c r="H97" s="390"/>
    </row>
    <row r="98" spans="3:8" hidden="1">
      <c r="C98" s="317" t="s">
        <v>597</v>
      </c>
      <c r="E98" s="318">
        <v>2990835</v>
      </c>
      <c r="F98" s="323"/>
      <c r="G98" s="317"/>
      <c r="H98" s="324"/>
    </row>
    <row r="99" spans="3:8" hidden="1">
      <c r="C99" s="317" t="s">
        <v>598</v>
      </c>
      <c r="E99" s="396">
        <v>19776341.559999999</v>
      </c>
      <c r="F99" s="323"/>
      <c r="G99" s="317"/>
      <c r="H99" s="324"/>
    </row>
    <row r="100" spans="3:8" hidden="1">
      <c r="C100" s="317" t="s">
        <v>599</v>
      </c>
      <c r="E100" s="318">
        <f>126750+139780+2897947</f>
        <v>3164477</v>
      </c>
      <c r="F100" s="323"/>
      <c r="G100" s="317"/>
      <c r="H100" s="324"/>
    </row>
    <row r="101" spans="3:8" ht="13.5" hidden="1" thickBot="1">
      <c r="E101" s="397">
        <f>E98+E99-E100</f>
        <v>19602699.559999999</v>
      </c>
      <c r="F101" s="389"/>
      <c r="G101" s="320"/>
      <c r="H101" s="324"/>
    </row>
    <row r="102" spans="3:8" hidden="1">
      <c r="F102" s="323"/>
      <c r="G102" s="317"/>
      <c r="H102" s="324"/>
    </row>
    <row r="103" spans="3:8" hidden="1">
      <c r="E103" s="396"/>
      <c r="F103" s="323"/>
      <c r="G103" s="317"/>
      <c r="H103" s="324"/>
    </row>
    <row r="104" spans="3:8" hidden="1">
      <c r="F104" s="323"/>
      <c r="G104" s="317"/>
      <c r="H104" s="324"/>
    </row>
    <row r="105" spans="3:8" hidden="1">
      <c r="F105" s="323"/>
      <c r="G105" s="317"/>
      <c r="H105" s="324"/>
    </row>
    <row r="106" spans="3:8" hidden="1">
      <c r="F106" s="323"/>
      <c r="G106" s="317"/>
      <c r="H106" s="324"/>
    </row>
    <row r="107" spans="3:8" hidden="1">
      <c r="F107" s="323"/>
      <c r="G107" s="317"/>
      <c r="H107" s="324"/>
    </row>
    <row r="108" spans="3:8" hidden="1">
      <c r="C108" s="317">
        <f>4435934-4590665</f>
        <v>-154731</v>
      </c>
      <c r="F108" s="323"/>
      <c r="G108" s="317"/>
      <c r="H108" s="324"/>
    </row>
    <row r="109" spans="3:8" hidden="1">
      <c r="C109" s="317">
        <f>2387853+448251+1599830</f>
        <v>4435934</v>
      </c>
      <c r="F109" s="323"/>
      <c r="G109" s="317"/>
      <c r="H109" s="387"/>
    </row>
    <row r="110" spans="3:8" hidden="1">
      <c r="C110" s="317" t="s">
        <v>600</v>
      </c>
      <c r="E110" s="318">
        <f>4590665-1599830</f>
        <v>2990835</v>
      </c>
      <c r="F110" s="323"/>
      <c r="G110" s="317"/>
      <c r="H110" s="324"/>
    </row>
    <row r="111" spans="3:8" hidden="1">
      <c r="C111" s="317" t="s">
        <v>601</v>
      </c>
      <c r="E111" s="318">
        <v>1599830</v>
      </c>
      <c r="F111" s="323"/>
      <c r="G111" s="317"/>
      <c r="H111" s="324"/>
    </row>
    <row r="112" spans="3:8" ht="13.5" hidden="1" thickBot="1">
      <c r="E112" s="398">
        <f>SUM(E110:E111)</f>
        <v>4590665</v>
      </c>
      <c r="F112" s="323"/>
      <c r="G112" s="317"/>
      <c r="H112" s="324"/>
    </row>
    <row r="113" spans="3:8" hidden="1">
      <c r="F113" s="323"/>
      <c r="G113" s="317"/>
      <c r="H113" s="324"/>
    </row>
    <row r="114" spans="3:8" hidden="1">
      <c r="C114" s="317" t="s">
        <v>602</v>
      </c>
      <c r="E114" s="318">
        <v>1599830</v>
      </c>
      <c r="F114" s="323"/>
      <c r="G114" s="317"/>
      <c r="H114" s="324"/>
    </row>
    <row r="115" spans="3:8" hidden="1">
      <c r="C115" s="317" t="s">
        <v>603</v>
      </c>
      <c r="E115" s="317">
        <f>4885084-3164477</f>
        <v>1720607</v>
      </c>
      <c r="F115" s="323"/>
      <c r="G115" s="317"/>
      <c r="H115" s="324"/>
    </row>
    <row r="116" spans="3:8" hidden="1">
      <c r="F116" s="323"/>
      <c r="G116" s="317"/>
      <c r="H116" s="324"/>
    </row>
    <row r="117" spans="3:8" hidden="1">
      <c r="F117" s="323"/>
      <c r="G117" s="317"/>
      <c r="H117" s="324"/>
    </row>
    <row r="118" spans="3:8" hidden="1">
      <c r="C118" s="317" t="s">
        <v>604</v>
      </c>
      <c r="F118" s="323"/>
      <c r="G118" s="317"/>
      <c r="H118" s="324"/>
    </row>
    <row r="119" spans="3:8" hidden="1">
      <c r="C119" s="317" t="s">
        <v>605</v>
      </c>
      <c r="E119" s="318">
        <f>4885084-1720607</f>
        <v>3164477</v>
      </c>
      <c r="F119" s="323"/>
      <c r="G119" s="317"/>
      <c r="H119" s="324"/>
    </row>
    <row r="120" spans="3:8" hidden="1">
      <c r="C120" s="317" t="s">
        <v>598</v>
      </c>
      <c r="E120" s="318">
        <f>21221829.79</f>
        <v>21221829.789999999</v>
      </c>
      <c r="F120" s="323"/>
      <c r="G120" s="317"/>
      <c r="H120" s="324"/>
    </row>
    <row r="121" spans="3:8" hidden="1">
      <c r="C121" s="317" t="s">
        <v>606</v>
      </c>
      <c r="E121" s="318">
        <v>3500000</v>
      </c>
      <c r="F121" s="323"/>
      <c r="G121" s="317"/>
      <c r="H121" s="324"/>
    </row>
    <row r="122" spans="3:8" ht="13.5" hidden="1" thickBot="1">
      <c r="C122" s="399" t="s">
        <v>530</v>
      </c>
      <c r="D122" s="400"/>
      <c r="E122" s="399">
        <f>E119+E120-E121</f>
        <v>20886306.789999999</v>
      </c>
      <c r="F122" s="323"/>
      <c r="G122" s="317"/>
      <c r="H122" s="324"/>
    </row>
    <row r="123" spans="3:8" hidden="1">
      <c r="F123" s="323"/>
      <c r="G123" s="317"/>
      <c r="H123" s="324"/>
    </row>
    <row r="124" spans="3:8" hidden="1">
      <c r="F124" s="323"/>
      <c r="G124" s="317"/>
      <c r="H124" s="324"/>
    </row>
    <row r="125" spans="3:8" hidden="1">
      <c r="F125" s="323"/>
      <c r="G125" s="317"/>
      <c r="H125" s="324"/>
    </row>
    <row r="126" spans="3:8" hidden="1">
      <c r="C126" s="317" t="s">
        <v>607</v>
      </c>
      <c r="E126" s="318">
        <f>4885084-3164477</f>
        <v>1720607</v>
      </c>
      <c r="F126" s="323"/>
      <c r="G126" s="317"/>
      <c r="H126" s="324"/>
    </row>
    <row r="127" spans="3:8" hidden="1">
      <c r="C127" s="317" t="s">
        <v>608</v>
      </c>
      <c r="E127" s="318">
        <f>5585084-3500000</f>
        <v>2085084</v>
      </c>
      <c r="F127" s="323"/>
      <c r="G127" s="317"/>
      <c r="H127" s="324"/>
    </row>
    <row r="128" spans="3:8" hidden="1">
      <c r="F128" s="323"/>
      <c r="G128" s="317"/>
      <c r="H128" s="324"/>
    </row>
    <row r="129" spans="6:8" hidden="1">
      <c r="F129" s="323"/>
      <c r="G129" s="317"/>
      <c r="H129" s="324"/>
    </row>
    <row r="130" spans="6:8" hidden="1">
      <c r="F130" s="323"/>
      <c r="G130" s="317"/>
      <c r="H130" s="324"/>
    </row>
    <row r="131" spans="6:8" hidden="1">
      <c r="F131" s="323"/>
      <c r="G131" s="317"/>
      <c r="H131" s="324"/>
    </row>
    <row r="132" spans="6:8" hidden="1">
      <c r="F132" s="323"/>
      <c r="G132" s="317"/>
      <c r="H132" s="324"/>
    </row>
    <row r="133" spans="6:8" hidden="1">
      <c r="F133" s="323"/>
      <c r="G133" s="317"/>
      <c r="H133" s="324"/>
    </row>
    <row r="134" spans="6:8" hidden="1">
      <c r="F134" s="323"/>
      <c r="G134" s="317"/>
      <c r="H134" s="324"/>
    </row>
    <row r="135" spans="6:8" hidden="1">
      <c r="F135" s="323"/>
      <c r="G135" s="317"/>
      <c r="H135" s="324"/>
    </row>
    <row r="136" spans="6:8">
      <c r="F136" s="389"/>
      <c r="G136" s="320"/>
      <c r="H136" s="324"/>
    </row>
    <row r="137" spans="6:8">
      <c r="F137" s="323"/>
      <c r="G137" s="317"/>
      <c r="H137" s="324"/>
    </row>
    <row r="138" spans="6:8">
      <c r="F138" s="323"/>
      <c r="G138" s="317"/>
      <c r="H138" s="324"/>
    </row>
    <row r="139" spans="6:8">
      <c r="F139" s="323"/>
      <c r="G139" s="317"/>
      <c r="H139" s="324"/>
    </row>
    <row r="140" spans="6:8">
      <c r="F140" s="323"/>
      <c r="G140" s="317"/>
      <c r="H140" s="324"/>
    </row>
    <row r="141" spans="6:8">
      <c r="F141" s="323"/>
      <c r="G141" s="317"/>
      <c r="H141" s="324"/>
    </row>
    <row r="142" spans="6:8">
      <c r="F142" s="323"/>
      <c r="G142" s="317"/>
      <c r="H142" s="324"/>
    </row>
    <row r="143" spans="6:8">
      <c r="F143" s="323"/>
      <c r="G143" s="317"/>
      <c r="H143" s="324"/>
    </row>
    <row r="144" spans="6:8">
      <c r="F144" s="323"/>
      <c r="G144" s="317"/>
      <c r="H144" s="324"/>
    </row>
    <row r="145" spans="6:8">
      <c r="F145" s="323"/>
      <c r="G145" s="317"/>
      <c r="H145" s="324"/>
    </row>
    <row r="146" spans="6:8">
      <c r="F146" s="323"/>
      <c r="G146" s="317"/>
      <c r="H146" s="324"/>
    </row>
    <row r="147" spans="6:8">
      <c r="F147" s="323"/>
      <c r="G147" s="317"/>
      <c r="H147" s="324"/>
    </row>
    <row r="148" spans="6:8">
      <c r="F148" s="323"/>
      <c r="G148" s="317"/>
      <c r="H148" s="324"/>
    </row>
    <row r="149" spans="6:8">
      <c r="F149" s="323"/>
      <c r="G149" s="317"/>
      <c r="H149" s="324"/>
    </row>
    <row r="150" spans="6:8">
      <c r="F150" s="323"/>
      <c r="G150" s="317"/>
      <c r="H150" s="324"/>
    </row>
    <row r="151" spans="6:8">
      <c r="F151" s="323"/>
      <c r="G151" s="317"/>
      <c r="H151" s="324"/>
    </row>
    <row r="152" spans="6:8">
      <c r="F152" s="323"/>
      <c r="G152" s="317"/>
      <c r="H152" s="324"/>
    </row>
    <row r="153" spans="6:8">
      <c r="F153" s="323"/>
      <c r="G153" s="317"/>
      <c r="H153" s="324"/>
    </row>
    <row r="154" spans="6:8">
      <c r="F154" s="323"/>
      <c r="G154" s="317"/>
      <c r="H154" s="324"/>
    </row>
    <row r="155" spans="6:8">
      <c r="F155" s="323"/>
      <c r="G155" s="317"/>
      <c r="H155" s="324"/>
    </row>
    <row r="156" spans="6:8">
      <c r="F156" s="323"/>
      <c r="G156" s="317"/>
      <c r="H156" s="324"/>
    </row>
    <row r="157" spans="6:8">
      <c r="F157" s="323"/>
      <c r="G157" s="317"/>
      <c r="H157" s="324"/>
    </row>
    <row r="158" spans="6:8">
      <c r="F158" s="323"/>
      <c r="G158" s="317"/>
      <c r="H158" s="324"/>
    </row>
    <row r="159" spans="6:8">
      <c r="F159" s="323"/>
      <c r="G159" s="317"/>
      <c r="H159" s="324"/>
    </row>
    <row r="160" spans="6:8">
      <c r="F160" s="323"/>
      <c r="G160" s="317"/>
      <c r="H160" s="324"/>
    </row>
    <row r="161" spans="6:8">
      <c r="F161" s="323"/>
      <c r="G161" s="317"/>
      <c r="H161" s="324"/>
    </row>
    <row r="162" spans="6:8">
      <c r="F162" s="323"/>
      <c r="G162" s="317"/>
      <c r="H162" s="324"/>
    </row>
    <row r="163" spans="6:8">
      <c r="F163" s="323"/>
      <c r="G163" s="317"/>
      <c r="H163" s="324"/>
    </row>
    <row r="164" spans="6:8">
      <c r="F164" s="323"/>
      <c r="G164" s="317"/>
      <c r="H164" s="324"/>
    </row>
    <row r="165" spans="6:8">
      <c r="F165" s="323"/>
      <c r="G165" s="317"/>
      <c r="H165" s="324"/>
    </row>
    <row r="166" spans="6:8">
      <c r="F166" s="323"/>
      <c r="G166" s="317"/>
      <c r="H166" s="324"/>
    </row>
    <row r="167" spans="6:8">
      <c r="F167" s="323"/>
      <c r="G167" s="317"/>
      <c r="H167" s="324"/>
    </row>
    <row r="168" spans="6:8">
      <c r="F168" s="323"/>
      <c r="G168" s="317"/>
      <c r="H168" s="324"/>
    </row>
    <row r="169" spans="6:8">
      <c r="F169" s="323"/>
      <c r="G169" s="317"/>
      <c r="H169" s="324"/>
    </row>
    <row r="170" spans="6:8">
      <c r="F170" s="323"/>
      <c r="G170" s="317"/>
      <c r="H170" s="324"/>
    </row>
    <row r="171" spans="6:8">
      <c r="F171" s="323"/>
      <c r="G171" s="317"/>
      <c r="H171" s="324"/>
    </row>
    <row r="172" spans="6:8">
      <c r="F172" s="323"/>
      <c r="G172" s="317"/>
      <c r="H172" s="324"/>
    </row>
    <row r="173" spans="6:8">
      <c r="F173" s="323"/>
      <c r="G173" s="317"/>
      <c r="H173" s="324"/>
    </row>
    <row r="174" spans="6:8">
      <c r="F174" s="323"/>
      <c r="G174" s="317"/>
      <c r="H174" s="324"/>
    </row>
    <row r="175" spans="6:8">
      <c r="F175" s="323"/>
      <c r="G175" s="317"/>
      <c r="H175" s="324"/>
    </row>
    <row r="176" spans="6:8">
      <c r="F176" s="323"/>
      <c r="G176" s="317"/>
      <c r="H176" s="324"/>
    </row>
    <row r="177" spans="6:8">
      <c r="F177" s="323"/>
      <c r="G177" s="317"/>
      <c r="H177" s="324"/>
    </row>
    <row r="178" spans="6:8">
      <c r="F178" s="323"/>
      <c r="G178" s="317"/>
      <c r="H178" s="324"/>
    </row>
    <row r="179" spans="6:8">
      <c r="F179" s="323"/>
      <c r="G179" s="317"/>
      <c r="H179" s="324"/>
    </row>
    <row r="180" spans="6:8">
      <c r="F180" s="323"/>
      <c r="G180" s="317"/>
      <c r="H180" s="324"/>
    </row>
    <row r="181" spans="6:8">
      <c r="F181" s="323"/>
      <c r="G181" s="317"/>
      <c r="H181" s="324"/>
    </row>
    <row r="182" spans="6:8">
      <c r="F182" s="323"/>
      <c r="G182" s="317"/>
      <c r="H182" s="324"/>
    </row>
    <row r="183" spans="6:8">
      <c r="F183" s="323"/>
      <c r="G183" s="317"/>
      <c r="H183" s="324"/>
    </row>
    <row r="184" spans="6:8">
      <c r="F184" s="323"/>
      <c r="G184" s="317"/>
      <c r="H184" s="324"/>
    </row>
    <row r="185" spans="6:8">
      <c r="F185" s="323"/>
      <c r="G185" s="317"/>
      <c r="H185" s="324"/>
    </row>
    <row r="186" spans="6:8">
      <c r="F186" s="323"/>
      <c r="G186" s="317"/>
      <c r="H186" s="324"/>
    </row>
    <row r="187" spans="6:8">
      <c r="F187" s="323"/>
      <c r="G187" s="317"/>
      <c r="H187" s="324"/>
    </row>
    <row r="188" spans="6:8">
      <c r="F188" s="323"/>
      <c r="G188" s="317"/>
      <c r="H188" s="324"/>
    </row>
    <row r="189" spans="6:8">
      <c r="F189" s="323"/>
      <c r="G189" s="317"/>
      <c r="H189" s="324"/>
    </row>
    <row r="190" spans="6:8">
      <c r="F190" s="323"/>
      <c r="G190" s="317"/>
      <c r="H190" s="324"/>
    </row>
    <row r="191" spans="6:8">
      <c r="F191" s="323"/>
      <c r="G191" s="317"/>
      <c r="H191" s="324"/>
    </row>
    <row r="192" spans="6:8">
      <c r="F192" s="323"/>
      <c r="G192" s="317"/>
      <c r="H192" s="324"/>
    </row>
    <row r="193" spans="6:8">
      <c r="F193" s="323"/>
      <c r="G193" s="317"/>
      <c r="H193" s="324"/>
    </row>
    <row r="194" spans="6:8">
      <c r="F194" s="323"/>
      <c r="G194" s="317"/>
      <c r="H194" s="324"/>
    </row>
    <row r="195" spans="6:8">
      <c r="F195" s="323"/>
      <c r="G195" s="317"/>
      <c r="H195" s="324"/>
    </row>
    <row r="196" spans="6:8">
      <c r="F196" s="323"/>
      <c r="G196" s="317"/>
      <c r="H196" s="324"/>
    </row>
    <row r="197" spans="6:8">
      <c r="F197" s="323"/>
      <c r="G197" s="317"/>
      <c r="H197" s="324"/>
    </row>
    <row r="198" spans="6:8">
      <c r="F198" s="323"/>
      <c r="G198" s="317"/>
      <c r="H198" s="324"/>
    </row>
    <row r="199" spans="6:8">
      <c r="F199" s="323"/>
      <c r="G199" s="317"/>
      <c r="H199" s="324"/>
    </row>
    <row r="200" spans="6:8">
      <c r="F200" s="323"/>
      <c r="G200" s="317"/>
      <c r="H200" s="324"/>
    </row>
    <row r="201" spans="6:8">
      <c r="F201" s="323"/>
      <c r="G201" s="317"/>
      <c r="H201" s="324"/>
    </row>
    <row r="202" spans="6:8">
      <c r="F202" s="323"/>
      <c r="G202" s="317"/>
      <c r="H202" s="324"/>
    </row>
    <row r="203" spans="6:8">
      <c r="F203" s="323"/>
      <c r="G203" s="317"/>
      <c r="H203" s="324"/>
    </row>
    <row r="204" spans="6:8">
      <c r="F204" s="323"/>
      <c r="G204" s="317"/>
      <c r="H204" s="324"/>
    </row>
    <row r="205" spans="6:8">
      <c r="F205" s="323"/>
      <c r="G205" s="317"/>
      <c r="H205" s="324"/>
    </row>
    <row r="206" spans="6:8">
      <c r="F206" s="323"/>
      <c r="G206" s="317"/>
      <c r="H206" s="324"/>
    </row>
    <row r="207" spans="6:8">
      <c r="F207" s="323"/>
      <c r="G207" s="317"/>
      <c r="H207" s="324"/>
    </row>
    <row r="208" spans="6:8">
      <c r="F208" s="323"/>
      <c r="G208" s="317"/>
      <c r="H208" s="324"/>
    </row>
    <row r="209" spans="6:8">
      <c r="F209" s="323"/>
      <c r="G209" s="317"/>
      <c r="H209" s="324"/>
    </row>
    <row r="210" spans="6:8">
      <c r="F210" s="323"/>
      <c r="G210" s="317"/>
      <c r="H210" s="324"/>
    </row>
    <row r="211" spans="6:8">
      <c r="F211" s="323"/>
      <c r="G211" s="317"/>
      <c r="H211" s="324"/>
    </row>
    <row r="212" spans="6:8">
      <c r="F212" s="323"/>
      <c r="G212" s="317"/>
      <c r="H212" s="324"/>
    </row>
    <row r="213" spans="6:8">
      <c r="F213" s="323"/>
      <c r="G213" s="317"/>
      <c r="H213" s="324"/>
    </row>
    <row r="214" spans="6:8">
      <c r="F214" s="323"/>
      <c r="G214" s="317"/>
      <c r="H214" s="324"/>
    </row>
    <row r="215" spans="6:8">
      <c r="F215" s="323"/>
      <c r="G215" s="317"/>
      <c r="H215" s="324"/>
    </row>
    <row r="216" spans="6:8">
      <c r="F216" s="323"/>
      <c r="G216" s="317"/>
      <c r="H216" s="324"/>
    </row>
    <row r="217" spans="6:8">
      <c r="F217" s="323"/>
      <c r="G217" s="317"/>
      <c r="H217" s="324"/>
    </row>
    <row r="218" spans="6:8">
      <c r="F218" s="323"/>
      <c r="G218" s="317"/>
      <c r="H218" s="324"/>
    </row>
    <row r="219" spans="6:8">
      <c r="F219" s="323"/>
      <c r="G219" s="317"/>
      <c r="H219" s="324"/>
    </row>
    <row r="220" spans="6:8">
      <c r="F220" s="323"/>
      <c r="G220" s="317"/>
      <c r="H220" s="324"/>
    </row>
    <row r="221" spans="6:8">
      <c r="F221" s="323"/>
      <c r="G221" s="317"/>
      <c r="H221" s="324"/>
    </row>
    <row r="222" spans="6:8">
      <c r="F222" s="323"/>
      <c r="G222" s="317"/>
      <c r="H222" s="324"/>
    </row>
    <row r="223" spans="6:8">
      <c r="F223" s="323"/>
      <c r="G223" s="317"/>
      <c r="H223" s="324"/>
    </row>
    <row r="224" spans="6:8">
      <c r="F224" s="323"/>
      <c r="G224" s="317"/>
      <c r="H224" s="324"/>
    </row>
    <row r="225" spans="6:8">
      <c r="F225" s="323"/>
      <c r="G225" s="317"/>
      <c r="H225" s="324"/>
    </row>
    <row r="226" spans="6:8">
      <c r="F226" s="323"/>
      <c r="G226" s="317"/>
      <c r="H226" s="324"/>
    </row>
    <row r="227" spans="6:8">
      <c r="F227" s="323"/>
      <c r="G227" s="317"/>
      <c r="H227" s="324"/>
    </row>
    <row r="228" spans="6:8">
      <c r="F228" s="323"/>
      <c r="G228" s="317"/>
      <c r="H228" s="324"/>
    </row>
    <row r="229" spans="6:8">
      <c r="F229" s="323"/>
      <c r="G229" s="317"/>
      <c r="H229" s="324"/>
    </row>
    <row r="230" spans="6:8">
      <c r="F230" s="323"/>
      <c r="G230" s="317"/>
      <c r="H230" s="324"/>
    </row>
    <row r="231" spans="6:8">
      <c r="F231" s="323"/>
      <c r="G231" s="317"/>
      <c r="H231" s="324"/>
    </row>
    <row r="232" spans="6:8">
      <c r="F232" s="323"/>
      <c r="G232" s="317"/>
      <c r="H232" s="324"/>
    </row>
    <row r="233" spans="6:8">
      <c r="F233" s="323"/>
      <c r="G233" s="317"/>
      <c r="H233" s="324"/>
    </row>
    <row r="234" spans="6:8">
      <c r="F234" s="323"/>
      <c r="G234" s="317"/>
      <c r="H234" s="324"/>
    </row>
    <row r="235" spans="6:8">
      <c r="F235" s="323"/>
      <c r="G235" s="317"/>
      <c r="H235" s="324"/>
    </row>
    <row r="236" spans="6:8">
      <c r="F236" s="323"/>
      <c r="G236" s="317"/>
      <c r="H236" s="324"/>
    </row>
    <row r="237" spans="6:8">
      <c r="F237" s="323"/>
      <c r="G237" s="317"/>
      <c r="H237" s="324"/>
    </row>
    <row r="238" spans="6:8">
      <c r="F238" s="323"/>
      <c r="G238" s="317"/>
      <c r="H238" s="324"/>
    </row>
    <row r="239" spans="6:8">
      <c r="F239" s="323"/>
      <c r="G239" s="317"/>
      <c r="H239" s="324"/>
    </row>
    <row r="240" spans="6:8">
      <c r="F240" s="323"/>
      <c r="G240" s="317"/>
      <c r="H240" s="324"/>
    </row>
    <row r="241" spans="6:8">
      <c r="F241" s="323"/>
      <c r="G241" s="317"/>
      <c r="H241" s="324"/>
    </row>
    <row r="242" spans="6:8">
      <c r="F242" s="323"/>
      <c r="G242" s="317"/>
      <c r="H242" s="324"/>
    </row>
    <row r="243" spans="6:8">
      <c r="F243" s="323"/>
      <c r="G243" s="317"/>
      <c r="H243" s="324"/>
    </row>
    <row r="244" spans="6:8">
      <c r="F244" s="323"/>
      <c r="G244" s="317"/>
      <c r="H244" s="324"/>
    </row>
    <row r="245" spans="6:8">
      <c r="F245" s="323"/>
      <c r="G245" s="317"/>
      <c r="H245" s="324"/>
    </row>
    <row r="246" spans="6:8">
      <c r="F246" s="323"/>
      <c r="G246" s="317"/>
      <c r="H246" s="324"/>
    </row>
    <row r="247" spans="6:8">
      <c r="F247" s="323"/>
      <c r="G247" s="317"/>
      <c r="H247" s="324"/>
    </row>
    <row r="248" spans="6:8">
      <c r="F248" s="323"/>
      <c r="G248" s="317"/>
      <c r="H248" s="324"/>
    </row>
    <row r="249" spans="6:8">
      <c r="F249" s="323"/>
      <c r="G249" s="317"/>
      <c r="H249" s="324"/>
    </row>
    <row r="250" spans="6:8">
      <c r="F250" s="323"/>
      <c r="G250" s="317"/>
      <c r="H250" s="324"/>
    </row>
    <row r="251" spans="6:8">
      <c r="F251" s="323"/>
      <c r="G251" s="317"/>
      <c r="H251" s="324"/>
    </row>
    <row r="252" spans="6:8">
      <c r="F252" s="323"/>
      <c r="G252" s="317"/>
      <c r="H252" s="324"/>
    </row>
    <row r="253" spans="6:8">
      <c r="F253" s="323"/>
      <c r="G253" s="317"/>
      <c r="H253" s="324"/>
    </row>
    <row r="254" spans="6:8">
      <c r="F254" s="323"/>
      <c r="G254" s="317"/>
      <c r="H254" s="324"/>
    </row>
    <row r="255" spans="6:8">
      <c r="F255" s="323"/>
      <c r="G255" s="317"/>
      <c r="H255" s="324"/>
    </row>
    <row r="256" spans="6:8">
      <c r="F256" s="323"/>
      <c r="G256" s="317"/>
      <c r="H256" s="324"/>
    </row>
    <row r="257" spans="6:8">
      <c r="F257" s="323"/>
      <c r="G257" s="317"/>
      <c r="H257" s="324"/>
    </row>
    <row r="258" spans="6:8">
      <c r="F258" s="323"/>
      <c r="G258" s="317"/>
      <c r="H258" s="324"/>
    </row>
    <row r="259" spans="6:8">
      <c r="F259" s="323"/>
      <c r="G259" s="317"/>
      <c r="H259" s="324"/>
    </row>
    <row r="260" spans="6:8">
      <c r="F260" s="323"/>
      <c r="G260" s="317"/>
      <c r="H260" s="324"/>
    </row>
    <row r="261" spans="6:8">
      <c r="F261" s="323"/>
      <c r="G261" s="317"/>
      <c r="H261" s="324"/>
    </row>
    <row r="262" spans="6:8">
      <c r="F262" s="323"/>
      <c r="G262" s="317"/>
      <c r="H262" s="324"/>
    </row>
    <row r="263" spans="6:8">
      <c r="F263" s="323"/>
      <c r="G263" s="317"/>
      <c r="H263" s="324"/>
    </row>
    <row r="264" spans="6:8">
      <c r="F264" s="323"/>
      <c r="G264" s="317"/>
      <c r="H264" s="324"/>
    </row>
    <row r="265" spans="6:8">
      <c r="F265" s="323"/>
      <c r="G265" s="317"/>
      <c r="H265" s="324"/>
    </row>
    <row r="266" spans="6:8">
      <c r="F266" s="323"/>
      <c r="G266" s="317"/>
      <c r="H266" s="324"/>
    </row>
    <row r="267" spans="6:8">
      <c r="F267" s="323"/>
      <c r="G267" s="317"/>
      <c r="H267" s="324"/>
    </row>
    <row r="268" spans="6:8">
      <c r="F268" s="323"/>
      <c r="G268" s="317"/>
      <c r="H268" s="324"/>
    </row>
    <row r="269" spans="6:8">
      <c r="F269" s="323"/>
      <c r="G269" s="317"/>
      <c r="H269" s="324"/>
    </row>
    <row r="270" spans="6:8">
      <c r="F270" s="323"/>
      <c r="G270" s="317"/>
      <c r="H270" s="324"/>
    </row>
    <row r="271" spans="6:8">
      <c r="F271" s="323"/>
      <c r="G271" s="317"/>
      <c r="H271" s="324"/>
    </row>
    <row r="272" spans="6:8">
      <c r="F272" s="323"/>
      <c r="G272" s="317"/>
      <c r="H272" s="324"/>
    </row>
    <row r="273" spans="6:8">
      <c r="F273" s="323"/>
      <c r="G273" s="317"/>
      <c r="H273" s="324"/>
    </row>
    <row r="274" spans="6:8">
      <c r="F274" s="323"/>
      <c r="G274" s="317"/>
      <c r="H274" s="324"/>
    </row>
    <row r="275" spans="6:8">
      <c r="F275" s="323"/>
      <c r="G275" s="317"/>
      <c r="H275" s="324"/>
    </row>
    <row r="276" spans="6:8">
      <c r="F276" s="323"/>
      <c r="G276" s="317"/>
      <c r="H276" s="324"/>
    </row>
    <row r="277" spans="6:8">
      <c r="F277" s="323"/>
      <c r="G277" s="317"/>
      <c r="H277" s="324"/>
    </row>
    <row r="278" spans="6:8">
      <c r="F278" s="323"/>
      <c r="G278" s="317"/>
      <c r="H278" s="324"/>
    </row>
    <row r="279" spans="6:8">
      <c r="F279" s="323"/>
      <c r="G279" s="317"/>
      <c r="H279" s="324"/>
    </row>
    <row r="280" spans="6:8">
      <c r="F280" s="323"/>
      <c r="G280" s="317"/>
      <c r="H280" s="324"/>
    </row>
    <row r="281" spans="6:8">
      <c r="F281" s="323"/>
      <c r="G281" s="317"/>
      <c r="H281" s="324"/>
    </row>
    <row r="282" spans="6:8">
      <c r="F282" s="323"/>
      <c r="G282" s="317"/>
      <c r="H282" s="324"/>
    </row>
    <row r="283" spans="6:8">
      <c r="F283" s="323"/>
      <c r="G283" s="317"/>
      <c r="H283" s="324"/>
    </row>
    <row r="284" spans="6:8">
      <c r="F284" s="323"/>
      <c r="G284" s="317"/>
      <c r="H284" s="324"/>
    </row>
    <row r="285" spans="6:8">
      <c r="F285" s="323"/>
      <c r="G285" s="317"/>
      <c r="H285" s="324"/>
    </row>
    <row r="286" spans="6:8">
      <c r="F286" s="323"/>
      <c r="G286" s="317"/>
      <c r="H286" s="324"/>
    </row>
    <row r="287" spans="6:8">
      <c r="F287" s="323"/>
      <c r="G287" s="317"/>
      <c r="H287" s="324"/>
    </row>
    <row r="288" spans="6:8">
      <c r="F288" s="323"/>
      <c r="G288" s="317"/>
      <c r="H288" s="324"/>
    </row>
    <row r="289" spans="6:8">
      <c r="F289" s="323"/>
      <c r="G289" s="317"/>
      <c r="H289" s="324"/>
    </row>
    <row r="290" spans="6:8">
      <c r="F290" s="323"/>
      <c r="G290" s="317"/>
      <c r="H290" s="324"/>
    </row>
    <row r="291" spans="6:8">
      <c r="F291" s="323"/>
      <c r="G291" s="317"/>
      <c r="H291" s="324"/>
    </row>
    <row r="292" spans="6:8">
      <c r="F292" s="323"/>
      <c r="G292" s="317"/>
      <c r="H292" s="324"/>
    </row>
    <row r="293" spans="6:8">
      <c r="F293" s="323"/>
      <c r="G293" s="317"/>
      <c r="H293" s="324"/>
    </row>
    <row r="294" spans="6:8">
      <c r="F294" s="323"/>
      <c r="G294" s="317"/>
      <c r="H294" s="324"/>
    </row>
    <row r="295" spans="6:8">
      <c r="F295" s="323"/>
      <c r="G295" s="317"/>
      <c r="H295" s="324"/>
    </row>
    <row r="296" spans="6:8">
      <c r="F296" s="323"/>
      <c r="G296" s="317"/>
      <c r="H296" s="324"/>
    </row>
    <row r="297" spans="6:8">
      <c r="F297" s="323"/>
      <c r="G297" s="317"/>
      <c r="H297" s="324"/>
    </row>
    <row r="298" spans="6:8">
      <c r="F298" s="323"/>
      <c r="G298" s="317"/>
      <c r="H298" s="324"/>
    </row>
    <row r="299" spans="6:8">
      <c r="F299" s="323"/>
      <c r="G299" s="317"/>
      <c r="H299" s="324"/>
    </row>
    <row r="300" spans="6:8">
      <c r="F300" s="323"/>
      <c r="G300" s="317"/>
      <c r="H300" s="324"/>
    </row>
    <row r="301" spans="6:8">
      <c r="F301" s="323"/>
      <c r="G301" s="317"/>
      <c r="H301" s="324"/>
    </row>
    <row r="302" spans="6:8">
      <c r="F302" s="323"/>
      <c r="G302" s="317"/>
      <c r="H302" s="324"/>
    </row>
    <row r="303" spans="6:8">
      <c r="F303" s="323"/>
      <c r="G303" s="317"/>
      <c r="H303" s="324"/>
    </row>
    <row r="304" spans="6:8">
      <c r="F304" s="323"/>
      <c r="G304" s="317"/>
      <c r="H304" s="324"/>
    </row>
    <row r="305" spans="6:8">
      <c r="F305" s="323"/>
      <c r="G305" s="317"/>
      <c r="H305" s="324"/>
    </row>
    <row r="306" spans="6:8">
      <c r="F306" s="323"/>
      <c r="G306" s="317"/>
      <c r="H306" s="324"/>
    </row>
    <row r="307" spans="6:8">
      <c r="F307" s="323"/>
      <c r="G307" s="317"/>
      <c r="H307" s="324"/>
    </row>
    <row r="308" spans="6:8">
      <c r="F308" s="323"/>
      <c r="G308" s="317"/>
      <c r="H308" s="324"/>
    </row>
    <row r="309" spans="6:8">
      <c r="F309" s="323"/>
      <c r="G309" s="317"/>
      <c r="H309" s="324"/>
    </row>
    <row r="310" spans="6:8">
      <c r="F310" s="323"/>
      <c r="G310" s="317"/>
      <c r="H310" s="324"/>
    </row>
    <row r="311" spans="6:8">
      <c r="F311" s="323"/>
      <c r="G311" s="317"/>
      <c r="H311" s="324"/>
    </row>
    <row r="312" spans="6:8">
      <c r="F312" s="323"/>
      <c r="G312" s="317"/>
      <c r="H312" s="324"/>
    </row>
    <row r="313" spans="6:8">
      <c r="F313" s="323"/>
      <c r="G313" s="317"/>
      <c r="H313" s="324"/>
    </row>
    <row r="314" spans="6:8">
      <c r="F314" s="323"/>
      <c r="G314" s="317"/>
      <c r="H314" s="324"/>
    </row>
    <row r="315" spans="6:8">
      <c r="F315" s="323"/>
      <c r="G315" s="317"/>
      <c r="H315" s="324"/>
    </row>
    <row r="316" spans="6:8">
      <c r="F316" s="323"/>
      <c r="G316" s="317"/>
      <c r="H316" s="324"/>
    </row>
    <row r="317" spans="6:8">
      <c r="F317" s="323"/>
      <c r="G317" s="317"/>
      <c r="H317" s="324"/>
    </row>
    <row r="318" spans="6:8">
      <c r="F318" s="323"/>
      <c r="G318" s="317"/>
      <c r="H318" s="324"/>
    </row>
    <row r="319" spans="6:8">
      <c r="F319" s="323"/>
      <c r="G319" s="317"/>
      <c r="H319" s="324"/>
    </row>
    <row r="320" spans="6:8">
      <c r="F320" s="323"/>
      <c r="G320" s="317"/>
      <c r="H320" s="324"/>
    </row>
    <row r="321" spans="6:8">
      <c r="F321" s="323"/>
      <c r="G321" s="317"/>
      <c r="H321" s="324"/>
    </row>
    <row r="322" spans="6:8">
      <c r="F322" s="323"/>
      <c r="G322" s="317"/>
      <c r="H322" s="324"/>
    </row>
    <row r="323" spans="6:8">
      <c r="F323" s="323"/>
      <c r="G323" s="317"/>
      <c r="H323" s="324"/>
    </row>
    <row r="324" spans="6:8">
      <c r="F324" s="323"/>
      <c r="G324" s="317"/>
      <c r="H324" s="324"/>
    </row>
    <row r="325" spans="6:8">
      <c r="F325" s="323"/>
      <c r="G325" s="317"/>
      <c r="H325" s="324"/>
    </row>
    <row r="326" spans="6:8">
      <c r="F326" s="323"/>
      <c r="G326" s="317"/>
      <c r="H326" s="324"/>
    </row>
    <row r="327" spans="6:8">
      <c r="F327" s="323"/>
      <c r="G327" s="317"/>
      <c r="H327" s="324"/>
    </row>
    <row r="328" spans="6:8">
      <c r="F328" s="323"/>
      <c r="G328" s="317"/>
      <c r="H328" s="324"/>
    </row>
    <row r="329" spans="6:8">
      <c r="F329" s="323"/>
      <c r="G329" s="317"/>
      <c r="H329" s="324"/>
    </row>
    <row r="330" spans="6:8">
      <c r="F330" s="323"/>
      <c r="G330" s="317"/>
      <c r="H330" s="324"/>
    </row>
    <row r="331" spans="6:8">
      <c r="F331" s="323"/>
      <c r="G331" s="317"/>
      <c r="H331" s="324"/>
    </row>
    <row r="332" spans="6:8">
      <c r="F332" s="323"/>
      <c r="G332" s="317"/>
      <c r="H332" s="324"/>
    </row>
    <row r="333" spans="6:8">
      <c r="F333" s="323"/>
      <c r="G333" s="317"/>
      <c r="H333" s="324"/>
    </row>
    <row r="334" spans="6:8">
      <c r="F334" s="323"/>
      <c r="G334" s="317"/>
      <c r="H334" s="324"/>
    </row>
    <row r="335" spans="6:8">
      <c r="F335" s="323"/>
      <c r="G335" s="317"/>
      <c r="H335" s="324"/>
    </row>
    <row r="336" spans="6:8">
      <c r="F336" s="323"/>
      <c r="G336" s="317"/>
      <c r="H336" s="324"/>
    </row>
    <row r="337" spans="6:8">
      <c r="F337" s="323"/>
      <c r="G337" s="317"/>
      <c r="H337" s="324"/>
    </row>
    <row r="338" spans="6:8">
      <c r="F338" s="323"/>
      <c r="G338" s="317"/>
      <c r="H338" s="324"/>
    </row>
    <row r="339" spans="6:8">
      <c r="F339" s="323"/>
      <c r="G339" s="317"/>
      <c r="H339" s="324"/>
    </row>
    <row r="340" spans="6:8">
      <c r="F340" s="323"/>
      <c r="G340" s="317"/>
      <c r="H340" s="324"/>
    </row>
    <row r="341" spans="6:8">
      <c r="F341" s="323"/>
      <c r="G341" s="317"/>
      <c r="H341" s="324"/>
    </row>
    <row r="342" spans="6:8">
      <c r="F342" s="323"/>
      <c r="G342" s="317"/>
      <c r="H342" s="324"/>
    </row>
    <row r="343" spans="6:8">
      <c r="F343" s="323"/>
      <c r="G343" s="317"/>
      <c r="H343" s="324"/>
    </row>
    <row r="344" spans="6:8">
      <c r="F344" s="323"/>
      <c r="G344" s="317"/>
      <c r="H344" s="324"/>
    </row>
    <row r="345" spans="6:8">
      <c r="F345" s="323"/>
      <c r="G345" s="317"/>
      <c r="H345" s="324"/>
    </row>
    <row r="346" spans="6:8">
      <c r="F346" s="323"/>
      <c r="G346" s="317"/>
      <c r="H346" s="324"/>
    </row>
    <row r="347" spans="6:8">
      <c r="F347" s="323"/>
      <c r="G347" s="317"/>
      <c r="H347" s="324"/>
    </row>
    <row r="348" spans="6:8">
      <c r="F348" s="323"/>
      <c r="G348" s="317"/>
      <c r="H348" s="324"/>
    </row>
    <row r="349" spans="6:8">
      <c r="F349" s="323"/>
      <c r="G349" s="317"/>
      <c r="H349" s="324"/>
    </row>
    <row r="350" spans="6:8">
      <c r="F350" s="323"/>
      <c r="G350" s="317"/>
      <c r="H350" s="324"/>
    </row>
    <row r="351" spans="6:8">
      <c r="F351" s="323"/>
      <c r="G351" s="317"/>
      <c r="H351" s="324"/>
    </row>
    <row r="352" spans="6:8">
      <c r="F352" s="323"/>
      <c r="G352" s="317"/>
      <c r="H352" s="324"/>
    </row>
    <row r="353" spans="6:8">
      <c r="F353" s="323"/>
      <c r="G353" s="317"/>
      <c r="H353" s="324"/>
    </row>
    <row r="354" spans="6:8">
      <c r="F354" s="323"/>
      <c r="G354" s="317"/>
      <c r="H354" s="324"/>
    </row>
    <row r="355" spans="6:8">
      <c r="F355" s="323"/>
      <c r="G355" s="317"/>
      <c r="H355" s="324"/>
    </row>
    <row r="356" spans="6:8">
      <c r="F356" s="323"/>
      <c r="G356" s="317"/>
      <c r="H356" s="324"/>
    </row>
    <row r="357" spans="6:8">
      <c r="F357" s="323"/>
      <c r="G357" s="317"/>
      <c r="H357" s="324"/>
    </row>
    <row r="358" spans="6:8">
      <c r="F358" s="323"/>
      <c r="G358" s="317"/>
      <c r="H358" s="324"/>
    </row>
    <row r="359" spans="6:8">
      <c r="F359" s="323"/>
      <c r="G359" s="317"/>
      <c r="H359" s="324"/>
    </row>
    <row r="360" spans="6:8">
      <c r="F360" s="323"/>
      <c r="G360" s="317"/>
      <c r="H360" s="324"/>
    </row>
    <row r="361" spans="6:8">
      <c r="F361" s="323"/>
      <c r="G361" s="317"/>
      <c r="H361" s="324"/>
    </row>
    <row r="362" spans="6:8">
      <c r="F362" s="323"/>
      <c r="G362" s="317"/>
      <c r="H362" s="324"/>
    </row>
    <row r="363" spans="6:8">
      <c r="F363" s="323"/>
      <c r="G363" s="317"/>
      <c r="H363" s="324"/>
    </row>
    <row r="364" spans="6:8">
      <c r="F364" s="323"/>
      <c r="G364" s="317"/>
      <c r="H364" s="324"/>
    </row>
    <row r="365" spans="6:8">
      <c r="F365" s="323"/>
      <c r="G365" s="317"/>
      <c r="H365" s="324"/>
    </row>
    <row r="366" spans="6:8">
      <c r="F366" s="323"/>
      <c r="G366" s="317"/>
      <c r="H366" s="324"/>
    </row>
    <row r="367" spans="6:8">
      <c r="F367" s="323"/>
      <c r="G367" s="317"/>
      <c r="H367" s="324"/>
    </row>
    <row r="368" spans="6:8">
      <c r="F368" s="323"/>
      <c r="G368" s="317"/>
      <c r="H368" s="324"/>
    </row>
    <row r="369" spans="6:8">
      <c r="F369" s="323"/>
      <c r="G369" s="317"/>
      <c r="H369" s="324"/>
    </row>
    <row r="370" spans="6:8">
      <c r="F370" s="323"/>
      <c r="G370" s="317"/>
      <c r="H370" s="324"/>
    </row>
    <row r="371" spans="6:8">
      <c r="F371" s="323"/>
      <c r="G371" s="317"/>
      <c r="H371" s="324"/>
    </row>
    <row r="372" spans="6:8">
      <c r="F372" s="323"/>
      <c r="G372" s="317"/>
      <c r="H372" s="324"/>
    </row>
    <row r="373" spans="6:8">
      <c r="F373" s="323"/>
      <c r="G373" s="317"/>
      <c r="H373" s="324"/>
    </row>
    <row r="374" spans="6:8">
      <c r="F374" s="323"/>
      <c r="G374" s="317"/>
      <c r="H374" s="324"/>
    </row>
    <row r="375" spans="6:8">
      <c r="F375" s="323"/>
      <c r="G375" s="317"/>
      <c r="H375" s="324"/>
    </row>
    <row r="376" spans="6:8">
      <c r="F376" s="323"/>
      <c r="G376" s="317"/>
      <c r="H376" s="324"/>
    </row>
    <row r="377" spans="6:8">
      <c r="F377" s="323"/>
      <c r="G377" s="317"/>
      <c r="H377" s="324"/>
    </row>
    <row r="378" spans="6:8">
      <c r="F378" s="323"/>
      <c r="G378" s="317"/>
      <c r="H378" s="324"/>
    </row>
    <row r="379" spans="6:8">
      <c r="F379" s="323"/>
      <c r="G379" s="317"/>
      <c r="H379" s="324"/>
    </row>
    <row r="380" spans="6:8">
      <c r="F380" s="323"/>
      <c r="G380" s="317"/>
      <c r="H380" s="324"/>
    </row>
    <row r="381" spans="6:8">
      <c r="F381" s="323"/>
      <c r="G381" s="317"/>
      <c r="H381" s="324"/>
    </row>
    <row r="382" spans="6:8">
      <c r="F382" s="323"/>
      <c r="G382" s="317"/>
      <c r="H382" s="324"/>
    </row>
    <row r="383" spans="6:8">
      <c r="F383" s="323"/>
      <c r="G383" s="317"/>
      <c r="H383" s="324"/>
    </row>
    <row r="384" spans="6:8">
      <c r="F384" s="323"/>
      <c r="G384" s="317"/>
      <c r="H384" s="324"/>
    </row>
    <row r="385" spans="6:8">
      <c r="F385" s="323"/>
      <c r="G385" s="317"/>
      <c r="H385" s="324"/>
    </row>
    <row r="386" spans="6:8">
      <c r="F386" s="323"/>
      <c r="G386" s="317"/>
      <c r="H386" s="324"/>
    </row>
    <row r="387" spans="6:8">
      <c r="F387" s="323"/>
      <c r="G387" s="317"/>
      <c r="H387" s="324"/>
    </row>
    <row r="388" spans="6:8">
      <c r="F388" s="323"/>
      <c r="G388" s="317"/>
      <c r="H388" s="324"/>
    </row>
    <row r="389" spans="6:8">
      <c r="F389" s="323"/>
      <c r="G389" s="317"/>
      <c r="H389" s="324"/>
    </row>
    <row r="390" spans="6:8">
      <c r="F390" s="323"/>
      <c r="G390" s="317"/>
      <c r="H390" s="324"/>
    </row>
    <row r="391" spans="6:8">
      <c r="F391" s="323"/>
      <c r="G391" s="317"/>
      <c r="H391" s="324"/>
    </row>
    <row r="392" spans="6:8">
      <c r="F392" s="323"/>
      <c r="G392" s="317"/>
      <c r="H392" s="324"/>
    </row>
    <row r="393" spans="6:8">
      <c r="F393" s="323"/>
      <c r="G393" s="317"/>
      <c r="H393" s="324"/>
    </row>
    <row r="394" spans="6:8">
      <c r="F394" s="323"/>
      <c r="G394" s="317"/>
      <c r="H394" s="324"/>
    </row>
    <row r="395" spans="6:8">
      <c r="F395" s="323"/>
      <c r="G395" s="317"/>
      <c r="H395" s="324"/>
    </row>
    <row r="396" spans="6:8">
      <c r="F396" s="323"/>
      <c r="G396" s="317"/>
      <c r="H396" s="324"/>
    </row>
    <row r="397" spans="6:8">
      <c r="F397" s="323"/>
      <c r="G397" s="317"/>
      <c r="H397" s="324"/>
    </row>
    <row r="398" spans="6:8">
      <c r="F398" s="323"/>
      <c r="G398" s="317"/>
      <c r="H398" s="324"/>
    </row>
    <row r="399" spans="6:8">
      <c r="F399" s="323"/>
      <c r="G399" s="317"/>
      <c r="H399" s="324"/>
    </row>
    <row r="400" spans="6:8">
      <c r="F400" s="323"/>
      <c r="G400" s="317"/>
      <c r="H400" s="324"/>
    </row>
    <row r="401" spans="6:8">
      <c r="F401" s="323"/>
      <c r="G401" s="317"/>
      <c r="H401" s="324"/>
    </row>
    <row r="402" spans="6:8">
      <c r="F402" s="323"/>
      <c r="G402" s="317"/>
      <c r="H402" s="324"/>
    </row>
    <row r="403" spans="6:8">
      <c r="F403" s="323"/>
      <c r="G403" s="317"/>
      <c r="H403" s="324"/>
    </row>
    <row r="404" spans="6:8">
      <c r="F404" s="323"/>
      <c r="G404" s="317"/>
      <c r="H404" s="324"/>
    </row>
    <row r="405" spans="6:8">
      <c r="F405" s="323"/>
      <c r="G405" s="317"/>
      <c r="H405" s="324"/>
    </row>
    <row r="406" spans="6:8">
      <c r="F406" s="323"/>
      <c r="G406" s="317"/>
      <c r="H406" s="324"/>
    </row>
    <row r="407" spans="6:8">
      <c r="F407" s="323"/>
      <c r="G407" s="317"/>
      <c r="H407" s="324"/>
    </row>
    <row r="408" spans="6:8">
      <c r="F408" s="323"/>
      <c r="G408" s="317"/>
      <c r="H408" s="324"/>
    </row>
    <row r="409" spans="6:8">
      <c r="F409" s="323"/>
      <c r="G409" s="317"/>
      <c r="H409" s="324"/>
    </row>
    <row r="410" spans="6:8">
      <c r="F410" s="323"/>
      <c r="G410" s="317"/>
      <c r="H410" s="324"/>
    </row>
    <row r="411" spans="6:8">
      <c r="F411" s="323"/>
      <c r="G411" s="317"/>
      <c r="H411" s="324"/>
    </row>
    <row r="412" spans="6:8">
      <c r="F412" s="323"/>
      <c r="G412" s="317"/>
      <c r="H412" s="324"/>
    </row>
    <row r="413" spans="6:8">
      <c r="F413" s="323"/>
      <c r="G413" s="317"/>
      <c r="H413" s="324"/>
    </row>
    <row r="414" spans="6:8">
      <c r="F414" s="323"/>
      <c r="G414" s="317"/>
      <c r="H414" s="324"/>
    </row>
    <row r="415" spans="6:8">
      <c r="F415" s="323"/>
      <c r="G415" s="317"/>
      <c r="H415" s="324"/>
    </row>
    <row r="416" spans="6:8">
      <c r="F416" s="323"/>
      <c r="G416" s="317"/>
      <c r="H416" s="324"/>
    </row>
    <row r="417" spans="6:8">
      <c r="F417" s="323"/>
      <c r="G417" s="317"/>
      <c r="H417" s="324"/>
    </row>
    <row r="418" spans="6:8">
      <c r="F418" s="323"/>
      <c r="G418" s="317"/>
      <c r="H418" s="324"/>
    </row>
    <row r="419" spans="6:8">
      <c r="F419" s="323"/>
      <c r="G419" s="317"/>
      <c r="H419" s="324"/>
    </row>
    <row r="420" spans="6:8">
      <c r="F420" s="323"/>
      <c r="G420" s="317"/>
      <c r="H420" s="324"/>
    </row>
    <row r="421" spans="6:8">
      <c r="F421" s="323"/>
      <c r="G421" s="317"/>
      <c r="H421" s="324"/>
    </row>
    <row r="422" spans="6:8">
      <c r="F422" s="323"/>
      <c r="G422" s="317"/>
      <c r="H422" s="324"/>
    </row>
    <row r="423" spans="6:8">
      <c r="F423" s="323"/>
      <c r="G423" s="317"/>
      <c r="H423" s="324"/>
    </row>
    <row r="424" spans="6:8">
      <c r="F424" s="323"/>
      <c r="G424" s="317"/>
      <c r="H424" s="324"/>
    </row>
    <row r="425" spans="6:8">
      <c r="F425" s="323"/>
      <c r="G425" s="317"/>
      <c r="H425" s="324"/>
    </row>
    <row r="426" spans="6:8">
      <c r="F426" s="323"/>
      <c r="G426" s="317"/>
      <c r="H426" s="324"/>
    </row>
    <row r="427" spans="6:8">
      <c r="F427" s="323"/>
      <c r="G427" s="317"/>
      <c r="H427" s="324"/>
    </row>
    <row r="428" spans="6:8">
      <c r="F428" s="323"/>
      <c r="G428" s="317"/>
      <c r="H428" s="324"/>
    </row>
    <row r="429" spans="6:8">
      <c r="F429" s="323"/>
      <c r="G429" s="317"/>
      <c r="H429" s="324"/>
    </row>
    <row r="430" spans="6:8">
      <c r="F430" s="323"/>
      <c r="G430" s="317"/>
      <c r="H430" s="324"/>
    </row>
    <row r="431" spans="6:8">
      <c r="F431" s="323"/>
      <c r="G431" s="317"/>
      <c r="H431" s="324"/>
    </row>
    <row r="432" spans="6:8">
      <c r="F432" s="323"/>
      <c r="G432" s="317"/>
      <c r="H432" s="324"/>
    </row>
    <row r="433" spans="6:8">
      <c r="F433" s="323"/>
      <c r="G433" s="317"/>
      <c r="H433" s="324"/>
    </row>
    <row r="434" spans="6:8">
      <c r="F434" s="323"/>
      <c r="G434" s="317"/>
      <c r="H434" s="324"/>
    </row>
    <row r="435" spans="6:8">
      <c r="F435" s="323"/>
      <c r="G435" s="317"/>
      <c r="H435" s="324"/>
    </row>
    <row r="436" spans="6:8">
      <c r="F436" s="323"/>
      <c r="G436" s="317"/>
      <c r="H436" s="324"/>
    </row>
    <row r="437" spans="6:8">
      <c r="F437" s="323"/>
      <c r="G437" s="317"/>
      <c r="H437" s="324"/>
    </row>
    <row r="438" spans="6:8">
      <c r="F438" s="323"/>
      <c r="G438" s="317"/>
      <c r="H438" s="324"/>
    </row>
    <row r="439" spans="6:8">
      <c r="F439" s="323"/>
      <c r="G439" s="317"/>
      <c r="H439" s="324"/>
    </row>
    <row r="440" spans="6:8">
      <c r="F440" s="323"/>
      <c r="G440" s="317"/>
      <c r="H440" s="324"/>
    </row>
    <row r="441" spans="6:8">
      <c r="F441" s="323"/>
      <c r="G441" s="317"/>
      <c r="H441" s="324"/>
    </row>
    <row r="442" spans="6:8">
      <c r="F442" s="323"/>
      <c r="G442" s="317"/>
      <c r="H442" s="324"/>
    </row>
    <row r="443" spans="6:8">
      <c r="F443" s="323"/>
      <c r="G443" s="317"/>
      <c r="H443" s="324"/>
    </row>
    <row r="444" spans="6:8">
      <c r="F444" s="323"/>
      <c r="G444" s="317"/>
      <c r="H444" s="324"/>
    </row>
    <row r="445" spans="6:8">
      <c r="F445" s="323"/>
      <c r="G445" s="317"/>
      <c r="H445" s="324"/>
    </row>
    <row r="446" spans="6:8">
      <c r="F446" s="323"/>
      <c r="G446" s="317"/>
      <c r="H446" s="324"/>
    </row>
    <row r="447" spans="6:8">
      <c r="F447" s="323"/>
      <c r="G447" s="317"/>
      <c r="H447" s="324"/>
    </row>
    <row r="448" spans="6:8">
      <c r="F448" s="323"/>
      <c r="G448" s="317"/>
      <c r="H448" s="324"/>
    </row>
    <row r="449" spans="6:8">
      <c r="F449" s="323"/>
      <c r="G449" s="317"/>
      <c r="H449" s="324"/>
    </row>
    <row r="450" spans="6:8">
      <c r="F450" s="323"/>
      <c r="G450" s="317"/>
      <c r="H450" s="324"/>
    </row>
    <row r="451" spans="6:8">
      <c r="F451" s="323"/>
      <c r="G451" s="317"/>
      <c r="H451" s="324"/>
    </row>
    <row r="452" spans="6:8">
      <c r="F452" s="323"/>
      <c r="G452" s="317"/>
      <c r="H452" s="324"/>
    </row>
    <row r="453" spans="6:8">
      <c r="F453" s="323"/>
      <c r="G453" s="317"/>
      <c r="H453" s="324"/>
    </row>
    <row r="454" spans="6:8">
      <c r="F454" s="323"/>
      <c r="G454" s="317"/>
      <c r="H454" s="324"/>
    </row>
    <row r="455" spans="6:8">
      <c r="F455" s="323"/>
      <c r="G455" s="317"/>
      <c r="H455" s="324"/>
    </row>
    <row r="456" spans="6:8">
      <c r="F456" s="323"/>
      <c r="G456" s="317"/>
      <c r="H456" s="324"/>
    </row>
    <row r="457" spans="6:8">
      <c r="F457" s="323"/>
      <c r="G457" s="317"/>
      <c r="H457" s="324"/>
    </row>
  </sheetData>
  <mergeCells count="4">
    <mergeCell ref="B1:L1"/>
    <mergeCell ref="B2:L2"/>
    <mergeCell ref="B4:L4"/>
    <mergeCell ref="B5:L6"/>
  </mergeCells>
  <pageMargins left="0.45" right="0.16" top="0.57999999999999996" bottom="0.28999999999999998" header="0.63" footer="0.14000000000000001"/>
  <pageSetup paperSize="9" scale="98" fitToHeight="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6"/>
  <sheetViews>
    <sheetView view="pageBreakPreview" zoomScaleNormal="100" zoomScaleSheetLayoutView="100" workbookViewId="0">
      <selection activeCell="B2" sqref="B2:K2"/>
    </sheetView>
  </sheetViews>
  <sheetFormatPr defaultRowHeight="12.75"/>
  <cols>
    <col min="1" max="1" width="6.42578125" style="243" customWidth="1"/>
    <col min="2" max="2" width="59.42578125" style="243" customWidth="1"/>
    <col min="3" max="3" width="13.5703125" style="243" hidden="1" customWidth="1"/>
    <col min="4" max="4" width="16.42578125" style="243" hidden="1" customWidth="1"/>
    <col min="5" max="5" width="15.42578125" style="243" hidden="1" customWidth="1"/>
    <col min="6" max="6" width="18" style="243" customWidth="1"/>
    <col min="7" max="7" width="18.28515625" style="243" customWidth="1"/>
    <col min="8" max="8" width="17.85546875" style="243" customWidth="1"/>
    <col min="9" max="9" width="12.140625" style="243" customWidth="1"/>
    <col min="10" max="10" width="11.7109375" style="243" customWidth="1"/>
    <col min="11" max="11" width="12" style="243" customWidth="1"/>
    <col min="12" max="12" width="9.140625" style="243"/>
    <col min="13" max="13" width="14.28515625" style="243" customWidth="1"/>
    <col min="14" max="16384" width="9.140625" style="243"/>
  </cols>
  <sheetData>
    <row r="1" spans="1:12" ht="20.25">
      <c r="B1" s="566" t="str">
        <f>'mean of finance'!A1</f>
        <v>……………………………. Pvt Ltd</v>
      </c>
      <c r="C1" s="566"/>
      <c r="D1" s="566"/>
      <c r="E1" s="566"/>
      <c r="F1" s="566"/>
      <c r="G1" s="566"/>
      <c r="H1" s="566"/>
      <c r="I1" s="566"/>
      <c r="J1" s="566"/>
      <c r="K1" s="566"/>
      <c r="L1" s="535"/>
    </row>
    <row r="2" spans="1:12" ht="15.75">
      <c r="B2" s="567" t="s">
        <v>750</v>
      </c>
      <c r="C2" s="567"/>
      <c r="D2" s="567"/>
      <c r="E2" s="567"/>
      <c r="F2" s="567"/>
      <c r="G2" s="567"/>
      <c r="H2" s="567"/>
      <c r="I2" s="567"/>
      <c r="J2" s="567"/>
      <c r="K2" s="567"/>
    </row>
    <row r="3" spans="1:12" ht="15.75">
      <c r="B3" s="520"/>
      <c r="C3" s="520"/>
      <c r="D3" s="520"/>
      <c r="E3" s="520"/>
      <c r="F3" s="520"/>
      <c r="G3" s="520"/>
      <c r="H3" s="520"/>
      <c r="I3" s="520"/>
      <c r="J3" s="520"/>
      <c r="K3" s="520"/>
    </row>
    <row r="4" spans="1:12" ht="31.5">
      <c r="A4" s="534" t="s">
        <v>749</v>
      </c>
      <c r="B4" s="525" t="s">
        <v>706</v>
      </c>
      <c r="C4" s="524" t="s">
        <v>748</v>
      </c>
      <c r="D4" s="524" t="s">
        <v>747</v>
      </c>
      <c r="E4" s="524" t="s">
        <v>746</v>
      </c>
      <c r="F4" s="524" t="s">
        <v>745</v>
      </c>
      <c r="G4" s="524" t="s">
        <v>744</v>
      </c>
      <c r="H4" s="524" t="s">
        <v>743</v>
      </c>
      <c r="I4" s="524" t="s">
        <v>742</v>
      </c>
      <c r="J4" s="524" t="s">
        <v>741</v>
      </c>
      <c r="K4" s="524" t="s">
        <v>740</v>
      </c>
    </row>
    <row r="5" spans="1:12" ht="15.75">
      <c r="B5" s="525"/>
      <c r="C5" s="524" t="s">
        <v>739</v>
      </c>
      <c r="D5" s="524" t="str">
        <f>C5</f>
        <v xml:space="preserve">Amount </v>
      </c>
      <c r="E5" s="524" t="s">
        <v>739</v>
      </c>
      <c r="F5" s="524" t="s">
        <v>739</v>
      </c>
      <c r="G5" s="524" t="s">
        <v>739</v>
      </c>
      <c r="H5" s="524" t="s">
        <v>739</v>
      </c>
      <c r="I5" s="524" t="s">
        <v>739</v>
      </c>
      <c r="J5" s="524" t="s">
        <v>739</v>
      </c>
      <c r="K5" s="524" t="s">
        <v>739</v>
      </c>
    </row>
    <row r="6" spans="1:12" ht="15.75">
      <c r="B6" s="525"/>
      <c r="C6" s="525"/>
      <c r="D6" s="524"/>
      <c r="E6" s="524"/>
      <c r="F6" s="533">
        <v>1</v>
      </c>
      <c r="G6" s="533">
        <v>2</v>
      </c>
      <c r="H6" s="533">
        <v>3</v>
      </c>
      <c r="I6" s="532">
        <v>4</v>
      </c>
      <c r="J6" s="532">
        <v>5</v>
      </c>
      <c r="K6" s="532">
        <v>6</v>
      </c>
    </row>
    <row r="7" spans="1:12" ht="15.75">
      <c r="B7" s="529" t="s">
        <v>738</v>
      </c>
      <c r="C7" s="529"/>
      <c r="D7" s="524"/>
      <c r="E7" s="524"/>
      <c r="F7" s="524"/>
      <c r="G7" s="524"/>
      <c r="H7" s="524"/>
      <c r="I7" s="524"/>
      <c r="J7" s="524"/>
      <c r="K7" s="524"/>
    </row>
    <row r="8" spans="1:12" ht="15.75">
      <c r="B8" s="525"/>
      <c r="C8" s="525"/>
      <c r="D8" s="524"/>
      <c r="E8" s="524"/>
      <c r="F8" s="524"/>
      <c r="G8" s="524"/>
      <c r="H8" s="524"/>
      <c r="I8" s="524"/>
      <c r="J8" s="524"/>
      <c r="K8" s="524"/>
    </row>
    <row r="9" spans="1:12" ht="15.75">
      <c r="B9" s="525" t="s">
        <v>737</v>
      </c>
      <c r="C9" s="525">
        <f>+'[2]form ii'!D70</f>
        <v>384.97413510000007</v>
      </c>
      <c r="D9" s="524">
        <f>ROUND('[2]form ii'!E70,2)</f>
        <v>-0.03</v>
      </c>
      <c r="E9" s="524">
        <f>ROUND('[2]form ii'!F70,2)</f>
        <v>-0.88</v>
      </c>
      <c r="F9" s="524">
        <f>'form ii'!G77</f>
        <v>2.2375546248332978</v>
      </c>
      <c r="G9" s="524">
        <f>'form ii'!H77</f>
        <v>38.670305320475194</v>
      </c>
      <c r="H9" s="524">
        <f>'form ii'!I77</f>
        <v>57.356055720333501</v>
      </c>
      <c r="I9" s="524">
        <f>'form ii'!J77</f>
        <v>64.011602178370524</v>
      </c>
      <c r="J9" s="524">
        <f>'form ii'!K77</f>
        <v>66.156728061093688</v>
      </c>
      <c r="K9" s="524">
        <f>'form ii'!L77</f>
        <v>66.608895315460046</v>
      </c>
    </row>
    <row r="10" spans="1:12" ht="15.75">
      <c r="B10" s="525" t="s">
        <v>736</v>
      </c>
      <c r="C10" s="525"/>
      <c r="D10" s="524"/>
      <c r="E10" s="524"/>
      <c r="F10" s="524"/>
      <c r="G10" s="524"/>
      <c r="H10" s="524"/>
      <c r="I10" s="524"/>
      <c r="J10" s="524"/>
      <c r="K10" s="524"/>
    </row>
    <row r="11" spans="1:12" ht="15.75">
      <c r="B11" s="525" t="s">
        <v>119</v>
      </c>
      <c r="C11" s="524" t="e">
        <f>'[2]form ii'!#REF!</f>
        <v>#REF!</v>
      </c>
      <c r="D11" s="524">
        <v>8.8800000000000008</v>
      </c>
      <c r="E11" s="524">
        <f>'[2]form ii'!F44</f>
        <v>0</v>
      </c>
      <c r="F11" s="524">
        <f>'form ii'!G44</f>
        <v>34.595193500000001</v>
      </c>
      <c r="G11" s="524">
        <f>'form ii'!H44</f>
        <v>29.620514775</v>
      </c>
      <c r="H11" s="524">
        <f>'form ii'!I44</f>
        <v>25.370577828750001</v>
      </c>
      <c r="I11" s="524">
        <f>'form ii'!J44</f>
        <v>21.738817397437501</v>
      </c>
      <c r="J11" s="524">
        <f>'form ii'!K44</f>
        <v>18.634438406521873</v>
      </c>
      <c r="K11" s="524">
        <f>'form ii'!L44</f>
        <v>15.980071902373593</v>
      </c>
    </row>
    <row r="12" spans="1:12" ht="15.75">
      <c r="B12" s="525" t="s">
        <v>735</v>
      </c>
      <c r="C12" s="524">
        <f>'[2]form ii'!D68</f>
        <v>0</v>
      </c>
      <c r="D12" s="524">
        <f>'[2]form ii'!E68</f>
        <v>0</v>
      </c>
      <c r="E12" s="524">
        <f>83000/100000</f>
        <v>0.83</v>
      </c>
      <c r="F12" s="524">
        <f>'form ii'!G68</f>
        <v>1.000585208499984</v>
      </c>
      <c r="G12" s="524">
        <f>'form ii'!H68</f>
        <v>17.292509904525087</v>
      </c>
      <c r="H12" s="524">
        <f>'form ii'!I68</f>
        <v>25.648366450916139</v>
      </c>
      <c r="I12" s="524">
        <f>'form ii'!J68</f>
        <v>28.624580424191738</v>
      </c>
      <c r="J12" s="524">
        <f>'form ii'!K68</f>
        <v>29.583833532384876</v>
      </c>
      <c r="K12" s="524">
        <f>'form ii'!L68</f>
        <v>29.786032782166647</v>
      </c>
    </row>
    <row r="13" spans="1:12" ht="15.75">
      <c r="B13" s="525" t="s">
        <v>734</v>
      </c>
      <c r="C13" s="524"/>
      <c r="D13" s="524">
        <f>'CMI iii'!D38-'CMI iii'!C38</f>
        <v>0</v>
      </c>
      <c r="E13" s="524"/>
      <c r="F13" s="524"/>
      <c r="G13" s="524"/>
      <c r="H13" s="524"/>
      <c r="I13" s="524"/>
      <c r="J13" s="524"/>
      <c r="K13" s="524"/>
    </row>
    <row r="14" spans="1:12" ht="15.75">
      <c r="B14" s="525" t="s">
        <v>733</v>
      </c>
      <c r="C14" s="524">
        <f>'[2]form ii'!D48</f>
        <v>26.12</v>
      </c>
      <c r="D14" s="524">
        <f>ROUND('[2]form ii'!E48,2)</f>
        <v>0</v>
      </c>
      <c r="E14" s="524">
        <f>'[2]form ii'!F48</f>
        <v>0</v>
      </c>
      <c r="F14" s="524">
        <f>'form ii'!G48</f>
        <v>29.166666666666668</v>
      </c>
      <c r="G14" s="524">
        <f>'form ii'!H48</f>
        <v>49.416669999999996</v>
      </c>
      <c r="H14" s="524">
        <f>'form ii'!I48</f>
        <v>46.625</v>
      </c>
      <c r="I14" s="524">
        <f>'form ii'!J48</f>
        <v>43.625</v>
      </c>
      <c r="J14" s="524">
        <f>'form ii'!K48</f>
        <v>40.625</v>
      </c>
      <c r="K14" s="524">
        <f>'form ii'!L48</f>
        <v>37.625</v>
      </c>
    </row>
    <row r="15" spans="1:12" ht="15.75">
      <c r="B15" s="525"/>
      <c r="C15" s="525"/>
      <c r="D15" s="524"/>
      <c r="E15" s="524"/>
      <c r="F15" s="524"/>
      <c r="G15" s="524"/>
      <c r="H15" s="524"/>
      <c r="I15" s="524"/>
      <c r="J15" s="524"/>
      <c r="K15" s="524"/>
    </row>
    <row r="16" spans="1:12" ht="15.75">
      <c r="B16" s="525"/>
      <c r="C16" s="525"/>
      <c r="D16" s="524"/>
      <c r="E16" s="524"/>
      <c r="F16" s="524"/>
      <c r="G16" s="524"/>
      <c r="H16" s="524"/>
      <c r="I16" s="524"/>
      <c r="J16" s="524"/>
      <c r="K16" s="524"/>
    </row>
    <row r="17" spans="2:14" ht="15.75">
      <c r="B17" s="525" t="s">
        <v>732</v>
      </c>
      <c r="C17" s="524" t="e">
        <f t="shared" ref="C17:K17" si="0">SUM(C9:C16)</f>
        <v>#REF!</v>
      </c>
      <c r="D17" s="524">
        <f t="shared" si="0"/>
        <v>8.8500000000000014</v>
      </c>
      <c r="E17" s="524">
        <f t="shared" si="0"/>
        <v>-5.0000000000000044E-2</v>
      </c>
      <c r="F17" s="524">
        <f t="shared" si="0"/>
        <v>66.999999999999957</v>
      </c>
      <c r="G17" s="524">
        <f t="shared" si="0"/>
        <v>135.00000000000028</v>
      </c>
      <c r="H17" s="524">
        <f t="shared" si="0"/>
        <v>154.99999999999966</v>
      </c>
      <c r="I17" s="524">
        <f t="shared" si="0"/>
        <v>157.99999999999977</v>
      </c>
      <c r="J17" s="524">
        <f t="shared" si="0"/>
        <v>155.00000000000045</v>
      </c>
      <c r="K17" s="524">
        <f t="shared" si="0"/>
        <v>150.00000000000028</v>
      </c>
    </row>
    <row r="18" spans="2:14" ht="15.75">
      <c r="B18" s="525"/>
      <c r="C18" s="525"/>
      <c r="D18" s="524"/>
      <c r="E18" s="524"/>
      <c r="F18" s="524"/>
      <c r="G18" s="524"/>
      <c r="H18" s="524"/>
      <c r="I18" s="524"/>
      <c r="J18" s="524"/>
      <c r="K18" s="524"/>
    </row>
    <row r="19" spans="2:14" ht="15.75">
      <c r="B19" s="525" t="s">
        <v>731</v>
      </c>
      <c r="C19" s="525"/>
      <c r="D19" s="524"/>
      <c r="E19" s="524"/>
      <c r="F19" s="524"/>
      <c r="G19" s="524"/>
      <c r="H19" s="524"/>
      <c r="I19" s="524"/>
      <c r="J19" s="524"/>
      <c r="K19" s="524"/>
    </row>
    <row r="20" spans="2:14" ht="15.75">
      <c r="B20" s="525" t="s">
        <v>730</v>
      </c>
      <c r="C20" s="524">
        <f>(6129041.61-8809496.09)/100000</f>
        <v>-26.804544799999995</v>
      </c>
      <c r="D20" s="524">
        <f>'CMI iii'!C80-'CMI iii'!D80</f>
        <v>232.15430170000002</v>
      </c>
      <c r="E20" s="524">
        <f>-'[2]projected bs'!C43</f>
        <v>0</v>
      </c>
      <c r="F20" s="524">
        <f>'CMI iii'!E78+'CMI iii'!E79-'CMI iii'!F78-'CMI iii'!F79</f>
        <v>-475</v>
      </c>
      <c r="G20" s="524">
        <f>'CMI iii'!F78+'CMI iii'!F79-'CMI iii'!G78-'CMI iii'!G79</f>
        <v>95</v>
      </c>
      <c r="H20" s="524">
        <f>'CMI iii'!G78+'CMI iii'!G79-'CMI iii'!H78-'CMI iii'!H79</f>
        <v>-95</v>
      </c>
      <c r="I20" s="524">
        <f>'CMI iii'!H78+'CMI iii'!H79-'CMI iii'!I78-'CMI iii'!I79</f>
        <v>0</v>
      </c>
      <c r="J20" s="524">
        <f>'CMI iii'!I78+'CMI iii'!I79-'CMI iii'!J78-'CMI iii'!J79</f>
        <v>0</v>
      </c>
      <c r="K20" s="524">
        <f>'CMI iii'!J78+'CMI iii'!J79-'CMI iii'!K78-'CMI iii'!K79</f>
        <v>0</v>
      </c>
    </row>
    <row r="21" spans="2:14" ht="15.75">
      <c r="B21" s="525" t="s">
        <v>729</v>
      </c>
      <c r="C21" s="524"/>
      <c r="D21" s="524">
        <f>('CMI iii'!C71-'CMI iii'!D71)+('CMI iii'!C86-'CMI iii'!D86)+0.02</f>
        <v>596.04</v>
      </c>
      <c r="E21" s="524">
        <f>-'[2]projected bs'!C44</f>
        <v>0</v>
      </c>
      <c r="F21" s="524">
        <f>'CMI iii'!E71-'CMI iii'!F71</f>
        <v>-190</v>
      </c>
      <c r="G21" s="524">
        <f>'CMI iii'!F71-'CMI iii'!G71</f>
        <v>-180</v>
      </c>
      <c r="H21" s="524">
        <f>'CMI iii'!G71-'CMI iii'!H71</f>
        <v>10</v>
      </c>
      <c r="I21" s="524">
        <f>'CMI iii'!H71-'CMI iii'!I71</f>
        <v>-60</v>
      </c>
      <c r="J21" s="524">
        <f>'CMI iii'!I71-'CMI iii'!J71</f>
        <v>-60</v>
      </c>
      <c r="K21" s="524">
        <f>'CMI iii'!J71-'CMI iii'!K71</f>
        <v>-60</v>
      </c>
      <c r="M21" s="242"/>
    </row>
    <row r="22" spans="2:14" ht="15.75">
      <c r="B22" s="525"/>
      <c r="C22" s="524"/>
      <c r="D22" s="524"/>
      <c r="E22" s="524"/>
      <c r="F22" s="524">
        <v>0</v>
      </c>
      <c r="G22" s="524">
        <v>0</v>
      </c>
      <c r="H22" s="524">
        <v>0</v>
      </c>
      <c r="I22" s="524">
        <v>0</v>
      </c>
      <c r="J22" s="524">
        <v>0</v>
      </c>
      <c r="K22" s="524">
        <v>0</v>
      </c>
      <c r="M22" s="242"/>
    </row>
    <row r="23" spans="2:14" ht="15.75">
      <c r="B23" s="525" t="s">
        <v>728</v>
      </c>
      <c r="C23" s="524"/>
      <c r="D23" s="524">
        <f>-('CMI iii'!D91+'CMI iii'!D93+'CMI iii'!D94)+('CMI iii'!C91+'CMI iii'!C93+'CMI iii'!C94)</f>
        <v>121.3191017</v>
      </c>
      <c r="E23" s="524">
        <f>-'[2]projected bs'!C46</f>
        <v>0</v>
      </c>
      <c r="F23" s="524">
        <f>'CMI iii'!E93-'CMI iii'!F93</f>
        <v>-10</v>
      </c>
      <c r="G23" s="524">
        <f>'CMI iii'!F93-'CMI iii'!G93</f>
        <v>-2</v>
      </c>
      <c r="H23" s="524">
        <f>'CMI iii'!G93-'CMI iii'!H93</f>
        <v>-1</v>
      </c>
      <c r="I23" s="524">
        <f>'CMI iii'!H93-'CMI iii'!I93</f>
        <v>5.3</v>
      </c>
      <c r="J23" s="524">
        <f>'CMI iii'!I93-'CMI iii'!J93</f>
        <v>-0.49999999999999911</v>
      </c>
      <c r="K23" s="524">
        <f>'CMI iii'!J93-'CMI iii'!K93</f>
        <v>-0.30000000000000071</v>
      </c>
      <c r="L23" s="524"/>
      <c r="M23" s="524">
        <f>'[2]projected bs'!K46-'[2]projected bs'!L46</f>
        <v>0</v>
      </c>
      <c r="N23" s="524">
        <f>'[2]projected bs'!L46-'[2]projected bs'!M46</f>
        <v>0</v>
      </c>
    </row>
    <row r="24" spans="2:14" ht="15.75">
      <c r="B24" s="525" t="s">
        <v>727</v>
      </c>
      <c r="C24" s="524"/>
      <c r="D24" s="524" t="e">
        <f>'CMI iii'!D20+'CMI iii'!#REF!+'CMI iii'!D21+'CMI iii'!D24-'CMI iii'!C20-'CMI iii'!#REF!-'CMI iii'!C21-'CMI iii'!C24+'CMI iii'!D29-'CMI iii'!C29</f>
        <v>#REF!</v>
      </c>
      <c r="E24" s="524">
        <f>-42676/100000</f>
        <v>-0.42675999999999997</v>
      </c>
      <c r="F24" s="524">
        <f>'CMI iii'!F31-'CMI iii'!E31</f>
        <v>445.98558520849997</v>
      </c>
      <c r="G24" s="524">
        <f>'CMI iii'!G31-'CMI iii'!F31</f>
        <v>58.791924696025148</v>
      </c>
      <c r="H24" s="524">
        <f>'CMI iii'!H31-'CMI iii'!G31</f>
        <v>13.85585654639101</v>
      </c>
      <c r="I24" s="524">
        <f>'CMI iii'!I31-'CMI iii'!H31</f>
        <v>-2.3786026724337717E-2</v>
      </c>
      <c r="J24" s="524">
        <f>'CMI iii'!J31-'CMI iii'!I31</f>
        <v>6.9592531081931384</v>
      </c>
      <c r="K24" s="524">
        <f>'CMI iii'!K31-'CMI iii'!J31</f>
        <v>1.2021992497817564</v>
      </c>
      <c r="L24" s="278"/>
      <c r="N24" s="278"/>
    </row>
    <row r="25" spans="2:14" ht="15.75">
      <c r="B25" s="525"/>
      <c r="C25" s="525"/>
      <c r="D25" s="524"/>
      <c r="E25" s="524"/>
      <c r="F25" s="524"/>
      <c r="G25" s="524"/>
      <c r="H25" s="524"/>
      <c r="I25" s="524"/>
      <c r="J25" s="524"/>
      <c r="K25" s="524"/>
      <c r="M25" s="278"/>
    </row>
    <row r="26" spans="2:14" s="530" customFormat="1" ht="15.75">
      <c r="B26" s="525" t="s">
        <v>726</v>
      </c>
      <c r="C26" s="524">
        <f t="shared" ref="C26:K26" si="1">SUM(C20:C25)</f>
        <v>-26.804544799999995</v>
      </c>
      <c r="D26" s="524" t="e">
        <f t="shared" si="1"/>
        <v>#REF!</v>
      </c>
      <c r="E26" s="524">
        <f t="shared" si="1"/>
        <v>-0.42675999999999997</v>
      </c>
      <c r="F26" s="524">
        <f t="shared" si="1"/>
        <v>-229.01441479150003</v>
      </c>
      <c r="G26" s="524">
        <f t="shared" si="1"/>
        <v>-28.208075303974852</v>
      </c>
      <c r="H26" s="524">
        <f t="shared" si="1"/>
        <v>-72.14414345360899</v>
      </c>
      <c r="I26" s="524">
        <f t="shared" si="1"/>
        <v>-54.723786026724341</v>
      </c>
      <c r="J26" s="524">
        <f t="shared" si="1"/>
        <v>-53.540746891806862</v>
      </c>
      <c r="K26" s="524">
        <f t="shared" si="1"/>
        <v>-59.097800750218241</v>
      </c>
      <c r="M26" s="531"/>
    </row>
    <row r="27" spans="2:14" ht="15.75">
      <c r="B27" s="525"/>
      <c r="C27" s="525"/>
      <c r="D27" s="524"/>
      <c r="E27" s="524"/>
      <c r="F27" s="524"/>
      <c r="G27" s="524"/>
      <c r="H27" s="524"/>
      <c r="I27" s="524"/>
      <c r="J27" s="524"/>
      <c r="K27" s="524"/>
    </row>
    <row r="28" spans="2:14" ht="15.75">
      <c r="B28" s="525" t="s">
        <v>725</v>
      </c>
      <c r="C28" s="524" t="e">
        <f t="shared" ref="C28:K28" si="2">C17+C26</f>
        <v>#REF!</v>
      </c>
      <c r="D28" s="524" t="e">
        <f t="shared" si="2"/>
        <v>#REF!</v>
      </c>
      <c r="E28" s="524">
        <f t="shared" si="2"/>
        <v>-0.47676000000000002</v>
      </c>
      <c r="F28" s="524">
        <f t="shared" si="2"/>
        <v>-162.01441479150009</v>
      </c>
      <c r="G28" s="524">
        <f t="shared" si="2"/>
        <v>106.79192469602543</v>
      </c>
      <c r="H28" s="524">
        <f t="shared" si="2"/>
        <v>82.855856546390669</v>
      </c>
      <c r="I28" s="524">
        <f t="shared" si="2"/>
        <v>103.27621397327543</v>
      </c>
      <c r="J28" s="524">
        <f t="shared" si="2"/>
        <v>101.45925310819359</v>
      </c>
      <c r="K28" s="524">
        <f t="shared" si="2"/>
        <v>90.902199249782043</v>
      </c>
      <c r="M28" s="520"/>
    </row>
    <row r="29" spans="2:14" ht="15.75">
      <c r="B29" s="525"/>
      <c r="C29" s="525"/>
      <c r="D29" s="524"/>
      <c r="E29" s="524"/>
      <c r="F29" s="524"/>
      <c r="G29" s="524"/>
      <c r="H29" s="524"/>
      <c r="I29" s="524"/>
      <c r="J29" s="524"/>
      <c r="K29" s="524"/>
    </row>
    <row r="30" spans="2:14" ht="15.75">
      <c r="B30" s="525" t="s">
        <v>724</v>
      </c>
      <c r="C30" s="524"/>
      <c r="D30" s="524"/>
      <c r="E30" s="524">
        <f t="shared" ref="E30:K30" si="3">E12</f>
        <v>0.83</v>
      </c>
      <c r="F30" s="524">
        <f t="shared" si="3"/>
        <v>1.000585208499984</v>
      </c>
      <c r="G30" s="524">
        <f t="shared" si="3"/>
        <v>17.292509904525087</v>
      </c>
      <c r="H30" s="524">
        <f t="shared" si="3"/>
        <v>25.648366450916139</v>
      </c>
      <c r="I30" s="524">
        <f t="shared" si="3"/>
        <v>28.624580424191738</v>
      </c>
      <c r="J30" s="524">
        <f t="shared" si="3"/>
        <v>29.583833532384876</v>
      </c>
      <c r="K30" s="524">
        <f t="shared" si="3"/>
        <v>29.786032782166647</v>
      </c>
    </row>
    <row r="31" spans="2:14" ht="15.75">
      <c r="B31" s="525"/>
      <c r="C31" s="525"/>
      <c r="D31" s="524"/>
      <c r="E31" s="524"/>
      <c r="F31" s="524"/>
      <c r="G31" s="524"/>
      <c r="H31" s="524"/>
      <c r="I31" s="524"/>
      <c r="J31" s="524"/>
      <c r="K31" s="524"/>
    </row>
    <row r="32" spans="2:14" s="526" customFormat="1" ht="15.75">
      <c r="B32" s="529" t="s">
        <v>723</v>
      </c>
      <c r="C32" s="528" t="e">
        <f t="shared" ref="C32:K32" si="4">C28-C30</f>
        <v>#REF!</v>
      </c>
      <c r="D32" s="528" t="e">
        <f t="shared" si="4"/>
        <v>#REF!</v>
      </c>
      <c r="E32" s="528">
        <f t="shared" si="4"/>
        <v>-1.3067599999999999</v>
      </c>
      <c r="F32" s="528">
        <f t="shared" si="4"/>
        <v>-163.01500000000007</v>
      </c>
      <c r="G32" s="528">
        <f t="shared" si="4"/>
        <v>89.499414791500342</v>
      </c>
      <c r="H32" s="528">
        <f t="shared" si="4"/>
        <v>57.207490095474526</v>
      </c>
      <c r="I32" s="528">
        <f t="shared" si="4"/>
        <v>74.651633549083698</v>
      </c>
      <c r="J32" s="528">
        <f t="shared" si="4"/>
        <v>71.875419575808721</v>
      </c>
      <c r="K32" s="528">
        <f t="shared" si="4"/>
        <v>61.1161664676154</v>
      </c>
    </row>
    <row r="33" spans="2:13" ht="15.75">
      <c r="B33" s="525"/>
      <c r="C33" s="525"/>
      <c r="D33" s="524"/>
      <c r="E33" s="524"/>
      <c r="F33" s="524"/>
      <c r="G33" s="524"/>
      <c r="H33" s="524"/>
      <c r="I33" s="524"/>
      <c r="J33" s="524"/>
      <c r="K33" s="524"/>
    </row>
    <row r="34" spans="2:13" ht="15.75">
      <c r="B34" s="529" t="s">
        <v>722</v>
      </c>
      <c r="C34" s="529"/>
      <c r="D34" s="524"/>
      <c r="E34" s="524"/>
      <c r="F34" s="524"/>
      <c r="G34" s="524"/>
      <c r="H34" s="524"/>
      <c r="I34" s="524"/>
      <c r="J34" s="524"/>
      <c r="K34" s="524"/>
    </row>
    <row r="35" spans="2:13" ht="15.75">
      <c r="B35" s="525" t="s">
        <v>721</v>
      </c>
      <c r="C35" s="525"/>
      <c r="D35" s="524" t="e">
        <f>-'CMI iii'!#REF!</f>
        <v>#REF!</v>
      </c>
      <c r="E35" s="524">
        <f>(3684540.65-3680954)/100000</f>
        <v>3.5866499999999066E-2</v>
      </c>
      <c r="F35" s="524">
        <f>-'CMI iii'!F99</f>
        <v>-202.02125000000001</v>
      </c>
      <c r="G35" s="524">
        <v>0</v>
      </c>
      <c r="H35" s="524">
        <v>0</v>
      </c>
      <c r="I35" s="524">
        <v>0</v>
      </c>
      <c r="J35" s="524">
        <v>0</v>
      </c>
      <c r="K35" s="524">
        <v>0</v>
      </c>
    </row>
    <row r="36" spans="2:13" ht="15.75">
      <c r="B36" s="525"/>
      <c r="C36" s="525"/>
      <c r="D36" s="524"/>
      <c r="E36" s="524"/>
      <c r="F36" s="524"/>
      <c r="G36" s="524"/>
      <c r="H36" s="524"/>
      <c r="I36" s="524"/>
      <c r="J36" s="524"/>
      <c r="K36" s="524"/>
    </row>
    <row r="37" spans="2:13" s="526" customFormat="1" ht="15.75">
      <c r="B37" s="529" t="s">
        <v>720</v>
      </c>
      <c r="C37" s="528">
        <f t="shared" ref="C37:K37" si="5">SUM(C33:C36)</f>
        <v>0</v>
      </c>
      <c r="D37" s="528" t="e">
        <f t="shared" si="5"/>
        <v>#REF!</v>
      </c>
      <c r="E37" s="528">
        <f t="shared" si="5"/>
        <v>3.5866499999999066E-2</v>
      </c>
      <c r="F37" s="528">
        <f t="shared" si="5"/>
        <v>-202.02125000000001</v>
      </c>
      <c r="G37" s="528">
        <f t="shared" si="5"/>
        <v>0</v>
      </c>
      <c r="H37" s="528">
        <f t="shared" si="5"/>
        <v>0</v>
      </c>
      <c r="I37" s="528">
        <f t="shared" si="5"/>
        <v>0</v>
      </c>
      <c r="J37" s="528">
        <f t="shared" si="5"/>
        <v>0</v>
      </c>
      <c r="K37" s="528">
        <f t="shared" si="5"/>
        <v>0</v>
      </c>
    </row>
    <row r="38" spans="2:13" ht="15.75">
      <c r="B38" s="525"/>
      <c r="C38" s="525"/>
      <c r="D38" s="524"/>
      <c r="E38" s="524"/>
      <c r="F38" s="524"/>
      <c r="G38" s="524"/>
      <c r="H38" s="524"/>
      <c r="I38" s="524"/>
      <c r="J38" s="524"/>
      <c r="K38" s="524"/>
    </row>
    <row r="39" spans="2:13" ht="15.75">
      <c r="B39" s="529" t="s">
        <v>719</v>
      </c>
      <c r="C39" s="529"/>
      <c r="D39" s="524"/>
      <c r="E39" s="524"/>
      <c r="F39" s="524"/>
      <c r="G39" s="524"/>
      <c r="H39" s="524"/>
      <c r="I39" s="524"/>
      <c r="J39" s="524"/>
      <c r="K39" s="524"/>
    </row>
    <row r="40" spans="2:13" ht="15.75">
      <c r="B40" s="525" t="str">
        <f>B14</f>
        <v>Interest on Loan'</v>
      </c>
      <c r="C40" s="524">
        <f>-C14</f>
        <v>-26.12</v>
      </c>
      <c r="D40" s="524">
        <f>-D14</f>
        <v>0</v>
      </c>
      <c r="E40" s="524">
        <f>-'[2]form ii'!F48</f>
        <v>0</v>
      </c>
      <c r="F40" s="524">
        <f>-F14</f>
        <v>-29.166666666666668</v>
      </c>
      <c r="G40" s="524">
        <f t="shared" ref="G40:K40" si="6">-G14</f>
        <v>-49.416669999999996</v>
      </c>
      <c r="H40" s="524">
        <f t="shared" si="6"/>
        <v>-46.625</v>
      </c>
      <c r="I40" s="524">
        <f t="shared" si="6"/>
        <v>-43.625</v>
      </c>
      <c r="J40" s="524">
        <f t="shared" si="6"/>
        <v>-40.625</v>
      </c>
      <c r="K40" s="524">
        <f t="shared" si="6"/>
        <v>-37.625</v>
      </c>
    </row>
    <row r="41" spans="2:13" ht="15.75">
      <c r="B41" s="525" t="s">
        <v>718</v>
      </c>
      <c r="C41" s="524"/>
      <c r="D41" s="524">
        <f>'CMI iii'!D15-'CMI iii'!C15</f>
        <v>0</v>
      </c>
      <c r="E41" s="524" t="e">
        <f>'CMI iii'!E51+'CMI iii'!#REF!</f>
        <v>#REF!</v>
      </c>
      <c r="F41" s="524">
        <v>0</v>
      </c>
      <c r="G41" s="524">
        <v>0</v>
      </c>
      <c r="H41" s="524">
        <v>0</v>
      </c>
      <c r="I41" s="524">
        <v>0</v>
      </c>
      <c r="J41" s="524">
        <v>0</v>
      </c>
      <c r="K41" s="524">
        <v>0</v>
      </c>
      <c r="M41" s="278"/>
    </row>
    <row r="42" spans="2:13" ht="15.75">
      <c r="B42" s="525" t="s">
        <v>64</v>
      </c>
      <c r="C42" s="524"/>
      <c r="D42" s="524">
        <f>'CMI iii'!D16-'CMI iii'!C16</f>
        <v>-28.331614999999999</v>
      </c>
      <c r="E42" s="524">
        <f>'[2]projected bs'!C19</f>
        <v>0</v>
      </c>
      <c r="F42" s="524">
        <f>'CMI iii'!F34-'CMI iii'!E34</f>
        <v>150</v>
      </c>
      <c r="G42" s="524">
        <f>'CMI iii'!G34-'CMI iii'!F34</f>
        <v>-17.5</v>
      </c>
      <c r="H42" s="524">
        <f>'CMI iii'!H34-'CMI iii'!G34</f>
        <v>-30</v>
      </c>
      <c r="I42" s="524">
        <f>'CMI iii'!I34-'CMI iii'!H34</f>
        <v>-30</v>
      </c>
      <c r="J42" s="524">
        <f>'CMI iii'!J34-'CMI iii'!I34</f>
        <v>-30</v>
      </c>
      <c r="K42" s="524">
        <f>'CMI iii'!K34-'CMI iii'!J34</f>
        <v>-30</v>
      </c>
      <c r="M42" s="278"/>
    </row>
    <row r="43" spans="2:13" ht="15.75">
      <c r="B43" s="525" t="s">
        <v>717</v>
      </c>
      <c r="C43" s="524"/>
      <c r="D43" s="524">
        <f>'CMI iii'!D36-'CMI iii'!C36</f>
        <v>38.230000000000004</v>
      </c>
      <c r="E43" s="524"/>
      <c r="F43" s="524">
        <f>'CMI iii'!F36-'CMI iii'!E36</f>
        <v>250</v>
      </c>
      <c r="G43" s="524">
        <f>'CMI iii'!G36-'CMI iii'!F36</f>
        <v>-25</v>
      </c>
      <c r="H43" s="524">
        <f>'CMI iii'!H36-'CMI iii'!G36</f>
        <v>25</v>
      </c>
      <c r="I43" s="524">
        <f>'CMI iii'!I36-'CMI iii'!H36</f>
        <v>0</v>
      </c>
      <c r="J43" s="524">
        <f>'CMI iii'!J36-'CMI iii'!I36</f>
        <v>0</v>
      </c>
      <c r="K43" s="524">
        <f>'CMI iii'!K36-'CMI iii'!J36</f>
        <v>0</v>
      </c>
    </row>
    <row r="44" spans="2:13" ht="15.75">
      <c r="B44" s="525" t="s">
        <v>716</v>
      </c>
      <c r="C44" s="524">
        <f t="shared" ref="C44:K44" si="7">SUM(C40:C43)</f>
        <v>-26.12</v>
      </c>
      <c r="D44" s="524">
        <f t="shared" si="7"/>
        <v>9.8983850000000047</v>
      </c>
      <c r="E44" s="524" t="e">
        <f t="shared" si="7"/>
        <v>#REF!</v>
      </c>
      <c r="F44" s="524">
        <f t="shared" si="7"/>
        <v>370.83333333333331</v>
      </c>
      <c r="G44" s="524">
        <f t="shared" si="7"/>
        <v>-91.916669999999996</v>
      </c>
      <c r="H44" s="524">
        <f t="shared" si="7"/>
        <v>-51.625</v>
      </c>
      <c r="I44" s="524">
        <f t="shared" si="7"/>
        <v>-73.625</v>
      </c>
      <c r="J44" s="524">
        <f t="shared" si="7"/>
        <v>-70.625</v>
      </c>
      <c r="K44" s="524">
        <f t="shared" si="7"/>
        <v>-67.625</v>
      </c>
      <c r="M44" s="520"/>
    </row>
    <row r="45" spans="2:13" ht="15.75">
      <c r="B45" s="525"/>
      <c r="C45" s="525"/>
      <c r="D45" s="524"/>
      <c r="E45" s="524"/>
      <c r="F45" s="524"/>
      <c r="G45" s="524"/>
      <c r="H45" s="524"/>
      <c r="I45" s="524"/>
      <c r="J45" s="524"/>
      <c r="K45" s="524"/>
    </row>
    <row r="46" spans="2:13" s="526" customFormat="1" ht="15.75">
      <c r="B46" s="529" t="s">
        <v>715</v>
      </c>
      <c r="C46" s="528" t="e">
        <f t="shared" ref="C46:K46" si="8">C32+C37+C44</f>
        <v>#REF!</v>
      </c>
      <c r="D46" s="528" t="e">
        <f t="shared" si="8"/>
        <v>#REF!</v>
      </c>
      <c r="E46" s="528" t="e">
        <f t="shared" si="8"/>
        <v>#REF!</v>
      </c>
      <c r="F46" s="528">
        <f t="shared" si="8"/>
        <v>5.7970833333332052</v>
      </c>
      <c r="G46" s="528">
        <f t="shared" si="8"/>
        <v>-2.4172552084996539</v>
      </c>
      <c r="H46" s="528">
        <f t="shared" si="8"/>
        <v>5.582490095474526</v>
      </c>
      <c r="I46" s="528">
        <f t="shared" si="8"/>
        <v>1.026633549083698</v>
      </c>
      <c r="J46" s="528">
        <f t="shared" si="8"/>
        <v>1.2504195758087207</v>
      </c>
      <c r="K46" s="528">
        <f t="shared" si="8"/>
        <v>-6.5088335323845996</v>
      </c>
      <c r="M46" s="527"/>
    </row>
    <row r="47" spans="2:13" ht="15.75">
      <c r="B47" s="525"/>
      <c r="C47" s="525"/>
      <c r="D47" s="524"/>
      <c r="E47" s="524"/>
      <c r="F47" s="524"/>
      <c r="G47" s="524"/>
      <c r="H47" s="524"/>
      <c r="I47" s="524"/>
      <c r="J47" s="524"/>
      <c r="K47" s="524"/>
    </row>
    <row r="48" spans="2:13" ht="15.75">
      <c r="B48" s="525" t="s">
        <v>714</v>
      </c>
      <c r="C48" s="525"/>
      <c r="D48" s="524">
        <f>'CMI iii'!C66</f>
        <v>4.7441389000000003</v>
      </c>
      <c r="E48" s="524">
        <f>'[2]projected bs'!C45</f>
        <v>0.65376999999999996</v>
      </c>
      <c r="F48" s="524">
        <f>'CMI iii'!E66</f>
        <v>0.65376999999999996</v>
      </c>
      <c r="G48" s="524">
        <f>F50</f>
        <v>6.450853333333205</v>
      </c>
      <c r="H48" s="524">
        <f t="shared" ref="H48:K48" si="9">G50</f>
        <v>4.0335981248335511</v>
      </c>
      <c r="I48" s="524">
        <f t="shared" si="9"/>
        <v>9.6160882203080771</v>
      </c>
      <c r="J48" s="524">
        <f t="shared" si="9"/>
        <v>10.642721769391775</v>
      </c>
      <c r="K48" s="524">
        <f t="shared" si="9"/>
        <v>11.893141345200496</v>
      </c>
    </row>
    <row r="49" spans="2:13" ht="15.75">
      <c r="B49" s="525"/>
      <c r="C49" s="525"/>
      <c r="D49" s="524"/>
      <c r="E49" s="524"/>
      <c r="F49" s="524"/>
      <c r="G49" s="524"/>
      <c r="H49" s="524"/>
      <c r="I49" s="524"/>
      <c r="J49" s="524"/>
      <c r="K49" s="524"/>
      <c r="M49" s="278"/>
    </row>
    <row r="50" spans="2:13" ht="15.75">
      <c r="B50" s="525" t="s">
        <v>713</v>
      </c>
      <c r="C50" s="524"/>
      <c r="D50" s="524">
        <f>'CMI iii'!D66</f>
        <v>0.61165000000000003</v>
      </c>
      <c r="E50" s="524" t="e">
        <f t="shared" ref="E50:K50" si="10">E46+E48</f>
        <v>#REF!</v>
      </c>
      <c r="F50" s="524">
        <f t="shared" si="10"/>
        <v>6.450853333333205</v>
      </c>
      <c r="G50" s="524">
        <f t="shared" si="10"/>
        <v>4.0335981248335511</v>
      </c>
      <c r="H50" s="524">
        <f t="shared" si="10"/>
        <v>9.6160882203080771</v>
      </c>
      <c r="I50" s="524">
        <f t="shared" si="10"/>
        <v>10.642721769391775</v>
      </c>
      <c r="J50" s="524">
        <f t="shared" si="10"/>
        <v>11.893141345200496</v>
      </c>
      <c r="K50" s="524">
        <f t="shared" si="10"/>
        <v>5.3843078128158961</v>
      </c>
    </row>
    <row r="51" spans="2:13" ht="15.75">
      <c r="B51" s="523"/>
      <c r="C51" s="521"/>
      <c r="D51" s="520"/>
      <c r="E51" s="520"/>
      <c r="F51" s="520"/>
      <c r="G51" s="520"/>
      <c r="H51" s="520"/>
      <c r="I51" s="520"/>
      <c r="J51" s="520"/>
      <c r="K51" s="520"/>
    </row>
    <row r="52" spans="2:13">
      <c r="B52" s="522"/>
    </row>
    <row r="53" spans="2:13">
      <c r="D53" s="278"/>
      <c r="G53" s="278"/>
      <c r="H53" s="278"/>
      <c r="I53" s="278"/>
      <c r="J53" s="278"/>
      <c r="K53" s="278"/>
    </row>
    <row r="54" spans="2:13">
      <c r="D54" s="278"/>
      <c r="E54" s="278"/>
      <c r="F54" s="278"/>
      <c r="G54" s="278"/>
      <c r="H54" s="278"/>
      <c r="I54" s="278"/>
      <c r="J54" s="278"/>
      <c r="K54" s="278"/>
    </row>
    <row r="55" spans="2:13" ht="15.75">
      <c r="B55" s="521" t="s">
        <v>712</v>
      </c>
      <c r="C55" s="520" t="e">
        <f t="shared" ref="C55:K55" si="11">C46+C48-C50</f>
        <v>#REF!</v>
      </c>
      <c r="D55" s="520" t="e">
        <f t="shared" si="11"/>
        <v>#REF!</v>
      </c>
      <c r="E55" s="520" t="e">
        <f t="shared" si="11"/>
        <v>#REF!</v>
      </c>
      <c r="F55" s="520">
        <f t="shared" si="11"/>
        <v>0</v>
      </c>
      <c r="G55" s="520">
        <f t="shared" si="11"/>
        <v>0</v>
      </c>
      <c r="H55" s="520">
        <f t="shared" si="11"/>
        <v>0</v>
      </c>
      <c r="I55" s="520">
        <f t="shared" si="11"/>
        <v>0</v>
      </c>
      <c r="J55" s="520">
        <f t="shared" si="11"/>
        <v>0</v>
      </c>
      <c r="K55" s="520">
        <f t="shared" si="11"/>
        <v>0</v>
      </c>
    </row>
    <row r="56" spans="2:13">
      <c r="D56" s="278"/>
    </row>
    <row r="66" spans="5:6">
      <c r="E66" s="278"/>
      <c r="F66" s="278"/>
    </row>
  </sheetData>
  <mergeCells count="2">
    <mergeCell ref="B1:K1"/>
    <mergeCell ref="B2:K2"/>
  </mergeCells>
  <pageMargins left="0.43" right="0.17" top="0.75" bottom="0.75" header="0.3" footer="0.3"/>
  <pageSetup scale="64" orientation="portrait" r:id="rId1"/>
  <rowBreaks count="1" manualBreakCount="1">
    <brk id="50" max="10" man="1"/>
  </rowBreaks>
  <colBreaks count="1" manualBreakCount="1">
    <brk id="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view="pageBreakPreview" zoomScale="112" zoomScaleNormal="100" zoomScaleSheetLayoutView="112" workbookViewId="0">
      <selection sqref="A1:E1"/>
    </sheetView>
  </sheetViews>
  <sheetFormatPr defaultRowHeight="15"/>
  <cols>
    <col min="2" max="2" width="40.140625" customWidth="1"/>
    <col min="3" max="3" width="18.85546875" customWidth="1"/>
    <col min="4" max="4" width="17.5703125" customWidth="1"/>
    <col min="5" max="5" width="19.28515625" customWidth="1"/>
    <col min="6" max="6" width="17.5703125" customWidth="1"/>
    <col min="7" max="7" width="18.5703125" customWidth="1"/>
    <col min="8" max="8" width="15.140625" customWidth="1"/>
  </cols>
  <sheetData>
    <row r="1" spans="1:8">
      <c r="A1" s="541" t="str">
        <f>'man power'!A2:F2</f>
        <v>……………………………. Pvt Ltd</v>
      </c>
      <c r="B1" s="541"/>
      <c r="C1" s="541"/>
      <c r="D1" s="541"/>
      <c r="E1" s="541"/>
    </row>
    <row r="2" spans="1:8">
      <c r="C2" s="209"/>
    </row>
    <row r="3" spans="1:8">
      <c r="A3" t="s">
        <v>430</v>
      </c>
      <c r="B3" s="17" t="s">
        <v>413</v>
      </c>
      <c r="C3" s="209"/>
    </row>
    <row r="4" spans="1:8">
      <c r="C4" s="210" t="s">
        <v>362</v>
      </c>
      <c r="D4" s="210" t="s">
        <v>363</v>
      </c>
      <c r="E4" s="210" t="s">
        <v>364</v>
      </c>
      <c r="F4" s="226" t="s">
        <v>365</v>
      </c>
      <c r="G4" s="226" t="s">
        <v>366</v>
      </c>
      <c r="H4" s="226" t="s">
        <v>454</v>
      </c>
    </row>
    <row r="5" spans="1:8">
      <c r="B5" t="s">
        <v>416</v>
      </c>
      <c r="C5" s="209" t="s">
        <v>417</v>
      </c>
      <c r="D5" s="209" t="s">
        <v>417</v>
      </c>
      <c r="E5" s="209" t="s">
        <v>417</v>
      </c>
      <c r="F5" s="225" t="s">
        <v>417</v>
      </c>
      <c r="G5" s="225" t="s">
        <v>417</v>
      </c>
      <c r="H5" s="225" t="s">
        <v>417</v>
      </c>
    </row>
    <row r="6" spans="1:8">
      <c r="B6" t="s">
        <v>414</v>
      </c>
      <c r="C6" s="215">
        <v>0.5</v>
      </c>
      <c r="D6" s="215">
        <v>0.8</v>
      </c>
      <c r="E6" s="215">
        <v>1</v>
      </c>
      <c r="F6" s="215">
        <v>1</v>
      </c>
      <c r="G6" s="215">
        <v>1</v>
      </c>
      <c r="H6" s="215">
        <v>1</v>
      </c>
    </row>
    <row r="7" spans="1:8">
      <c r="B7" t="s">
        <v>415</v>
      </c>
      <c r="C7" s="216">
        <f>10*C6*25</f>
        <v>125</v>
      </c>
      <c r="D7" s="216">
        <f>10*D6*25</f>
        <v>200</v>
      </c>
      <c r="E7" s="216">
        <f>10*E6*25</f>
        <v>250</v>
      </c>
      <c r="F7" s="216">
        <f t="shared" ref="F7:H7" si="0">10*F6*25</f>
        <v>250</v>
      </c>
      <c r="G7" s="216">
        <f t="shared" si="0"/>
        <v>250</v>
      </c>
      <c r="H7" s="216">
        <f t="shared" si="0"/>
        <v>250</v>
      </c>
    </row>
    <row r="8" spans="1:8">
      <c r="B8" t="s">
        <v>418</v>
      </c>
      <c r="C8" s="209">
        <f>C7*7</f>
        <v>875</v>
      </c>
      <c r="D8" s="209">
        <f>D7*12</f>
        <v>2400</v>
      </c>
      <c r="E8" s="209">
        <f>E7*12</f>
        <v>3000</v>
      </c>
      <c r="F8" s="225">
        <f t="shared" ref="F8:H8" si="1">F7*12</f>
        <v>3000</v>
      </c>
      <c r="G8" s="225">
        <f t="shared" si="1"/>
        <v>3000</v>
      </c>
      <c r="H8" s="225">
        <f t="shared" si="1"/>
        <v>3000</v>
      </c>
    </row>
    <row r="9" spans="1:8">
      <c r="C9" s="209"/>
      <c r="D9" s="209"/>
      <c r="E9" s="209"/>
      <c r="F9" s="225"/>
      <c r="G9" s="225"/>
      <c r="H9" s="225"/>
    </row>
    <row r="10" spans="1:8">
      <c r="B10" s="17" t="s">
        <v>431</v>
      </c>
      <c r="C10" s="209"/>
      <c r="D10" s="209"/>
      <c r="E10" s="209"/>
      <c r="F10" s="225"/>
      <c r="G10" s="225"/>
      <c r="H10" s="225"/>
    </row>
    <row r="11" spans="1:8">
      <c r="B11" t="s">
        <v>419</v>
      </c>
      <c r="C11" s="224">
        <f>C8*1000</f>
        <v>875000</v>
      </c>
      <c r="D11" s="224">
        <f>D8*1000</f>
        <v>2400000</v>
      </c>
      <c r="E11" s="224">
        <f>E8*1000</f>
        <v>3000000</v>
      </c>
      <c r="F11" s="224">
        <f t="shared" ref="F11:H11" si="2">F8*1000</f>
        <v>3000000</v>
      </c>
      <c r="G11" s="224">
        <f t="shared" si="2"/>
        <v>3000000</v>
      </c>
      <c r="H11" s="224">
        <f t="shared" si="2"/>
        <v>3000000</v>
      </c>
    </row>
    <row r="12" spans="1:8">
      <c r="B12" t="s">
        <v>429</v>
      </c>
      <c r="C12" s="224">
        <f>C7*1000</f>
        <v>125000</v>
      </c>
      <c r="D12" s="224">
        <f>D7/2*1000</f>
        <v>100000</v>
      </c>
      <c r="E12" s="224">
        <f>E7/2*1000</f>
        <v>125000</v>
      </c>
      <c r="F12" s="224">
        <f t="shared" ref="F12:H12" si="3">F7/2*1000</f>
        <v>125000</v>
      </c>
      <c r="G12" s="224">
        <f t="shared" si="3"/>
        <v>125000</v>
      </c>
      <c r="H12" s="224">
        <f t="shared" si="3"/>
        <v>125000</v>
      </c>
    </row>
    <row r="13" spans="1:8">
      <c r="B13" t="s">
        <v>428</v>
      </c>
      <c r="C13" s="224">
        <v>0</v>
      </c>
      <c r="D13" s="224">
        <f>C12</f>
        <v>125000</v>
      </c>
      <c r="E13" s="224">
        <f>D12</f>
        <v>100000</v>
      </c>
      <c r="F13" s="224">
        <f t="shared" ref="F13:H13" si="4">E12</f>
        <v>125000</v>
      </c>
      <c r="G13" s="224">
        <f t="shared" si="4"/>
        <v>125000</v>
      </c>
      <c r="H13" s="224">
        <f t="shared" si="4"/>
        <v>125000</v>
      </c>
    </row>
    <row r="14" spans="1:8" ht="15.75" thickBot="1">
      <c r="B14" s="24" t="s">
        <v>422</v>
      </c>
      <c r="C14" s="221">
        <f>SUM(C11:C12)</f>
        <v>1000000</v>
      </c>
      <c r="D14" s="221">
        <f>SUM(D11:D12)-D13</f>
        <v>2375000</v>
      </c>
      <c r="E14" s="221">
        <f>SUM(E11:E12)-E13</f>
        <v>3025000</v>
      </c>
      <c r="F14" s="221">
        <f t="shared" ref="F14:H14" si="5">SUM(F11:F12)-F13</f>
        <v>3000000</v>
      </c>
      <c r="G14" s="221">
        <f t="shared" si="5"/>
        <v>3000000</v>
      </c>
      <c r="H14" s="221">
        <f t="shared" si="5"/>
        <v>3000000</v>
      </c>
    </row>
    <row r="15" spans="1:8" ht="15.75" thickTop="1">
      <c r="C15" s="212"/>
      <c r="D15" s="212"/>
      <c r="E15" s="212"/>
      <c r="F15" s="225"/>
      <c r="G15" s="225"/>
      <c r="H15" s="225"/>
    </row>
    <row r="16" spans="1:8">
      <c r="B16" t="s">
        <v>420</v>
      </c>
      <c r="C16" s="209">
        <v>180</v>
      </c>
      <c r="D16" s="209">
        <v>180</v>
      </c>
      <c r="E16" s="209">
        <v>180</v>
      </c>
      <c r="F16" s="225">
        <v>180</v>
      </c>
      <c r="G16" s="225">
        <v>180</v>
      </c>
      <c r="H16" s="225">
        <v>180</v>
      </c>
    </row>
    <row r="17" spans="2:8">
      <c r="B17" s="211" t="s">
        <v>421</v>
      </c>
      <c r="C17" s="218">
        <f>C14*C16</f>
        <v>180000000</v>
      </c>
      <c r="D17" s="218">
        <f t="shared" ref="D17:E17" si="6">D14*D16</f>
        <v>427500000</v>
      </c>
      <c r="E17" s="218">
        <f t="shared" si="6"/>
        <v>544500000</v>
      </c>
      <c r="F17" s="218">
        <f t="shared" ref="F17:H17" si="7">F14*F16</f>
        <v>540000000</v>
      </c>
      <c r="G17" s="218">
        <f t="shared" si="7"/>
        <v>540000000</v>
      </c>
      <c r="H17" s="218">
        <f t="shared" si="7"/>
        <v>540000000</v>
      </c>
    </row>
    <row r="18" spans="2:8">
      <c r="B18" s="214"/>
      <c r="C18" s="218"/>
      <c r="D18" s="218"/>
      <c r="E18" s="218"/>
      <c r="F18" s="218"/>
      <c r="G18" s="218"/>
      <c r="H18" s="218"/>
    </row>
    <row r="19" spans="2:8">
      <c r="B19" s="214"/>
      <c r="C19" s="218"/>
      <c r="D19" s="218"/>
      <c r="E19" s="218"/>
      <c r="F19" s="218"/>
      <c r="G19" s="218"/>
      <c r="H19" s="218"/>
    </row>
    <row r="20" spans="2:8">
      <c r="C20" s="217"/>
      <c r="D20" s="217"/>
      <c r="E20" s="217"/>
      <c r="F20" s="217"/>
      <c r="G20" s="217"/>
      <c r="H20" s="217"/>
    </row>
    <row r="21" spans="2:8">
      <c r="B21" s="17" t="s">
        <v>432</v>
      </c>
      <c r="C21" s="217"/>
      <c r="D21" s="217"/>
      <c r="E21" s="217"/>
      <c r="F21" s="217"/>
      <c r="G21" s="217"/>
      <c r="H21" s="217"/>
    </row>
    <row r="22" spans="2:8">
      <c r="C22" s="213" t="s">
        <v>362</v>
      </c>
      <c r="D22" s="213" t="s">
        <v>363</v>
      </c>
      <c r="E22" s="213" t="s">
        <v>364</v>
      </c>
      <c r="F22" s="226" t="s">
        <v>365</v>
      </c>
      <c r="G22" s="226" t="s">
        <v>366</v>
      </c>
      <c r="H22" s="226" t="s">
        <v>454</v>
      </c>
    </row>
    <row r="23" spans="2:8">
      <c r="B23" t="str">
        <f>B8</f>
        <v>Total production for the year (In tons)</v>
      </c>
      <c r="C23" s="222">
        <f>C8</f>
        <v>875</v>
      </c>
      <c r="D23" s="222">
        <f>D8</f>
        <v>2400</v>
      </c>
      <c r="E23" s="222">
        <f>E8</f>
        <v>3000</v>
      </c>
      <c r="F23" s="222">
        <f t="shared" ref="F23:H23" si="8">F8</f>
        <v>3000</v>
      </c>
      <c r="G23" s="222">
        <f t="shared" si="8"/>
        <v>3000</v>
      </c>
      <c r="H23" s="222">
        <f t="shared" si="8"/>
        <v>3000</v>
      </c>
    </row>
    <row r="24" spans="2:8">
      <c r="B24" t="s">
        <v>427</v>
      </c>
      <c r="C24" s="222">
        <v>0</v>
      </c>
      <c r="D24" s="222">
        <f>C25</f>
        <v>125</v>
      </c>
      <c r="E24" s="222">
        <f>D25</f>
        <v>100</v>
      </c>
      <c r="F24" s="222">
        <f t="shared" ref="F24:H24" si="9">E25</f>
        <v>125</v>
      </c>
      <c r="G24" s="222">
        <f t="shared" si="9"/>
        <v>125</v>
      </c>
      <c r="H24" s="222">
        <f t="shared" si="9"/>
        <v>125</v>
      </c>
    </row>
    <row r="25" spans="2:8">
      <c r="B25" t="s">
        <v>423</v>
      </c>
      <c r="C25" s="222">
        <f>C7</f>
        <v>125</v>
      </c>
      <c r="D25" s="222">
        <f>D7/2</f>
        <v>100</v>
      </c>
      <c r="E25" s="222">
        <f>E7/2</f>
        <v>125</v>
      </c>
      <c r="F25" s="222">
        <f t="shared" ref="F25:H25" si="10">F7/2</f>
        <v>125</v>
      </c>
      <c r="G25" s="222">
        <f t="shared" si="10"/>
        <v>125</v>
      </c>
      <c r="H25" s="222">
        <f t="shared" si="10"/>
        <v>125</v>
      </c>
    </row>
    <row r="26" spans="2:8">
      <c r="B26" t="s">
        <v>424</v>
      </c>
      <c r="C26" s="222">
        <f>C23-C25+C24</f>
        <v>750</v>
      </c>
      <c r="D26" s="222">
        <f>D23-D25+D24</f>
        <v>2425</v>
      </c>
      <c r="E26" s="222">
        <f t="shared" ref="E26:H26" si="11">E23-E25+E24</f>
        <v>2975</v>
      </c>
      <c r="F26" s="222">
        <f t="shared" si="11"/>
        <v>3000</v>
      </c>
      <c r="G26" s="222">
        <f t="shared" si="11"/>
        <v>3000</v>
      </c>
      <c r="H26" s="222">
        <f t="shared" si="11"/>
        <v>3000</v>
      </c>
    </row>
    <row r="27" spans="2:8">
      <c r="B27" t="s">
        <v>426</v>
      </c>
      <c r="C27" s="222">
        <v>220</v>
      </c>
      <c r="D27" s="222">
        <v>220</v>
      </c>
      <c r="E27" s="222">
        <v>220</v>
      </c>
      <c r="F27" s="222">
        <v>220</v>
      </c>
      <c r="G27" s="222">
        <v>220</v>
      </c>
      <c r="H27" s="222">
        <v>220</v>
      </c>
    </row>
    <row r="28" spans="2:8" ht="15.75" thickBot="1">
      <c r="B28" s="23" t="s">
        <v>425</v>
      </c>
      <c r="C28" s="223">
        <f>C26*C27*1000</f>
        <v>165000000</v>
      </c>
      <c r="D28" s="223">
        <f>D26*D27*1000</f>
        <v>533500000</v>
      </c>
      <c r="E28" s="223">
        <f>E26*E27*1000</f>
        <v>654500000</v>
      </c>
      <c r="F28" s="223">
        <f t="shared" ref="F28:H28" si="12">F26*F27*1000</f>
        <v>660000000</v>
      </c>
      <c r="G28" s="223">
        <f t="shared" si="12"/>
        <v>660000000</v>
      </c>
      <c r="H28" s="223">
        <f t="shared" si="12"/>
        <v>660000000</v>
      </c>
    </row>
    <row r="29" spans="2:8" ht="15.75" thickTop="1"/>
    <row r="31" spans="2:8">
      <c r="E31" s="28"/>
    </row>
    <row r="32" spans="2:8">
      <c r="C32" s="28"/>
    </row>
  </sheetData>
  <mergeCells count="1">
    <mergeCell ref="A1:E1"/>
  </mergeCells>
  <pageMargins left="0.7" right="0.7" top="0.75" bottom="0.75" header="0.3" footer="0.3"/>
  <pageSetup scale="78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view="pageBreakPreview" zoomScaleSheetLayoutView="100" workbookViewId="0">
      <selection sqref="A1:L1"/>
    </sheetView>
  </sheetViews>
  <sheetFormatPr defaultRowHeight="15"/>
  <cols>
    <col min="1" max="1" width="3.85546875" customWidth="1"/>
    <col min="2" max="2" width="6.140625" customWidth="1"/>
    <col min="3" max="3" width="32.5703125" customWidth="1"/>
    <col min="4" max="4" width="8.5703125" customWidth="1"/>
    <col min="5" max="5" width="13.28515625" customWidth="1"/>
    <col min="6" max="6" width="15.140625" customWidth="1"/>
    <col min="7" max="7" width="16.42578125" customWidth="1"/>
    <col min="8" max="8" width="13.85546875" customWidth="1"/>
    <col min="9" max="9" width="14" customWidth="1"/>
    <col min="10" max="10" width="13.7109375" customWidth="1"/>
    <col min="11" max="11" width="12.85546875" customWidth="1"/>
    <col min="12" max="12" width="13.5703125" customWidth="1"/>
  </cols>
  <sheetData>
    <row r="1" spans="1:12" ht="21">
      <c r="A1" s="568" t="str">
        <f>+'term loan'!A1</f>
        <v>……………………………. Pvt Ltd</v>
      </c>
      <c r="B1" s="568"/>
      <c r="C1" s="568"/>
      <c r="D1" s="568"/>
      <c r="E1" s="568"/>
      <c r="F1" s="568"/>
      <c r="G1" s="568"/>
      <c r="H1" s="568"/>
      <c r="I1" s="568"/>
      <c r="J1" s="568"/>
      <c r="K1" s="568"/>
      <c r="L1" s="568"/>
    </row>
    <row r="2" spans="1:12">
      <c r="A2" s="167"/>
    </row>
    <row r="3" spans="1:12">
      <c r="A3" t="s">
        <v>408</v>
      </c>
      <c r="B3" s="17" t="s">
        <v>407</v>
      </c>
    </row>
    <row r="5" spans="1:12">
      <c r="I5" s="569" t="s">
        <v>347</v>
      </c>
      <c r="J5" s="569"/>
    </row>
    <row r="6" spans="1:12" s="166" customFormat="1">
      <c r="B6" s="35" t="s">
        <v>42</v>
      </c>
      <c r="C6" s="15" t="s">
        <v>65</v>
      </c>
      <c r="D6" s="15" t="s">
        <v>106</v>
      </c>
      <c r="E6" s="15" t="s">
        <v>411</v>
      </c>
      <c r="F6" s="15" t="s">
        <v>361</v>
      </c>
      <c r="G6" s="137" t="s">
        <v>362</v>
      </c>
      <c r="H6" s="137" t="s">
        <v>363</v>
      </c>
      <c r="I6" s="137" t="s">
        <v>364</v>
      </c>
      <c r="J6" s="137" t="s">
        <v>365</v>
      </c>
      <c r="K6" s="137" t="s">
        <v>366</v>
      </c>
      <c r="L6" s="137" t="s">
        <v>454</v>
      </c>
    </row>
    <row r="7" spans="1:12" s="197" customFormat="1">
      <c r="B7" s="199"/>
      <c r="C7" s="200"/>
      <c r="D7" s="200"/>
      <c r="E7" s="200"/>
      <c r="F7" s="200"/>
      <c r="G7" s="201"/>
      <c r="H7" s="201"/>
      <c r="I7" s="201"/>
      <c r="J7" s="201"/>
      <c r="K7" s="201"/>
      <c r="L7" s="201"/>
    </row>
    <row r="8" spans="1:12">
      <c r="B8" s="123">
        <v>1</v>
      </c>
      <c r="C8" s="196" t="s">
        <v>368</v>
      </c>
      <c r="D8" s="124"/>
      <c r="E8" s="206"/>
      <c r="F8" s="206"/>
      <c r="G8" s="63"/>
      <c r="H8" s="63"/>
      <c r="I8" s="63"/>
      <c r="J8" s="63"/>
      <c r="K8" s="63"/>
      <c r="L8" s="63"/>
    </row>
    <row r="9" spans="1:12">
      <c r="B9" s="123"/>
      <c r="C9" s="178" t="s">
        <v>378</v>
      </c>
      <c r="D9" s="124"/>
      <c r="E9" s="63">
        <f t="shared" ref="E9" si="0">D12</f>
        <v>0</v>
      </c>
      <c r="F9" s="63">
        <f>E12</f>
        <v>0</v>
      </c>
      <c r="G9" s="63">
        <f>F12</f>
        <v>0</v>
      </c>
      <c r="H9" s="63">
        <f>G12</f>
        <v>171.7180625</v>
      </c>
      <c r="I9" s="63">
        <f>H12</f>
        <v>145.96035312500001</v>
      </c>
      <c r="J9" s="63">
        <f t="shared" ref="J9:L9" si="1">I12</f>
        <v>124.06630015625001</v>
      </c>
      <c r="K9" s="63">
        <f t="shared" si="1"/>
        <v>105.4563551328125</v>
      </c>
      <c r="L9" s="63">
        <f t="shared" si="1"/>
        <v>89.637901862890629</v>
      </c>
    </row>
    <row r="10" spans="1:12">
      <c r="B10" s="194"/>
      <c r="C10" s="195" t="s">
        <v>379</v>
      </c>
      <c r="D10" s="195"/>
      <c r="E10" s="63">
        <v>0</v>
      </c>
      <c r="F10" s="63"/>
      <c r="G10" s="63">
        <f>'mean of finance'!F25</f>
        <v>202.02125000000001</v>
      </c>
      <c r="H10" s="63"/>
      <c r="I10" s="63"/>
      <c r="J10" s="63"/>
      <c r="K10" s="63"/>
      <c r="L10" s="63"/>
    </row>
    <row r="11" spans="1:12">
      <c r="B11" s="123"/>
      <c r="C11" s="124" t="s">
        <v>119</v>
      </c>
      <c r="D11" s="135">
        <v>0.15</v>
      </c>
      <c r="E11" s="63">
        <f t="shared" ref="E11:F11" si="2">(E9+E10)*$D$11</f>
        <v>0</v>
      </c>
      <c r="F11" s="63">
        <f t="shared" si="2"/>
        <v>0</v>
      </c>
      <c r="G11" s="63">
        <f>(G9+G10)*$D$11</f>
        <v>30.3031875</v>
      </c>
      <c r="H11" s="63">
        <f t="shared" ref="H11:I11" si="3">(H9+H10)*$D$11</f>
        <v>25.757709375000001</v>
      </c>
      <c r="I11" s="63">
        <f t="shared" si="3"/>
        <v>21.89405296875</v>
      </c>
      <c r="J11" s="63">
        <f t="shared" ref="J11:L11" si="4">(J9+J10)*$D$11</f>
        <v>18.609945023437501</v>
      </c>
      <c r="K11" s="63">
        <f t="shared" si="4"/>
        <v>15.818453269921875</v>
      </c>
      <c r="L11" s="63">
        <f t="shared" si="4"/>
        <v>13.445685279433594</v>
      </c>
    </row>
    <row r="12" spans="1:12">
      <c r="B12" s="123"/>
      <c r="C12" s="179" t="s">
        <v>371</v>
      </c>
      <c r="D12" s="124"/>
      <c r="E12" s="31">
        <f t="shared" ref="E12:F12" si="5">E9+E10-E11</f>
        <v>0</v>
      </c>
      <c r="F12" s="31">
        <f t="shared" si="5"/>
        <v>0</v>
      </c>
      <c r="G12" s="31">
        <f>G9+G10-G11</f>
        <v>171.7180625</v>
      </c>
      <c r="H12" s="31">
        <f t="shared" ref="H12:I12" si="6">H9+H10-H11</f>
        <v>145.96035312500001</v>
      </c>
      <c r="I12" s="31">
        <f t="shared" si="6"/>
        <v>124.06630015625001</v>
      </c>
      <c r="J12" s="31">
        <f t="shared" ref="J12:L12" si="7">J9+J10-J11</f>
        <v>105.4563551328125</v>
      </c>
      <c r="K12" s="31">
        <f t="shared" si="7"/>
        <v>89.637901862890629</v>
      </c>
      <c r="L12" s="31">
        <f t="shared" si="7"/>
        <v>76.192216583457039</v>
      </c>
    </row>
    <row r="13" spans="1:12">
      <c r="B13" s="194"/>
      <c r="C13" s="198"/>
      <c r="D13" s="195"/>
      <c r="E13" s="206"/>
      <c r="F13" s="206"/>
      <c r="G13" s="63"/>
      <c r="H13" s="63"/>
      <c r="I13" s="63"/>
      <c r="J13" s="63"/>
      <c r="K13" s="63"/>
      <c r="L13" s="63"/>
    </row>
    <row r="14" spans="1:12" hidden="1">
      <c r="B14" s="123">
        <v>2</v>
      </c>
      <c r="C14" s="178" t="s">
        <v>370</v>
      </c>
      <c r="D14" s="124"/>
      <c r="E14" s="206"/>
      <c r="F14" s="206"/>
      <c r="G14" s="63"/>
      <c r="H14" s="63"/>
      <c r="I14" s="63"/>
      <c r="J14" s="63"/>
      <c r="K14" s="63"/>
      <c r="L14" s="63"/>
    </row>
    <row r="15" spans="1:12" hidden="1">
      <c r="B15" s="195"/>
      <c r="C15" s="195" t="s">
        <v>378</v>
      </c>
      <c r="D15" s="195"/>
      <c r="E15" s="206"/>
      <c r="F15" s="206"/>
      <c r="G15" s="63"/>
      <c r="H15" s="63">
        <f>G18</f>
        <v>0</v>
      </c>
      <c r="I15" s="63">
        <f t="shared" ref="I15" si="8">H18</f>
        <v>0</v>
      </c>
      <c r="J15" s="63">
        <f t="shared" ref="J15" si="9">I18</f>
        <v>0</v>
      </c>
      <c r="K15" s="63">
        <f t="shared" ref="K15" si="10">J18</f>
        <v>0</v>
      </c>
      <c r="L15" s="63">
        <f t="shared" ref="L15" si="11">K18</f>
        <v>0</v>
      </c>
    </row>
    <row r="16" spans="1:12" hidden="1">
      <c r="B16" s="195"/>
      <c r="C16" s="195" t="s">
        <v>379</v>
      </c>
      <c r="D16" s="195"/>
      <c r="E16" s="206"/>
      <c r="F16" s="206"/>
      <c r="G16" s="63"/>
      <c r="H16" s="63"/>
      <c r="I16" s="63"/>
      <c r="J16" s="63"/>
      <c r="K16" s="63"/>
      <c r="L16" s="63"/>
    </row>
    <row r="17" spans="2:12" hidden="1">
      <c r="B17" s="177"/>
      <c r="C17" s="178" t="s">
        <v>119</v>
      </c>
      <c r="D17" s="135">
        <v>0.1</v>
      </c>
      <c r="E17" s="135"/>
      <c r="F17" s="135"/>
      <c r="G17" s="63">
        <f>(G15+G16)*$D$17</f>
        <v>0</v>
      </c>
      <c r="H17" s="63">
        <f t="shared" ref="H17:I17" si="12">(H15+H16)*$D$17</f>
        <v>0</v>
      </c>
      <c r="I17" s="63">
        <f t="shared" si="12"/>
        <v>0</v>
      </c>
      <c r="J17" s="63">
        <f t="shared" ref="J17:L17" si="13">(J15+J16)*$D$17</f>
        <v>0</v>
      </c>
      <c r="K17" s="63">
        <f t="shared" si="13"/>
        <v>0</v>
      </c>
      <c r="L17" s="63">
        <f t="shared" si="13"/>
        <v>0</v>
      </c>
    </row>
    <row r="18" spans="2:12" hidden="1">
      <c r="B18" s="177"/>
      <c r="C18" s="179" t="s">
        <v>371</v>
      </c>
      <c r="D18" s="178"/>
      <c r="E18" s="206"/>
      <c r="F18" s="206"/>
      <c r="G18" s="31">
        <f>G15+G16-G17</f>
        <v>0</v>
      </c>
      <c r="H18" s="31">
        <f t="shared" ref="H18:I18" si="14">H15+H16-H17</f>
        <v>0</v>
      </c>
      <c r="I18" s="31">
        <f t="shared" si="14"/>
        <v>0</v>
      </c>
      <c r="J18" s="31">
        <f t="shared" ref="J18:L18" si="15">J15+J16-J17</f>
        <v>0</v>
      </c>
      <c r="K18" s="31">
        <f t="shared" si="15"/>
        <v>0</v>
      </c>
      <c r="L18" s="31">
        <f t="shared" si="15"/>
        <v>0</v>
      </c>
    </row>
    <row r="19" spans="2:12">
      <c r="B19" s="177"/>
      <c r="C19" s="179"/>
      <c r="D19" s="178"/>
      <c r="E19" s="206"/>
      <c r="F19" s="206"/>
      <c r="G19" s="63"/>
      <c r="H19" s="63"/>
      <c r="I19" s="63"/>
      <c r="J19" s="63"/>
      <c r="K19" s="63"/>
      <c r="L19" s="63"/>
    </row>
    <row r="20" spans="2:12">
      <c r="B20" s="188">
        <v>2</v>
      </c>
      <c r="C20" s="196" t="s">
        <v>338</v>
      </c>
      <c r="D20" s="195"/>
      <c r="E20" s="206"/>
      <c r="F20" s="206"/>
      <c r="G20" s="63"/>
      <c r="H20" s="63"/>
      <c r="I20" s="63"/>
      <c r="J20" s="63"/>
      <c r="K20" s="63"/>
      <c r="L20" s="63"/>
    </row>
    <row r="21" spans="2:12">
      <c r="B21" s="194"/>
      <c r="C21" s="195" t="s">
        <v>378</v>
      </c>
      <c r="D21" s="195"/>
      <c r="E21" s="63">
        <f t="shared" ref="E21:G21" si="16">D24</f>
        <v>0</v>
      </c>
      <c r="F21" s="63">
        <f t="shared" si="16"/>
        <v>0</v>
      </c>
      <c r="G21" s="63">
        <f t="shared" si="16"/>
        <v>42.920059999999999</v>
      </c>
      <c r="H21" s="63">
        <f>G24</f>
        <v>38.628053999999999</v>
      </c>
      <c r="I21" s="63">
        <f t="shared" ref="I21" si="17">H24</f>
        <v>34.7652486</v>
      </c>
      <c r="J21" s="63">
        <f t="shared" ref="J21" si="18">I24</f>
        <v>31.288723739999998</v>
      </c>
      <c r="K21" s="63">
        <f t="shared" ref="K21" si="19">J24</f>
        <v>28.159851365999998</v>
      </c>
      <c r="L21" s="63">
        <f t="shared" ref="L21" si="20">K24</f>
        <v>25.3438662294</v>
      </c>
    </row>
    <row r="22" spans="2:12">
      <c r="C22" s="195" t="s">
        <v>379</v>
      </c>
      <c r="E22" s="63"/>
      <c r="F22" s="63">
        <f>'[1]Balance Sheet '!$C$32/100000</f>
        <v>42.920059999999999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</row>
    <row r="23" spans="2:12">
      <c r="B23" s="188"/>
      <c r="C23" s="189" t="s">
        <v>119</v>
      </c>
      <c r="D23" s="135">
        <v>0.1</v>
      </c>
      <c r="E23" s="63">
        <f>(E21+E22)*$D$23</f>
        <v>0</v>
      </c>
      <c r="F23" s="63">
        <v>0</v>
      </c>
      <c r="G23" s="63">
        <f t="shared" ref="G23" si="21">(G21+G22)*$D$23</f>
        <v>4.2920059999999998</v>
      </c>
      <c r="H23" s="63">
        <f t="shared" ref="H23:I23" si="22">(H21+H22)*$D$23</f>
        <v>3.8628054000000001</v>
      </c>
      <c r="I23" s="63">
        <f t="shared" si="22"/>
        <v>3.4765248600000001</v>
      </c>
      <c r="J23" s="63">
        <f t="shared" ref="J23:K23" si="23">(J21+J22)*$D$23</f>
        <v>3.1288723740000002</v>
      </c>
      <c r="K23" s="63">
        <f t="shared" si="23"/>
        <v>2.8159851366000002</v>
      </c>
      <c r="L23" s="63">
        <f>(L21+L22)*$D$23</f>
        <v>2.5343866229400001</v>
      </c>
    </row>
    <row r="24" spans="2:12">
      <c r="B24" s="188"/>
      <c r="C24" s="190" t="s">
        <v>371</v>
      </c>
      <c r="D24" s="189"/>
      <c r="E24" s="31">
        <f>E21+E22-E23</f>
        <v>0</v>
      </c>
      <c r="F24" s="31">
        <f t="shared" ref="F24:G24" si="24">F21+F22-F23</f>
        <v>42.920059999999999</v>
      </c>
      <c r="G24" s="31">
        <f t="shared" si="24"/>
        <v>38.628053999999999</v>
      </c>
      <c r="H24" s="31">
        <f t="shared" ref="H24:I24" si="25">H21+H22-H23</f>
        <v>34.7652486</v>
      </c>
      <c r="I24" s="31">
        <f t="shared" si="25"/>
        <v>31.288723739999998</v>
      </c>
      <c r="J24" s="31">
        <f t="shared" ref="J24:L24" si="26">J21+J22-J23</f>
        <v>28.159851365999998</v>
      </c>
      <c r="K24" s="31">
        <f t="shared" si="26"/>
        <v>25.3438662294</v>
      </c>
      <c r="L24" s="31">
        <f t="shared" si="26"/>
        <v>22.809479606459998</v>
      </c>
    </row>
    <row r="25" spans="2:12">
      <c r="B25" s="188"/>
      <c r="C25" s="190"/>
      <c r="D25" s="189"/>
      <c r="E25" s="206"/>
      <c r="F25" s="206"/>
      <c r="G25" s="63"/>
      <c r="H25" s="63"/>
      <c r="I25" s="63"/>
      <c r="J25" s="63"/>
      <c r="K25" s="63"/>
      <c r="L25" s="63"/>
    </row>
    <row r="26" spans="2:12">
      <c r="B26" s="12">
        <v>3</v>
      </c>
      <c r="C26" s="208" t="s">
        <v>45</v>
      </c>
      <c r="D26" s="206"/>
      <c r="E26" s="26"/>
      <c r="F26" s="63"/>
      <c r="G26" s="63"/>
      <c r="H26" s="63"/>
      <c r="I26" s="63"/>
      <c r="J26" s="63"/>
      <c r="K26" s="63"/>
      <c r="L26" s="63"/>
    </row>
    <row r="27" spans="2:12">
      <c r="B27" s="205"/>
      <c r="C27" s="206" t="s">
        <v>378</v>
      </c>
      <c r="D27" s="206"/>
      <c r="E27" s="63">
        <f>5620467/100000</f>
        <v>56.20467</v>
      </c>
      <c r="F27" s="63">
        <f>E29</f>
        <v>56.20467</v>
      </c>
      <c r="G27" s="63">
        <f t="shared" ref="G27:I27" si="27">F29</f>
        <v>56.20467</v>
      </c>
      <c r="H27" s="63">
        <f t="shared" si="27"/>
        <v>56.20467</v>
      </c>
      <c r="I27" s="63">
        <f t="shared" si="27"/>
        <v>56.20467</v>
      </c>
      <c r="J27" s="63">
        <f t="shared" ref="J27" si="28">I29</f>
        <v>56.20467</v>
      </c>
      <c r="K27" s="63">
        <f t="shared" ref="K27" si="29">J29</f>
        <v>56.20467</v>
      </c>
      <c r="L27" s="63">
        <f t="shared" ref="L27" si="30">K29</f>
        <v>56.20467</v>
      </c>
    </row>
    <row r="28" spans="2:12">
      <c r="B28" s="177"/>
      <c r="C28" s="206" t="s">
        <v>379</v>
      </c>
      <c r="D28" s="178"/>
      <c r="E28" s="63">
        <v>0</v>
      </c>
      <c r="F28" s="63"/>
      <c r="G28" s="63"/>
      <c r="H28" s="63"/>
      <c r="I28" s="63"/>
      <c r="J28" s="63"/>
      <c r="K28" s="63"/>
      <c r="L28" s="63"/>
    </row>
    <row r="29" spans="2:12">
      <c r="B29" s="205"/>
      <c r="C29" s="207" t="s">
        <v>412</v>
      </c>
      <c r="D29" s="206"/>
      <c r="E29" s="31">
        <f>E27+E28</f>
        <v>56.20467</v>
      </c>
      <c r="F29" s="31">
        <f t="shared" ref="F29:I29" si="31">F27+F28</f>
        <v>56.20467</v>
      </c>
      <c r="G29" s="31">
        <f t="shared" si="31"/>
        <v>56.20467</v>
      </c>
      <c r="H29" s="31">
        <f t="shared" si="31"/>
        <v>56.20467</v>
      </c>
      <c r="I29" s="31">
        <f t="shared" si="31"/>
        <v>56.20467</v>
      </c>
      <c r="J29" s="31">
        <f t="shared" ref="J29:L29" si="32">J27+J28</f>
        <v>56.20467</v>
      </c>
      <c r="K29" s="31">
        <f t="shared" si="32"/>
        <v>56.20467</v>
      </c>
      <c r="L29" s="31">
        <f t="shared" si="32"/>
        <v>56.20467</v>
      </c>
    </row>
    <row r="30" spans="2:12">
      <c r="B30" s="205"/>
      <c r="C30" s="206"/>
      <c r="D30" s="206"/>
      <c r="E30" s="206"/>
      <c r="F30" s="206"/>
      <c r="G30" s="63"/>
      <c r="H30" s="63"/>
      <c r="I30" s="63"/>
      <c r="J30" s="63"/>
      <c r="K30" s="63"/>
      <c r="L30" s="63"/>
    </row>
    <row r="31" spans="2:12">
      <c r="B31" s="205"/>
      <c r="C31" s="206"/>
      <c r="D31" s="206"/>
      <c r="E31" s="206"/>
      <c r="F31" s="206"/>
      <c r="G31" s="63"/>
      <c r="H31" s="63"/>
      <c r="I31" s="63"/>
      <c r="J31" s="63"/>
      <c r="K31" s="63"/>
      <c r="L31" s="63"/>
    </row>
    <row r="32" spans="2:12">
      <c r="B32" s="123"/>
      <c r="C32" s="165" t="s">
        <v>279</v>
      </c>
      <c r="D32" s="124"/>
      <c r="E32" s="63">
        <f>E34+E35</f>
        <v>56.20467</v>
      </c>
      <c r="F32" s="63">
        <f t="shared" ref="F32:L32" si="33">F34+F35</f>
        <v>99.12473</v>
      </c>
      <c r="G32" s="63">
        <f t="shared" si="33"/>
        <v>301.14598000000001</v>
      </c>
      <c r="H32" s="63">
        <f t="shared" si="33"/>
        <v>266.55078650000002</v>
      </c>
      <c r="I32" s="63">
        <f t="shared" si="33"/>
        <v>236.93027172500001</v>
      </c>
      <c r="J32" s="63">
        <f t="shared" si="33"/>
        <v>211.55969389625</v>
      </c>
      <c r="K32" s="63">
        <f t="shared" si="33"/>
        <v>189.82087649881251</v>
      </c>
      <c r="L32" s="63">
        <f t="shared" si="33"/>
        <v>171.18643809229064</v>
      </c>
    </row>
    <row r="33" spans="2:12">
      <c r="B33" s="123"/>
      <c r="C33" s="124"/>
      <c r="D33" s="124"/>
      <c r="E33" s="63"/>
      <c r="F33" s="63"/>
      <c r="G33" s="63"/>
      <c r="H33" s="63"/>
      <c r="I33" s="63"/>
      <c r="J33" s="63"/>
      <c r="K33" s="63"/>
      <c r="L33" s="63"/>
    </row>
    <row r="34" spans="2:12">
      <c r="B34" s="6"/>
      <c r="C34" s="7" t="s">
        <v>348</v>
      </c>
      <c r="D34" s="7"/>
      <c r="E34" s="31">
        <f>E23+E11</f>
        <v>0</v>
      </c>
      <c r="F34" s="31">
        <f t="shared" ref="F34:L34" si="34">F23+F11</f>
        <v>0</v>
      </c>
      <c r="G34" s="31">
        <f t="shared" si="34"/>
        <v>34.595193500000001</v>
      </c>
      <c r="H34" s="31">
        <f t="shared" si="34"/>
        <v>29.620514775</v>
      </c>
      <c r="I34" s="31">
        <f t="shared" si="34"/>
        <v>25.370577828750001</v>
      </c>
      <c r="J34" s="31">
        <f t="shared" si="34"/>
        <v>21.738817397437501</v>
      </c>
      <c r="K34" s="31">
        <f t="shared" si="34"/>
        <v>18.634438406521873</v>
      </c>
      <c r="L34" s="31">
        <f t="shared" si="34"/>
        <v>15.980071902373593</v>
      </c>
    </row>
    <row r="35" spans="2:12">
      <c r="B35" s="4"/>
      <c r="C35" s="169" t="s">
        <v>251</v>
      </c>
      <c r="D35" s="169"/>
      <c r="E35" s="170">
        <f>E29+E24+E12</f>
        <v>56.20467</v>
      </c>
      <c r="F35" s="170">
        <f t="shared" ref="F35:L35" si="35">F29+F24+F12</f>
        <v>99.12473</v>
      </c>
      <c r="G35" s="170">
        <f t="shared" si="35"/>
        <v>266.55078650000002</v>
      </c>
      <c r="H35" s="170">
        <f t="shared" si="35"/>
        <v>236.93027172500001</v>
      </c>
      <c r="I35" s="170">
        <f t="shared" si="35"/>
        <v>211.55969389625</v>
      </c>
      <c r="J35" s="170">
        <f t="shared" si="35"/>
        <v>189.82087649881248</v>
      </c>
      <c r="K35" s="170">
        <f t="shared" si="35"/>
        <v>171.18643809229064</v>
      </c>
      <c r="L35" s="170">
        <f t="shared" si="35"/>
        <v>155.20636618991705</v>
      </c>
    </row>
  </sheetData>
  <mergeCells count="2">
    <mergeCell ref="A1:L1"/>
    <mergeCell ref="I5:J5"/>
  </mergeCells>
  <pageMargins left="0.36" right="0.24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25</vt:i4>
      </vt:variant>
    </vt:vector>
  </HeadingPairs>
  <TitlesOfParts>
    <vt:vector size="51" baseType="lpstr">
      <vt:lpstr>Sheet1</vt:lpstr>
      <vt:lpstr>sales </vt:lpstr>
      <vt:lpstr>building</vt:lpstr>
      <vt:lpstr>mean of finance</vt:lpstr>
      <vt:lpstr>CMI iii</vt:lpstr>
      <vt:lpstr>form ii</vt:lpstr>
      <vt:lpstr>Cash Flow 2</vt:lpstr>
      <vt:lpstr>Material used</vt:lpstr>
      <vt:lpstr>dep.</vt:lpstr>
      <vt:lpstr>Finance cost</vt:lpstr>
      <vt:lpstr>term loan</vt:lpstr>
      <vt:lpstr>man power</vt:lpstr>
      <vt:lpstr> energy</vt:lpstr>
      <vt:lpstr>MPBF</vt:lpstr>
      <vt:lpstr>ratios</vt:lpstr>
      <vt:lpstr>Sheet6</vt:lpstr>
      <vt:lpstr>power</vt:lpstr>
      <vt:lpstr>fee structure</vt:lpstr>
      <vt:lpstr>student detail</vt:lpstr>
      <vt:lpstr>Sheet12</vt:lpstr>
      <vt:lpstr>bs</vt:lpstr>
      <vt:lpstr>taxation</vt:lpstr>
      <vt:lpstr>cash flow</vt:lpstr>
      <vt:lpstr>ratio</vt:lpstr>
      <vt:lpstr>dscr</vt:lpstr>
      <vt:lpstr>Sheet2</vt:lpstr>
      <vt:lpstr>bs!Print_Area</vt:lpstr>
      <vt:lpstr>building!Print_Area</vt:lpstr>
      <vt:lpstr>'cash flow'!Print_Area</vt:lpstr>
      <vt:lpstr>'Cash Flow 2'!Print_Area</vt:lpstr>
      <vt:lpstr>'CMI iii'!Print_Area</vt:lpstr>
      <vt:lpstr>dep.!Print_Area</vt:lpstr>
      <vt:lpstr>dscr!Print_Area</vt:lpstr>
      <vt:lpstr>'fee structure'!Print_Area</vt:lpstr>
      <vt:lpstr>'form ii'!Print_Area</vt:lpstr>
      <vt:lpstr>'man power'!Print_Area</vt:lpstr>
      <vt:lpstr>'Material used'!Print_Area</vt:lpstr>
      <vt:lpstr>'mean of finance'!Print_Area</vt:lpstr>
      <vt:lpstr>MPBF!Print_Area</vt:lpstr>
      <vt:lpstr>ratio!Print_Area</vt:lpstr>
      <vt:lpstr>ratios!Print_Area</vt:lpstr>
      <vt:lpstr>'sales '!Print_Area</vt:lpstr>
      <vt:lpstr>Sheet1!Print_Area</vt:lpstr>
      <vt:lpstr>Sheet12!Print_Area</vt:lpstr>
      <vt:lpstr>Sheet2!Print_Area</vt:lpstr>
      <vt:lpstr>Sheet6!Print_Area</vt:lpstr>
      <vt:lpstr>'student detail'!Print_Area</vt:lpstr>
      <vt:lpstr>taxation!Print_Area</vt:lpstr>
      <vt:lpstr>'term loan'!Print_Area</vt:lpstr>
      <vt:lpstr>'CMI iii'!Print_Titles</vt:lpstr>
      <vt:lpstr>Workings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2017-06-24T07:02:13Z</dcterms:modified>
</cp:coreProperties>
</file>