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7"/>
  </bookViews>
  <sheets>
    <sheet name="Equipments" sheetId="1" r:id="rId1"/>
    <sheet name="Crockery" sheetId="2" r:id="rId2"/>
    <sheet name="Means of Finance" sheetId="3" r:id="rId3"/>
    <sheet name="Working Notes" sheetId="4" r:id="rId4"/>
    <sheet name="Profitability " sheetId="5" r:id="rId5"/>
    <sheet name="Cash Flow" sheetId="7" r:id="rId6"/>
    <sheet name="Balance Sheet" sheetId="8" r:id="rId7"/>
    <sheet name="DSCR" sheetId="9" r:id="rId8"/>
  </sheets>
  <calcPr calcId="124519"/>
</workbook>
</file>

<file path=xl/calcChain.xml><?xml version="1.0" encoding="utf-8"?>
<calcChain xmlns="http://schemas.openxmlformats.org/spreadsheetml/2006/main">
  <c r="G81" i="4"/>
  <c r="F81"/>
  <c r="E81"/>
  <c r="E71"/>
  <c r="F9" i="5" l="1"/>
  <c r="E9"/>
  <c r="D9"/>
  <c r="C9"/>
  <c r="B9"/>
  <c r="B18"/>
  <c r="B25"/>
  <c r="B19"/>
  <c r="C6" i="9"/>
  <c r="D6"/>
  <c r="E6"/>
  <c r="F6"/>
  <c r="B6"/>
  <c r="C27" i="7" l="1"/>
  <c r="D27"/>
  <c r="E27"/>
  <c r="F27"/>
  <c r="B27"/>
  <c r="C25" i="4"/>
  <c r="C24"/>
  <c r="C25" i="7"/>
  <c r="D25"/>
  <c r="E25"/>
  <c r="F25"/>
  <c r="B25"/>
  <c r="F23"/>
  <c r="E23"/>
  <c r="D23"/>
  <c r="C23"/>
  <c r="B23"/>
  <c r="B13" i="9" s="1"/>
  <c r="B19" i="7"/>
  <c r="B11"/>
  <c r="B9"/>
  <c r="B9" i="8"/>
  <c r="C9" s="1"/>
  <c r="D9" s="1"/>
  <c r="E9" s="1"/>
  <c r="F9" s="1"/>
  <c r="F11"/>
  <c r="E11"/>
  <c r="D11"/>
  <c r="C11"/>
  <c r="B11"/>
  <c r="F21"/>
  <c r="E21"/>
  <c r="D21"/>
  <c r="C21"/>
  <c r="B21"/>
  <c r="F27" i="5"/>
  <c r="E27"/>
  <c r="D27"/>
  <c r="C27"/>
  <c r="F26"/>
  <c r="E26"/>
  <c r="D26"/>
  <c r="C26"/>
  <c r="C25"/>
  <c r="F20"/>
  <c r="E20"/>
  <c r="D20"/>
  <c r="C20"/>
  <c r="C19"/>
  <c r="F18"/>
  <c r="E18"/>
  <c r="D18"/>
  <c r="C18"/>
  <c r="C10"/>
  <c r="C16" s="1"/>
  <c r="E26" i="4"/>
  <c r="F10" i="5" s="1"/>
  <c r="F16" s="1"/>
  <c r="C23" i="4"/>
  <c r="F32" i="5"/>
  <c r="F9" i="9" s="1"/>
  <c r="E32" i="5"/>
  <c r="E9" i="9" s="1"/>
  <c r="D32" i="5"/>
  <c r="D9" i="9" s="1"/>
  <c r="C32" i="5"/>
  <c r="C9" i="9" s="1"/>
  <c r="B32" i="5"/>
  <c r="B9" i="9" s="1"/>
  <c r="D103" i="4"/>
  <c r="F103"/>
  <c r="G103"/>
  <c r="H103"/>
  <c r="E103"/>
  <c r="F102"/>
  <c r="E102"/>
  <c r="H101"/>
  <c r="G101"/>
  <c r="F101"/>
  <c r="E101"/>
  <c r="G99"/>
  <c r="G102" s="1"/>
  <c r="H99" s="1"/>
  <c r="H102" s="1"/>
  <c r="F99"/>
  <c r="E99"/>
  <c r="D102"/>
  <c r="D101"/>
  <c r="D100"/>
  <c r="D89"/>
  <c r="D91" s="1"/>
  <c r="D79"/>
  <c r="D69"/>
  <c r="B27" i="5"/>
  <c r="B26"/>
  <c r="B20"/>
  <c r="E37" i="4"/>
  <c r="E36"/>
  <c r="E35"/>
  <c r="E38" s="1"/>
  <c r="E39" s="1"/>
  <c r="B17" i="5" s="1"/>
  <c r="E23" i="4"/>
  <c r="E24"/>
  <c r="D10" i="5" s="1"/>
  <c r="D16" s="1"/>
  <c r="E25" i="4"/>
  <c r="E10" i="5" s="1"/>
  <c r="E16" s="1"/>
  <c r="E22" i="4"/>
  <c r="B10" i="5" s="1"/>
  <c r="B16" s="1"/>
  <c r="E11" i="4"/>
  <c r="C8" i="5" s="1"/>
  <c r="C12" s="1"/>
  <c r="C23" i="8" s="1"/>
  <c r="E12" i="4"/>
  <c r="D8" i="5" s="1"/>
  <c r="E13" i="4"/>
  <c r="E8" i="5" s="1"/>
  <c r="E14" i="4"/>
  <c r="F8" i="5" s="1"/>
  <c r="E10" i="4"/>
  <c r="B8" i="5" s="1"/>
  <c r="A2" i="4"/>
  <c r="A1"/>
  <c r="A1" i="8" s="1"/>
  <c r="A1" i="9" s="1"/>
  <c r="A2" i="3"/>
  <c r="A2" i="5" s="1"/>
  <c r="A2" i="8" s="1"/>
  <c r="A2" i="9" s="1"/>
  <c r="A1" i="3"/>
  <c r="A1" i="5" s="1"/>
  <c r="A2" i="2"/>
  <c r="A1"/>
  <c r="G12" i="3"/>
  <c r="G10"/>
  <c r="G8"/>
  <c r="G14" s="1"/>
  <c r="G42" i="1"/>
  <c r="G34"/>
  <c r="G29" i="2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6"/>
  <c r="G23" i="1"/>
  <c r="G35" s="1"/>
  <c r="G24"/>
  <c r="G25"/>
  <c r="G26"/>
  <c r="G27"/>
  <c r="G28"/>
  <c r="G29"/>
  <c r="G30"/>
  <c r="G31"/>
  <c r="G32"/>
  <c r="G33"/>
  <c r="G22"/>
  <c r="G8"/>
  <c r="G9"/>
  <c r="G10"/>
  <c r="G11"/>
  <c r="G12"/>
  <c r="G13"/>
  <c r="G14"/>
  <c r="G15"/>
  <c r="G16"/>
  <c r="G17"/>
  <c r="G18"/>
  <c r="G7"/>
  <c r="A1" i="7" l="1"/>
  <c r="B15" i="8"/>
  <c r="B29" i="9" s="1"/>
  <c r="B30" s="1"/>
  <c r="C17" i="5"/>
  <c r="C21"/>
  <c r="A2" i="7"/>
  <c r="C24" i="9"/>
  <c r="C13"/>
  <c r="D13"/>
  <c r="E13"/>
  <c r="F13"/>
  <c r="D25" i="5"/>
  <c r="C23"/>
  <c r="D19"/>
  <c r="E19" s="1"/>
  <c r="F19" s="1"/>
  <c r="E12"/>
  <c r="D12"/>
  <c r="F12"/>
  <c r="D71" i="4"/>
  <c r="D93"/>
  <c r="E89" s="1"/>
  <c r="D81"/>
  <c r="D83" s="1"/>
  <c r="E79" s="1"/>
  <c r="B21" i="5"/>
  <c r="B12"/>
  <c r="G19" i="3"/>
  <c r="G19" i="1"/>
  <c r="G44" s="1"/>
  <c r="B23" i="5" l="1"/>
  <c r="B23" i="8"/>
  <c r="C15"/>
  <c r="D17" i="5"/>
  <c r="F23" i="8"/>
  <c r="F24" i="9" s="1"/>
  <c r="E23" i="8"/>
  <c r="D23"/>
  <c r="E25" i="5"/>
  <c r="B28"/>
  <c r="D73" i="4"/>
  <c r="E69" s="1"/>
  <c r="E91"/>
  <c r="E93" s="1"/>
  <c r="F89" s="1"/>
  <c r="E83"/>
  <c r="F79" s="1"/>
  <c r="G21" i="3"/>
  <c r="G23" s="1"/>
  <c r="B29" i="5" l="1"/>
  <c r="B31" s="1"/>
  <c r="B8" i="9"/>
  <c r="E17" i="5"/>
  <c r="D15" i="8"/>
  <c r="D29" i="9" s="1"/>
  <c r="D30" s="1"/>
  <c r="D21" i="5"/>
  <c r="D23" s="1"/>
  <c r="C29" i="9"/>
  <c r="C30" s="1"/>
  <c r="B24"/>
  <c r="B21" i="7"/>
  <c r="B29" s="1"/>
  <c r="E24" i="9"/>
  <c r="D24"/>
  <c r="D21" i="7"/>
  <c r="D29" s="1"/>
  <c r="F25" i="5"/>
  <c r="B34"/>
  <c r="B13" i="7"/>
  <c r="B15" s="1"/>
  <c r="B32" s="1"/>
  <c r="B33" s="1"/>
  <c r="C28" i="5"/>
  <c r="F91" i="4"/>
  <c r="F93" s="1"/>
  <c r="G89" s="1"/>
  <c r="F83"/>
  <c r="G79" s="1"/>
  <c r="C8" i="9" l="1"/>
  <c r="C29" i="5"/>
  <c r="C31" s="1"/>
  <c r="B36"/>
  <c r="B7" i="9"/>
  <c r="C21" i="7"/>
  <c r="C29" s="1"/>
  <c r="F17" i="5"/>
  <c r="E15" i="8"/>
  <c r="E21" i="5"/>
  <c r="E23" s="1"/>
  <c r="C31" i="7"/>
  <c r="B25" i="8"/>
  <c r="B11" i="9"/>
  <c r="B15" s="1"/>
  <c r="B13" i="8"/>
  <c r="B17" s="1"/>
  <c r="E73" i="4"/>
  <c r="F69" s="1"/>
  <c r="F71" s="1"/>
  <c r="G91"/>
  <c r="G93" s="1"/>
  <c r="H89" s="1"/>
  <c r="G83"/>
  <c r="H79" s="1"/>
  <c r="E29" i="9" l="1"/>
  <c r="E30" s="1"/>
  <c r="E21" i="7"/>
  <c r="E29" s="1"/>
  <c r="F15" i="8"/>
  <c r="F21" i="5"/>
  <c r="F23" s="1"/>
  <c r="C13" i="7"/>
  <c r="C15" s="1"/>
  <c r="C32" s="1"/>
  <c r="C33" s="1"/>
  <c r="C34" i="5"/>
  <c r="B28" i="8"/>
  <c r="B25" i="9"/>
  <c r="B26" s="1"/>
  <c r="B32" s="1"/>
  <c r="B30" i="8"/>
  <c r="F73" i="4"/>
  <c r="G69" s="1"/>
  <c r="G71" s="1"/>
  <c r="D28" i="5"/>
  <c r="H91" i="4"/>
  <c r="H93" s="1"/>
  <c r="H81"/>
  <c r="H83" s="1"/>
  <c r="D31" i="7" l="1"/>
  <c r="C25" i="8"/>
  <c r="D8" i="9"/>
  <c r="D29" i="5"/>
  <c r="D31" s="1"/>
  <c r="C36"/>
  <c r="C13" i="8" s="1"/>
  <c r="C17" s="1"/>
  <c r="C7" i="9"/>
  <c r="C11" s="1"/>
  <c r="C15" s="1"/>
  <c r="F29"/>
  <c r="F30" s="1"/>
  <c r="F21" i="7"/>
  <c r="F29" s="1"/>
  <c r="C28" i="8"/>
  <c r="C25" i="9"/>
  <c r="C26" s="1"/>
  <c r="C32" s="1"/>
  <c r="C30" i="8"/>
  <c r="G73" i="4"/>
  <c r="H69" s="1"/>
  <c r="H71" s="1"/>
  <c r="E28" i="5"/>
  <c r="E8" i="9" l="1"/>
  <c r="E29" i="5"/>
  <c r="E31" s="1"/>
  <c r="D13" i="7"/>
  <c r="D15" s="1"/>
  <c r="D32" s="1"/>
  <c r="D34" i="5"/>
  <c r="D33" i="7"/>
  <c r="H73" i="4"/>
  <c r="F28" i="5"/>
  <c r="F8" i="9" l="1"/>
  <c r="F29" i="5"/>
  <c r="F31" s="1"/>
  <c r="E31" i="7"/>
  <c r="D25" i="8"/>
  <c r="D36" i="5"/>
  <c r="D13" i="8" s="1"/>
  <c r="D17" s="1"/>
  <c r="D7" i="9"/>
  <c r="D11" s="1"/>
  <c r="D15" s="1"/>
  <c r="E13" i="7"/>
  <c r="E15" s="1"/>
  <c r="E32" s="1"/>
  <c r="E34" i="5"/>
  <c r="E36" l="1"/>
  <c r="E13" i="8" s="1"/>
  <c r="E17" s="1"/>
  <c r="E7" i="9"/>
  <c r="E11" s="1"/>
  <c r="E15" s="1"/>
  <c r="D28" i="8"/>
  <c r="D30" s="1"/>
  <c r="D25" i="9"/>
  <c r="D26" s="1"/>
  <c r="D32" s="1"/>
  <c r="E33" i="7"/>
  <c r="F13"/>
  <c r="F15" s="1"/>
  <c r="F32" s="1"/>
  <c r="F34" i="5"/>
  <c r="F36" l="1"/>
  <c r="F13" i="8" s="1"/>
  <c r="F17" s="1"/>
  <c r="F7" i="9"/>
  <c r="F11" s="1"/>
  <c r="F15" s="1"/>
  <c r="F31" i="7"/>
  <c r="F33" s="1"/>
  <c r="F25" i="8" s="1"/>
  <c r="E25"/>
  <c r="D17" i="9"/>
  <c r="E28" i="8" l="1"/>
  <c r="E30" s="1"/>
  <c r="E25" i="9"/>
  <c r="E26" s="1"/>
  <c r="E32" s="1"/>
  <c r="F28" i="8"/>
  <c r="F25" i="9"/>
  <c r="F26" s="1"/>
  <c r="F32" s="1"/>
  <c r="F30" i="8"/>
  <c r="D33" i="9" l="1"/>
</calcChain>
</file>

<file path=xl/sharedStrings.xml><?xml version="1.0" encoding="utf-8"?>
<sst xmlns="http://schemas.openxmlformats.org/spreadsheetml/2006/main" count="297" uniqueCount="199">
  <si>
    <t>Equipments Required</t>
  </si>
  <si>
    <t>AC ( For Restaurant)</t>
  </si>
  <si>
    <t>AC ( For Party Hall)</t>
  </si>
  <si>
    <t>Kitchen Equipments</t>
  </si>
  <si>
    <t>4 Burner Gas Range</t>
  </si>
  <si>
    <t>2 Burner Gas Range</t>
  </si>
  <si>
    <t>Toaster</t>
  </si>
  <si>
    <t>Microwave</t>
  </si>
  <si>
    <t>Mixer Grinder</t>
  </si>
  <si>
    <t>Chimney</t>
  </si>
  <si>
    <t>Deep Regregerator</t>
  </si>
  <si>
    <t>LED 42'</t>
  </si>
  <si>
    <t>Water Cooler</t>
  </si>
  <si>
    <t>Fridge</t>
  </si>
  <si>
    <t>Cold Drink Fridge</t>
  </si>
  <si>
    <t>Coffe Machine</t>
  </si>
  <si>
    <t>Juicer</t>
  </si>
  <si>
    <t>Fans</t>
  </si>
  <si>
    <t>Exhaust Fan</t>
  </si>
  <si>
    <t>Vaccum Cleaner</t>
  </si>
  <si>
    <t>Computer &amp; Printer</t>
  </si>
  <si>
    <t>Fire Extinshuer</t>
  </si>
  <si>
    <t>RO System</t>
  </si>
  <si>
    <t>Invertor with Battries</t>
  </si>
  <si>
    <t>Generator</t>
  </si>
  <si>
    <t xml:space="preserve">Units </t>
  </si>
  <si>
    <t>Price per Unit</t>
  </si>
  <si>
    <t>Total</t>
  </si>
  <si>
    <t>Crockery</t>
  </si>
  <si>
    <t>Crockery Details</t>
  </si>
  <si>
    <t>Spoon</t>
  </si>
  <si>
    <t>Fork</t>
  </si>
  <si>
    <t>Kniwe</t>
  </si>
  <si>
    <t>Service Spoon</t>
  </si>
  <si>
    <t>Service Fork</t>
  </si>
  <si>
    <t>Soup Spoon</t>
  </si>
  <si>
    <t>Large Plate</t>
  </si>
  <si>
    <t>Small Plate</t>
  </si>
  <si>
    <t>Serving Bowl</t>
  </si>
  <si>
    <t>Dessert Plate</t>
  </si>
  <si>
    <t>Dessert Spoon</t>
  </si>
  <si>
    <t>Cup and Sauces</t>
  </si>
  <si>
    <t>Water Glass</t>
  </si>
  <si>
    <t>Sup Bowl</t>
  </si>
  <si>
    <t>Water Jug</t>
  </si>
  <si>
    <t>Service Tray</t>
  </si>
  <si>
    <t>Juice Glass ( 250 ML)</t>
  </si>
  <si>
    <t>Juice Glass ( 300 ML)</t>
  </si>
  <si>
    <t>Soup Cup</t>
  </si>
  <si>
    <t>Napkin Stand</t>
  </si>
  <si>
    <t>Straw Stand</t>
  </si>
  <si>
    <t>Toothpic Stank</t>
  </si>
  <si>
    <t>Bottle Opener</t>
  </si>
  <si>
    <t>Unit</t>
  </si>
  <si>
    <t>DOZ</t>
  </si>
  <si>
    <t>No</t>
  </si>
  <si>
    <t>Item</t>
  </si>
  <si>
    <t>Furniture</t>
  </si>
  <si>
    <t>Furniture  &amp; Interiors</t>
  </si>
  <si>
    <t xml:space="preserve">( It Includes Tables, Chairs for Restaurant and </t>
  </si>
  <si>
    <t>Table Chairs for Party Hall and Interior Decoration)</t>
  </si>
  <si>
    <t xml:space="preserve">Total Cost </t>
  </si>
  <si>
    <t>Total ( A)</t>
  </si>
  <si>
    <t>Total (B)</t>
  </si>
  <si>
    <t>Total (C )</t>
  </si>
  <si>
    <t>(A+B+C)</t>
  </si>
  <si>
    <t>Music DJ System With Speaker ( for Party Hall)</t>
  </si>
  <si>
    <t>Equipments</t>
  </si>
  <si>
    <t>Means of Finance</t>
  </si>
  <si>
    <t>Bank Term Loan</t>
  </si>
  <si>
    <t>Cost of Project</t>
  </si>
  <si>
    <t xml:space="preserve">Land &amp; Building </t>
  </si>
  <si>
    <t>Owned</t>
  </si>
  <si>
    <t>Working Days</t>
  </si>
  <si>
    <t>Days</t>
  </si>
  <si>
    <t>Gross Receipts</t>
  </si>
  <si>
    <t>Rent from Party Hall</t>
  </si>
  <si>
    <t>Party Hall</t>
  </si>
  <si>
    <t>Rent Per Day</t>
  </si>
  <si>
    <t>No of Booking</t>
  </si>
  <si>
    <t>1st Year</t>
  </si>
  <si>
    <t>Iind Year</t>
  </si>
  <si>
    <t>IIIrd year</t>
  </si>
  <si>
    <t>Ivth Year</t>
  </si>
  <si>
    <t>Vth Year</t>
  </si>
  <si>
    <t>Ist Year</t>
  </si>
  <si>
    <t>IIIrd Year</t>
  </si>
  <si>
    <t>Rent From Party Hall</t>
  </si>
  <si>
    <t>Gross Reciepts from Restaurant</t>
  </si>
  <si>
    <t>Receipts from Restaurant</t>
  </si>
  <si>
    <t>Restaurant</t>
  </si>
  <si>
    <t>Receipts per Day</t>
  </si>
  <si>
    <t>No. of Days</t>
  </si>
  <si>
    <t>Rs 5000</t>
  </si>
  <si>
    <t>per day</t>
  </si>
  <si>
    <t>Cost of Service</t>
  </si>
  <si>
    <t>Cost of Food Produced</t>
  </si>
  <si>
    <t>Salary and Wages</t>
  </si>
  <si>
    <t>Electricity Expenses</t>
  </si>
  <si>
    <t>Generator Expenses</t>
  </si>
  <si>
    <t>Gas , Fuel Expenses</t>
  </si>
  <si>
    <t>Administrative Expenses</t>
  </si>
  <si>
    <t>Repair &amp; Maintance</t>
  </si>
  <si>
    <t>Advertisement Expenses</t>
  </si>
  <si>
    <t>Interest Paid to Bank</t>
  </si>
  <si>
    <t>Depreciation</t>
  </si>
  <si>
    <t>Net Profit After Interest</t>
  </si>
  <si>
    <t>Drawings</t>
  </si>
  <si>
    <t>Net Profit Carried Forward</t>
  </si>
  <si>
    <t>Cost of Food</t>
  </si>
  <si>
    <t>Assuming that Cost of Raw Material of Food comes to 25% of Sale Price</t>
  </si>
  <si>
    <t>Salaries &amp; Wages</t>
  </si>
  <si>
    <t>Employee</t>
  </si>
  <si>
    <t>Salary per Month</t>
  </si>
  <si>
    <t>Shef</t>
  </si>
  <si>
    <t>No of Employee</t>
  </si>
  <si>
    <t>Waiter</t>
  </si>
  <si>
    <t>Helper</t>
  </si>
  <si>
    <t>Annual Salary</t>
  </si>
  <si>
    <t>Electricity Expenses will be Rs 15000.00 per month.</t>
  </si>
  <si>
    <t>Diseal Expenses</t>
  </si>
  <si>
    <t>Gas Fuel  Expenses</t>
  </si>
  <si>
    <t>Gross Receipts on Sale of Food during Party</t>
  </si>
  <si>
    <t xml:space="preserve">During the Party Time the Gross Receipts from Sale of </t>
  </si>
  <si>
    <t>Food to Party will be Rs 10000.00 per Party Day</t>
  </si>
  <si>
    <t>Adminstrative Expenses</t>
  </si>
  <si>
    <t>Annual Expenses will be Rs 180000.00 .</t>
  </si>
  <si>
    <t xml:space="preserve">Annual Expenses will be Rs 96000 </t>
  </si>
  <si>
    <t>Repiar &amp; Maintaince Expenses</t>
  </si>
  <si>
    <t xml:space="preserve">Monthly Expenses will Rs 2500.00. Annual Expenses will </t>
  </si>
  <si>
    <t>be Rs 30000.00</t>
  </si>
  <si>
    <t>Annual Expenses will be Rs 60000.00</t>
  </si>
  <si>
    <t>Depreciation Schedule</t>
  </si>
  <si>
    <t>Year</t>
  </si>
  <si>
    <t>IInd Year</t>
  </si>
  <si>
    <t>IV th Year</t>
  </si>
  <si>
    <t>Opening Balance</t>
  </si>
  <si>
    <t>Depreciation @10%</t>
  </si>
  <si>
    <t>Closing Balance</t>
  </si>
  <si>
    <t>Depreciation @15%</t>
  </si>
  <si>
    <t xml:space="preserve">Bank Loan Repayment and Interest Chart </t>
  </si>
  <si>
    <t>Add: Adition</t>
  </si>
  <si>
    <t>Installments</t>
  </si>
  <si>
    <t>Interest @ 13% p.a. (on Loan)</t>
  </si>
  <si>
    <t>Total (A)</t>
  </si>
  <si>
    <t>Gross Profit (C=A-B)</t>
  </si>
  <si>
    <t>Total (D )</t>
  </si>
  <si>
    <t>Net Profit Before Interest ( C-D)</t>
  </si>
  <si>
    <t>Cash Inflow</t>
  </si>
  <si>
    <t>Capital Employed</t>
  </si>
  <si>
    <t>Loan From Bank</t>
  </si>
  <si>
    <t>Net Profit</t>
  </si>
  <si>
    <t>Cash Outflow</t>
  </si>
  <si>
    <t>Fixed Assets Purchased</t>
  </si>
  <si>
    <t>Liabilities</t>
  </si>
  <si>
    <t>Bank Loan</t>
  </si>
  <si>
    <t>Assets</t>
  </si>
  <si>
    <t>Fixed Assets</t>
  </si>
  <si>
    <t>Cash and Bank Balance</t>
  </si>
  <si>
    <t>Instalment Paid of Bank</t>
  </si>
  <si>
    <t>Opening Cash</t>
  </si>
  <si>
    <t>Cash Accural</t>
  </si>
  <si>
    <t>Closing Cash</t>
  </si>
  <si>
    <t>Net Profit Before Interest and Depreciation</t>
  </si>
  <si>
    <t>CALCULATION OF DEBT SERVICE COVERAGE RATIO</t>
  </si>
  <si>
    <t>Particulars</t>
  </si>
  <si>
    <t>Add: Depreciation</t>
  </si>
  <si>
    <t>Add: Interest On Term Loan</t>
  </si>
  <si>
    <t xml:space="preserve">Total Amount available For </t>
  </si>
  <si>
    <t>serving intt &amp; Installment</t>
  </si>
  <si>
    <t>Installment and interest to be Served</t>
  </si>
  <si>
    <t>Debt Service Coverage Ratio</t>
  </si>
  <si>
    <t>Average DSCR</t>
  </si>
  <si>
    <t>Net Profit After tax During yr.</t>
  </si>
  <si>
    <t>Diseal Expenses will be Rs 4000.00 per mont</t>
  </si>
  <si>
    <t>Gas Expenses will be Rs 8000.00 per mont</t>
  </si>
  <si>
    <t xml:space="preserve">Annual Expenses will be Rs 48000 </t>
  </si>
  <si>
    <t>Administrative Expenses will be Rs 3000.00 per month.</t>
  </si>
  <si>
    <t>Annual Expenses will be Rs 36000.00</t>
  </si>
  <si>
    <t>Creditors</t>
  </si>
  <si>
    <t>Sundry Debtors</t>
  </si>
  <si>
    <t>Increase in Working Capital</t>
  </si>
  <si>
    <t>Calculation of Current Ratio</t>
  </si>
  <si>
    <t>Current Assets</t>
  </si>
  <si>
    <t>Cash &amp; Bank Balance</t>
  </si>
  <si>
    <t>Current Liabilities</t>
  </si>
  <si>
    <t>Sundry Creditors</t>
  </si>
  <si>
    <t>Current Ratio</t>
  </si>
  <si>
    <t>Average Current Ratio</t>
  </si>
  <si>
    <t>Manager</t>
  </si>
  <si>
    <t>Self</t>
  </si>
  <si>
    <t>PROFITABILITY STATEMENT</t>
  </si>
  <si>
    <t>CASH FLOW STATEMENT</t>
  </si>
  <si>
    <t>BALANCE SHEET</t>
  </si>
  <si>
    <t>Quantity</t>
  </si>
  <si>
    <t>Price Per Unit</t>
  </si>
  <si>
    <t>Promoters Capital</t>
  </si>
  <si>
    <t>ABC</t>
  </si>
  <si>
    <t>ABC, CITY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</si>
</sst>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2" fontId="1" fillId="0" borderId="0" xfId="0" applyNumberFormat="1" applyFont="1"/>
    <xf numFmtId="2" fontId="2" fillId="0" borderId="1" xfId="0" applyNumberFormat="1" applyFont="1" applyBorder="1"/>
    <xf numFmtId="2" fontId="2" fillId="0" borderId="0" xfId="0" applyNumberFormat="1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2" fillId="0" borderId="0" xfId="0" applyFont="1" applyAlignment="1"/>
    <xf numFmtId="0" fontId="2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/>
    <xf numFmtId="0" fontId="4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opLeftCell="A28" workbookViewId="0">
      <selection activeCell="F3" sqref="F3"/>
    </sheetView>
  </sheetViews>
  <sheetFormatPr defaultRowHeight="14.25"/>
  <cols>
    <col min="1" max="5" width="9.140625" style="1"/>
    <col min="6" max="6" width="16.42578125" style="1" customWidth="1"/>
    <col min="7" max="7" width="11.85546875" style="1" bestFit="1" customWidth="1"/>
    <col min="8" max="16384" width="9.140625" style="1"/>
  </cols>
  <sheetData>
    <row r="1" spans="1:7" s="2" customFormat="1" ht="15.75">
      <c r="A1" s="17" t="s">
        <v>197</v>
      </c>
      <c r="B1" s="17"/>
      <c r="C1" s="17"/>
      <c r="D1" s="17"/>
      <c r="E1" s="17"/>
      <c r="F1" s="17"/>
      <c r="G1" s="17"/>
    </row>
    <row r="2" spans="1:7" s="2" customFormat="1" ht="15.75">
      <c r="A2" s="17" t="s">
        <v>198</v>
      </c>
      <c r="B2" s="17"/>
      <c r="C2" s="17"/>
      <c r="D2" s="17"/>
      <c r="E2" s="17"/>
      <c r="F2" s="17"/>
      <c r="G2" s="17"/>
    </row>
    <row r="5" spans="1:7" s="2" customFormat="1" ht="15">
      <c r="A5" s="2" t="s">
        <v>0</v>
      </c>
    </row>
    <row r="6" spans="1:7" ht="15">
      <c r="E6" s="3" t="s">
        <v>25</v>
      </c>
      <c r="F6" s="3" t="s">
        <v>26</v>
      </c>
      <c r="G6" s="3" t="s">
        <v>27</v>
      </c>
    </row>
    <row r="7" spans="1:7">
      <c r="A7" s="1">
        <v>1</v>
      </c>
      <c r="B7" s="1" t="s">
        <v>1</v>
      </c>
      <c r="E7" s="1">
        <v>2</v>
      </c>
      <c r="F7" s="4">
        <v>35000</v>
      </c>
      <c r="G7" s="4">
        <f>E7*F7</f>
        <v>70000</v>
      </c>
    </row>
    <row r="8" spans="1:7">
      <c r="A8" s="1">
        <v>2</v>
      </c>
      <c r="B8" s="1" t="s">
        <v>2</v>
      </c>
      <c r="E8" s="1">
        <v>2</v>
      </c>
      <c r="F8" s="4">
        <v>35000</v>
      </c>
      <c r="G8" s="4">
        <f t="shared" ref="G8:G18" si="0">E8*F8</f>
        <v>70000</v>
      </c>
    </row>
    <row r="9" spans="1:7">
      <c r="A9" s="1">
        <v>3</v>
      </c>
      <c r="B9" s="1" t="s">
        <v>11</v>
      </c>
      <c r="E9" s="1">
        <v>1</v>
      </c>
      <c r="F9" s="4">
        <v>62500</v>
      </c>
      <c r="G9" s="4">
        <f t="shared" si="0"/>
        <v>62500</v>
      </c>
    </row>
    <row r="10" spans="1:7">
      <c r="A10" s="1">
        <v>4</v>
      </c>
      <c r="B10" s="1" t="s">
        <v>66</v>
      </c>
      <c r="E10" s="1">
        <v>1</v>
      </c>
      <c r="F10" s="4">
        <v>45000</v>
      </c>
      <c r="G10" s="4">
        <f t="shared" si="0"/>
        <v>45000</v>
      </c>
    </row>
    <row r="11" spans="1:7">
      <c r="A11" s="1">
        <v>5</v>
      </c>
      <c r="B11" s="1" t="s">
        <v>14</v>
      </c>
      <c r="E11" s="1">
        <v>1</v>
      </c>
      <c r="F11" s="4">
        <v>30000</v>
      </c>
      <c r="G11" s="4">
        <f t="shared" si="0"/>
        <v>30000</v>
      </c>
    </row>
    <row r="12" spans="1:7">
      <c r="A12" s="1">
        <v>6</v>
      </c>
      <c r="B12" s="1" t="s">
        <v>17</v>
      </c>
      <c r="E12" s="1">
        <v>10</v>
      </c>
      <c r="F12" s="4">
        <v>1350</v>
      </c>
      <c r="G12" s="4">
        <f t="shared" si="0"/>
        <v>13500</v>
      </c>
    </row>
    <row r="13" spans="1:7">
      <c r="A13" s="1">
        <v>7</v>
      </c>
      <c r="B13" s="1" t="s">
        <v>18</v>
      </c>
      <c r="E13" s="1">
        <v>6</v>
      </c>
      <c r="F13" s="4">
        <v>550</v>
      </c>
      <c r="G13" s="4">
        <f t="shared" si="0"/>
        <v>3300</v>
      </c>
    </row>
    <row r="14" spans="1:7">
      <c r="A14" s="1">
        <v>8</v>
      </c>
      <c r="B14" s="1" t="s">
        <v>19</v>
      </c>
      <c r="E14" s="1">
        <v>1</v>
      </c>
      <c r="F14" s="4">
        <v>5000</v>
      </c>
      <c r="G14" s="4">
        <f t="shared" si="0"/>
        <v>5000</v>
      </c>
    </row>
    <row r="15" spans="1:7">
      <c r="A15" s="1">
        <v>9</v>
      </c>
      <c r="B15" s="1" t="s">
        <v>20</v>
      </c>
      <c r="E15" s="1">
        <v>1</v>
      </c>
      <c r="F15" s="4">
        <v>30000</v>
      </c>
      <c r="G15" s="4">
        <f t="shared" si="0"/>
        <v>30000</v>
      </c>
    </row>
    <row r="16" spans="1:7">
      <c r="A16" s="1">
        <v>10</v>
      </c>
      <c r="B16" s="1" t="s">
        <v>21</v>
      </c>
      <c r="E16" s="1">
        <v>2</v>
      </c>
      <c r="F16" s="4">
        <v>7500</v>
      </c>
      <c r="G16" s="4">
        <f t="shared" si="0"/>
        <v>15000</v>
      </c>
    </row>
    <row r="17" spans="1:7">
      <c r="A17" s="1">
        <v>11</v>
      </c>
      <c r="B17" s="1" t="s">
        <v>23</v>
      </c>
      <c r="E17" s="1">
        <v>1</v>
      </c>
      <c r="F17" s="4">
        <v>30000</v>
      </c>
      <c r="G17" s="4">
        <f t="shared" si="0"/>
        <v>30000</v>
      </c>
    </row>
    <row r="18" spans="1:7">
      <c r="A18" s="1">
        <v>12</v>
      </c>
      <c r="B18" s="1" t="s">
        <v>24</v>
      </c>
      <c r="E18" s="1">
        <v>1</v>
      </c>
      <c r="F18" s="4">
        <v>150000</v>
      </c>
      <c r="G18" s="4">
        <f t="shared" si="0"/>
        <v>150000</v>
      </c>
    </row>
    <row r="19" spans="1:7" s="2" customFormat="1" ht="15.75" thickBot="1">
      <c r="D19" s="2" t="s">
        <v>62</v>
      </c>
      <c r="F19" s="6"/>
      <c r="G19" s="5">
        <f>SUM(G7:G18)</f>
        <v>524300</v>
      </c>
    </row>
    <row r="20" spans="1:7" s="2" customFormat="1" ht="15.75" thickTop="1">
      <c r="A20" s="2" t="s">
        <v>3</v>
      </c>
      <c r="F20" s="6"/>
      <c r="G20" s="6"/>
    </row>
    <row r="21" spans="1:7" ht="15">
      <c r="E21" s="3" t="s">
        <v>25</v>
      </c>
      <c r="F21" s="3" t="s">
        <v>26</v>
      </c>
      <c r="G21" s="3" t="s">
        <v>27</v>
      </c>
    </row>
    <row r="22" spans="1:7">
      <c r="A22" s="1">
        <v>1</v>
      </c>
      <c r="B22" s="1" t="s">
        <v>4</v>
      </c>
      <c r="E22" s="1">
        <v>1</v>
      </c>
      <c r="F22" s="4">
        <v>17000</v>
      </c>
      <c r="G22" s="4">
        <f>E22*F22</f>
        <v>17000</v>
      </c>
    </row>
    <row r="23" spans="1:7">
      <c r="A23" s="1">
        <v>2</v>
      </c>
      <c r="B23" s="1" t="s">
        <v>5</v>
      </c>
      <c r="E23" s="1">
        <v>1</v>
      </c>
      <c r="F23" s="4">
        <v>12000</v>
      </c>
      <c r="G23" s="4">
        <f t="shared" ref="G23:G33" si="1">E23*F23</f>
        <v>12000</v>
      </c>
    </row>
    <row r="24" spans="1:7">
      <c r="A24" s="1">
        <v>3</v>
      </c>
      <c r="B24" s="1" t="s">
        <v>6</v>
      </c>
      <c r="E24" s="1">
        <v>1</v>
      </c>
      <c r="F24" s="4">
        <v>2500</v>
      </c>
      <c r="G24" s="4">
        <f t="shared" si="1"/>
        <v>2500</v>
      </c>
    </row>
    <row r="25" spans="1:7">
      <c r="A25" s="1">
        <v>4</v>
      </c>
      <c r="B25" s="1" t="s">
        <v>7</v>
      </c>
      <c r="E25" s="1">
        <v>1</v>
      </c>
      <c r="F25" s="4">
        <v>8000</v>
      </c>
      <c r="G25" s="4">
        <f t="shared" si="1"/>
        <v>8000</v>
      </c>
    </row>
    <row r="26" spans="1:7">
      <c r="A26" s="1">
        <v>5</v>
      </c>
      <c r="B26" s="1" t="s">
        <v>8</v>
      </c>
      <c r="E26" s="1">
        <v>1</v>
      </c>
      <c r="F26" s="4">
        <v>4000</v>
      </c>
      <c r="G26" s="4">
        <f t="shared" si="1"/>
        <v>4000</v>
      </c>
    </row>
    <row r="27" spans="1:7">
      <c r="A27" s="1">
        <v>6</v>
      </c>
      <c r="B27" s="1" t="s">
        <v>9</v>
      </c>
      <c r="E27" s="1">
        <v>1</v>
      </c>
      <c r="F27" s="4">
        <v>12000</v>
      </c>
      <c r="G27" s="4">
        <f t="shared" si="1"/>
        <v>12000</v>
      </c>
    </row>
    <row r="28" spans="1:7">
      <c r="A28" s="1">
        <v>7</v>
      </c>
      <c r="B28" s="1" t="s">
        <v>10</v>
      </c>
      <c r="E28" s="1">
        <v>2</v>
      </c>
      <c r="F28" s="4">
        <v>125000</v>
      </c>
      <c r="G28" s="4">
        <f t="shared" si="1"/>
        <v>250000</v>
      </c>
    </row>
    <row r="29" spans="1:7">
      <c r="A29" s="1">
        <v>8</v>
      </c>
      <c r="B29" s="1" t="s">
        <v>12</v>
      </c>
      <c r="E29" s="1">
        <v>1</v>
      </c>
      <c r="F29" s="4">
        <v>40000</v>
      </c>
      <c r="G29" s="4">
        <f t="shared" si="1"/>
        <v>40000</v>
      </c>
    </row>
    <row r="30" spans="1:7">
      <c r="A30" s="1">
        <v>9</v>
      </c>
      <c r="B30" s="1" t="s">
        <v>13</v>
      </c>
      <c r="E30" s="1">
        <v>1</v>
      </c>
      <c r="F30" s="4">
        <v>35000</v>
      </c>
      <c r="G30" s="4">
        <f t="shared" si="1"/>
        <v>35000</v>
      </c>
    </row>
    <row r="31" spans="1:7">
      <c r="A31" s="1">
        <v>10</v>
      </c>
      <c r="B31" s="1" t="s">
        <v>15</v>
      </c>
      <c r="E31" s="1">
        <v>1</v>
      </c>
      <c r="F31" s="4">
        <v>10000</v>
      </c>
      <c r="G31" s="4">
        <f t="shared" si="1"/>
        <v>10000</v>
      </c>
    </row>
    <row r="32" spans="1:7">
      <c r="A32" s="1">
        <v>11</v>
      </c>
      <c r="B32" s="1" t="s">
        <v>16</v>
      </c>
      <c r="E32" s="1">
        <v>1</v>
      </c>
      <c r="F32" s="4">
        <v>5000</v>
      </c>
      <c r="G32" s="4">
        <f t="shared" si="1"/>
        <v>5000</v>
      </c>
    </row>
    <row r="33" spans="1:7">
      <c r="A33" s="1">
        <v>12</v>
      </c>
      <c r="B33" s="1" t="s">
        <v>22</v>
      </c>
      <c r="E33" s="1">
        <v>1</v>
      </c>
      <c r="F33" s="4">
        <v>5000</v>
      </c>
      <c r="G33" s="4">
        <f t="shared" si="1"/>
        <v>5000</v>
      </c>
    </row>
    <row r="34" spans="1:7">
      <c r="A34" s="1">
        <v>13</v>
      </c>
      <c r="B34" s="1" t="s">
        <v>28</v>
      </c>
      <c r="G34" s="4">
        <f>+Crockery!G29</f>
        <v>32840</v>
      </c>
    </row>
    <row r="35" spans="1:7" s="2" customFormat="1" ht="15.75" thickBot="1">
      <c r="D35" s="2" t="s">
        <v>63</v>
      </c>
      <c r="G35" s="5">
        <f>SUM(G22:G34)</f>
        <v>433340</v>
      </c>
    </row>
    <row r="36" spans="1:7" ht="15" thickTop="1"/>
    <row r="37" spans="1:7" s="2" customFormat="1" ht="15">
      <c r="A37" s="2" t="s">
        <v>57</v>
      </c>
    </row>
    <row r="39" spans="1:7">
      <c r="B39" s="1" t="s">
        <v>58</v>
      </c>
      <c r="G39" s="4">
        <v>400000</v>
      </c>
    </row>
    <row r="40" spans="1:7">
      <c r="B40" s="1" t="s">
        <v>59</v>
      </c>
    </row>
    <row r="41" spans="1:7">
      <c r="B41" s="1" t="s">
        <v>60</v>
      </c>
    </row>
    <row r="42" spans="1:7" s="2" customFormat="1" ht="15.75" thickBot="1">
      <c r="D42" s="2" t="s">
        <v>64</v>
      </c>
      <c r="G42" s="5">
        <f>SUM(G39:G41)</f>
        <v>400000</v>
      </c>
    </row>
    <row r="43" spans="1:7" s="2" customFormat="1" ht="15.75" thickTop="1"/>
    <row r="44" spans="1:7" s="2" customFormat="1" ht="15.75" thickBot="1">
      <c r="B44" s="2" t="s">
        <v>61</v>
      </c>
      <c r="D44" s="2" t="s">
        <v>65</v>
      </c>
      <c r="G44" s="5">
        <f>G19+G35+G42</f>
        <v>1357640</v>
      </c>
    </row>
    <row r="45" spans="1:7" ht="15" thickTop="1"/>
  </sheetData>
  <mergeCells count="2">
    <mergeCell ref="A1:G1"/>
    <mergeCell ref="A2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0"/>
  <sheetViews>
    <sheetView topLeftCell="A16" workbookViewId="0">
      <selection sqref="A1:H2"/>
    </sheetView>
  </sheetViews>
  <sheetFormatPr defaultRowHeight="14.25"/>
  <cols>
    <col min="1" max="5" width="9.140625" style="1"/>
    <col min="6" max="6" width="15.140625" style="1" customWidth="1"/>
    <col min="7" max="7" width="9.5703125" style="1" bestFit="1" customWidth="1"/>
    <col min="8" max="16384" width="9.140625" style="1"/>
  </cols>
  <sheetData>
    <row r="1" spans="1:8" s="2" customFormat="1" ht="15.75">
      <c r="A1" s="17" t="str">
        <f>+Equipments!A1</f>
        <v>ABC</v>
      </c>
      <c r="B1" s="17"/>
      <c r="C1" s="17"/>
      <c r="D1" s="17"/>
      <c r="E1" s="17"/>
      <c r="F1" s="17"/>
      <c r="G1" s="17"/>
      <c r="H1" s="17"/>
    </row>
    <row r="2" spans="1:8" s="2" customFormat="1" ht="15.75">
      <c r="A2" s="17" t="str">
        <f>+Equipments!A2</f>
        <v>ABC, CITY</v>
      </c>
      <c r="B2" s="17"/>
      <c r="C2" s="17"/>
      <c r="D2" s="17"/>
      <c r="E2" s="17"/>
      <c r="F2" s="17"/>
      <c r="G2" s="17"/>
      <c r="H2" s="16"/>
    </row>
    <row r="4" spans="1:8" s="2" customFormat="1" ht="15">
      <c r="A4" s="2" t="s">
        <v>29</v>
      </c>
    </row>
    <row r="5" spans="1:8" s="2" customFormat="1" ht="15">
      <c r="B5" s="2" t="s">
        <v>56</v>
      </c>
      <c r="D5" s="3" t="s">
        <v>194</v>
      </c>
      <c r="E5" s="3" t="s">
        <v>53</v>
      </c>
      <c r="F5" s="3" t="s">
        <v>195</v>
      </c>
      <c r="G5" s="3" t="s">
        <v>27</v>
      </c>
    </row>
    <row r="6" spans="1:8">
      <c r="A6" s="1">
        <v>1</v>
      </c>
      <c r="B6" s="1" t="s">
        <v>30</v>
      </c>
      <c r="D6" s="1">
        <v>10</v>
      </c>
      <c r="E6" s="1" t="s">
        <v>54</v>
      </c>
      <c r="F6" s="15">
        <v>150</v>
      </c>
      <c r="G6" s="4">
        <f>D6*F6</f>
        <v>1500</v>
      </c>
    </row>
    <row r="7" spans="1:8">
      <c r="A7" s="1">
        <v>2</v>
      </c>
      <c r="B7" s="1" t="s">
        <v>31</v>
      </c>
      <c r="D7" s="1">
        <v>10</v>
      </c>
      <c r="E7" s="1" t="s">
        <v>54</v>
      </c>
      <c r="F7" s="15">
        <v>150</v>
      </c>
      <c r="G7" s="4">
        <f t="shared" ref="G7:G28" si="0">D7*F7</f>
        <v>1500</v>
      </c>
    </row>
    <row r="8" spans="1:8">
      <c r="A8" s="1">
        <v>3</v>
      </c>
      <c r="B8" s="1" t="s">
        <v>32</v>
      </c>
      <c r="D8" s="1">
        <v>10</v>
      </c>
      <c r="E8" s="1" t="s">
        <v>55</v>
      </c>
      <c r="F8" s="15">
        <v>100</v>
      </c>
      <c r="G8" s="4">
        <f t="shared" si="0"/>
        <v>1000</v>
      </c>
    </row>
    <row r="9" spans="1:8">
      <c r="A9" s="1">
        <v>4</v>
      </c>
      <c r="B9" s="1" t="s">
        <v>33</v>
      </c>
      <c r="D9" s="1">
        <v>5</v>
      </c>
      <c r="E9" s="1" t="s">
        <v>54</v>
      </c>
      <c r="F9" s="15">
        <v>200</v>
      </c>
      <c r="G9" s="4">
        <f t="shared" si="0"/>
        <v>1000</v>
      </c>
    </row>
    <row r="10" spans="1:8">
      <c r="A10" s="1">
        <v>5</v>
      </c>
      <c r="B10" s="1" t="s">
        <v>34</v>
      </c>
      <c r="D10" s="1">
        <v>5</v>
      </c>
      <c r="E10" s="1" t="s">
        <v>54</v>
      </c>
      <c r="F10" s="15">
        <v>200</v>
      </c>
      <c r="G10" s="4">
        <f t="shared" si="0"/>
        <v>1000</v>
      </c>
    </row>
    <row r="11" spans="1:8">
      <c r="A11" s="1">
        <v>6</v>
      </c>
      <c r="B11" s="1" t="s">
        <v>35</v>
      </c>
      <c r="D11" s="1">
        <v>5</v>
      </c>
      <c r="E11" s="1" t="s">
        <v>54</v>
      </c>
      <c r="F11" s="15">
        <v>120</v>
      </c>
      <c r="G11" s="4">
        <f t="shared" si="0"/>
        <v>600</v>
      </c>
    </row>
    <row r="12" spans="1:8">
      <c r="A12" s="1">
        <v>7</v>
      </c>
      <c r="B12" s="1" t="s">
        <v>36</v>
      </c>
      <c r="D12" s="1">
        <v>5</v>
      </c>
      <c r="E12" s="1" t="s">
        <v>54</v>
      </c>
      <c r="F12" s="15">
        <v>350</v>
      </c>
      <c r="G12" s="4">
        <f t="shared" si="0"/>
        <v>1750</v>
      </c>
    </row>
    <row r="13" spans="1:8">
      <c r="A13" s="1">
        <v>8</v>
      </c>
      <c r="B13" s="1" t="s">
        <v>37</v>
      </c>
      <c r="D13" s="1">
        <v>5</v>
      </c>
      <c r="E13" s="1" t="s">
        <v>54</v>
      </c>
      <c r="F13" s="15">
        <v>250</v>
      </c>
      <c r="G13" s="4">
        <f t="shared" si="0"/>
        <v>1250</v>
      </c>
    </row>
    <row r="14" spans="1:8">
      <c r="A14" s="1">
        <v>9</v>
      </c>
      <c r="B14" s="1" t="s">
        <v>38</v>
      </c>
      <c r="D14" s="1">
        <v>5</v>
      </c>
      <c r="E14" s="1" t="s">
        <v>54</v>
      </c>
      <c r="F14" s="15">
        <v>400</v>
      </c>
      <c r="G14" s="4">
        <f t="shared" si="0"/>
        <v>2000</v>
      </c>
    </row>
    <row r="15" spans="1:8">
      <c r="A15" s="1">
        <v>10</v>
      </c>
      <c r="B15" s="1" t="s">
        <v>39</v>
      </c>
      <c r="D15" s="1">
        <v>3</v>
      </c>
      <c r="E15" s="1" t="s">
        <v>54</v>
      </c>
      <c r="F15" s="15">
        <v>300</v>
      </c>
      <c r="G15" s="4">
        <f t="shared" si="0"/>
        <v>900</v>
      </c>
    </row>
    <row r="16" spans="1:8">
      <c r="A16" s="1">
        <v>11</v>
      </c>
      <c r="B16" s="1" t="s">
        <v>40</v>
      </c>
      <c r="D16" s="1">
        <v>3</v>
      </c>
      <c r="E16" s="1" t="s">
        <v>54</v>
      </c>
      <c r="F16" s="15">
        <v>90</v>
      </c>
      <c r="G16" s="4">
        <f t="shared" si="0"/>
        <v>270</v>
      </c>
    </row>
    <row r="17" spans="1:7">
      <c r="A17" s="1">
        <v>12</v>
      </c>
      <c r="B17" s="1" t="s">
        <v>41</v>
      </c>
      <c r="D17" s="1">
        <v>3</v>
      </c>
      <c r="E17" s="1" t="s">
        <v>54</v>
      </c>
      <c r="F17" s="15">
        <v>90</v>
      </c>
      <c r="G17" s="4">
        <f t="shared" si="0"/>
        <v>270</v>
      </c>
    </row>
    <row r="18" spans="1:7">
      <c r="A18" s="1">
        <v>13</v>
      </c>
      <c r="B18" s="1" t="s">
        <v>42</v>
      </c>
      <c r="D18" s="1">
        <v>5</v>
      </c>
      <c r="E18" s="1" t="s">
        <v>54</v>
      </c>
      <c r="F18" s="15">
        <v>120</v>
      </c>
      <c r="G18" s="4">
        <f t="shared" si="0"/>
        <v>600</v>
      </c>
    </row>
    <row r="19" spans="1:7">
      <c r="A19" s="1">
        <v>14</v>
      </c>
      <c r="B19" s="1" t="s">
        <v>43</v>
      </c>
      <c r="D19" s="1">
        <v>5</v>
      </c>
      <c r="E19" s="1" t="s">
        <v>54</v>
      </c>
      <c r="F19" s="15">
        <v>360</v>
      </c>
      <c r="G19" s="4">
        <f t="shared" si="0"/>
        <v>1800</v>
      </c>
    </row>
    <row r="20" spans="1:7">
      <c r="A20" s="1">
        <v>15</v>
      </c>
      <c r="B20" s="1" t="s">
        <v>44</v>
      </c>
      <c r="D20" s="1">
        <v>2</v>
      </c>
      <c r="E20" s="1" t="s">
        <v>54</v>
      </c>
      <c r="F20" s="15">
        <v>2000</v>
      </c>
      <c r="G20" s="4">
        <f t="shared" si="0"/>
        <v>4000</v>
      </c>
    </row>
    <row r="21" spans="1:7">
      <c r="A21" s="1">
        <v>16</v>
      </c>
      <c r="B21" s="1" t="s">
        <v>45</v>
      </c>
      <c r="D21" s="1">
        <v>30</v>
      </c>
      <c r="E21" s="1" t="s">
        <v>55</v>
      </c>
      <c r="F21" s="15">
        <v>300</v>
      </c>
      <c r="G21" s="4">
        <f t="shared" si="0"/>
        <v>9000</v>
      </c>
    </row>
    <row r="22" spans="1:7">
      <c r="A22" s="1">
        <v>17</v>
      </c>
      <c r="B22" s="1" t="s">
        <v>46</v>
      </c>
      <c r="D22" s="1">
        <v>5</v>
      </c>
      <c r="E22" s="1" t="s">
        <v>54</v>
      </c>
      <c r="F22" s="15">
        <v>130</v>
      </c>
      <c r="G22" s="4">
        <f t="shared" si="0"/>
        <v>650</v>
      </c>
    </row>
    <row r="23" spans="1:7">
      <c r="A23" s="1">
        <v>18</v>
      </c>
      <c r="B23" s="1" t="s">
        <v>47</v>
      </c>
      <c r="D23" s="1">
        <v>5</v>
      </c>
      <c r="E23" s="1" t="s">
        <v>54</v>
      </c>
      <c r="F23" s="15">
        <v>150</v>
      </c>
      <c r="G23" s="4">
        <f t="shared" si="0"/>
        <v>750</v>
      </c>
    </row>
    <row r="24" spans="1:7">
      <c r="A24" s="1">
        <v>19</v>
      </c>
      <c r="B24" s="1" t="s">
        <v>48</v>
      </c>
      <c r="D24" s="1">
        <v>4</v>
      </c>
      <c r="E24" s="1" t="s">
        <v>54</v>
      </c>
      <c r="F24" s="15">
        <v>225</v>
      </c>
      <c r="G24" s="4">
        <f t="shared" si="0"/>
        <v>900</v>
      </c>
    </row>
    <row r="25" spans="1:7">
      <c r="A25" s="1">
        <v>20</v>
      </c>
      <c r="B25" s="1" t="s">
        <v>49</v>
      </c>
      <c r="D25" s="1">
        <v>15</v>
      </c>
      <c r="E25" s="1" t="s">
        <v>55</v>
      </c>
      <c r="F25" s="15">
        <v>100</v>
      </c>
      <c r="G25" s="4">
        <f t="shared" si="0"/>
        <v>1500</v>
      </c>
    </row>
    <row r="26" spans="1:7">
      <c r="A26" s="1">
        <v>21</v>
      </c>
      <c r="B26" s="1" t="s">
        <v>50</v>
      </c>
      <c r="D26" s="1">
        <v>15</v>
      </c>
      <c r="E26" s="1" t="s">
        <v>55</v>
      </c>
      <c r="F26" s="15">
        <v>20</v>
      </c>
      <c r="G26" s="4">
        <f t="shared" si="0"/>
        <v>300</v>
      </c>
    </row>
    <row r="27" spans="1:7">
      <c r="A27" s="1">
        <v>22</v>
      </c>
      <c r="B27" s="1" t="s">
        <v>51</v>
      </c>
      <c r="D27" s="1">
        <v>15</v>
      </c>
      <c r="E27" s="1" t="s">
        <v>55</v>
      </c>
      <c r="F27" s="15">
        <v>10</v>
      </c>
      <c r="G27" s="4">
        <f t="shared" si="0"/>
        <v>150</v>
      </c>
    </row>
    <row r="28" spans="1:7">
      <c r="A28" s="1">
        <v>23</v>
      </c>
      <c r="B28" s="1" t="s">
        <v>52</v>
      </c>
      <c r="D28" s="1">
        <v>15</v>
      </c>
      <c r="E28" s="1" t="s">
        <v>55</v>
      </c>
      <c r="F28" s="15">
        <v>10</v>
      </c>
      <c r="G28" s="4">
        <f t="shared" si="0"/>
        <v>150</v>
      </c>
    </row>
    <row r="29" spans="1:7" s="2" customFormat="1" ht="15.75" thickBot="1">
      <c r="D29" s="2" t="s">
        <v>27</v>
      </c>
      <c r="G29" s="5">
        <f>SUM(G6:G28)</f>
        <v>32840</v>
      </c>
    </row>
    <row r="30" spans="1:7" ht="15" thickTop="1"/>
  </sheetData>
  <mergeCells count="2">
    <mergeCell ref="A1:H1"/>
    <mergeCell ref="A2:G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31"/>
  <sheetViews>
    <sheetView workbookViewId="0">
      <selection activeCell="A26" sqref="A26:XFD32"/>
    </sheetView>
  </sheetViews>
  <sheetFormatPr defaultRowHeight="14.25"/>
  <cols>
    <col min="1" max="6" width="9.140625" style="1"/>
    <col min="7" max="7" width="11.85546875" style="1" bestFit="1" customWidth="1"/>
    <col min="8" max="16384" width="9.140625" style="1"/>
  </cols>
  <sheetData>
    <row r="1" spans="1:9" ht="15.75">
      <c r="A1" s="17" t="str">
        <f>+Equipments!A1</f>
        <v>ABC</v>
      </c>
      <c r="B1" s="17"/>
      <c r="C1" s="17"/>
      <c r="D1" s="17"/>
      <c r="E1" s="17"/>
      <c r="F1" s="17"/>
      <c r="G1" s="17"/>
      <c r="H1" s="17"/>
      <c r="I1" s="17"/>
    </row>
    <row r="2" spans="1:9" ht="15.75">
      <c r="A2" s="17" t="str">
        <f>+Equipments!A2</f>
        <v>ABC, CITY</v>
      </c>
      <c r="B2" s="17"/>
      <c r="C2" s="17"/>
      <c r="D2" s="17"/>
      <c r="E2" s="17"/>
      <c r="F2" s="17"/>
      <c r="G2" s="17"/>
      <c r="H2" s="17"/>
      <c r="I2" s="17"/>
    </row>
    <row r="3" spans="1:9" ht="15">
      <c r="A3" s="3"/>
      <c r="B3" s="3"/>
      <c r="C3" s="3"/>
      <c r="D3" s="3"/>
      <c r="E3" s="3"/>
      <c r="F3" s="3"/>
      <c r="G3" s="3"/>
      <c r="H3" s="3"/>
      <c r="I3" s="3"/>
    </row>
    <row r="4" spans="1:9" ht="15">
      <c r="B4" s="2" t="s">
        <v>70</v>
      </c>
    </row>
    <row r="5" spans="1:9" ht="15">
      <c r="G5" s="2"/>
    </row>
    <row r="6" spans="1:9" ht="15">
      <c r="B6" s="1" t="s">
        <v>71</v>
      </c>
      <c r="G6" s="2" t="s">
        <v>72</v>
      </c>
    </row>
    <row r="7" spans="1:9" ht="15">
      <c r="G7" s="2"/>
    </row>
    <row r="8" spans="1:9">
      <c r="B8" s="1" t="s">
        <v>67</v>
      </c>
      <c r="G8" s="4">
        <f>+Equipments!G19</f>
        <v>524300</v>
      </c>
    </row>
    <row r="9" spans="1:9">
      <c r="G9" s="4"/>
    </row>
    <row r="10" spans="1:9">
      <c r="B10" s="1" t="s">
        <v>3</v>
      </c>
      <c r="G10" s="4">
        <f>+Equipments!G35</f>
        <v>433340</v>
      </c>
    </row>
    <row r="11" spans="1:9">
      <c r="G11" s="4"/>
    </row>
    <row r="12" spans="1:9">
      <c r="B12" s="1" t="s">
        <v>57</v>
      </c>
      <c r="G12" s="4">
        <f>+Equipments!G42</f>
        <v>400000</v>
      </c>
    </row>
    <row r="13" spans="1:9">
      <c r="G13" s="4"/>
    </row>
    <row r="14" spans="1:9" ht="15.75" thickBot="1">
      <c r="C14" s="2" t="s">
        <v>27</v>
      </c>
      <c r="D14" s="2"/>
      <c r="E14" s="2"/>
      <c r="F14" s="2"/>
      <c r="G14" s="5">
        <f>SUM(G8:G12)</f>
        <v>1357640</v>
      </c>
    </row>
    <row r="15" spans="1:9" ht="15" thickTop="1">
      <c r="G15" s="4"/>
    </row>
    <row r="16" spans="1:9">
      <c r="G16" s="4"/>
    </row>
    <row r="17" spans="1:7" s="2" customFormat="1" ht="15">
      <c r="B17" s="2" t="s">
        <v>68</v>
      </c>
      <c r="G17" s="6"/>
    </row>
    <row r="18" spans="1:7">
      <c r="G18" s="4"/>
    </row>
    <row r="19" spans="1:7">
      <c r="B19" s="1" t="s">
        <v>69</v>
      </c>
      <c r="G19" s="4">
        <f>G14*0.75</f>
        <v>1018230</v>
      </c>
    </row>
    <row r="20" spans="1:7">
      <c r="G20" s="4"/>
    </row>
    <row r="21" spans="1:7">
      <c r="B21" s="1" t="s">
        <v>196</v>
      </c>
      <c r="G21" s="4">
        <f>G14-G19</f>
        <v>339410</v>
      </c>
    </row>
    <row r="22" spans="1:7">
      <c r="G22" s="4"/>
    </row>
    <row r="23" spans="1:7" ht="15.75" thickBot="1">
      <c r="C23" s="2" t="s">
        <v>27</v>
      </c>
      <c r="D23" s="2"/>
      <c r="E23" s="2"/>
      <c r="F23" s="2"/>
      <c r="G23" s="5">
        <f>SUM(G19:G22)</f>
        <v>1357640</v>
      </c>
    </row>
    <row r="24" spans="1:7" ht="15" thickTop="1"/>
    <row r="26" spans="1:7" ht="15">
      <c r="A26" s="2"/>
      <c r="B26" s="2"/>
      <c r="G26" s="2"/>
    </row>
    <row r="27" spans="1:7" ht="15">
      <c r="A27" s="2"/>
      <c r="B27" s="2"/>
      <c r="G27" s="2"/>
    </row>
    <row r="28" spans="1:7" ht="15">
      <c r="G28" s="2"/>
    </row>
    <row r="29" spans="1:7" ht="15">
      <c r="G29" s="2"/>
    </row>
    <row r="30" spans="1:7" ht="15">
      <c r="G30" s="2"/>
    </row>
    <row r="31" spans="1:7" ht="15">
      <c r="G31" s="2"/>
    </row>
  </sheetData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06"/>
  <sheetViews>
    <sheetView topLeftCell="A88" workbookViewId="0">
      <selection sqref="A1:I2"/>
    </sheetView>
  </sheetViews>
  <sheetFormatPr defaultRowHeight="14.25"/>
  <cols>
    <col min="1" max="1" width="5.28515625" style="1" customWidth="1"/>
    <col min="2" max="2" width="12.28515625" style="1" customWidth="1"/>
    <col min="3" max="3" width="13.85546875" style="1" customWidth="1"/>
    <col min="4" max="4" width="12" style="1" customWidth="1"/>
    <col min="5" max="5" width="10.7109375" style="1" customWidth="1"/>
    <col min="6" max="6" width="10.42578125" style="1" customWidth="1"/>
    <col min="7" max="7" width="10.85546875" style="1" customWidth="1"/>
    <col min="8" max="8" width="11.5703125" style="1" customWidth="1"/>
    <col min="9" max="9" width="10.7109375" style="1" bestFit="1" customWidth="1"/>
    <col min="10" max="16384" width="9.140625" style="1"/>
  </cols>
  <sheetData>
    <row r="1" spans="1:9" ht="15.75">
      <c r="A1" s="17" t="str">
        <f>+Equipments!A1</f>
        <v>ABC</v>
      </c>
      <c r="B1" s="17"/>
      <c r="C1" s="17"/>
      <c r="D1" s="17"/>
      <c r="E1" s="17"/>
      <c r="F1" s="17"/>
      <c r="G1" s="17"/>
      <c r="H1" s="17"/>
      <c r="I1" s="17"/>
    </row>
    <row r="2" spans="1:9" ht="15.75">
      <c r="A2" s="17" t="str">
        <f>+Equipments!A2</f>
        <v>ABC, CITY</v>
      </c>
      <c r="B2" s="17"/>
      <c r="C2" s="17"/>
      <c r="D2" s="17"/>
      <c r="E2" s="17"/>
      <c r="F2" s="17"/>
      <c r="G2" s="17"/>
      <c r="H2" s="17"/>
      <c r="I2" s="17"/>
    </row>
    <row r="4" spans="1:9" ht="15">
      <c r="A4" s="2">
        <v>1</v>
      </c>
      <c r="B4" s="2" t="s">
        <v>73</v>
      </c>
      <c r="D4" s="1">
        <v>350</v>
      </c>
      <c r="E4" s="1" t="s">
        <v>74</v>
      </c>
    </row>
    <row r="6" spans="1:9" ht="15">
      <c r="A6" s="2">
        <v>2</v>
      </c>
      <c r="B6" s="2" t="s">
        <v>75</v>
      </c>
    </row>
    <row r="7" spans="1:9" ht="15">
      <c r="B7" s="2"/>
    </row>
    <row r="8" spans="1:9" ht="15">
      <c r="B8" s="2" t="s">
        <v>76</v>
      </c>
      <c r="D8" s="8" t="s">
        <v>93</v>
      </c>
      <c r="E8" s="1" t="s">
        <v>94</v>
      </c>
    </row>
    <row r="9" spans="1:9">
      <c r="B9" s="1" t="s">
        <v>77</v>
      </c>
      <c r="C9" s="1" t="s">
        <v>78</v>
      </c>
      <c r="D9" s="1" t="s">
        <v>79</v>
      </c>
      <c r="E9" s="1" t="s">
        <v>27</v>
      </c>
    </row>
    <row r="10" spans="1:9">
      <c r="B10" s="1" t="s">
        <v>80</v>
      </c>
      <c r="C10" s="1">
        <v>5500</v>
      </c>
      <c r="D10" s="1">
        <v>30</v>
      </c>
      <c r="E10" s="1">
        <f>C10*D10</f>
        <v>165000</v>
      </c>
    </row>
    <row r="11" spans="1:9">
      <c r="B11" s="1" t="s">
        <v>81</v>
      </c>
      <c r="C11" s="1">
        <v>5500</v>
      </c>
      <c r="D11" s="1">
        <v>30</v>
      </c>
      <c r="E11" s="1">
        <f t="shared" ref="E11:E14" si="0">C11*D11</f>
        <v>165000</v>
      </c>
    </row>
    <row r="12" spans="1:9">
      <c r="B12" s="1" t="s">
        <v>82</v>
      </c>
      <c r="C12" s="1">
        <v>5500</v>
      </c>
      <c r="D12" s="1">
        <v>36</v>
      </c>
      <c r="E12" s="1">
        <f t="shared" si="0"/>
        <v>198000</v>
      </c>
    </row>
    <row r="13" spans="1:9">
      <c r="B13" s="1" t="s">
        <v>83</v>
      </c>
      <c r="C13" s="1">
        <v>5500</v>
      </c>
      <c r="D13" s="1">
        <v>36</v>
      </c>
      <c r="E13" s="1">
        <f t="shared" si="0"/>
        <v>198000</v>
      </c>
    </row>
    <row r="14" spans="1:9">
      <c r="B14" s="1" t="s">
        <v>84</v>
      </c>
      <c r="C14" s="1">
        <v>5500</v>
      </c>
      <c r="D14" s="1">
        <v>36</v>
      </c>
      <c r="E14" s="1">
        <f t="shared" si="0"/>
        <v>198000</v>
      </c>
    </row>
    <row r="16" spans="1:9">
      <c r="B16" s="1" t="s">
        <v>123</v>
      </c>
    </row>
    <row r="17" spans="1:5">
      <c r="B17" s="1" t="s">
        <v>124</v>
      </c>
    </row>
    <row r="19" spans="1:5" ht="15">
      <c r="B19" s="2" t="s">
        <v>89</v>
      </c>
    </row>
    <row r="20" spans="1:5" ht="15">
      <c r="B20" s="2" t="s">
        <v>90</v>
      </c>
      <c r="C20" s="2" t="s">
        <v>91</v>
      </c>
      <c r="D20" s="2" t="s">
        <v>92</v>
      </c>
      <c r="E20" s="2" t="s">
        <v>27</v>
      </c>
    </row>
    <row r="22" spans="1:5">
      <c r="B22" s="1" t="s">
        <v>80</v>
      </c>
      <c r="C22" s="1">
        <v>5000</v>
      </c>
      <c r="D22" s="1">
        <v>350</v>
      </c>
      <c r="E22" s="1">
        <f>C22*D22</f>
        <v>1750000</v>
      </c>
    </row>
    <row r="23" spans="1:5">
      <c r="B23" s="1" t="s">
        <v>81</v>
      </c>
      <c r="C23" s="1">
        <f>C22*110%</f>
        <v>5500</v>
      </c>
      <c r="D23" s="1">
        <v>350</v>
      </c>
      <c r="E23" s="1">
        <f t="shared" ref="E23:E26" si="1">C23*D23</f>
        <v>1925000</v>
      </c>
    </row>
    <row r="24" spans="1:5">
      <c r="B24" s="1" t="s">
        <v>82</v>
      </c>
      <c r="C24" s="1">
        <f>C23*110%</f>
        <v>6050.0000000000009</v>
      </c>
      <c r="D24" s="1">
        <v>350</v>
      </c>
      <c r="E24" s="1">
        <f t="shared" si="1"/>
        <v>2117500.0000000005</v>
      </c>
    </row>
    <row r="25" spans="1:5">
      <c r="B25" s="1" t="s">
        <v>83</v>
      </c>
      <c r="C25" s="1">
        <f>C24*110%</f>
        <v>6655.0000000000018</v>
      </c>
      <c r="D25" s="1">
        <v>350</v>
      </c>
      <c r="E25" s="1">
        <f t="shared" si="1"/>
        <v>2329250.0000000005</v>
      </c>
    </row>
    <row r="26" spans="1:5">
      <c r="B26" s="1" t="s">
        <v>84</v>
      </c>
      <c r="C26" s="1">
        <v>7500</v>
      </c>
      <c r="D26" s="1">
        <v>350</v>
      </c>
      <c r="E26" s="1">
        <f t="shared" si="1"/>
        <v>2625000</v>
      </c>
    </row>
    <row r="28" spans="1:5" ht="15">
      <c r="A28" s="2">
        <v>3</v>
      </c>
      <c r="B28" s="2" t="s">
        <v>109</v>
      </c>
    </row>
    <row r="29" spans="1:5">
      <c r="B29" s="1" t="s">
        <v>110</v>
      </c>
    </row>
    <row r="32" spans="1:5" s="2" customFormat="1" ht="15">
      <c r="A32" s="2">
        <v>4</v>
      </c>
      <c r="B32" s="2" t="s">
        <v>111</v>
      </c>
    </row>
    <row r="33" spans="1:5" ht="15">
      <c r="B33" s="2" t="s">
        <v>112</v>
      </c>
      <c r="C33" s="2" t="s">
        <v>113</v>
      </c>
      <c r="D33" s="2" t="s">
        <v>115</v>
      </c>
      <c r="E33" s="2" t="s">
        <v>27</v>
      </c>
    </row>
    <row r="34" spans="1:5">
      <c r="B34" s="1" t="s">
        <v>189</v>
      </c>
      <c r="C34" s="8" t="s">
        <v>190</v>
      </c>
      <c r="E34" s="8" t="s">
        <v>190</v>
      </c>
    </row>
    <row r="35" spans="1:5">
      <c r="B35" s="1" t="s">
        <v>114</v>
      </c>
      <c r="C35" s="1">
        <v>10000</v>
      </c>
      <c r="D35" s="1">
        <v>2</v>
      </c>
      <c r="E35" s="4">
        <f>C35*D35</f>
        <v>20000</v>
      </c>
    </row>
    <row r="36" spans="1:5">
      <c r="B36" s="1" t="s">
        <v>116</v>
      </c>
      <c r="C36" s="1">
        <v>7000</v>
      </c>
      <c r="D36" s="1">
        <v>4</v>
      </c>
      <c r="E36" s="4">
        <f t="shared" ref="E36:E37" si="2">C36*D36</f>
        <v>28000</v>
      </c>
    </row>
    <row r="37" spans="1:5">
      <c r="B37" s="1" t="s">
        <v>117</v>
      </c>
      <c r="C37" s="1">
        <v>4500</v>
      </c>
      <c r="D37" s="1">
        <v>2</v>
      </c>
      <c r="E37" s="4">
        <f t="shared" si="2"/>
        <v>9000</v>
      </c>
    </row>
    <row r="38" spans="1:5" ht="15.75" thickBot="1">
      <c r="C38" s="1" t="s">
        <v>27</v>
      </c>
      <c r="E38" s="5">
        <f>SUM(E35:E37)</f>
        <v>57000</v>
      </c>
    </row>
    <row r="39" spans="1:5" ht="15.75" thickTop="1">
      <c r="C39" s="2" t="s">
        <v>118</v>
      </c>
      <c r="D39" s="2"/>
      <c r="E39" s="6">
        <f>E38*12</f>
        <v>684000</v>
      </c>
    </row>
    <row r="41" spans="1:5" s="2" customFormat="1" ht="15">
      <c r="A41" s="2">
        <v>5</v>
      </c>
      <c r="B41" s="2" t="s">
        <v>98</v>
      </c>
    </row>
    <row r="42" spans="1:5">
      <c r="B42" s="1" t="s">
        <v>119</v>
      </c>
    </row>
    <row r="43" spans="1:5">
      <c r="B43" s="1" t="s">
        <v>126</v>
      </c>
    </row>
    <row r="45" spans="1:5" s="2" customFormat="1" ht="15">
      <c r="A45" s="2">
        <v>6</v>
      </c>
      <c r="B45" s="2" t="s">
        <v>120</v>
      </c>
    </row>
    <row r="46" spans="1:5">
      <c r="B46" s="1" t="s">
        <v>174</v>
      </c>
    </row>
    <row r="47" spans="1:5">
      <c r="B47" s="1" t="s">
        <v>176</v>
      </c>
    </row>
    <row r="49" spans="1:2" s="2" customFormat="1" ht="15">
      <c r="A49" s="2">
        <v>6</v>
      </c>
      <c r="B49" s="2" t="s">
        <v>121</v>
      </c>
    </row>
    <row r="50" spans="1:2">
      <c r="B50" s="1" t="s">
        <v>175</v>
      </c>
    </row>
    <row r="51" spans="1:2">
      <c r="B51" s="1" t="s">
        <v>127</v>
      </c>
    </row>
    <row r="53" spans="1:2" s="2" customFormat="1" ht="15">
      <c r="A53" s="2">
        <v>7</v>
      </c>
      <c r="B53" s="2" t="s">
        <v>125</v>
      </c>
    </row>
    <row r="54" spans="1:2">
      <c r="B54" s="1" t="s">
        <v>177</v>
      </c>
    </row>
    <row r="55" spans="1:2">
      <c r="B55" s="1" t="s">
        <v>178</v>
      </c>
    </row>
    <row r="57" spans="1:2" s="2" customFormat="1" ht="15">
      <c r="A57" s="2">
        <v>8</v>
      </c>
      <c r="B57" s="2" t="s">
        <v>128</v>
      </c>
    </row>
    <row r="58" spans="1:2">
      <c r="B58" s="1" t="s">
        <v>129</v>
      </c>
    </row>
    <row r="59" spans="1:2">
      <c r="B59" s="1" t="s">
        <v>130</v>
      </c>
    </row>
    <row r="61" spans="1:2" s="2" customFormat="1" ht="15">
      <c r="A61" s="2">
        <v>9</v>
      </c>
      <c r="B61" s="2" t="s">
        <v>103</v>
      </c>
    </row>
    <row r="62" spans="1:2">
      <c r="B62" s="1" t="s">
        <v>131</v>
      </c>
    </row>
    <row r="64" spans="1:2" s="2" customFormat="1" ht="15">
      <c r="A64" s="2">
        <v>10</v>
      </c>
      <c r="B64" s="2" t="s">
        <v>132</v>
      </c>
    </row>
    <row r="66" spans="2:9" ht="15">
      <c r="B66" s="2" t="s">
        <v>67</v>
      </c>
    </row>
    <row r="67" spans="2:9" s="2" customFormat="1" ht="15">
      <c r="B67" s="2" t="s">
        <v>133</v>
      </c>
      <c r="D67" s="2" t="s">
        <v>85</v>
      </c>
      <c r="E67" s="2" t="s">
        <v>134</v>
      </c>
      <c r="F67" s="2" t="s">
        <v>86</v>
      </c>
      <c r="G67" s="2" t="s">
        <v>135</v>
      </c>
      <c r="H67" s="2" t="s">
        <v>84</v>
      </c>
    </row>
    <row r="69" spans="2:9">
      <c r="B69" s="1" t="s">
        <v>136</v>
      </c>
      <c r="D69" s="4">
        <f>+'Means of Finance'!G8</f>
        <v>524300</v>
      </c>
      <c r="E69" s="4">
        <f>+D73</f>
        <v>445655</v>
      </c>
      <c r="F69" s="4">
        <f>+E73</f>
        <v>378806.75</v>
      </c>
      <c r="G69" s="4">
        <f>+F73</f>
        <v>321985.73749999999</v>
      </c>
      <c r="H69" s="4">
        <f>+G73</f>
        <v>273687.87687500002</v>
      </c>
    </row>
    <row r="71" spans="2:9">
      <c r="B71" s="1" t="s">
        <v>139</v>
      </c>
      <c r="D71" s="4">
        <f>D69*0.15</f>
        <v>78645</v>
      </c>
      <c r="E71" s="1">
        <f>E69*0.15</f>
        <v>66848.25</v>
      </c>
      <c r="F71" s="1">
        <f t="shared" ref="F71:H71" si="3">F69*0.15</f>
        <v>56821.012499999997</v>
      </c>
      <c r="G71" s="1">
        <f t="shared" si="3"/>
        <v>48297.860624999994</v>
      </c>
      <c r="H71" s="1">
        <f t="shared" si="3"/>
        <v>41053.181531250004</v>
      </c>
    </row>
    <row r="73" spans="2:9">
      <c r="B73" s="1" t="s">
        <v>138</v>
      </c>
      <c r="D73" s="4">
        <f>D69-D71</f>
        <v>445655</v>
      </c>
      <c r="E73" s="4">
        <f t="shared" ref="E73:H73" si="4">E69-E71</f>
        <v>378806.75</v>
      </c>
      <c r="F73" s="4">
        <f t="shared" si="4"/>
        <v>321985.73749999999</v>
      </c>
      <c r="G73" s="4">
        <f t="shared" si="4"/>
        <v>273687.87687500002</v>
      </c>
      <c r="H73" s="4">
        <f t="shared" si="4"/>
        <v>232634.69534375001</v>
      </c>
      <c r="I73" s="4"/>
    </row>
    <row r="76" spans="2:9" ht="15">
      <c r="B76" s="2" t="s">
        <v>3</v>
      </c>
      <c r="I76" s="4"/>
    </row>
    <row r="77" spans="2:9" s="2" customFormat="1" ht="15">
      <c r="B77" s="2" t="s">
        <v>133</v>
      </c>
      <c r="D77" s="2" t="s">
        <v>85</v>
      </c>
      <c r="E77" s="2" t="s">
        <v>134</v>
      </c>
      <c r="F77" s="2" t="s">
        <v>86</v>
      </c>
      <c r="G77" s="2" t="s">
        <v>135</v>
      </c>
      <c r="H77" s="2" t="s">
        <v>84</v>
      </c>
    </row>
    <row r="79" spans="2:9">
      <c r="B79" s="1" t="s">
        <v>136</v>
      </c>
      <c r="D79" s="4">
        <f>+'Means of Finance'!G10</f>
        <v>433340</v>
      </c>
      <c r="E79" s="4">
        <f>+D83</f>
        <v>368339</v>
      </c>
      <c r="F79" s="4">
        <f>+E83</f>
        <v>313088.15000000002</v>
      </c>
      <c r="G79" s="4">
        <f>+F83</f>
        <v>266124.92749999999</v>
      </c>
      <c r="H79" s="4">
        <f>+G83</f>
        <v>226206.188375</v>
      </c>
    </row>
    <row r="81" spans="1:8">
      <c r="B81" s="1" t="s">
        <v>139</v>
      </c>
      <c r="D81" s="4">
        <f>D79*0.15</f>
        <v>65001</v>
      </c>
      <c r="E81" s="1">
        <f>E79*0.15</f>
        <v>55250.85</v>
      </c>
      <c r="F81" s="1">
        <f>F79*0.15</f>
        <v>46963.222500000003</v>
      </c>
      <c r="G81" s="1">
        <f>G79*0.15</f>
        <v>39918.739125</v>
      </c>
      <c r="H81" s="1">
        <f t="shared" ref="H81" si="5">H79*0.15</f>
        <v>33930.928256250001</v>
      </c>
    </row>
    <row r="83" spans="1:8">
      <c r="B83" s="1" t="s">
        <v>138</v>
      </c>
      <c r="D83" s="4">
        <f>D79-D81</f>
        <v>368339</v>
      </c>
      <c r="E83" s="4">
        <f t="shared" ref="E83:H83" si="6">E79-E81</f>
        <v>313088.15000000002</v>
      </c>
      <c r="F83" s="4">
        <f t="shared" si="6"/>
        <v>266124.92749999999</v>
      </c>
      <c r="G83" s="4">
        <f t="shared" si="6"/>
        <v>226206.188375</v>
      </c>
      <c r="H83" s="4">
        <f t="shared" si="6"/>
        <v>192275.26011874998</v>
      </c>
    </row>
    <row r="86" spans="1:8" ht="15">
      <c r="B86" s="2" t="s">
        <v>57</v>
      </c>
    </row>
    <row r="87" spans="1:8" ht="15">
      <c r="B87" s="2" t="s">
        <v>133</v>
      </c>
      <c r="C87" s="2"/>
      <c r="D87" s="2" t="s">
        <v>85</v>
      </c>
      <c r="E87" s="2" t="s">
        <v>134</v>
      </c>
      <c r="F87" s="2" t="s">
        <v>86</v>
      </c>
      <c r="G87" s="2" t="s">
        <v>135</v>
      </c>
      <c r="H87" s="2" t="s">
        <v>84</v>
      </c>
    </row>
    <row r="89" spans="1:8">
      <c r="B89" s="1" t="s">
        <v>136</v>
      </c>
      <c r="D89" s="4">
        <f>+'Means of Finance'!G12:G12</f>
        <v>400000</v>
      </c>
      <c r="E89" s="4">
        <f>+D93</f>
        <v>360000</v>
      </c>
      <c r="F89" s="4">
        <f>+E93</f>
        <v>306000</v>
      </c>
      <c r="G89" s="4">
        <f>+F93</f>
        <v>260100</v>
      </c>
      <c r="H89" s="4">
        <f>+G93</f>
        <v>221085</v>
      </c>
    </row>
    <row r="91" spans="1:8">
      <c r="B91" s="1" t="s">
        <v>137</v>
      </c>
      <c r="D91" s="4">
        <f>D89*0.1</f>
        <v>40000</v>
      </c>
      <c r="E91" s="4">
        <f t="shared" ref="E91:H91" si="7">E89*0.15</f>
        <v>54000</v>
      </c>
      <c r="F91" s="4">
        <f t="shared" si="7"/>
        <v>45900</v>
      </c>
      <c r="G91" s="4">
        <f t="shared" si="7"/>
        <v>39015</v>
      </c>
      <c r="H91" s="4">
        <f t="shared" si="7"/>
        <v>33162.75</v>
      </c>
    </row>
    <row r="93" spans="1:8">
      <c r="B93" s="1" t="s">
        <v>138</v>
      </c>
      <c r="D93" s="4">
        <f>D89-D91</f>
        <v>360000</v>
      </c>
      <c r="E93" s="4">
        <f t="shared" ref="E93:H93" si="8">E89-E91</f>
        <v>306000</v>
      </c>
      <c r="F93" s="4">
        <f t="shared" si="8"/>
        <v>260100</v>
      </c>
      <c r="G93" s="4">
        <f t="shared" si="8"/>
        <v>221085</v>
      </c>
      <c r="H93" s="4">
        <f t="shared" si="8"/>
        <v>187922.25</v>
      </c>
    </row>
    <row r="96" spans="1:8" s="2" customFormat="1" ht="15">
      <c r="A96" s="2">
        <v>11</v>
      </c>
      <c r="B96" s="2" t="s">
        <v>140</v>
      </c>
    </row>
    <row r="98" spans="2:8" s="2" customFormat="1" ht="15">
      <c r="B98" s="2" t="s">
        <v>133</v>
      </c>
      <c r="D98" s="2" t="s">
        <v>85</v>
      </c>
      <c r="E98" s="2" t="s">
        <v>134</v>
      </c>
      <c r="F98" s="2" t="s">
        <v>86</v>
      </c>
      <c r="G98" s="2" t="s">
        <v>135</v>
      </c>
      <c r="H98" s="2" t="s">
        <v>84</v>
      </c>
    </row>
    <row r="99" spans="2:8">
      <c r="B99" s="1" t="s">
        <v>136</v>
      </c>
      <c r="D99" s="4">
        <v>0</v>
      </c>
      <c r="E99" s="4">
        <f>+D102</f>
        <v>814584</v>
      </c>
      <c r="F99" s="4">
        <f>+E102</f>
        <v>610938</v>
      </c>
      <c r="G99" s="4">
        <f>+F102</f>
        <v>407292</v>
      </c>
      <c r="H99" s="4">
        <f>+G102</f>
        <v>203646</v>
      </c>
    </row>
    <row r="100" spans="2:8">
      <c r="B100" s="1" t="s">
        <v>141</v>
      </c>
      <c r="D100" s="4">
        <f>+'Means of Finance'!G19</f>
        <v>1018230</v>
      </c>
      <c r="E100" s="4">
        <v>0</v>
      </c>
      <c r="F100" s="4">
        <v>0</v>
      </c>
      <c r="G100" s="4">
        <v>0</v>
      </c>
      <c r="H100" s="4">
        <v>0</v>
      </c>
    </row>
    <row r="101" spans="2:8">
      <c r="B101" s="1" t="s">
        <v>142</v>
      </c>
      <c r="D101" s="4">
        <f>D100/5</f>
        <v>203646</v>
      </c>
      <c r="E101" s="4">
        <f>+D101</f>
        <v>203646</v>
      </c>
      <c r="F101" s="4">
        <f>+E101</f>
        <v>203646</v>
      </c>
      <c r="G101" s="4">
        <f>+F101</f>
        <v>203646</v>
      </c>
      <c r="H101" s="4">
        <f>+G101</f>
        <v>203646</v>
      </c>
    </row>
    <row r="102" spans="2:8">
      <c r="B102" s="1" t="s">
        <v>138</v>
      </c>
      <c r="D102" s="4">
        <f>D100-D101</f>
        <v>814584</v>
      </c>
      <c r="E102" s="4">
        <f>E99-E101</f>
        <v>610938</v>
      </c>
      <c r="F102" s="4">
        <f t="shared" ref="F102:H102" si="9">F99-F101</f>
        <v>407292</v>
      </c>
      <c r="G102" s="4">
        <f t="shared" si="9"/>
        <v>203646</v>
      </c>
      <c r="H102" s="4">
        <f t="shared" si="9"/>
        <v>0</v>
      </c>
    </row>
    <row r="103" spans="2:8">
      <c r="B103" s="1" t="s">
        <v>143</v>
      </c>
      <c r="D103" s="4">
        <f>(D100+D102)/2*13%</f>
        <v>119132.91</v>
      </c>
      <c r="E103" s="4">
        <f>(E99+E102)/2*13%</f>
        <v>92658.930000000008</v>
      </c>
      <c r="F103" s="4">
        <f t="shared" ref="F103:H103" si="10">(F99+F102)/2*13%</f>
        <v>66184.95</v>
      </c>
      <c r="G103" s="4">
        <f t="shared" si="10"/>
        <v>39710.97</v>
      </c>
      <c r="H103" s="4">
        <f t="shared" si="10"/>
        <v>13236.99</v>
      </c>
    </row>
    <row r="106" spans="2:8">
      <c r="D106" s="4"/>
    </row>
  </sheetData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43"/>
  <sheetViews>
    <sheetView topLeftCell="A34" workbookViewId="0">
      <selection activeCell="A38" sqref="A38:XFD43"/>
    </sheetView>
  </sheetViews>
  <sheetFormatPr defaultRowHeight="14.25"/>
  <cols>
    <col min="1" max="1" width="26.42578125" style="1" customWidth="1"/>
    <col min="2" max="4" width="11.85546875" style="1" bestFit="1" customWidth="1"/>
    <col min="5" max="5" width="11.5703125" style="1" customWidth="1"/>
    <col min="6" max="6" width="11.85546875" style="1" bestFit="1" customWidth="1"/>
    <col min="7" max="16384" width="9.140625" style="1"/>
  </cols>
  <sheetData>
    <row r="1" spans="1:8" s="2" customFormat="1" ht="15.75">
      <c r="A1" s="17" t="str">
        <f>+'Means of Finance'!A1:I1</f>
        <v>ABC</v>
      </c>
      <c r="B1" s="17"/>
      <c r="C1" s="17"/>
      <c r="D1" s="17"/>
      <c r="E1" s="17"/>
      <c r="F1" s="17"/>
      <c r="G1" s="17"/>
      <c r="H1" s="17"/>
    </row>
    <row r="2" spans="1:8" s="2" customFormat="1" ht="15.75">
      <c r="A2" s="17" t="str">
        <f>+'Means of Finance'!A2:I2</f>
        <v>ABC, CITY</v>
      </c>
      <c r="B2" s="17"/>
      <c r="C2" s="17"/>
      <c r="D2" s="17"/>
      <c r="E2" s="17"/>
      <c r="F2" s="17"/>
      <c r="G2" s="17"/>
      <c r="H2" s="17"/>
    </row>
    <row r="3" spans="1:8" s="2" customFormat="1" ht="15">
      <c r="A3" s="3"/>
      <c r="B3" s="3"/>
      <c r="C3" s="3"/>
      <c r="D3" s="3"/>
      <c r="E3" s="3"/>
      <c r="F3" s="3"/>
      <c r="G3" s="3"/>
      <c r="H3" s="3"/>
    </row>
    <row r="4" spans="1:8" ht="15">
      <c r="A4" s="18" t="s">
        <v>191</v>
      </c>
      <c r="B4" s="18"/>
      <c r="C4" s="18"/>
      <c r="D4" s="18"/>
      <c r="E4" s="18"/>
      <c r="F4" s="18"/>
    </row>
    <row r="5" spans="1:8" ht="15">
      <c r="A5" s="3"/>
      <c r="B5" s="3"/>
      <c r="C5" s="3"/>
      <c r="D5" s="3"/>
      <c r="E5" s="3"/>
      <c r="F5" s="3"/>
    </row>
    <row r="6" spans="1:8" s="2" customFormat="1" ht="15">
      <c r="B6" s="2" t="s">
        <v>85</v>
      </c>
      <c r="C6" s="2" t="s">
        <v>81</v>
      </c>
      <c r="D6" s="2" t="s">
        <v>86</v>
      </c>
      <c r="E6" s="2" t="s">
        <v>83</v>
      </c>
      <c r="F6" s="2" t="s">
        <v>84</v>
      </c>
    </row>
    <row r="7" spans="1:8" s="2" customFormat="1" ht="15">
      <c r="A7" s="2" t="s">
        <v>75</v>
      </c>
    </row>
    <row r="8" spans="1:8">
      <c r="A8" s="1" t="s">
        <v>87</v>
      </c>
      <c r="B8" s="4">
        <f>+'Working Notes'!E10</f>
        <v>165000</v>
      </c>
      <c r="C8" s="4">
        <f>+'Working Notes'!E11</f>
        <v>165000</v>
      </c>
      <c r="D8" s="4">
        <f>+'Working Notes'!E12</f>
        <v>198000</v>
      </c>
      <c r="E8" s="4">
        <f>+'Working Notes'!E13</f>
        <v>198000</v>
      </c>
      <c r="F8" s="4">
        <f>+'Working Notes'!E14</f>
        <v>198000</v>
      </c>
      <c r="G8" s="4"/>
    </row>
    <row r="9" spans="1:8" ht="28.5">
      <c r="A9" s="7" t="s">
        <v>122</v>
      </c>
      <c r="B9" s="4">
        <f>10000*30</f>
        <v>300000</v>
      </c>
      <c r="C9" s="4">
        <f>11000*36</f>
        <v>396000</v>
      </c>
      <c r="D9" s="4">
        <f>12000*36</f>
        <v>432000</v>
      </c>
      <c r="E9" s="4">
        <f>12000*36</f>
        <v>432000</v>
      </c>
      <c r="F9" s="4">
        <f>12000*36</f>
        <v>432000</v>
      </c>
      <c r="G9" s="4"/>
    </row>
    <row r="10" spans="1:8" ht="28.5">
      <c r="A10" s="7" t="s">
        <v>88</v>
      </c>
      <c r="B10" s="4">
        <f>+'Working Notes'!E22</f>
        <v>1750000</v>
      </c>
      <c r="C10" s="4">
        <f>+'Working Notes'!E23</f>
        <v>1925000</v>
      </c>
      <c r="D10" s="4">
        <f>+'Working Notes'!E24</f>
        <v>2117500.0000000005</v>
      </c>
      <c r="E10" s="4">
        <f>+'Working Notes'!E25</f>
        <v>2329250.0000000005</v>
      </c>
      <c r="F10" s="4">
        <f>+'Working Notes'!E26</f>
        <v>2625000</v>
      </c>
      <c r="G10" s="4"/>
    </row>
    <row r="11" spans="1:8">
      <c r="A11" s="7"/>
      <c r="B11" s="4"/>
      <c r="C11" s="4"/>
      <c r="D11" s="4"/>
      <c r="E11" s="4"/>
      <c r="F11" s="4"/>
      <c r="G11" s="4"/>
    </row>
    <row r="12" spans="1:8" s="2" customFormat="1" ht="15.75" thickBot="1">
      <c r="A12" s="2" t="s">
        <v>144</v>
      </c>
      <c r="B12" s="5">
        <f>SUM(B8:B10)</f>
        <v>2215000</v>
      </c>
      <c r="C12" s="5">
        <f t="shared" ref="C12:F12" si="0">SUM(C8:C10)</f>
        <v>2486000</v>
      </c>
      <c r="D12" s="5">
        <f t="shared" si="0"/>
        <v>2747500.0000000005</v>
      </c>
      <c r="E12" s="5">
        <f t="shared" si="0"/>
        <v>2959250.0000000005</v>
      </c>
      <c r="F12" s="5">
        <f t="shared" si="0"/>
        <v>3255000</v>
      </c>
      <c r="G12" s="6"/>
    </row>
    <row r="13" spans="1:8" ht="15" thickTop="1">
      <c r="B13" s="4"/>
      <c r="C13" s="4"/>
      <c r="D13" s="4"/>
      <c r="E13" s="4"/>
      <c r="F13" s="4"/>
      <c r="G13" s="4"/>
    </row>
    <row r="14" spans="1:8" s="2" customFormat="1" ht="15">
      <c r="A14" s="2" t="s">
        <v>95</v>
      </c>
      <c r="B14" s="6"/>
      <c r="C14" s="6"/>
      <c r="D14" s="6"/>
      <c r="E14" s="6"/>
      <c r="F14" s="6"/>
      <c r="G14" s="6"/>
    </row>
    <row r="15" spans="1:8">
      <c r="B15" s="4"/>
      <c r="C15" s="4"/>
      <c r="D15" s="4"/>
      <c r="E15" s="4"/>
      <c r="F15" s="4"/>
      <c r="G15" s="4"/>
    </row>
    <row r="16" spans="1:8">
      <c r="A16" s="1" t="s">
        <v>96</v>
      </c>
      <c r="B16" s="4">
        <f>+B10*0.25+B9*0.25</f>
        <v>512500</v>
      </c>
      <c r="C16" s="4">
        <f t="shared" ref="C16:F16" si="1">+C10*0.25+C9*0.25</f>
        <v>580250</v>
      </c>
      <c r="D16" s="4">
        <f t="shared" si="1"/>
        <v>637375.00000000012</v>
      </c>
      <c r="E16" s="4">
        <f t="shared" si="1"/>
        <v>690312.50000000012</v>
      </c>
      <c r="F16" s="4">
        <f t="shared" si="1"/>
        <v>764250</v>
      </c>
      <c r="G16" s="4"/>
    </row>
    <row r="17" spans="1:7">
      <c r="A17" s="1" t="s">
        <v>97</v>
      </c>
      <c r="B17" s="4">
        <f>+'Working Notes'!E39</f>
        <v>684000</v>
      </c>
      <c r="C17" s="4">
        <f>B17*105%</f>
        <v>718200</v>
      </c>
      <c r="D17" s="4">
        <f t="shared" ref="D17:F20" si="2">C17*110%</f>
        <v>790020.00000000012</v>
      </c>
      <c r="E17" s="4">
        <f t="shared" si="2"/>
        <v>869022.00000000023</v>
      </c>
      <c r="F17" s="4">
        <f t="shared" si="2"/>
        <v>955924.2000000003</v>
      </c>
      <c r="G17" s="4"/>
    </row>
    <row r="18" spans="1:7">
      <c r="A18" s="1" t="s">
        <v>98</v>
      </c>
      <c r="B18" s="4">
        <f>15000*12</f>
        <v>180000</v>
      </c>
      <c r="C18" s="4">
        <f>B18*110%</f>
        <v>198000.00000000003</v>
      </c>
      <c r="D18" s="4">
        <f t="shared" si="2"/>
        <v>217800.00000000006</v>
      </c>
      <c r="E18" s="4">
        <f t="shared" si="2"/>
        <v>239580.00000000009</v>
      </c>
      <c r="F18" s="4">
        <f t="shared" si="2"/>
        <v>263538.00000000012</v>
      </c>
      <c r="G18" s="4"/>
    </row>
    <row r="19" spans="1:7">
      <c r="A19" s="1" t="s">
        <v>99</v>
      </c>
      <c r="B19" s="4">
        <f>4000*12</f>
        <v>48000</v>
      </c>
      <c r="C19" s="4">
        <f>B19*110%</f>
        <v>52800.000000000007</v>
      </c>
      <c r="D19" s="4">
        <f t="shared" si="2"/>
        <v>58080.000000000015</v>
      </c>
      <c r="E19" s="4">
        <f t="shared" si="2"/>
        <v>63888.000000000022</v>
      </c>
      <c r="F19" s="4">
        <f t="shared" si="2"/>
        <v>70276.800000000032</v>
      </c>
      <c r="G19" s="4"/>
    </row>
    <row r="20" spans="1:7">
      <c r="A20" s="1" t="s">
        <v>100</v>
      </c>
      <c r="B20" s="4">
        <f>8000*12</f>
        <v>96000</v>
      </c>
      <c r="C20" s="4">
        <f>B20*110%</f>
        <v>105600.00000000001</v>
      </c>
      <c r="D20" s="4">
        <f t="shared" si="2"/>
        <v>116160.00000000003</v>
      </c>
      <c r="E20" s="4">
        <f t="shared" si="2"/>
        <v>127776.00000000004</v>
      </c>
      <c r="F20" s="4">
        <f t="shared" si="2"/>
        <v>140553.60000000006</v>
      </c>
      <c r="G20" s="4"/>
    </row>
    <row r="21" spans="1:7" s="2" customFormat="1" ht="15.75" thickBot="1">
      <c r="A21" s="2" t="s">
        <v>63</v>
      </c>
      <c r="B21" s="5">
        <f>SUM(B16:B20)</f>
        <v>1520500</v>
      </c>
      <c r="C21" s="5">
        <f t="shared" ref="C21:F21" si="3">SUM(C16:C20)</f>
        <v>1654850</v>
      </c>
      <c r="D21" s="5">
        <f t="shared" si="3"/>
        <v>1819435.0000000002</v>
      </c>
      <c r="E21" s="5">
        <f t="shared" si="3"/>
        <v>1990578.5000000005</v>
      </c>
      <c r="F21" s="5">
        <f t="shared" si="3"/>
        <v>2194542.6</v>
      </c>
      <c r="G21" s="6"/>
    </row>
    <row r="22" spans="1:7" ht="15" thickTop="1">
      <c r="B22" s="4"/>
      <c r="C22" s="4"/>
      <c r="D22" s="4"/>
      <c r="E22" s="4"/>
      <c r="F22" s="4"/>
      <c r="G22" s="4"/>
    </row>
    <row r="23" spans="1:7" s="2" customFormat="1" ht="15.75" thickBot="1">
      <c r="A23" s="2" t="s">
        <v>145</v>
      </c>
      <c r="B23" s="5">
        <f>B12-B21</f>
        <v>694500</v>
      </c>
      <c r="C23" s="5">
        <f t="shared" ref="C23:F23" si="4">C12-C21</f>
        <v>831150</v>
      </c>
      <c r="D23" s="5">
        <f t="shared" si="4"/>
        <v>928065.00000000023</v>
      </c>
      <c r="E23" s="5">
        <f t="shared" si="4"/>
        <v>968671.5</v>
      </c>
      <c r="F23" s="5">
        <f t="shared" si="4"/>
        <v>1060457.3999999999</v>
      </c>
      <c r="G23" s="6"/>
    </row>
    <row r="24" spans="1:7" ht="15" thickTop="1">
      <c r="B24" s="4"/>
      <c r="C24" s="4"/>
      <c r="D24" s="4"/>
      <c r="E24" s="4"/>
      <c r="F24" s="4"/>
      <c r="G24" s="4"/>
    </row>
    <row r="25" spans="1:7">
      <c r="A25" s="1" t="s">
        <v>101</v>
      </c>
      <c r="B25" s="4">
        <f>3000*12</f>
        <v>36000</v>
      </c>
      <c r="C25" s="4">
        <f t="shared" ref="C25:F27" si="5">B25*110%</f>
        <v>39600</v>
      </c>
      <c r="D25" s="4">
        <f t="shared" si="5"/>
        <v>43560</v>
      </c>
      <c r="E25" s="4">
        <f t="shared" si="5"/>
        <v>47916.000000000007</v>
      </c>
      <c r="F25" s="4">
        <f t="shared" si="5"/>
        <v>52707.600000000013</v>
      </c>
      <c r="G25" s="4"/>
    </row>
    <row r="26" spans="1:7">
      <c r="A26" s="1" t="s">
        <v>102</v>
      </c>
      <c r="B26" s="4">
        <f>2500*12</f>
        <v>30000</v>
      </c>
      <c r="C26" s="4">
        <f t="shared" si="5"/>
        <v>33000</v>
      </c>
      <c r="D26" s="4">
        <f t="shared" si="5"/>
        <v>36300</v>
      </c>
      <c r="E26" s="4">
        <f t="shared" si="5"/>
        <v>39930</v>
      </c>
      <c r="F26" s="4">
        <f t="shared" si="5"/>
        <v>43923</v>
      </c>
      <c r="G26" s="4"/>
    </row>
    <row r="27" spans="1:7">
      <c r="A27" s="1" t="s">
        <v>103</v>
      </c>
      <c r="B27" s="4">
        <f>5000*12</f>
        <v>60000</v>
      </c>
      <c r="C27" s="4">
        <f t="shared" si="5"/>
        <v>66000</v>
      </c>
      <c r="D27" s="4">
        <f t="shared" si="5"/>
        <v>72600</v>
      </c>
      <c r="E27" s="4">
        <f t="shared" si="5"/>
        <v>79860</v>
      </c>
      <c r="F27" s="4">
        <f t="shared" si="5"/>
        <v>87846</v>
      </c>
      <c r="G27" s="4"/>
    </row>
    <row r="28" spans="1:7">
      <c r="A28" s="1" t="s">
        <v>105</v>
      </c>
      <c r="B28" s="4">
        <f>+'Working Notes'!D71+'Working Notes'!D81+'Working Notes'!D91</f>
        <v>183646</v>
      </c>
      <c r="C28" s="4">
        <f>+'Working Notes'!E71+'Working Notes'!E81+'Working Notes'!E91</f>
        <v>176099.1</v>
      </c>
      <c r="D28" s="4">
        <f>+'Working Notes'!F71+'Working Notes'!F81+'Working Notes'!F91</f>
        <v>149684.23499999999</v>
      </c>
      <c r="E28" s="4">
        <f>+'Working Notes'!G71+'Working Notes'!G81+'Working Notes'!G91</f>
        <v>127231.59974999999</v>
      </c>
      <c r="F28" s="4">
        <f>+'Working Notes'!H71+'Working Notes'!H81+'Working Notes'!H91</f>
        <v>108146.8597875</v>
      </c>
      <c r="G28" s="4"/>
    </row>
    <row r="29" spans="1:7" s="2" customFormat="1" ht="15.75" thickBot="1">
      <c r="A29" s="2" t="s">
        <v>146</v>
      </c>
      <c r="B29" s="5">
        <f>SUM(B25:B28)</f>
        <v>309646</v>
      </c>
      <c r="C29" s="5">
        <f t="shared" ref="C29:F29" si="6">SUM(C25:C28)</f>
        <v>314699.09999999998</v>
      </c>
      <c r="D29" s="5">
        <f t="shared" si="6"/>
        <v>302144.23499999999</v>
      </c>
      <c r="E29" s="5">
        <f t="shared" si="6"/>
        <v>294937.59974999999</v>
      </c>
      <c r="F29" s="5">
        <f t="shared" si="6"/>
        <v>292623.45978749997</v>
      </c>
      <c r="G29" s="6"/>
    </row>
    <row r="30" spans="1:7" ht="15" thickTop="1">
      <c r="B30" s="4"/>
      <c r="C30" s="4"/>
      <c r="D30" s="4"/>
      <c r="E30" s="4"/>
      <c r="F30" s="4"/>
      <c r="G30" s="4"/>
    </row>
    <row r="31" spans="1:7" s="2" customFormat="1" ht="30">
      <c r="A31" s="11" t="s">
        <v>147</v>
      </c>
      <c r="B31" s="6">
        <f>B23-B29</f>
        <v>384854</v>
      </c>
      <c r="C31" s="6">
        <f t="shared" ref="C31:F31" si="7">C23-C29</f>
        <v>516450.9</v>
      </c>
      <c r="D31" s="6">
        <f t="shared" si="7"/>
        <v>625920.76500000025</v>
      </c>
      <c r="E31" s="6">
        <f t="shared" si="7"/>
        <v>673733.90024999995</v>
      </c>
      <c r="F31" s="6">
        <f t="shared" si="7"/>
        <v>767833.94021249993</v>
      </c>
      <c r="G31" s="6"/>
    </row>
    <row r="32" spans="1:7">
      <c r="A32" s="1" t="s">
        <v>104</v>
      </c>
      <c r="B32" s="4">
        <f>+'Working Notes'!D103</f>
        <v>119132.91</v>
      </c>
      <c r="C32" s="4">
        <f>+'Working Notes'!E103</f>
        <v>92658.930000000008</v>
      </c>
      <c r="D32" s="4">
        <f>+'Working Notes'!F103</f>
        <v>66184.95</v>
      </c>
      <c r="E32" s="4">
        <f>+'Working Notes'!G103</f>
        <v>39710.97</v>
      </c>
      <c r="F32" s="4">
        <f>+'Working Notes'!H103</f>
        <v>13236.99</v>
      </c>
      <c r="G32" s="4"/>
    </row>
    <row r="33" spans="1:7">
      <c r="B33" s="4"/>
      <c r="C33" s="4"/>
      <c r="D33" s="4"/>
      <c r="E33" s="4"/>
      <c r="F33" s="4"/>
      <c r="G33" s="4"/>
    </row>
    <row r="34" spans="1:7" s="2" customFormat="1" ht="15">
      <c r="A34" s="2" t="s">
        <v>106</v>
      </c>
      <c r="B34" s="6">
        <f>B31-B32</f>
        <v>265721.08999999997</v>
      </c>
      <c r="C34" s="6">
        <f t="shared" ref="C34:F34" si="8">C31-C32</f>
        <v>423791.97000000003</v>
      </c>
      <c r="D34" s="6">
        <f t="shared" si="8"/>
        <v>559735.81500000029</v>
      </c>
      <c r="E34" s="6">
        <f t="shared" si="8"/>
        <v>634022.93024999998</v>
      </c>
      <c r="F34" s="6">
        <f t="shared" si="8"/>
        <v>754596.95021249994</v>
      </c>
      <c r="G34" s="6"/>
    </row>
    <row r="35" spans="1:7">
      <c r="A35" s="1" t="s">
        <v>107</v>
      </c>
      <c r="B35" s="4">
        <v>96000</v>
      </c>
      <c r="C35" s="4">
        <v>240000</v>
      </c>
      <c r="D35" s="4">
        <v>350000</v>
      </c>
      <c r="E35" s="4">
        <v>400000</v>
      </c>
      <c r="F35" s="4">
        <v>450000</v>
      </c>
      <c r="G35" s="4"/>
    </row>
    <row r="36" spans="1:7" s="2" customFormat="1" ht="15">
      <c r="A36" s="2" t="s">
        <v>108</v>
      </c>
      <c r="B36" s="6">
        <f>B34-B35</f>
        <v>169721.08999999997</v>
      </c>
      <c r="C36" s="6">
        <f t="shared" ref="C36:F36" si="9">C34-C35</f>
        <v>183791.97000000003</v>
      </c>
      <c r="D36" s="6">
        <f t="shared" si="9"/>
        <v>209735.81500000029</v>
      </c>
      <c r="E36" s="6">
        <f t="shared" si="9"/>
        <v>234022.93024999998</v>
      </c>
      <c r="F36" s="6">
        <f t="shared" si="9"/>
        <v>304596.95021249994</v>
      </c>
      <c r="G36" s="6"/>
    </row>
    <row r="37" spans="1:7">
      <c r="B37" s="4"/>
      <c r="C37" s="4"/>
      <c r="D37" s="4"/>
      <c r="E37" s="4"/>
      <c r="F37" s="4"/>
      <c r="G37" s="4"/>
    </row>
    <row r="38" spans="1:7" ht="15">
      <c r="D38" s="2"/>
    </row>
    <row r="39" spans="1:7" ht="15">
      <c r="D39" s="2"/>
    </row>
    <row r="40" spans="1:7" ht="15">
      <c r="D40" s="2"/>
    </row>
    <row r="41" spans="1:7" ht="15">
      <c r="D41" s="2"/>
    </row>
    <row r="42" spans="1:7" ht="15">
      <c r="D42" s="2"/>
    </row>
    <row r="43" spans="1:7" ht="15">
      <c r="D43" s="2"/>
    </row>
  </sheetData>
  <mergeCells count="3">
    <mergeCell ref="A1:H1"/>
    <mergeCell ref="A2:H2"/>
    <mergeCell ref="A4:F4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40"/>
  <sheetViews>
    <sheetView topLeftCell="A16" workbookViewId="0">
      <selection activeCell="A35" sqref="A35:XFD41"/>
    </sheetView>
  </sheetViews>
  <sheetFormatPr defaultRowHeight="14.25"/>
  <cols>
    <col min="1" max="1" width="21.7109375" style="1" customWidth="1"/>
    <col min="2" max="2" width="12.7109375" style="1" customWidth="1"/>
    <col min="3" max="3" width="13.140625" style="1" bestFit="1" customWidth="1"/>
    <col min="4" max="4" width="11.85546875" style="1" customWidth="1"/>
    <col min="5" max="5" width="12.42578125" style="1" customWidth="1"/>
    <col min="6" max="6" width="13.140625" style="1" customWidth="1"/>
    <col min="7" max="16384" width="9.140625" style="1"/>
  </cols>
  <sheetData>
    <row r="1" spans="1:8" s="2" customFormat="1" ht="18">
      <c r="A1" s="20" t="str">
        <f>+'Working Notes'!A1:I1</f>
        <v>ABC</v>
      </c>
      <c r="B1" s="20"/>
      <c r="C1" s="20"/>
      <c r="D1" s="20"/>
      <c r="E1" s="20"/>
      <c r="F1" s="20"/>
      <c r="G1" s="13"/>
      <c r="H1" s="13"/>
    </row>
    <row r="2" spans="1:8" s="2" customFormat="1" ht="18">
      <c r="A2" s="20" t="str">
        <f>+'Profitability '!A2:H2</f>
        <v>ABC, CITY</v>
      </c>
      <c r="B2" s="20"/>
      <c r="C2" s="20"/>
      <c r="D2" s="20"/>
      <c r="E2" s="20"/>
      <c r="F2" s="20"/>
      <c r="G2" s="13"/>
      <c r="H2" s="12"/>
    </row>
    <row r="3" spans="1:8" s="2" customFormat="1" ht="18">
      <c r="A3" s="14"/>
      <c r="B3" s="14"/>
      <c r="C3" s="14"/>
      <c r="D3" s="14"/>
      <c r="E3" s="14"/>
      <c r="F3" s="14"/>
      <c r="G3" s="13"/>
      <c r="H3" s="12"/>
    </row>
    <row r="4" spans="1:8" ht="15">
      <c r="A4" s="18" t="s">
        <v>192</v>
      </c>
      <c r="B4" s="18"/>
      <c r="C4" s="18"/>
      <c r="D4" s="18"/>
      <c r="E4" s="18"/>
      <c r="F4" s="18"/>
    </row>
    <row r="5" spans="1:8" ht="15">
      <c r="A5" s="3"/>
      <c r="B5" s="3"/>
      <c r="C5" s="3"/>
      <c r="D5" s="3"/>
      <c r="E5" s="3"/>
      <c r="F5" s="3"/>
    </row>
    <row r="6" spans="1:8" s="2" customFormat="1" ht="15">
      <c r="B6" s="2" t="s">
        <v>85</v>
      </c>
      <c r="C6" s="2" t="s">
        <v>81</v>
      </c>
      <c r="D6" s="2" t="s">
        <v>86</v>
      </c>
      <c r="E6" s="2" t="s">
        <v>83</v>
      </c>
      <c r="F6" s="2" t="s">
        <v>84</v>
      </c>
    </row>
    <row r="7" spans="1:8" s="2" customFormat="1" ht="15">
      <c r="A7" s="2" t="s">
        <v>148</v>
      </c>
    </row>
    <row r="9" spans="1:8">
      <c r="A9" s="1" t="s">
        <v>149</v>
      </c>
      <c r="B9" s="4">
        <f>+'Means of Finance'!G21</f>
        <v>339410</v>
      </c>
      <c r="C9" s="4">
        <v>0</v>
      </c>
      <c r="D9" s="4">
        <v>0</v>
      </c>
      <c r="E9" s="4">
        <v>0</v>
      </c>
      <c r="F9" s="4">
        <v>0</v>
      </c>
    </row>
    <row r="10" spans="1:8">
      <c r="B10" s="4"/>
      <c r="C10" s="4"/>
      <c r="D10" s="4"/>
      <c r="E10" s="4"/>
      <c r="F10" s="4"/>
    </row>
    <row r="11" spans="1:8">
      <c r="A11" s="1" t="s">
        <v>150</v>
      </c>
      <c r="B11" s="4">
        <f>+'Means of Finance'!G19</f>
        <v>1018230</v>
      </c>
      <c r="C11" s="4">
        <v>0</v>
      </c>
      <c r="D11" s="4">
        <v>0</v>
      </c>
      <c r="E11" s="4">
        <v>0</v>
      </c>
      <c r="F11" s="4">
        <v>0</v>
      </c>
    </row>
    <row r="12" spans="1:8">
      <c r="B12" s="4"/>
      <c r="C12" s="4"/>
      <c r="D12" s="4"/>
      <c r="E12" s="4"/>
      <c r="F12" s="4"/>
    </row>
    <row r="13" spans="1:8">
      <c r="A13" s="19" t="s">
        <v>163</v>
      </c>
      <c r="B13" s="4">
        <f>+'Profitability '!B31+'Profitability '!B28</f>
        <v>568500</v>
      </c>
      <c r="C13" s="4">
        <f>+'Profitability '!C31+'Profitability '!C28</f>
        <v>692550</v>
      </c>
      <c r="D13" s="4">
        <f>+'Profitability '!D31+'Profitability '!D28</f>
        <v>775605.00000000023</v>
      </c>
      <c r="E13" s="4">
        <f>+'Profitability '!E31+'Profitability '!E28</f>
        <v>800965.5</v>
      </c>
      <c r="F13" s="4">
        <f>+'Profitability '!F31+'Profitability '!F28</f>
        <v>875980.79999999993</v>
      </c>
    </row>
    <row r="14" spans="1:8">
      <c r="A14" s="19"/>
      <c r="B14" s="4"/>
      <c r="C14" s="4"/>
      <c r="D14" s="4"/>
      <c r="E14" s="4"/>
      <c r="F14" s="4"/>
    </row>
    <row r="15" spans="1:8" s="2" customFormat="1" ht="15.75" thickBot="1">
      <c r="A15" s="2" t="s">
        <v>62</v>
      </c>
      <c r="B15" s="5">
        <f>SUM(B9:B13)</f>
        <v>1926140</v>
      </c>
      <c r="C15" s="5">
        <f>SUM(C9:C13)</f>
        <v>692550</v>
      </c>
      <c r="D15" s="5">
        <f>SUM(D9:D13)</f>
        <v>775605.00000000023</v>
      </c>
      <c r="E15" s="5">
        <f>SUM(E9:E13)</f>
        <v>800965.5</v>
      </c>
      <c r="F15" s="5">
        <f>SUM(F9:F13)</f>
        <v>875980.79999999993</v>
      </c>
    </row>
    <row r="16" spans="1:8" ht="15" thickTop="1">
      <c r="B16" s="4"/>
      <c r="C16" s="4"/>
      <c r="D16" s="4"/>
      <c r="E16" s="4"/>
      <c r="F16" s="4"/>
    </row>
    <row r="17" spans="1:6" s="2" customFormat="1" ht="15">
      <c r="A17" s="2" t="s">
        <v>152</v>
      </c>
      <c r="B17" s="6"/>
      <c r="C17" s="6"/>
      <c r="D17" s="6"/>
      <c r="E17" s="6"/>
      <c r="F17" s="6"/>
    </row>
    <row r="18" spans="1:6">
      <c r="B18" s="4"/>
      <c r="C18" s="4"/>
      <c r="D18" s="4"/>
      <c r="E18" s="4"/>
      <c r="F18" s="4"/>
    </row>
    <row r="19" spans="1:6">
      <c r="A19" s="1" t="s">
        <v>153</v>
      </c>
      <c r="B19" s="4">
        <f>+'Means of Finance'!G8+'Means of Finance'!G10+'Means of Finance'!G12</f>
        <v>1357640</v>
      </c>
      <c r="C19" s="4">
        <v>0</v>
      </c>
      <c r="D19" s="4">
        <v>0</v>
      </c>
      <c r="E19" s="4">
        <v>0</v>
      </c>
      <c r="F19" s="4">
        <v>0</v>
      </c>
    </row>
    <row r="20" spans="1:6">
      <c r="B20" s="4"/>
      <c r="C20" s="4"/>
      <c r="D20" s="4"/>
      <c r="E20" s="4"/>
      <c r="F20" s="4"/>
    </row>
    <row r="21" spans="1:6" ht="28.5">
      <c r="A21" s="7" t="s">
        <v>181</v>
      </c>
      <c r="B21" s="4">
        <f>'Balance Sheet'!B23-'Balance Sheet'!B15</f>
        <v>90083.333333333343</v>
      </c>
      <c r="C21" s="4">
        <f>'Balance Sheet'!C23-'Balance Sheet'!C15-B21</f>
        <v>15983.333333333314</v>
      </c>
      <c r="D21" s="4">
        <f>'Balance Sheet'!D23-'Balance Sheet'!D15- ('Balance Sheet'!C23-'Balance Sheet'!C15)</f>
        <v>11681.666666666701</v>
      </c>
      <c r="E21" s="4">
        <f>'Balance Sheet'!E23-'Balance Sheet'!E15-('Balance Sheet'!D23-'Balance Sheet'!D15)</f>
        <v>6524.8333333333285</v>
      </c>
      <c r="F21" s="4">
        <f>'Balance Sheet'!F23-'Balance Sheet'!F15-('Balance Sheet'!E23-'Balance Sheet'!E15)</f>
        <v>12412.733333333279</v>
      </c>
    </row>
    <row r="22" spans="1:6">
      <c r="B22" s="4"/>
      <c r="C22" s="4"/>
      <c r="D22" s="4"/>
      <c r="E22" s="4"/>
      <c r="F22" s="4"/>
    </row>
    <row r="23" spans="1:6">
      <c r="A23" s="1" t="s">
        <v>159</v>
      </c>
      <c r="B23" s="4">
        <f>+'Working Notes'!D101</f>
        <v>203646</v>
      </c>
      <c r="C23" s="4">
        <f>+'Working Notes'!E101</f>
        <v>203646</v>
      </c>
      <c r="D23" s="4">
        <f>+'Working Notes'!F101</f>
        <v>203646</v>
      </c>
      <c r="E23" s="4">
        <f>+'Working Notes'!G101</f>
        <v>203646</v>
      </c>
      <c r="F23" s="4">
        <f>+'Working Notes'!H101</f>
        <v>203646</v>
      </c>
    </row>
    <row r="24" spans="1:6">
      <c r="B24" s="4"/>
      <c r="C24" s="4"/>
      <c r="D24" s="4"/>
      <c r="E24" s="4"/>
      <c r="F24" s="4"/>
    </row>
    <row r="25" spans="1:6">
      <c r="A25" s="1" t="s">
        <v>104</v>
      </c>
      <c r="B25" s="4">
        <f>+'Working Notes'!D103</f>
        <v>119132.91</v>
      </c>
      <c r="C25" s="4">
        <f>+'Working Notes'!E103</f>
        <v>92658.930000000008</v>
      </c>
      <c r="D25" s="4">
        <f>+'Working Notes'!F103</f>
        <v>66184.95</v>
      </c>
      <c r="E25" s="4">
        <f>+'Working Notes'!G103</f>
        <v>39710.97</v>
      </c>
      <c r="F25" s="4">
        <f>+'Working Notes'!H103</f>
        <v>13236.99</v>
      </c>
    </row>
    <row r="26" spans="1:6">
      <c r="B26" s="4"/>
      <c r="C26" s="4"/>
      <c r="D26" s="4"/>
      <c r="E26" s="4"/>
      <c r="F26" s="4"/>
    </row>
    <row r="27" spans="1:6">
      <c r="A27" s="1" t="s">
        <v>107</v>
      </c>
      <c r="B27" s="4">
        <f>+'Profitability '!B35</f>
        <v>96000</v>
      </c>
      <c r="C27" s="4">
        <f>+'Profitability '!C35</f>
        <v>240000</v>
      </c>
      <c r="D27" s="4">
        <f>+'Profitability '!D35</f>
        <v>350000</v>
      </c>
      <c r="E27" s="4">
        <f>+'Profitability '!E35</f>
        <v>400000</v>
      </c>
      <c r="F27" s="4">
        <f>+'Profitability '!F35</f>
        <v>450000</v>
      </c>
    </row>
    <row r="28" spans="1:6">
      <c r="B28" s="4"/>
      <c r="C28" s="4"/>
      <c r="D28" s="4"/>
      <c r="E28" s="4"/>
      <c r="F28" s="4"/>
    </row>
    <row r="29" spans="1:6" s="2" customFormat="1" ht="15.75" thickBot="1">
      <c r="A29" s="2" t="s">
        <v>63</v>
      </c>
      <c r="B29" s="5">
        <f>SUM(B19:B27)</f>
        <v>1866502.2433333332</v>
      </c>
      <c r="C29" s="5">
        <f t="shared" ref="C29:F29" si="0">SUM(C19:C27)</f>
        <v>552288.26333333331</v>
      </c>
      <c r="D29" s="5">
        <f t="shared" si="0"/>
        <v>631512.6166666667</v>
      </c>
      <c r="E29" s="5">
        <f t="shared" si="0"/>
        <v>649881.80333333334</v>
      </c>
      <c r="F29" s="5">
        <f t="shared" si="0"/>
        <v>679295.72333333327</v>
      </c>
    </row>
    <row r="30" spans="1:6" ht="15" thickTop="1">
      <c r="B30" s="4"/>
      <c r="C30" s="4"/>
      <c r="D30" s="4"/>
      <c r="E30" s="4"/>
      <c r="F30" s="4"/>
    </row>
    <row r="31" spans="1:6">
      <c r="A31" s="1" t="s">
        <v>160</v>
      </c>
      <c r="B31" s="4">
        <v>0</v>
      </c>
      <c r="C31" s="4">
        <f>+B33</f>
        <v>59637.756666666828</v>
      </c>
      <c r="D31" s="4">
        <f>+C33</f>
        <v>199899.49333333352</v>
      </c>
      <c r="E31" s="4">
        <f>+D33</f>
        <v>343991.87666666706</v>
      </c>
      <c r="F31" s="4">
        <f>+E33</f>
        <v>495075.57333333371</v>
      </c>
    </row>
    <row r="32" spans="1:6">
      <c r="A32" s="1" t="s">
        <v>161</v>
      </c>
      <c r="B32" s="4">
        <f>+B15-B29</f>
        <v>59637.756666666828</v>
      </c>
      <c r="C32" s="4">
        <f>+C15-C29</f>
        <v>140261.73666666669</v>
      </c>
      <c r="D32" s="4">
        <f t="shared" ref="D32:F32" si="1">+D15-D29</f>
        <v>144092.38333333354</v>
      </c>
      <c r="E32" s="4">
        <f t="shared" si="1"/>
        <v>151083.69666666666</v>
      </c>
      <c r="F32" s="4">
        <f t="shared" si="1"/>
        <v>196685.07666666666</v>
      </c>
    </row>
    <row r="33" spans="1:6">
      <c r="A33" s="1" t="s">
        <v>162</v>
      </c>
      <c r="B33" s="4">
        <f>B31+B32</f>
        <v>59637.756666666828</v>
      </c>
      <c r="C33" s="4">
        <f t="shared" ref="C33:F33" si="2">C31+C32</f>
        <v>199899.49333333352</v>
      </c>
      <c r="D33" s="4">
        <f t="shared" si="2"/>
        <v>343991.87666666706</v>
      </c>
      <c r="E33" s="4">
        <f t="shared" si="2"/>
        <v>495075.57333333371</v>
      </c>
      <c r="F33" s="4">
        <f t="shared" si="2"/>
        <v>691760.65000000037</v>
      </c>
    </row>
    <row r="35" spans="1:6" ht="15">
      <c r="A35" s="2"/>
      <c r="B35" s="2"/>
      <c r="E35" s="2"/>
    </row>
    <row r="36" spans="1:6" ht="15">
      <c r="A36" s="2"/>
      <c r="B36" s="2"/>
      <c r="E36" s="2"/>
    </row>
    <row r="37" spans="1:6" ht="15">
      <c r="E37" s="2"/>
    </row>
    <row r="38" spans="1:6" ht="15">
      <c r="E38" s="2"/>
    </row>
    <row r="39" spans="1:6" ht="15">
      <c r="E39" s="2"/>
    </row>
    <row r="40" spans="1:6" ht="15">
      <c r="E40" s="2"/>
    </row>
  </sheetData>
  <mergeCells count="4">
    <mergeCell ref="A13:A14"/>
    <mergeCell ref="A1:F1"/>
    <mergeCell ref="A2:F2"/>
    <mergeCell ref="A4:F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L37"/>
  <sheetViews>
    <sheetView topLeftCell="A13" workbookViewId="0">
      <selection activeCell="A29" sqref="A29:XFD31"/>
    </sheetView>
  </sheetViews>
  <sheetFormatPr defaultRowHeight="14.25"/>
  <cols>
    <col min="1" max="1" width="23.85546875" style="1" bestFit="1" customWidth="1"/>
    <col min="2" max="2" width="11.85546875" style="1" bestFit="1" customWidth="1"/>
    <col min="3" max="3" width="12.28515625" style="1" customWidth="1"/>
    <col min="4" max="4" width="12.140625" style="1" customWidth="1"/>
    <col min="5" max="5" width="13" style="1" customWidth="1"/>
    <col min="6" max="6" width="14.28515625" style="1" customWidth="1"/>
    <col min="7" max="7" width="9.140625" style="1"/>
    <col min="8" max="8" width="9.5703125" style="1" bestFit="1" customWidth="1"/>
    <col min="9" max="9" width="10.7109375" style="1" customWidth="1"/>
    <col min="10" max="10" width="10.85546875" style="1" customWidth="1"/>
    <col min="11" max="11" width="12" style="1" customWidth="1"/>
    <col min="12" max="12" width="11.85546875" style="1" customWidth="1"/>
    <col min="13" max="16384" width="9.140625" style="1"/>
  </cols>
  <sheetData>
    <row r="1" spans="1:8" ht="18">
      <c r="A1" s="20" t="str">
        <f>+'Working Notes'!A1:I1</f>
        <v>ABC</v>
      </c>
      <c r="B1" s="20"/>
      <c r="C1" s="20"/>
      <c r="D1" s="20"/>
      <c r="E1" s="20"/>
      <c r="F1" s="20"/>
      <c r="G1" s="10"/>
      <c r="H1" s="10"/>
    </row>
    <row r="2" spans="1:8" ht="18">
      <c r="A2" s="20" t="str">
        <f>+'Profitability '!A2:H2</f>
        <v>ABC, CITY</v>
      </c>
      <c r="B2" s="20"/>
      <c r="C2" s="20"/>
      <c r="D2" s="20"/>
      <c r="E2" s="20"/>
      <c r="F2" s="20"/>
      <c r="G2" s="10"/>
      <c r="H2" s="2"/>
    </row>
    <row r="3" spans="1:8" ht="18">
      <c r="A3" s="14"/>
      <c r="B3" s="14"/>
      <c r="C3" s="14"/>
      <c r="D3" s="14"/>
      <c r="E3" s="14"/>
      <c r="F3" s="14"/>
      <c r="G3" s="10"/>
      <c r="H3" s="2"/>
    </row>
    <row r="4" spans="1:8" ht="15">
      <c r="A4" s="18" t="s">
        <v>193</v>
      </c>
      <c r="B4" s="18"/>
      <c r="C4" s="18"/>
      <c r="D4" s="18"/>
      <c r="E4" s="18"/>
      <c r="F4" s="18"/>
    </row>
    <row r="5" spans="1:8" ht="15">
      <c r="A5" s="3"/>
      <c r="B5" s="3"/>
      <c r="C5" s="3"/>
      <c r="D5" s="3"/>
      <c r="E5" s="3"/>
      <c r="F5" s="3"/>
    </row>
    <row r="6" spans="1:8" ht="15">
      <c r="A6" s="2"/>
      <c r="B6" s="2" t="s">
        <v>85</v>
      </c>
      <c r="C6" s="2" t="s">
        <v>81</v>
      </c>
      <c r="D6" s="2" t="s">
        <v>86</v>
      </c>
      <c r="E6" s="2" t="s">
        <v>83</v>
      </c>
      <c r="F6" s="2" t="s">
        <v>84</v>
      </c>
      <c r="G6" s="2"/>
      <c r="H6" s="2"/>
    </row>
    <row r="7" spans="1:8" ht="15">
      <c r="A7" s="2" t="s">
        <v>154</v>
      </c>
    </row>
    <row r="9" spans="1:8">
      <c r="A9" s="1" t="s">
        <v>149</v>
      </c>
      <c r="B9" s="4">
        <f>+'Means of Finance'!G21</f>
        <v>339410</v>
      </c>
      <c r="C9" s="4">
        <f>+B9</f>
        <v>339410</v>
      </c>
      <c r="D9" s="4">
        <f>+C9</f>
        <v>339410</v>
      </c>
      <c r="E9" s="4">
        <f>+D9</f>
        <v>339410</v>
      </c>
      <c r="F9" s="4">
        <f>+E9</f>
        <v>339410</v>
      </c>
    </row>
    <row r="11" spans="1:8">
      <c r="A11" s="1" t="s">
        <v>155</v>
      </c>
      <c r="B11" s="4">
        <f>+'Working Notes'!D102</f>
        <v>814584</v>
      </c>
      <c r="C11" s="4">
        <f>+'Working Notes'!E102</f>
        <v>610938</v>
      </c>
      <c r="D11" s="4">
        <f>+'Working Notes'!F102</f>
        <v>407292</v>
      </c>
      <c r="E11" s="4">
        <f>+'Working Notes'!G102</f>
        <v>203646</v>
      </c>
      <c r="F11" s="4">
        <f>+'Working Notes'!H102</f>
        <v>0</v>
      </c>
    </row>
    <row r="13" spans="1:8">
      <c r="A13" s="1" t="s">
        <v>151</v>
      </c>
      <c r="B13" s="4">
        <f>+'Profitability '!B36</f>
        <v>169721.08999999997</v>
      </c>
      <c r="C13" s="4">
        <f>+'Profitability '!C36+B13</f>
        <v>353513.06</v>
      </c>
      <c r="D13" s="4">
        <f>+'Profitability '!D36+C13</f>
        <v>563248.87500000023</v>
      </c>
      <c r="E13" s="4">
        <f>+'Profitability '!E36+D13</f>
        <v>797271.80525000021</v>
      </c>
      <c r="F13" s="4">
        <f>+'Profitability '!F36+E13</f>
        <v>1101868.7554625003</v>
      </c>
    </row>
    <row r="15" spans="1:8">
      <c r="A15" s="1" t="s">
        <v>179</v>
      </c>
      <c r="B15" s="4">
        <f>+'Profitability '!B17/12+'Profitability '!B18/12+'Profitability '!B19/12+'Profitability '!B20/12+'Profitability '!B25/12+'Profitability '!B26/12+'Profitability '!B27/12</f>
        <v>94500</v>
      </c>
      <c r="C15" s="4">
        <f>+'Profitability '!C17/12+'Profitability '!C18/12+'Profitability '!C19/12+'Profitability '!C20/12+'Profitability '!C25/12+'Profitability '!C26/12+'Profitability '!C27/12</f>
        <v>101100</v>
      </c>
      <c r="D15" s="4">
        <f>+'Profitability '!D17/12+'Profitability '!D18/12+'Profitability '!D19/12+'Profitability '!D20/12+'Profitability '!D25/12+'Profitability '!D26/12+'Profitability '!D27/12</f>
        <v>111210.00000000001</v>
      </c>
      <c r="E15" s="4">
        <f>+'Profitability '!E17/12+'Profitability '!E18/12+'Profitability '!E19/12+'Profitability '!E20/12+'Profitability '!E25/12+'Profitability '!E26/12+'Profitability '!E27/12</f>
        <v>122331.00000000003</v>
      </c>
      <c r="F15" s="4">
        <f>+'Profitability '!F17/12+'Profitability '!F18/12+'Profitability '!F19/12+'Profitability '!F20/12+'Profitability '!F25/12+'Profitability '!F26/12+'Profitability '!F27/12</f>
        <v>134564.10000000003</v>
      </c>
    </row>
    <row r="17" spans="1:12" s="2" customFormat="1" ht="15.75" thickBot="1">
      <c r="A17" s="2" t="s">
        <v>27</v>
      </c>
      <c r="B17" s="5">
        <f>SUM(B9:B15)</f>
        <v>1418215.0899999999</v>
      </c>
      <c r="C17" s="5">
        <f t="shared" ref="C17:F17" si="0">SUM(C9:C15)</f>
        <v>1404961.06</v>
      </c>
      <c r="D17" s="5">
        <f t="shared" si="0"/>
        <v>1421160.8750000002</v>
      </c>
      <c r="E17" s="5">
        <f t="shared" si="0"/>
        <v>1462658.8052500002</v>
      </c>
      <c r="F17" s="5">
        <f t="shared" si="0"/>
        <v>1575842.8554625004</v>
      </c>
    </row>
    <row r="18" spans="1:12" ht="15" thickTop="1"/>
    <row r="19" spans="1:12" ht="15">
      <c r="A19" s="2" t="s">
        <v>156</v>
      </c>
    </row>
    <row r="21" spans="1:12">
      <c r="A21" s="1" t="s">
        <v>157</v>
      </c>
      <c r="B21" s="4">
        <f>+'Working Notes'!D73+'Working Notes'!D83+'Working Notes'!D93</f>
        <v>1173994</v>
      </c>
      <c r="C21" s="4">
        <f>+'Working Notes'!E73+'Working Notes'!E83+'Working Notes'!E93</f>
        <v>997894.9</v>
      </c>
      <c r="D21" s="4">
        <f>+'Working Notes'!F83+'Working Notes'!F73+'Working Notes'!F93</f>
        <v>848210.66500000004</v>
      </c>
      <c r="E21" s="4">
        <f>+'Working Notes'!G73+'Working Notes'!G83+'Working Notes'!G93</f>
        <v>720979.06524999999</v>
      </c>
      <c r="F21" s="4">
        <f>+'Working Notes'!H73+'Working Notes'!H83+'Working Notes'!H93</f>
        <v>612832.20546249999</v>
      </c>
    </row>
    <row r="23" spans="1:12">
      <c r="A23" s="1" t="s">
        <v>180</v>
      </c>
      <c r="B23" s="4">
        <f>'Profitability '!B12/12</f>
        <v>184583.33333333334</v>
      </c>
      <c r="C23" s="4">
        <f>'Profitability '!C12/12</f>
        <v>207166.66666666666</v>
      </c>
      <c r="D23" s="4">
        <f>'Profitability '!D12/12</f>
        <v>228958.33333333337</v>
      </c>
      <c r="E23" s="4">
        <f>'Profitability '!E12/12</f>
        <v>246604.16666666672</v>
      </c>
      <c r="F23" s="4">
        <f>'Profitability '!F12/12</f>
        <v>271250</v>
      </c>
    </row>
    <row r="25" spans="1:12">
      <c r="A25" s="1" t="s">
        <v>158</v>
      </c>
      <c r="B25" s="4">
        <f>+'Cash Flow'!B33</f>
        <v>59637.756666666828</v>
      </c>
      <c r="C25" s="4">
        <f>+'Cash Flow'!C33</f>
        <v>199899.49333333352</v>
      </c>
      <c r="D25" s="4">
        <f>+'Cash Flow'!D33</f>
        <v>343991.87666666706</v>
      </c>
      <c r="E25" s="4">
        <f>+'Cash Flow'!E33</f>
        <v>495075.57333333371</v>
      </c>
      <c r="F25" s="4">
        <f>+'Cash Flow'!F33</f>
        <v>691760.65000000037</v>
      </c>
    </row>
    <row r="27" spans="1:12">
      <c r="H27" s="4"/>
      <c r="I27" s="4"/>
      <c r="J27" s="4"/>
      <c r="K27" s="4"/>
      <c r="L27" s="4"/>
    </row>
    <row r="28" spans="1:12" s="2" customFormat="1" ht="15.75" thickBot="1">
      <c r="A28" s="2" t="s">
        <v>27</v>
      </c>
      <c r="B28" s="5">
        <f>SUM(B21:B27)</f>
        <v>1418215.09</v>
      </c>
      <c r="C28" s="5">
        <f t="shared" ref="C28:F28" si="1">SUM(C21:C27)</f>
        <v>1404961.06</v>
      </c>
      <c r="D28" s="5">
        <f t="shared" si="1"/>
        <v>1421160.8750000005</v>
      </c>
      <c r="E28" s="5">
        <f t="shared" si="1"/>
        <v>1462658.8052500004</v>
      </c>
      <c r="F28" s="5">
        <f t="shared" si="1"/>
        <v>1575842.8554625004</v>
      </c>
      <c r="I28" s="6"/>
      <c r="J28" s="6"/>
      <c r="K28" s="6"/>
      <c r="L28" s="6"/>
    </row>
    <row r="29" spans="1:12" ht="15" thickTop="1"/>
    <row r="30" spans="1:12">
      <c r="B30" s="4">
        <f>B17-B28</f>
        <v>0</v>
      </c>
      <c r="C30" s="4">
        <f t="shared" ref="C30:F30" si="2">C17-C28</f>
        <v>0</v>
      </c>
      <c r="D30" s="4">
        <f t="shared" si="2"/>
        <v>0</v>
      </c>
      <c r="E30" s="4">
        <f t="shared" si="2"/>
        <v>0</v>
      </c>
      <c r="F30" s="4">
        <f t="shared" si="2"/>
        <v>0</v>
      </c>
    </row>
    <row r="32" spans="1:12" ht="15">
      <c r="E32" s="2"/>
    </row>
    <row r="33" spans="5:5" ht="15">
      <c r="E33" s="2"/>
    </row>
    <row r="34" spans="5:5" ht="15">
      <c r="E34" s="2"/>
    </row>
    <row r="35" spans="5:5" ht="15">
      <c r="E35" s="2"/>
    </row>
    <row r="36" spans="5:5" ht="15">
      <c r="E36" s="2"/>
    </row>
    <row r="37" spans="5:5" ht="15">
      <c r="E37" s="2"/>
    </row>
  </sheetData>
  <mergeCells count="3">
    <mergeCell ref="A1:F1"/>
    <mergeCell ref="A2:F2"/>
    <mergeCell ref="A4:F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F33"/>
  <sheetViews>
    <sheetView tabSelected="1" workbookViewId="0">
      <selection activeCell="F35" sqref="F35"/>
    </sheetView>
  </sheetViews>
  <sheetFormatPr defaultRowHeight="14.25"/>
  <cols>
    <col min="1" max="1" width="28.140625" style="1" customWidth="1"/>
    <col min="2" max="2" width="11.140625" style="1" customWidth="1"/>
    <col min="3" max="3" width="12.28515625" style="1" customWidth="1"/>
    <col min="4" max="4" width="11.28515625" style="1" customWidth="1"/>
    <col min="5" max="5" width="11.7109375" style="1" customWidth="1"/>
    <col min="6" max="6" width="12" style="1" customWidth="1"/>
    <col min="7" max="16384" width="9.140625" style="1"/>
  </cols>
  <sheetData>
    <row r="1" spans="1:6" ht="15">
      <c r="A1" s="18" t="str">
        <f>+'Balance Sheet'!A1:H1</f>
        <v>ABC</v>
      </c>
      <c r="B1" s="18"/>
      <c r="C1" s="18"/>
      <c r="D1" s="18"/>
      <c r="E1" s="18"/>
      <c r="F1" s="18"/>
    </row>
    <row r="2" spans="1:6" ht="15">
      <c r="A2" s="18" t="str">
        <f>+'Balance Sheet'!A2:G2</f>
        <v>ABC, CITY</v>
      </c>
      <c r="B2" s="18"/>
      <c r="C2" s="18"/>
      <c r="D2" s="18"/>
      <c r="E2" s="18"/>
      <c r="F2" s="18"/>
    </row>
    <row r="4" spans="1:6" ht="15">
      <c r="A4" s="2" t="s">
        <v>164</v>
      </c>
      <c r="B4" s="2"/>
      <c r="C4" s="2"/>
      <c r="D4" s="2"/>
      <c r="E4" s="2"/>
      <c r="F4" s="2"/>
    </row>
    <row r="5" spans="1:6">
      <c r="A5" s="1" t="s">
        <v>165</v>
      </c>
    </row>
    <row r="6" spans="1:6" ht="15">
      <c r="B6" s="9" t="str">
        <f>+'Balance Sheet'!B6</f>
        <v>Ist Year</v>
      </c>
      <c r="C6" s="9" t="str">
        <f>+'Balance Sheet'!C6</f>
        <v>Iind Year</v>
      </c>
      <c r="D6" s="9" t="str">
        <f>+'Balance Sheet'!D6</f>
        <v>IIIrd Year</v>
      </c>
      <c r="E6" s="9" t="str">
        <f>+'Balance Sheet'!E6</f>
        <v>Ivth Year</v>
      </c>
      <c r="F6" s="9" t="str">
        <f>+'Balance Sheet'!F6</f>
        <v>Vth Year</v>
      </c>
    </row>
    <row r="7" spans="1:6">
      <c r="A7" s="1" t="s">
        <v>173</v>
      </c>
      <c r="B7" s="4">
        <f>+'Profitability '!B34</f>
        <v>265721.08999999997</v>
      </c>
      <c r="C7" s="4">
        <f>+'Profitability '!C34</f>
        <v>423791.97000000003</v>
      </c>
      <c r="D7" s="4">
        <f>+'Profitability '!D34</f>
        <v>559735.81500000029</v>
      </c>
      <c r="E7" s="4">
        <f>+'Profitability '!E34</f>
        <v>634022.93024999998</v>
      </c>
      <c r="F7" s="4">
        <f>+'Profitability '!F34</f>
        <v>754596.95021249994</v>
      </c>
    </row>
    <row r="8" spans="1:6">
      <c r="A8" s="1" t="s">
        <v>166</v>
      </c>
      <c r="B8" s="4">
        <f>+'Profitability '!B28</f>
        <v>183646</v>
      </c>
      <c r="C8" s="4">
        <f>+'Profitability '!C28</f>
        <v>176099.1</v>
      </c>
      <c r="D8" s="4">
        <f>+'Profitability '!D28</f>
        <v>149684.23499999999</v>
      </c>
      <c r="E8" s="4">
        <f>+'Profitability '!E28</f>
        <v>127231.59974999999</v>
      </c>
      <c r="F8" s="4">
        <f>+'Profitability '!F28</f>
        <v>108146.8597875</v>
      </c>
    </row>
    <row r="9" spans="1:6">
      <c r="A9" s="1" t="s">
        <v>167</v>
      </c>
      <c r="B9" s="4">
        <f>+'Profitability '!B32</f>
        <v>119132.91</v>
      </c>
      <c r="C9" s="4">
        <f>+'Profitability '!C32</f>
        <v>92658.930000000008</v>
      </c>
      <c r="D9" s="4">
        <f>+'Profitability '!D32</f>
        <v>66184.95</v>
      </c>
      <c r="E9" s="4">
        <f>+'Profitability '!E32</f>
        <v>39710.97</v>
      </c>
      <c r="F9" s="4">
        <f>+'Profitability '!F32</f>
        <v>13236.99</v>
      </c>
    </row>
    <row r="10" spans="1:6" ht="15">
      <c r="A10" s="2" t="s">
        <v>168</v>
      </c>
    </row>
    <row r="11" spans="1:6" ht="15">
      <c r="A11" s="2" t="s">
        <v>169</v>
      </c>
      <c r="B11" s="6">
        <f>SUM(B7:B10)</f>
        <v>568500</v>
      </c>
      <c r="C11" s="6">
        <f>SUM(C7:C10)</f>
        <v>692550.00000000012</v>
      </c>
      <c r="D11" s="6">
        <f>SUM(D7:D10)</f>
        <v>775605.00000000023</v>
      </c>
      <c r="E11" s="6">
        <f>SUM(E7:E10)</f>
        <v>800965.5</v>
      </c>
      <c r="F11" s="6">
        <f>SUM(F7:F10)</f>
        <v>875980.79999999993</v>
      </c>
    </row>
    <row r="12" spans="1:6" ht="15">
      <c r="B12" s="2"/>
      <c r="C12" s="2"/>
      <c r="D12" s="2"/>
      <c r="E12" s="2"/>
      <c r="F12" s="2"/>
    </row>
    <row r="13" spans="1:6" ht="30">
      <c r="A13" s="11" t="s">
        <v>170</v>
      </c>
      <c r="B13" s="6">
        <f>'Cash Flow'!B23+'Cash Flow'!B25</f>
        <v>322778.91000000003</v>
      </c>
      <c r="C13" s="6">
        <f>'Cash Flow'!C23+'Cash Flow'!C25</f>
        <v>296304.93</v>
      </c>
      <c r="D13" s="6">
        <f>'Cash Flow'!D23+'Cash Flow'!D25</f>
        <v>269830.95</v>
      </c>
      <c r="E13" s="6">
        <f>'Cash Flow'!E23+'Cash Flow'!E25</f>
        <v>243356.97</v>
      </c>
      <c r="F13" s="6">
        <f>'Cash Flow'!F23+'Cash Flow'!F25</f>
        <v>216882.99</v>
      </c>
    </row>
    <row r="14" spans="1:6">
      <c r="A14" s="7"/>
    </row>
    <row r="15" spans="1:6" ht="15">
      <c r="A15" s="2" t="s">
        <v>171</v>
      </c>
      <c r="B15" s="6">
        <f>+B11/B13</f>
        <v>1.7612674880152484</v>
      </c>
      <c r="C15" s="6">
        <f t="shared" ref="C15:F15" si="0">+C11/C13</f>
        <v>2.3372881443450844</v>
      </c>
      <c r="D15" s="6">
        <f t="shared" si="0"/>
        <v>2.8744108116581888</v>
      </c>
      <c r="E15" s="6">
        <f t="shared" si="0"/>
        <v>3.2913193322549996</v>
      </c>
      <c r="F15" s="6">
        <f t="shared" si="0"/>
        <v>4.0389557521315984</v>
      </c>
    </row>
    <row r="17" spans="1:6" ht="15">
      <c r="A17" s="2" t="s">
        <v>172</v>
      </c>
      <c r="B17" s="2"/>
      <c r="C17" s="2"/>
      <c r="D17" s="6">
        <f>+SUM(B15:F15)/5</f>
        <v>2.8606483056810239</v>
      </c>
      <c r="E17" s="2"/>
      <c r="F17" s="2"/>
    </row>
    <row r="21" spans="1:6" s="2" customFormat="1" ht="15">
      <c r="A21" s="2" t="s">
        <v>182</v>
      </c>
    </row>
    <row r="23" spans="1:6" ht="15">
      <c r="A23" s="2" t="s">
        <v>183</v>
      </c>
    </row>
    <row r="24" spans="1:6">
      <c r="A24" s="1" t="s">
        <v>180</v>
      </c>
      <c r="B24" s="4">
        <f>+'Balance Sheet'!B23</f>
        <v>184583.33333333334</v>
      </c>
      <c r="C24" s="4">
        <f>+'Balance Sheet'!C23</f>
        <v>207166.66666666666</v>
      </c>
      <c r="D24" s="4">
        <f>+'Balance Sheet'!D23</f>
        <v>228958.33333333337</v>
      </c>
      <c r="E24" s="4">
        <f>+'Balance Sheet'!E23</f>
        <v>246604.16666666672</v>
      </c>
      <c r="F24" s="4">
        <f>+'Balance Sheet'!F23</f>
        <v>271250</v>
      </c>
    </row>
    <row r="25" spans="1:6">
      <c r="A25" s="1" t="s">
        <v>184</v>
      </c>
      <c r="B25" s="4">
        <f>+'Balance Sheet'!B25</f>
        <v>59637.756666666828</v>
      </c>
      <c r="C25" s="4">
        <f>+'Balance Sheet'!C25</f>
        <v>199899.49333333352</v>
      </c>
      <c r="D25" s="4">
        <f>+'Balance Sheet'!D25</f>
        <v>343991.87666666706</v>
      </c>
      <c r="E25" s="4">
        <f>+'Balance Sheet'!E25</f>
        <v>495075.57333333371</v>
      </c>
      <c r="F25" s="4">
        <f>+'Balance Sheet'!F25</f>
        <v>691760.65000000037</v>
      </c>
    </row>
    <row r="26" spans="1:6" s="2" customFormat="1" ht="15">
      <c r="A26" s="2" t="s">
        <v>27</v>
      </c>
      <c r="B26" s="6">
        <f>SUM(B24:B25)</f>
        <v>244221.09000000017</v>
      </c>
      <c r="C26" s="6">
        <f t="shared" ref="C26:F26" si="1">SUM(C24:C25)</f>
        <v>407066.16000000015</v>
      </c>
      <c r="D26" s="6">
        <f t="shared" si="1"/>
        <v>572950.21000000043</v>
      </c>
      <c r="E26" s="6">
        <f t="shared" si="1"/>
        <v>741679.74000000046</v>
      </c>
      <c r="F26" s="6">
        <f t="shared" si="1"/>
        <v>963010.65000000037</v>
      </c>
    </row>
    <row r="27" spans="1:6">
      <c r="B27" s="4"/>
      <c r="C27" s="4"/>
      <c r="D27" s="4"/>
      <c r="E27" s="4"/>
      <c r="F27" s="4"/>
    </row>
    <row r="28" spans="1:6" ht="15">
      <c r="A28" s="2" t="s">
        <v>185</v>
      </c>
    </row>
    <row r="29" spans="1:6">
      <c r="A29" s="1" t="s">
        <v>186</v>
      </c>
      <c r="B29" s="4">
        <f>+'Balance Sheet'!B15</f>
        <v>94500</v>
      </c>
      <c r="C29" s="4">
        <f>+'Balance Sheet'!C15</f>
        <v>101100</v>
      </c>
      <c r="D29" s="4">
        <f>+'Balance Sheet'!D15</f>
        <v>111210.00000000001</v>
      </c>
      <c r="E29" s="4">
        <f>+'Balance Sheet'!E15</f>
        <v>122331.00000000003</v>
      </c>
      <c r="F29" s="4">
        <f>+'Balance Sheet'!F15</f>
        <v>134564.10000000003</v>
      </c>
    </row>
    <row r="30" spans="1:6" s="2" customFormat="1" ht="15">
      <c r="A30" s="2" t="s">
        <v>27</v>
      </c>
      <c r="B30" s="6">
        <f>SUM(B29)</f>
        <v>94500</v>
      </c>
      <c r="C30" s="6">
        <f t="shared" ref="C30:F30" si="2">SUM(C29)</f>
        <v>101100</v>
      </c>
      <c r="D30" s="6">
        <f t="shared" si="2"/>
        <v>111210.00000000001</v>
      </c>
      <c r="E30" s="6">
        <f t="shared" si="2"/>
        <v>122331.00000000003</v>
      </c>
      <c r="F30" s="6">
        <f t="shared" si="2"/>
        <v>134564.10000000003</v>
      </c>
    </row>
    <row r="31" spans="1:6">
      <c r="B31" s="4"/>
      <c r="C31" s="4"/>
      <c r="D31" s="4"/>
      <c r="E31" s="4"/>
      <c r="F31" s="4"/>
    </row>
    <row r="32" spans="1:6" s="2" customFormat="1" ht="15">
      <c r="A32" s="2" t="s">
        <v>187</v>
      </c>
      <c r="B32" s="6">
        <f>B26/B30</f>
        <v>2.5843501587301607</v>
      </c>
      <c r="C32" s="6">
        <f>C26/C30</f>
        <v>4.0263715133531175</v>
      </c>
      <c r="D32" s="6">
        <f>D26/D30</f>
        <v>5.1519666396906789</v>
      </c>
      <c r="E32" s="6">
        <f>E26/E30</f>
        <v>6.0628928072197583</v>
      </c>
      <c r="F32" s="6">
        <f>F26/F30</f>
        <v>7.1565198295830772</v>
      </c>
    </row>
    <row r="33" spans="1:6" s="2" customFormat="1" ht="15">
      <c r="A33" s="2" t="s">
        <v>188</v>
      </c>
      <c r="B33" s="6"/>
      <c r="C33" s="6"/>
      <c r="D33" s="6">
        <f>(B32+C32+D32+E32+F32)/5</f>
        <v>4.9964201897153586</v>
      </c>
      <c r="E33" s="6"/>
      <c r="F33" s="6"/>
    </row>
  </sheetData>
  <mergeCells count="2">
    <mergeCell ref="A1:F1"/>
    <mergeCell ref="A2:F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Equipments</vt:lpstr>
      <vt:lpstr>Crockery</vt:lpstr>
      <vt:lpstr>Means of Finance</vt:lpstr>
      <vt:lpstr>Working Notes</vt:lpstr>
      <vt:lpstr>Profitability </vt:lpstr>
      <vt:lpstr>Cash Flow</vt:lpstr>
      <vt:lpstr>Balance Sheet</vt:lpstr>
      <vt:lpstr>DSCR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2013-12-01T09:22:59Z</dcterms:modified>
</cp:coreProperties>
</file>